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pestana\Desktop\"/>
    </mc:Choice>
  </mc:AlternateContent>
  <xr:revisionPtr revIDLastSave="0" documentId="8_{FA0B0CD2-391C-4FD1-8094-7392F3D1D723}" xr6:coauthVersionLast="33" xr6:coauthVersionMax="33" xr10:uidLastSave="{00000000-0000-0000-0000-000000000000}"/>
  <bookViews>
    <workbookView xWindow="0" yWindow="0" windowWidth="28800" windowHeight="12225" tabRatio="852" xr2:uid="{00000000-000D-0000-FFFF-FFFF00000000}"/>
  </bookViews>
  <sheets>
    <sheet name="2017 Funding" sheetId="4" r:id="rId1"/>
    <sheet name="Cost Bands for 2017 MFAM" sheetId="1" state="veryHidden" r:id="rId2"/>
    <sheet name="From 2015 DataLockdown" sheetId="2" state="veryHidden" r:id="rId3"/>
    <sheet name="2015 Data Summary-Datalockdown" sheetId="3" state="veryHidden" r:id="rId4"/>
    <sheet name="2016 Clerical PYA" sheetId="5" r:id="rId5"/>
    <sheet name="Revised 2016 MFAM (2014 PYAs)" sheetId="6" state="veryHidden" r:id="rId6"/>
    <sheet name="Revised 2016 Cost Bands" sheetId="8" state="veryHidden" r:id="rId7"/>
    <sheet name="2015 Best Practice Scores" sheetId="9" state="very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6" l="1"/>
  <c r="G26" i="6"/>
  <c r="G24" i="6" s="1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N4" i="4" l="1"/>
  <c r="N5" i="4"/>
  <c r="N6" i="4"/>
  <c r="N7" i="4"/>
  <c r="N8" i="4"/>
  <c r="N9" i="4"/>
  <c r="N10" i="4"/>
  <c r="N11" i="4"/>
  <c r="N3" i="4"/>
  <c r="M4" i="4"/>
  <c r="M5" i="4"/>
  <c r="M6" i="4"/>
  <c r="M7" i="4"/>
  <c r="M8" i="4"/>
  <c r="M9" i="4"/>
  <c r="M10" i="4"/>
  <c r="M11" i="4"/>
  <c r="M3" i="4"/>
  <c r="L2" i="9" l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4" i="9"/>
  <c r="E10" i="6" l="1"/>
  <c r="E11" i="6" s="1"/>
  <c r="E16" i="6" l="1"/>
  <c r="E15" i="6"/>
  <c r="E14" i="6"/>
  <c r="E17" i="6" l="1"/>
  <c r="H27" i="4" l="1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I170" i="4" s="1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I27" i="4" l="1"/>
  <c r="I28" i="4"/>
  <c r="I29" i="4"/>
  <c r="I30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9" i="4"/>
  <c r="I50" i="4"/>
  <c r="I51" i="4"/>
  <c r="I52" i="4"/>
  <c r="I53" i="4"/>
  <c r="I54" i="4"/>
  <c r="I55" i="4"/>
  <c r="I57" i="4"/>
  <c r="I58" i="4"/>
  <c r="I59" i="4"/>
  <c r="I61" i="4"/>
  <c r="I62" i="4"/>
  <c r="I65" i="4"/>
  <c r="I66" i="4"/>
  <c r="I67" i="4"/>
  <c r="I69" i="4"/>
  <c r="I70" i="4"/>
  <c r="I71" i="4"/>
  <c r="I74" i="4"/>
  <c r="I75" i="4"/>
  <c r="I76" i="4"/>
  <c r="I78" i="4"/>
  <c r="I79" i="4"/>
  <c r="I80" i="4"/>
  <c r="I81" i="4"/>
  <c r="I82" i="4"/>
  <c r="I83" i="4"/>
  <c r="I84" i="4"/>
  <c r="I87" i="4"/>
  <c r="I88" i="4"/>
  <c r="I90" i="4"/>
  <c r="I91" i="4"/>
  <c r="I92" i="4"/>
  <c r="I93" i="4"/>
  <c r="I94" i="4"/>
  <c r="I95" i="4"/>
  <c r="I96" i="4"/>
  <c r="I98" i="4"/>
  <c r="I99" i="4"/>
  <c r="I100" i="4"/>
  <c r="I102" i="4"/>
  <c r="I103" i="4"/>
  <c r="I104" i="4"/>
  <c r="I105" i="4"/>
  <c r="I106" i="4"/>
  <c r="I107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5" i="4"/>
  <c r="I126" i="4"/>
  <c r="I127" i="4"/>
  <c r="I128" i="4"/>
  <c r="I129" i="4"/>
  <c r="I130" i="4"/>
  <c r="I131" i="4"/>
  <c r="I132" i="4"/>
  <c r="I133" i="4"/>
  <c r="I135" i="4"/>
  <c r="I136" i="4"/>
  <c r="I137" i="4"/>
  <c r="I139" i="4"/>
  <c r="I140" i="4"/>
  <c r="I141" i="4"/>
  <c r="I143" i="4"/>
  <c r="I144" i="4"/>
  <c r="I145" i="4"/>
  <c r="I147" i="4"/>
  <c r="I148" i="4"/>
  <c r="I149" i="4"/>
  <c r="I151" i="4"/>
  <c r="I152" i="4"/>
  <c r="I153" i="4"/>
  <c r="I155" i="4"/>
  <c r="I156" i="4"/>
  <c r="I157" i="4"/>
  <c r="I159" i="4"/>
  <c r="I160" i="4"/>
  <c r="I161" i="4"/>
  <c r="I163" i="4"/>
  <c r="I164" i="4"/>
  <c r="I165" i="4"/>
  <c r="I166" i="4"/>
  <c r="I167" i="4"/>
  <c r="I168" i="4"/>
  <c r="I169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7" i="4"/>
  <c r="I228" i="4"/>
  <c r="I229" i="4"/>
  <c r="I230" i="4"/>
  <c r="I231" i="4"/>
  <c r="I232" i="4"/>
  <c r="I233" i="4"/>
  <c r="I235" i="4"/>
  <c r="I236" i="4"/>
  <c r="I237" i="4"/>
  <c r="I239" i="4"/>
  <c r="I240" i="4"/>
  <c r="I241" i="4"/>
  <c r="I243" i="4"/>
  <c r="I244" i="4"/>
  <c r="I245" i="4"/>
  <c r="I246" i="4"/>
  <c r="I247" i="4"/>
  <c r="I248" i="4"/>
  <c r="I249" i="4"/>
  <c r="I250" i="4"/>
  <c r="I251" i="4"/>
  <c r="I252" i="4"/>
  <c r="I255" i="4"/>
  <c r="I256" i="4"/>
  <c r="I257" i="4"/>
  <c r="I259" i="4"/>
  <c r="I260" i="4"/>
  <c r="I261" i="4"/>
  <c r="I263" i="4"/>
  <c r="I264" i="4"/>
  <c r="I265" i="4"/>
  <c r="I267" i="4"/>
  <c r="H269" i="4"/>
  <c r="I269" i="4" s="1"/>
  <c r="I253" i="4" l="1"/>
  <c r="I268" i="4"/>
  <c r="I266" i="4"/>
  <c r="I262" i="4"/>
  <c r="I234" i="4"/>
  <c r="I258" i="4"/>
  <c r="I242" i="4"/>
  <c r="I226" i="4"/>
  <c r="I171" i="4"/>
  <c r="I254" i="4"/>
  <c r="I238" i="4"/>
  <c r="I158" i="4"/>
  <c r="I154" i="4"/>
  <c r="I150" i="4"/>
  <c r="I146" i="4"/>
  <c r="I142" i="4"/>
  <c r="I138" i="4"/>
  <c r="I134" i="4"/>
  <c r="I162" i="4"/>
  <c r="I86" i="4"/>
  <c r="I63" i="4"/>
  <c r="I124" i="4"/>
  <c r="I116" i="4"/>
  <c r="I108" i="4"/>
  <c r="I89" i="4"/>
  <c r="I73" i="4"/>
  <c r="I101" i="4"/>
  <c r="I85" i="4"/>
  <c r="I77" i="4"/>
  <c r="I56" i="4"/>
  <c r="I97" i="4"/>
  <c r="I64" i="4"/>
  <c r="I60" i="4"/>
  <c r="I72" i="4"/>
  <c r="I68" i="4"/>
  <c r="I48" i="4"/>
  <c r="I31" i="4"/>
  <c r="S3" i="6"/>
  <c r="T3" i="6" l="1"/>
  <c r="T11" i="6" l="1"/>
  <c r="T10" i="6"/>
  <c r="T9" i="6"/>
  <c r="T8" i="6"/>
  <c r="T7" i="6"/>
  <c r="T4" i="6"/>
  <c r="T6" i="6"/>
  <c r="T5" i="6"/>
  <c r="U8" i="6" l="1"/>
  <c r="U6" i="6" l="1"/>
  <c r="U4" i="6"/>
  <c r="U7" i="6"/>
  <c r="U11" i="6"/>
  <c r="U3" i="6"/>
  <c r="U10" i="6"/>
  <c r="U5" i="6"/>
  <c r="U9" i="6"/>
  <c r="V69" i="4" l="1"/>
  <c r="V97" i="4"/>
  <c r="V101" i="4"/>
  <c r="V102" i="4"/>
  <c r="V184" i="4"/>
  <c r="V203" i="4"/>
  <c r="V233" i="4"/>
  <c r="V265" i="4"/>
  <c r="U265" i="4"/>
  <c r="U69" i="4"/>
  <c r="U97" i="4"/>
  <c r="U101" i="4"/>
  <c r="U102" i="4"/>
  <c r="U184" i="4"/>
  <c r="U203" i="4"/>
  <c r="U233" i="4"/>
  <c r="N262" i="6" l="1"/>
  <c r="M262" i="6"/>
  <c r="N261" i="6"/>
  <c r="M261" i="6"/>
  <c r="N260" i="6"/>
  <c r="M260" i="6"/>
  <c r="N259" i="6"/>
  <c r="M259" i="6"/>
  <c r="N258" i="6"/>
  <c r="M258" i="6"/>
  <c r="N257" i="6"/>
  <c r="M257" i="6"/>
  <c r="N256" i="6"/>
  <c r="M256" i="6"/>
  <c r="N255" i="6"/>
  <c r="M255" i="6"/>
  <c r="N254" i="6"/>
  <c r="M254" i="6"/>
  <c r="N253" i="6"/>
  <c r="M253" i="6"/>
  <c r="N252" i="6"/>
  <c r="M252" i="6"/>
  <c r="N251" i="6"/>
  <c r="M251" i="6"/>
  <c r="N250" i="6"/>
  <c r="M250" i="6"/>
  <c r="N249" i="6"/>
  <c r="M249" i="6"/>
  <c r="N248" i="6"/>
  <c r="M248" i="6"/>
  <c r="N247" i="6"/>
  <c r="M247" i="6"/>
  <c r="N246" i="6"/>
  <c r="M246" i="6"/>
  <c r="N245" i="6"/>
  <c r="M245" i="6"/>
  <c r="J245" i="6"/>
  <c r="N244" i="6"/>
  <c r="M244" i="6"/>
  <c r="J244" i="6"/>
  <c r="N243" i="6"/>
  <c r="M243" i="6"/>
  <c r="J243" i="6"/>
  <c r="N242" i="6"/>
  <c r="M242" i="6"/>
  <c r="J242" i="6"/>
  <c r="N241" i="6"/>
  <c r="M241" i="6"/>
  <c r="N240" i="6"/>
  <c r="M240" i="6"/>
  <c r="J240" i="6"/>
  <c r="N239" i="6"/>
  <c r="M239" i="6"/>
  <c r="J239" i="6"/>
  <c r="N238" i="6"/>
  <c r="M238" i="6"/>
  <c r="J238" i="6"/>
  <c r="N237" i="6"/>
  <c r="M237" i="6"/>
  <c r="J237" i="6"/>
  <c r="N236" i="6"/>
  <c r="M236" i="6"/>
  <c r="J236" i="6"/>
  <c r="N235" i="6"/>
  <c r="M235" i="6"/>
  <c r="J235" i="6"/>
  <c r="N234" i="6"/>
  <c r="M234" i="6"/>
  <c r="J234" i="6"/>
  <c r="N233" i="6"/>
  <c r="M233" i="6"/>
  <c r="N232" i="6"/>
  <c r="M232" i="6"/>
  <c r="N231" i="6"/>
  <c r="M231" i="6"/>
  <c r="J231" i="6"/>
  <c r="N230" i="6"/>
  <c r="M230" i="6"/>
  <c r="J230" i="6"/>
  <c r="N229" i="6"/>
  <c r="M229" i="6"/>
  <c r="N228" i="6"/>
  <c r="M228" i="6"/>
  <c r="J228" i="6"/>
  <c r="N227" i="6"/>
  <c r="M227" i="6"/>
  <c r="J227" i="6"/>
  <c r="N226" i="6"/>
  <c r="M226" i="6"/>
  <c r="J226" i="6"/>
  <c r="N225" i="6"/>
  <c r="M225" i="6"/>
  <c r="J225" i="6"/>
  <c r="N224" i="6"/>
  <c r="M224" i="6"/>
  <c r="N223" i="6"/>
  <c r="M223" i="6"/>
  <c r="J223" i="6"/>
  <c r="N222" i="6"/>
  <c r="M222" i="6"/>
  <c r="J222" i="6"/>
  <c r="N221" i="6"/>
  <c r="M221" i="6"/>
  <c r="N220" i="6"/>
  <c r="M220" i="6"/>
  <c r="J220" i="6"/>
  <c r="N219" i="6"/>
  <c r="M219" i="6"/>
  <c r="J219" i="6"/>
  <c r="N218" i="6"/>
  <c r="M218" i="6"/>
  <c r="J218" i="6"/>
  <c r="N217" i="6"/>
  <c r="M217" i="6"/>
  <c r="N216" i="6"/>
  <c r="M216" i="6"/>
  <c r="J216" i="6"/>
  <c r="N215" i="6"/>
  <c r="M215" i="6"/>
  <c r="J215" i="6"/>
  <c r="N214" i="6"/>
  <c r="M214" i="6"/>
  <c r="J214" i="6"/>
  <c r="N213" i="6"/>
  <c r="M213" i="6"/>
  <c r="N212" i="6"/>
  <c r="M212" i="6"/>
  <c r="J212" i="6"/>
  <c r="N211" i="6"/>
  <c r="M211" i="6"/>
  <c r="J211" i="6"/>
  <c r="N210" i="6"/>
  <c r="M210" i="6"/>
  <c r="N209" i="6"/>
  <c r="M209" i="6"/>
  <c r="J209" i="6"/>
  <c r="N208" i="6"/>
  <c r="M208" i="6"/>
  <c r="J208" i="6"/>
  <c r="N207" i="6"/>
  <c r="M207" i="6"/>
  <c r="J207" i="6"/>
  <c r="N206" i="6"/>
  <c r="M206" i="6"/>
  <c r="J206" i="6"/>
  <c r="N205" i="6"/>
  <c r="M205" i="6"/>
  <c r="J205" i="6"/>
  <c r="N204" i="6"/>
  <c r="M204" i="6"/>
  <c r="N203" i="6"/>
  <c r="M203" i="6"/>
  <c r="N202" i="6"/>
  <c r="M202" i="6"/>
  <c r="J202" i="6"/>
  <c r="N201" i="6"/>
  <c r="M201" i="6"/>
  <c r="N200" i="6"/>
  <c r="M200" i="6"/>
  <c r="J200" i="6"/>
  <c r="N199" i="6"/>
  <c r="M199" i="6"/>
  <c r="J199" i="6"/>
  <c r="N198" i="6"/>
  <c r="M198" i="6"/>
  <c r="J198" i="6"/>
  <c r="N197" i="6"/>
  <c r="M197" i="6"/>
  <c r="J197" i="6"/>
  <c r="N196" i="6"/>
  <c r="M196" i="6"/>
  <c r="N195" i="6"/>
  <c r="M195" i="6"/>
  <c r="J195" i="6"/>
  <c r="N194" i="6"/>
  <c r="M194" i="6"/>
  <c r="J194" i="6"/>
  <c r="N193" i="6"/>
  <c r="M193" i="6"/>
  <c r="J193" i="6"/>
  <c r="N192" i="6"/>
  <c r="M192" i="6"/>
  <c r="N191" i="6"/>
  <c r="M191" i="6"/>
  <c r="J191" i="6"/>
  <c r="N190" i="6"/>
  <c r="M190" i="6"/>
  <c r="J190" i="6"/>
  <c r="N189" i="6"/>
  <c r="M189" i="6"/>
  <c r="N188" i="6"/>
  <c r="M188" i="6"/>
  <c r="J188" i="6"/>
  <c r="N187" i="6"/>
  <c r="M187" i="6"/>
  <c r="N186" i="6"/>
  <c r="M186" i="6"/>
  <c r="N185" i="6"/>
  <c r="M185" i="6"/>
  <c r="J185" i="6"/>
  <c r="N184" i="6"/>
  <c r="M184" i="6"/>
  <c r="J184" i="6"/>
  <c r="N183" i="6"/>
  <c r="M183" i="6"/>
  <c r="J183" i="6"/>
  <c r="N182" i="6"/>
  <c r="M182" i="6"/>
  <c r="J182" i="6"/>
  <c r="N181" i="6"/>
  <c r="M181" i="6"/>
  <c r="J181" i="6"/>
  <c r="N180" i="6"/>
  <c r="M180" i="6"/>
  <c r="J180" i="6"/>
  <c r="N179" i="6"/>
  <c r="M179" i="6"/>
  <c r="J179" i="6"/>
  <c r="N178" i="6"/>
  <c r="M178" i="6"/>
  <c r="J178" i="6"/>
  <c r="N177" i="6"/>
  <c r="M177" i="6"/>
  <c r="J177" i="6"/>
  <c r="N176" i="6"/>
  <c r="M176" i="6"/>
  <c r="J176" i="6"/>
  <c r="N175" i="6"/>
  <c r="M175" i="6"/>
  <c r="J175" i="6"/>
  <c r="N174" i="6"/>
  <c r="M174" i="6"/>
  <c r="J174" i="6"/>
  <c r="N173" i="6"/>
  <c r="M173" i="6"/>
  <c r="J173" i="6"/>
  <c r="N172" i="6"/>
  <c r="M172" i="6"/>
  <c r="J172" i="6"/>
  <c r="N171" i="6"/>
  <c r="M171" i="6"/>
  <c r="J171" i="6"/>
  <c r="N170" i="6"/>
  <c r="M170" i="6"/>
  <c r="J170" i="6"/>
  <c r="N169" i="6"/>
  <c r="M169" i="6"/>
  <c r="N168" i="6"/>
  <c r="M168" i="6"/>
  <c r="J168" i="6"/>
  <c r="N167" i="6"/>
  <c r="M167" i="6"/>
  <c r="J167" i="6"/>
  <c r="N166" i="6"/>
  <c r="M166" i="6"/>
  <c r="J166" i="6"/>
  <c r="N165" i="6"/>
  <c r="M165" i="6"/>
  <c r="J165" i="6"/>
  <c r="N164" i="6"/>
  <c r="M164" i="6"/>
  <c r="J164" i="6"/>
  <c r="N163" i="6"/>
  <c r="M163" i="6"/>
  <c r="J163" i="6"/>
  <c r="N162" i="6"/>
  <c r="M162" i="6"/>
  <c r="J162" i="6"/>
  <c r="N161" i="6"/>
  <c r="M161" i="6"/>
  <c r="J161" i="6"/>
  <c r="N160" i="6"/>
  <c r="M160" i="6"/>
  <c r="J160" i="6"/>
  <c r="N159" i="6"/>
  <c r="M159" i="6"/>
  <c r="J159" i="6"/>
  <c r="N158" i="6"/>
  <c r="M158" i="6"/>
  <c r="J158" i="6"/>
  <c r="N157" i="6"/>
  <c r="M157" i="6"/>
  <c r="J157" i="6"/>
  <c r="N156" i="6"/>
  <c r="M156" i="6"/>
  <c r="J156" i="6"/>
  <c r="N155" i="6"/>
  <c r="M155" i="6"/>
  <c r="J155" i="6"/>
  <c r="N154" i="6"/>
  <c r="M154" i="6"/>
  <c r="J154" i="6"/>
  <c r="N153" i="6"/>
  <c r="M153" i="6"/>
  <c r="J153" i="6"/>
  <c r="N152" i="6"/>
  <c r="M152" i="6"/>
  <c r="J152" i="6"/>
  <c r="N151" i="6"/>
  <c r="M151" i="6"/>
  <c r="J151" i="6"/>
  <c r="N150" i="6"/>
  <c r="M150" i="6"/>
  <c r="J150" i="6"/>
  <c r="N149" i="6"/>
  <c r="M149" i="6"/>
  <c r="J149" i="6"/>
  <c r="N148" i="6"/>
  <c r="M148" i="6"/>
  <c r="J148" i="6"/>
  <c r="N147" i="6"/>
  <c r="M147" i="6"/>
  <c r="J147" i="6"/>
  <c r="N146" i="6"/>
  <c r="M146" i="6"/>
  <c r="N145" i="6"/>
  <c r="M145" i="6"/>
  <c r="J145" i="6"/>
  <c r="N144" i="6"/>
  <c r="M144" i="6"/>
  <c r="N143" i="6"/>
  <c r="M143" i="6"/>
  <c r="J143" i="6"/>
  <c r="N142" i="6"/>
  <c r="M142" i="6"/>
  <c r="N141" i="6"/>
  <c r="M141" i="6"/>
  <c r="J141" i="6"/>
  <c r="N140" i="6"/>
  <c r="M140" i="6"/>
  <c r="N139" i="6"/>
  <c r="M139" i="6"/>
  <c r="J139" i="6"/>
  <c r="N138" i="6"/>
  <c r="M138" i="6"/>
  <c r="J138" i="6"/>
  <c r="N137" i="6"/>
  <c r="M137" i="6"/>
  <c r="N136" i="6"/>
  <c r="M136" i="6"/>
  <c r="J136" i="6"/>
  <c r="N135" i="6"/>
  <c r="M135" i="6"/>
  <c r="J135" i="6"/>
  <c r="N134" i="6"/>
  <c r="M134" i="6"/>
  <c r="N133" i="6"/>
  <c r="M133" i="6"/>
  <c r="J133" i="6"/>
  <c r="N132" i="6"/>
  <c r="M132" i="6"/>
  <c r="N131" i="6"/>
  <c r="M131" i="6"/>
  <c r="J131" i="6"/>
  <c r="N130" i="6"/>
  <c r="M130" i="6"/>
  <c r="J130" i="6"/>
  <c r="N129" i="6"/>
  <c r="M129" i="6"/>
  <c r="J129" i="6"/>
  <c r="N128" i="6"/>
  <c r="M128" i="6"/>
  <c r="J128" i="6"/>
  <c r="N127" i="6"/>
  <c r="M127" i="6"/>
  <c r="J127" i="6"/>
  <c r="N126" i="6"/>
  <c r="M126" i="6"/>
  <c r="J126" i="6"/>
  <c r="N125" i="6"/>
  <c r="M125" i="6"/>
  <c r="J125" i="6"/>
  <c r="N124" i="6"/>
  <c r="M124" i="6"/>
  <c r="J124" i="6"/>
  <c r="N123" i="6"/>
  <c r="M123" i="6"/>
  <c r="J123" i="6"/>
  <c r="N122" i="6"/>
  <c r="M122" i="6"/>
  <c r="N121" i="6"/>
  <c r="M121" i="6"/>
  <c r="N120" i="6"/>
  <c r="M120" i="6"/>
  <c r="N119" i="6"/>
  <c r="M119" i="6"/>
  <c r="J119" i="6"/>
  <c r="N118" i="6"/>
  <c r="M118" i="6"/>
  <c r="J118" i="6"/>
  <c r="N117" i="6"/>
  <c r="M117" i="6"/>
  <c r="J117" i="6"/>
  <c r="N116" i="6"/>
  <c r="M116" i="6"/>
  <c r="J116" i="6"/>
  <c r="N115" i="6"/>
  <c r="M115" i="6"/>
  <c r="J115" i="6"/>
  <c r="N114" i="6"/>
  <c r="M114" i="6"/>
  <c r="J114" i="6"/>
  <c r="N113" i="6"/>
  <c r="M113" i="6"/>
  <c r="J113" i="6"/>
  <c r="N112" i="6"/>
  <c r="M112" i="6"/>
  <c r="J112" i="6"/>
  <c r="N111" i="6"/>
  <c r="M111" i="6"/>
  <c r="J111" i="6"/>
  <c r="N110" i="6"/>
  <c r="M110" i="6"/>
  <c r="J110" i="6"/>
  <c r="N109" i="6"/>
  <c r="J109" i="6"/>
  <c r="N108" i="6"/>
  <c r="M108" i="6"/>
  <c r="J108" i="6"/>
  <c r="N107" i="6"/>
  <c r="M107" i="6"/>
  <c r="J107" i="6"/>
  <c r="N106" i="6"/>
  <c r="M106" i="6"/>
  <c r="J106" i="6"/>
  <c r="N105" i="6"/>
  <c r="M105" i="6"/>
  <c r="J105" i="6"/>
  <c r="N104" i="6"/>
  <c r="M104" i="6"/>
  <c r="J104" i="6"/>
  <c r="N103" i="6"/>
  <c r="M103" i="6"/>
  <c r="J103" i="6"/>
  <c r="N102" i="6"/>
  <c r="M102" i="6"/>
  <c r="J102" i="6"/>
  <c r="N101" i="6"/>
  <c r="M101" i="6"/>
  <c r="J101" i="6"/>
  <c r="N100" i="6"/>
  <c r="M100" i="6"/>
  <c r="J100" i="6"/>
  <c r="N99" i="6"/>
  <c r="M99" i="6"/>
  <c r="J99" i="6"/>
  <c r="N98" i="6"/>
  <c r="M98" i="6"/>
  <c r="N97" i="6"/>
  <c r="M97" i="6"/>
  <c r="J97" i="6"/>
  <c r="N96" i="6"/>
  <c r="M96" i="6"/>
  <c r="J96" i="6"/>
  <c r="N95" i="6"/>
  <c r="M95" i="6"/>
  <c r="J95" i="6"/>
  <c r="N94" i="6"/>
  <c r="M94" i="6"/>
  <c r="J94" i="6"/>
  <c r="N93" i="6"/>
  <c r="M93" i="6"/>
  <c r="J93" i="6"/>
  <c r="N92" i="6"/>
  <c r="M92" i="6"/>
  <c r="J92" i="6"/>
  <c r="N91" i="6"/>
  <c r="M91" i="6"/>
  <c r="J91" i="6"/>
  <c r="N90" i="6"/>
  <c r="M90" i="6"/>
  <c r="J90" i="6"/>
  <c r="N89" i="6"/>
  <c r="M89" i="6"/>
  <c r="J89" i="6"/>
  <c r="N88" i="6"/>
  <c r="M88" i="6"/>
  <c r="J88" i="6"/>
  <c r="N87" i="6"/>
  <c r="M87" i="6"/>
  <c r="J87" i="6"/>
  <c r="N86" i="6"/>
  <c r="M86" i="6"/>
  <c r="N85" i="6"/>
  <c r="M85" i="6"/>
  <c r="J85" i="6"/>
  <c r="N84" i="6"/>
  <c r="M84" i="6"/>
  <c r="J84" i="6"/>
  <c r="N83" i="6"/>
  <c r="M83" i="6"/>
  <c r="J83" i="6"/>
  <c r="N82" i="6"/>
  <c r="M82" i="6"/>
  <c r="J82" i="6"/>
  <c r="N81" i="6"/>
  <c r="M81" i="6"/>
  <c r="J81" i="6"/>
  <c r="N80" i="6"/>
  <c r="M80" i="6"/>
  <c r="J80" i="6"/>
  <c r="N79" i="6"/>
  <c r="M79" i="6"/>
  <c r="J79" i="6"/>
  <c r="N78" i="6"/>
  <c r="M78" i="6"/>
  <c r="J78" i="6"/>
  <c r="N77" i="6"/>
  <c r="M77" i="6"/>
  <c r="J77" i="6"/>
  <c r="N76" i="6"/>
  <c r="M76" i="6"/>
  <c r="J76" i="6"/>
  <c r="N75" i="6"/>
  <c r="M75" i="6"/>
  <c r="J75" i="6"/>
  <c r="N74" i="6"/>
  <c r="M74" i="6"/>
  <c r="J74" i="6"/>
  <c r="N73" i="6"/>
  <c r="M73" i="6"/>
  <c r="J73" i="6"/>
  <c r="N72" i="6"/>
  <c r="M72" i="6"/>
  <c r="J72" i="6"/>
  <c r="N71" i="6"/>
  <c r="M71" i="6"/>
  <c r="J71" i="6"/>
  <c r="N70" i="6"/>
  <c r="M70" i="6"/>
  <c r="J70" i="6"/>
  <c r="N69" i="6"/>
  <c r="M69" i="6"/>
  <c r="J69" i="6"/>
  <c r="N68" i="6"/>
  <c r="M68" i="6"/>
  <c r="J68" i="6"/>
  <c r="N67" i="6"/>
  <c r="M67" i="6"/>
  <c r="J67" i="6"/>
  <c r="N66" i="6"/>
  <c r="M66" i="6"/>
  <c r="N65" i="6"/>
  <c r="M65" i="6"/>
  <c r="J65" i="6"/>
  <c r="N64" i="6"/>
  <c r="M64" i="6"/>
  <c r="J64" i="6"/>
  <c r="N63" i="6"/>
  <c r="M63" i="6"/>
  <c r="J63" i="6"/>
  <c r="N62" i="6"/>
  <c r="M62" i="6"/>
  <c r="J62" i="6"/>
  <c r="N61" i="6"/>
  <c r="M61" i="6"/>
  <c r="J61" i="6"/>
  <c r="N60" i="6"/>
  <c r="M60" i="6"/>
  <c r="J60" i="6"/>
  <c r="N59" i="6"/>
  <c r="M59" i="6"/>
  <c r="J59" i="6"/>
  <c r="N58" i="6"/>
  <c r="M58" i="6"/>
  <c r="J58" i="6"/>
  <c r="N57" i="6"/>
  <c r="M57" i="6"/>
  <c r="J57" i="6"/>
  <c r="N56" i="6"/>
  <c r="M56" i="6"/>
  <c r="J56" i="6"/>
  <c r="N55" i="6"/>
  <c r="M55" i="6"/>
  <c r="N54" i="6"/>
  <c r="M54" i="6"/>
  <c r="J54" i="6"/>
  <c r="N53" i="6"/>
  <c r="M53" i="6"/>
  <c r="J53" i="6"/>
  <c r="N52" i="6"/>
  <c r="M52" i="6"/>
  <c r="J52" i="6"/>
  <c r="N51" i="6"/>
  <c r="M51" i="6"/>
  <c r="J51" i="6"/>
  <c r="N50" i="6"/>
  <c r="M50" i="6"/>
  <c r="J50" i="6"/>
  <c r="N49" i="6"/>
  <c r="M49" i="6"/>
  <c r="N48" i="6"/>
  <c r="M48" i="6"/>
  <c r="J48" i="6"/>
  <c r="N47" i="6"/>
  <c r="M47" i="6"/>
  <c r="J47" i="6"/>
  <c r="N46" i="6"/>
  <c r="M46" i="6"/>
  <c r="J46" i="6"/>
  <c r="N45" i="6"/>
  <c r="M45" i="6"/>
  <c r="N44" i="6"/>
  <c r="M44" i="6"/>
  <c r="J44" i="6"/>
  <c r="N43" i="6"/>
  <c r="M43" i="6"/>
  <c r="N42" i="6"/>
  <c r="M42" i="6"/>
  <c r="N41" i="6"/>
  <c r="M41" i="6"/>
  <c r="J41" i="6"/>
  <c r="N40" i="6"/>
  <c r="M40" i="6"/>
  <c r="N39" i="6"/>
  <c r="M39" i="6"/>
  <c r="J39" i="6"/>
  <c r="N38" i="6"/>
  <c r="M38" i="6"/>
  <c r="N37" i="6"/>
  <c r="M37" i="6"/>
  <c r="N36" i="6"/>
  <c r="M36" i="6"/>
  <c r="N35" i="6"/>
  <c r="M35" i="6"/>
  <c r="J35" i="6"/>
  <c r="N34" i="6"/>
  <c r="M34" i="6"/>
  <c r="J34" i="6"/>
  <c r="N33" i="6"/>
  <c r="M33" i="6"/>
  <c r="J33" i="6"/>
  <c r="N32" i="6"/>
  <c r="M32" i="6"/>
  <c r="N31" i="6"/>
  <c r="M31" i="6"/>
  <c r="J31" i="6"/>
  <c r="N30" i="6"/>
  <c r="M30" i="6"/>
  <c r="N29" i="6"/>
  <c r="M29" i="6"/>
  <c r="N28" i="6"/>
  <c r="M28" i="6"/>
  <c r="J28" i="6"/>
  <c r="N27" i="6"/>
  <c r="M27" i="6"/>
  <c r="N26" i="6"/>
  <c r="M26" i="6"/>
  <c r="K25" i="6"/>
  <c r="H25" i="6"/>
  <c r="E25" i="6"/>
  <c r="S24" i="6"/>
  <c r="K24" i="6"/>
  <c r="H24" i="6"/>
  <c r="E24" i="6"/>
  <c r="Z19" i="6"/>
  <c r="Z24" i="6" s="1"/>
  <c r="U18" i="6"/>
  <c r="S11" i="6"/>
  <c r="S10" i="6"/>
  <c r="S9" i="6"/>
  <c r="S8" i="6"/>
  <c r="S7" i="6"/>
  <c r="S6" i="6"/>
  <c r="S5" i="6"/>
  <c r="S4" i="6"/>
  <c r="N24" i="6" l="1"/>
  <c r="E19" i="6"/>
  <c r="N25" i="6"/>
  <c r="O189" i="6"/>
  <c r="P189" i="6" s="1"/>
  <c r="Q189" i="6" s="1"/>
  <c r="R189" i="6" s="1"/>
  <c r="O229" i="6"/>
  <c r="O199" i="6"/>
  <c r="O45" i="6"/>
  <c r="P45" i="6" s="1"/>
  <c r="Q45" i="6" s="1"/>
  <c r="R45" i="6" s="1"/>
  <c r="O49" i="6"/>
  <c r="P49" i="6" s="1"/>
  <c r="Q49" i="6" s="1"/>
  <c r="R49" i="6" s="1"/>
  <c r="O120" i="6"/>
  <c r="O237" i="6"/>
  <c r="P229" i="6"/>
  <c r="J229" i="6"/>
  <c r="O134" i="6"/>
  <c r="P134" i="6" s="1"/>
  <c r="O144" i="6"/>
  <c r="O145" i="6"/>
  <c r="O241" i="6"/>
  <c r="P241" i="6" s="1"/>
  <c r="Q241" i="6" s="1"/>
  <c r="R241" i="6" s="1"/>
  <c r="O36" i="6"/>
  <c r="P36" i="6" s="1"/>
  <c r="Q36" i="6" s="1"/>
  <c r="R36" i="6" s="1"/>
  <c r="O55" i="6"/>
  <c r="O66" i="6"/>
  <c r="P66" i="6" s="1"/>
  <c r="Q66" i="6" s="1"/>
  <c r="R66" i="6" s="1"/>
  <c r="O98" i="6"/>
  <c r="P98" i="6" s="1"/>
  <c r="Q98" i="6" s="1"/>
  <c r="R98" i="6" s="1"/>
  <c r="O113" i="6"/>
  <c r="P113" i="6" s="1"/>
  <c r="Q113" i="6" s="1"/>
  <c r="R113" i="6" s="1"/>
  <c r="O115" i="6"/>
  <c r="O211" i="6"/>
  <c r="P211" i="6" s="1"/>
  <c r="Q211" i="6" s="1"/>
  <c r="R211" i="6" s="1"/>
  <c r="J241" i="6"/>
  <c r="O30" i="6"/>
  <c r="O32" i="6"/>
  <c r="P32" i="6" s="1"/>
  <c r="Q32" i="6" s="1"/>
  <c r="R32" i="6" s="1"/>
  <c r="O38" i="6"/>
  <c r="O42" i="6"/>
  <c r="P42" i="6" s="1"/>
  <c r="Q42" i="6" s="1"/>
  <c r="R42" i="6" s="1"/>
  <c r="O86" i="6"/>
  <c r="O125" i="6"/>
  <c r="P125" i="6" s="1"/>
  <c r="Q125" i="6" s="1"/>
  <c r="R125" i="6" s="1"/>
  <c r="O149" i="6"/>
  <c r="O180" i="6"/>
  <c r="P180" i="6" s="1"/>
  <c r="Q180" i="6" s="1"/>
  <c r="R180" i="6" s="1"/>
  <c r="O27" i="6"/>
  <c r="O40" i="6"/>
  <c r="P40" i="6" s="1"/>
  <c r="Q40" i="6" s="1"/>
  <c r="R40" i="6" s="1"/>
  <c r="O122" i="6"/>
  <c r="P122" i="6" s="1"/>
  <c r="Q122" i="6" s="1"/>
  <c r="R122" i="6" s="1"/>
  <c r="O146" i="6"/>
  <c r="P146" i="6" s="1"/>
  <c r="Q146" i="6" s="1"/>
  <c r="R146" i="6" s="1"/>
  <c r="O200" i="6"/>
  <c r="P200" i="6" s="1"/>
  <c r="O217" i="6"/>
  <c r="P217" i="6" s="1"/>
  <c r="Q217" i="6" s="1"/>
  <c r="R217" i="6" s="1"/>
  <c r="O181" i="6"/>
  <c r="P181" i="6" s="1"/>
  <c r="O196" i="6"/>
  <c r="P196" i="6" s="1"/>
  <c r="Q196" i="6" s="1"/>
  <c r="R196" i="6" s="1"/>
  <c r="O205" i="6"/>
  <c r="P205" i="6" s="1"/>
  <c r="O233" i="6"/>
  <c r="P233" i="6" s="1"/>
  <c r="J42" i="6"/>
  <c r="J45" i="6"/>
  <c r="P55" i="6"/>
  <c r="Q55" i="6" s="1"/>
  <c r="R55" i="6" s="1"/>
  <c r="P86" i="6"/>
  <c r="Q86" i="6" s="1"/>
  <c r="R86" i="6" s="1"/>
  <c r="P120" i="6"/>
  <c r="J122" i="6"/>
  <c r="O132" i="6"/>
  <c r="P132" i="6" s="1"/>
  <c r="Q132" i="6" s="1"/>
  <c r="R132" i="6" s="1"/>
  <c r="J134" i="6"/>
  <c r="O140" i="6"/>
  <c r="O142" i="6"/>
  <c r="P142" i="6" s="1"/>
  <c r="Q142" i="6" s="1"/>
  <c r="R142" i="6" s="1"/>
  <c r="J144" i="6"/>
  <c r="P145" i="6"/>
  <c r="J146" i="6"/>
  <c r="O168" i="6"/>
  <c r="P168" i="6" s="1"/>
  <c r="Q168" i="6" s="1"/>
  <c r="R168" i="6" s="1"/>
  <c r="O176" i="6"/>
  <c r="J189" i="6"/>
  <c r="O192" i="6"/>
  <c r="P192" i="6" s="1"/>
  <c r="O195" i="6"/>
  <c r="P195" i="6" s="1"/>
  <c r="J196" i="6"/>
  <c r="O201" i="6"/>
  <c r="P201" i="6" s="1"/>
  <c r="Q201" i="6" s="1"/>
  <c r="R201" i="6" s="1"/>
  <c r="O204" i="6"/>
  <c r="P204" i="6" s="1"/>
  <c r="Q204" i="6" s="1"/>
  <c r="R204" i="6" s="1"/>
  <c r="O207" i="6"/>
  <c r="P207" i="6" s="1"/>
  <c r="O209" i="6"/>
  <c r="P209" i="6" s="1"/>
  <c r="O213" i="6"/>
  <c r="P213" i="6" s="1"/>
  <c r="Q213" i="6" s="1"/>
  <c r="R213" i="6" s="1"/>
  <c r="O216" i="6"/>
  <c r="P216" i="6" s="1"/>
  <c r="Q216" i="6" s="1"/>
  <c r="R216" i="6" s="1"/>
  <c r="J217" i="6"/>
  <c r="O221" i="6"/>
  <c r="P221" i="6" s="1"/>
  <c r="J233" i="6"/>
  <c r="O243" i="6"/>
  <c r="O245" i="6"/>
  <c r="P245" i="6" s="1"/>
  <c r="Q245" i="6" s="1"/>
  <c r="R245" i="6" s="1"/>
  <c r="P115" i="6"/>
  <c r="Q115" i="6" s="1"/>
  <c r="R115" i="6" s="1"/>
  <c r="P30" i="6"/>
  <c r="Q30" i="6" s="1"/>
  <c r="R30" i="6" s="1"/>
  <c r="P38" i="6"/>
  <c r="Q38" i="6" s="1"/>
  <c r="R38" i="6" s="1"/>
  <c r="O41" i="6"/>
  <c r="P41" i="6" s="1"/>
  <c r="Q41" i="6" s="1"/>
  <c r="R41" i="6" s="1"/>
  <c r="O43" i="6"/>
  <c r="P43" i="6" s="1"/>
  <c r="Q43" i="6" s="1"/>
  <c r="R43" i="6" s="1"/>
  <c r="J49" i="6"/>
  <c r="O53" i="6"/>
  <c r="P53" i="6" s="1"/>
  <c r="Q53" i="6" s="1"/>
  <c r="R53" i="6" s="1"/>
  <c r="J55" i="6"/>
  <c r="O56" i="6"/>
  <c r="P56" i="6" s="1"/>
  <c r="Q56" i="6" s="1"/>
  <c r="R56" i="6" s="1"/>
  <c r="O107" i="6"/>
  <c r="P107" i="6" s="1"/>
  <c r="Q107" i="6" s="1"/>
  <c r="R107" i="6" s="1"/>
  <c r="O118" i="6"/>
  <c r="P118" i="6" s="1"/>
  <c r="Q118" i="6" s="1"/>
  <c r="R118" i="6" s="1"/>
  <c r="J120" i="6"/>
  <c r="O128" i="6"/>
  <c r="P128" i="6" s="1"/>
  <c r="Q128" i="6" s="1"/>
  <c r="R128" i="6" s="1"/>
  <c r="O130" i="6"/>
  <c r="P130" i="6" s="1"/>
  <c r="Q130" i="6" s="1"/>
  <c r="R130" i="6" s="1"/>
  <c r="J132" i="6"/>
  <c r="O138" i="6"/>
  <c r="P138" i="6" s="1"/>
  <c r="Q138" i="6" s="1"/>
  <c r="R138" i="6" s="1"/>
  <c r="J140" i="6"/>
  <c r="O141" i="6"/>
  <c r="P141" i="6" s="1"/>
  <c r="J142" i="6"/>
  <c r="O161" i="6"/>
  <c r="P161" i="6" s="1"/>
  <c r="Q161" i="6" s="1"/>
  <c r="R161" i="6" s="1"/>
  <c r="O183" i="6"/>
  <c r="P183" i="6" s="1"/>
  <c r="Q183" i="6" s="1"/>
  <c r="R183" i="6" s="1"/>
  <c r="O188" i="6"/>
  <c r="P188" i="6" s="1"/>
  <c r="O191" i="6"/>
  <c r="P191" i="6" s="1"/>
  <c r="Q191" i="6" s="1"/>
  <c r="R191" i="6" s="1"/>
  <c r="J192" i="6"/>
  <c r="J201" i="6"/>
  <c r="J204" i="6"/>
  <c r="O212" i="6"/>
  <c r="P212" i="6" s="1"/>
  <c r="Q212" i="6" s="1"/>
  <c r="R212" i="6" s="1"/>
  <c r="J213" i="6"/>
  <c r="J221" i="6"/>
  <c r="O225" i="6"/>
  <c r="P225" i="6" s="1"/>
  <c r="Q134" i="6"/>
  <c r="R134" i="6" s="1"/>
  <c r="P149" i="6"/>
  <c r="Q149" i="6" s="1"/>
  <c r="R149" i="6" s="1"/>
  <c r="P199" i="6"/>
  <c r="Q199" i="6" s="1"/>
  <c r="R199" i="6" s="1"/>
  <c r="P237" i="6"/>
  <c r="O29" i="6"/>
  <c r="P29" i="6" s="1"/>
  <c r="Q29" i="6" s="1"/>
  <c r="R29" i="6" s="1"/>
  <c r="O37" i="6"/>
  <c r="P37" i="6" s="1"/>
  <c r="Q37" i="6" s="1"/>
  <c r="R37" i="6" s="1"/>
  <c r="O112" i="6"/>
  <c r="P112" i="6" s="1"/>
  <c r="Q112" i="6" s="1"/>
  <c r="R112" i="6" s="1"/>
  <c r="O114" i="6"/>
  <c r="O116" i="6"/>
  <c r="P116" i="6" s="1"/>
  <c r="Q116" i="6" s="1"/>
  <c r="R116" i="6" s="1"/>
  <c r="O124" i="6"/>
  <c r="O126" i="6"/>
  <c r="P126" i="6" s="1"/>
  <c r="Q126" i="6" s="1"/>
  <c r="R126" i="6" s="1"/>
  <c r="O129" i="6"/>
  <c r="P129" i="6" s="1"/>
  <c r="O136" i="6"/>
  <c r="P136" i="6" s="1"/>
  <c r="Q136" i="6" s="1"/>
  <c r="R136" i="6" s="1"/>
  <c r="O148" i="6"/>
  <c r="P148" i="6" s="1"/>
  <c r="Q148" i="6" s="1"/>
  <c r="R148" i="6" s="1"/>
  <c r="O150" i="6"/>
  <c r="P150" i="6" s="1"/>
  <c r="Q150" i="6" s="1"/>
  <c r="R150" i="6" s="1"/>
  <c r="O164" i="6"/>
  <c r="O172" i="6"/>
  <c r="P172" i="6" s="1"/>
  <c r="Q172" i="6" s="1"/>
  <c r="R172" i="6" s="1"/>
  <c r="O177" i="6"/>
  <c r="P177" i="6" s="1"/>
  <c r="Q177" i="6" s="1"/>
  <c r="R177" i="6" s="1"/>
  <c r="Q181" i="6"/>
  <c r="R181" i="6" s="1"/>
  <c r="O208" i="6"/>
  <c r="P208" i="6" s="1"/>
  <c r="O215" i="6"/>
  <c r="P215" i="6" s="1"/>
  <c r="Q215" i="6" s="1"/>
  <c r="R215" i="6" s="1"/>
  <c r="O239" i="6"/>
  <c r="O44" i="6"/>
  <c r="P44" i="6" s="1"/>
  <c r="Q44" i="6" s="1"/>
  <c r="R44" i="6" s="1"/>
  <c r="O48" i="6"/>
  <c r="P48" i="6" s="1"/>
  <c r="Q48" i="6" s="1"/>
  <c r="R48" i="6" s="1"/>
  <c r="O74" i="6"/>
  <c r="P74" i="6" s="1"/>
  <c r="Q74" i="6" s="1"/>
  <c r="R74" i="6" s="1"/>
  <c r="O78" i="6"/>
  <c r="P78" i="6" s="1"/>
  <c r="Q78" i="6" s="1"/>
  <c r="R78" i="6" s="1"/>
  <c r="O90" i="6"/>
  <c r="P90" i="6" s="1"/>
  <c r="Q90" i="6" s="1"/>
  <c r="R90" i="6" s="1"/>
  <c r="O106" i="6"/>
  <c r="P106" i="6" s="1"/>
  <c r="Q106" i="6" s="1"/>
  <c r="R106" i="6" s="1"/>
  <c r="J27" i="6"/>
  <c r="J29" i="6"/>
  <c r="J30" i="6"/>
  <c r="J32" i="6"/>
  <c r="O33" i="6"/>
  <c r="P33" i="6" s="1"/>
  <c r="Q33" i="6" s="1"/>
  <c r="R33" i="6" s="1"/>
  <c r="J36" i="6"/>
  <c r="J37" i="6"/>
  <c r="J38" i="6"/>
  <c r="O39" i="6"/>
  <c r="P39" i="6" s="1"/>
  <c r="Q39" i="6" s="1"/>
  <c r="R39" i="6" s="1"/>
  <c r="J98" i="6"/>
  <c r="J169" i="6"/>
  <c r="O169" i="6"/>
  <c r="P169" i="6" s="1"/>
  <c r="Q169" i="6" s="1"/>
  <c r="R169" i="6" s="1"/>
  <c r="O52" i="6"/>
  <c r="P52" i="6" s="1"/>
  <c r="Q52" i="6" s="1"/>
  <c r="R52" i="6" s="1"/>
  <c r="O54" i="6"/>
  <c r="P54" i="6" s="1"/>
  <c r="Q54" i="6" s="1"/>
  <c r="R54" i="6" s="1"/>
  <c r="O62" i="6"/>
  <c r="P62" i="6" s="1"/>
  <c r="Q62" i="6" s="1"/>
  <c r="R62" i="6" s="1"/>
  <c r="O70" i="6"/>
  <c r="P70" i="6" s="1"/>
  <c r="Q70" i="6" s="1"/>
  <c r="R70" i="6" s="1"/>
  <c r="O82" i="6"/>
  <c r="P82" i="6" s="1"/>
  <c r="Q82" i="6" s="1"/>
  <c r="R82" i="6" s="1"/>
  <c r="O102" i="6"/>
  <c r="P102" i="6" s="1"/>
  <c r="Q102" i="6" s="1"/>
  <c r="R102" i="6" s="1"/>
  <c r="J26" i="6"/>
  <c r="O28" i="6"/>
  <c r="P28" i="6" s="1"/>
  <c r="O31" i="6"/>
  <c r="P31" i="6" s="1"/>
  <c r="Q31" i="6" s="1"/>
  <c r="R31" i="6" s="1"/>
  <c r="O34" i="6"/>
  <c r="P34" i="6" s="1"/>
  <c r="Q34" i="6" s="1"/>
  <c r="R34" i="6" s="1"/>
  <c r="O35" i="6"/>
  <c r="P35" i="6" s="1"/>
  <c r="Q35" i="6" s="1"/>
  <c r="R35" i="6" s="1"/>
  <c r="O47" i="6"/>
  <c r="P47" i="6" s="1"/>
  <c r="Q47" i="6" s="1"/>
  <c r="R47" i="6" s="1"/>
  <c r="O51" i="6"/>
  <c r="P51" i="6" s="1"/>
  <c r="Q51" i="6" s="1"/>
  <c r="R51" i="6" s="1"/>
  <c r="O57" i="6"/>
  <c r="P57" i="6" s="1"/>
  <c r="Q57" i="6" s="1"/>
  <c r="R57" i="6" s="1"/>
  <c r="J66" i="6"/>
  <c r="J86" i="6"/>
  <c r="J43" i="6"/>
  <c r="O46" i="6"/>
  <c r="P46" i="6" s="1"/>
  <c r="Q46" i="6" s="1"/>
  <c r="R46" i="6" s="1"/>
  <c r="O50" i="6"/>
  <c r="P50" i="6" s="1"/>
  <c r="Q50" i="6" s="1"/>
  <c r="R50" i="6" s="1"/>
  <c r="O58" i="6"/>
  <c r="P58" i="6" s="1"/>
  <c r="Q58" i="6" s="1"/>
  <c r="R58" i="6" s="1"/>
  <c r="O61" i="6"/>
  <c r="P61" i="6" s="1"/>
  <c r="Q61" i="6" s="1"/>
  <c r="R61" i="6" s="1"/>
  <c r="O65" i="6"/>
  <c r="P65" i="6" s="1"/>
  <c r="Q65" i="6" s="1"/>
  <c r="R65" i="6" s="1"/>
  <c r="O69" i="6"/>
  <c r="P69" i="6" s="1"/>
  <c r="Q69" i="6" s="1"/>
  <c r="R69" i="6" s="1"/>
  <c r="O73" i="6"/>
  <c r="P73" i="6" s="1"/>
  <c r="Q73" i="6" s="1"/>
  <c r="R73" i="6" s="1"/>
  <c r="O77" i="6"/>
  <c r="P77" i="6" s="1"/>
  <c r="Q77" i="6" s="1"/>
  <c r="R77" i="6" s="1"/>
  <c r="O81" i="6"/>
  <c r="P81" i="6" s="1"/>
  <c r="Q81" i="6" s="1"/>
  <c r="R81" i="6" s="1"/>
  <c r="O85" i="6"/>
  <c r="P85" i="6" s="1"/>
  <c r="Q85" i="6" s="1"/>
  <c r="R85" i="6" s="1"/>
  <c r="O89" i="6"/>
  <c r="P89" i="6" s="1"/>
  <c r="Q89" i="6" s="1"/>
  <c r="R89" i="6" s="1"/>
  <c r="O93" i="6"/>
  <c r="P93" i="6" s="1"/>
  <c r="Q93" i="6" s="1"/>
  <c r="R93" i="6" s="1"/>
  <c r="O97" i="6"/>
  <c r="P97" i="6" s="1"/>
  <c r="Q97" i="6" s="1"/>
  <c r="R97" i="6" s="1"/>
  <c r="O101" i="6"/>
  <c r="P101" i="6" s="1"/>
  <c r="Q101" i="6" s="1"/>
  <c r="R101" i="6" s="1"/>
  <c r="O105" i="6"/>
  <c r="P105" i="6" s="1"/>
  <c r="Q105" i="6" s="1"/>
  <c r="R105" i="6" s="1"/>
  <c r="Q120" i="6"/>
  <c r="R120" i="6" s="1"/>
  <c r="J121" i="6"/>
  <c r="O121" i="6"/>
  <c r="P121" i="6" s="1"/>
  <c r="Q121" i="6" s="1"/>
  <c r="R121" i="6" s="1"/>
  <c r="O133" i="6"/>
  <c r="P133" i="6" s="1"/>
  <c r="Q133" i="6" s="1"/>
  <c r="R133" i="6" s="1"/>
  <c r="Q145" i="6"/>
  <c r="R145" i="6" s="1"/>
  <c r="Q200" i="6"/>
  <c r="R200" i="6" s="1"/>
  <c r="O94" i="6"/>
  <c r="P94" i="6" s="1"/>
  <c r="Q94" i="6" s="1"/>
  <c r="R94" i="6" s="1"/>
  <c r="O26" i="6"/>
  <c r="J40" i="6"/>
  <c r="M109" i="6"/>
  <c r="M24" i="6" s="1"/>
  <c r="O109" i="6"/>
  <c r="P109" i="6" s="1"/>
  <c r="Q109" i="6" s="1"/>
  <c r="R109" i="6" s="1"/>
  <c r="P114" i="6"/>
  <c r="Q114" i="6" s="1"/>
  <c r="R114" i="6" s="1"/>
  <c r="J137" i="6"/>
  <c r="O137" i="6"/>
  <c r="P137" i="6" s="1"/>
  <c r="Q137" i="6" s="1"/>
  <c r="R137" i="6" s="1"/>
  <c r="O59" i="6"/>
  <c r="P59" i="6" s="1"/>
  <c r="Q59" i="6" s="1"/>
  <c r="R59" i="6" s="1"/>
  <c r="O63" i="6"/>
  <c r="P63" i="6" s="1"/>
  <c r="Q63" i="6" s="1"/>
  <c r="R63" i="6" s="1"/>
  <c r="O67" i="6"/>
  <c r="P67" i="6" s="1"/>
  <c r="Q67" i="6" s="1"/>
  <c r="R67" i="6" s="1"/>
  <c r="O71" i="6"/>
  <c r="P71" i="6" s="1"/>
  <c r="Q71" i="6" s="1"/>
  <c r="R71" i="6" s="1"/>
  <c r="O75" i="6"/>
  <c r="P75" i="6" s="1"/>
  <c r="Q75" i="6" s="1"/>
  <c r="R75" i="6" s="1"/>
  <c r="O79" i="6"/>
  <c r="P79" i="6" s="1"/>
  <c r="Q79" i="6" s="1"/>
  <c r="R79" i="6" s="1"/>
  <c r="O83" i="6"/>
  <c r="P83" i="6" s="1"/>
  <c r="Q83" i="6" s="1"/>
  <c r="R83" i="6" s="1"/>
  <c r="O87" i="6"/>
  <c r="P87" i="6" s="1"/>
  <c r="Q87" i="6" s="1"/>
  <c r="R87" i="6" s="1"/>
  <c r="O91" i="6"/>
  <c r="P91" i="6" s="1"/>
  <c r="Q91" i="6" s="1"/>
  <c r="R91" i="6" s="1"/>
  <c r="O95" i="6"/>
  <c r="P95" i="6" s="1"/>
  <c r="Q95" i="6" s="1"/>
  <c r="R95" i="6" s="1"/>
  <c r="O99" i="6"/>
  <c r="P99" i="6" s="1"/>
  <c r="Q99" i="6" s="1"/>
  <c r="R99" i="6" s="1"/>
  <c r="O103" i="6"/>
  <c r="P103" i="6" s="1"/>
  <c r="Q103" i="6" s="1"/>
  <c r="R103" i="6" s="1"/>
  <c r="O111" i="6"/>
  <c r="P111" i="6" s="1"/>
  <c r="Q111" i="6" s="1"/>
  <c r="R111" i="6" s="1"/>
  <c r="O117" i="6"/>
  <c r="P117" i="6" s="1"/>
  <c r="Q117" i="6" s="1"/>
  <c r="R117" i="6" s="1"/>
  <c r="Q129" i="6"/>
  <c r="R129" i="6" s="1"/>
  <c r="O165" i="6"/>
  <c r="P165" i="6" s="1"/>
  <c r="Q165" i="6" s="1"/>
  <c r="R165" i="6" s="1"/>
  <c r="J187" i="6"/>
  <c r="O187" i="6"/>
  <c r="P187" i="6" s="1"/>
  <c r="Q187" i="6" s="1"/>
  <c r="R187" i="6" s="1"/>
  <c r="O60" i="6"/>
  <c r="P60" i="6" s="1"/>
  <c r="Q60" i="6" s="1"/>
  <c r="R60" i="6" s="1"/>
  <c r="O64" i="6"/>
  <c r="P64" i="6" s="1"/>
  <c r="Q64" i="6" s="1"/>
  <c r="R64" i="6" s="1"/>
  <c r="O68" i="6"/>
  <c r="P68" i="6" s="1"/>
  <c r="Q68" i="6" s="1"/>
  <c r="R68" i="6" s="1"/>
  <c r="O72" i="6"/>
  <c r="P72" i="6" s="1"/>
  <c r="Q72" i="6" s="1"/>
  <c r="R72" i="6" s="1"/>
  <c r="O76" i="6"/>
  <c r="P76" i="6" s="1"/>
  <c r="Q76" i="6" s="1"/>
  <c r="R76" i="6" s="1"/>
  <c r="O80" i="6"/>
  <c r="P80" i="6" s="1"/>
  <c r="Q80" i="6" s="1"/>
  <c r="R80" i="6" s="1"/>
  <c r="O84" i="6"/>
  <c r="P84" i="6" s="1"/>
  <c r="Q84" i="6" s="1"/>
  <c r="R84" i="6" s="1"/>
  <c r="O88" i="6"/>
  <c r="P88" i="6" s="1"/>
  <c r="Q88" i="6" s="1"/>
  <c r="R88" i="6" s="1"/>
  <c r="O92" i="6"/>
  <c r="P92" i="6" s="1"/>
  <c r="Q92" i="6" s="1"/>
  <c r="R92" i="6" s="1"/>
  <c r="O96" i="6"/>
  <c r="P96" i="6" s="1"/>
  <c r="Q96" i="6" s="1"/>
  <c r="R96" i="6" s="1"/>
  <c r="O100" i="6"/>
  <c r="P100" i="6" s="1"/>
  <c r="Q100" i="6" s="1"/>
  <c r="R100" i="6" s="1"/>
  <c r="O104" i="6"/>
  <c r="P104" i="6" s="1"/>
  <c r="Q104" i="6" s="1"/>
  <c r="R104" i="6" s="1"/>
  <c r="O108" i="6"/>
  <c r="P108" i="6" s="1"/>
  <c r="Q108" i="6" s="1"/>
  <c r="R108" i="6" s="1"/>
  <c r="O110" i="6"/>
  <c r="P110" i="6" s="1"/>
  <c r="Q110" i="6" s="1"/>
  <c r="R110" i="6" s="1"/>
  <c r="Q141" i="6"/>
  <c r="R141" i="6" s="1"/>
  <c r="P144" i="6"/>
  <c r="Q144" i="6" s="1"/>
  <c r="R144" i="6" s="1"/>
  <c r="O173" i="6"/>
  <c r="P173" i="6" s="1"/>
  <c r="Q173" i="6" s="1"/>
  <c r="R173" i="6" s="1"/>
  <c r="P124" i="6"/>
  <c r="Q124" i="6" s="1"/>
  <c r="R124" i="6" s="1"/>
  <c r="P140" i="6"/>
  <c r="Q140" i="6" s="1"/>
  <c r="R140" i="6" s="1"/>
  <c r="O182" i="6"/>
  <c r="P182" i="6" s="1"/>
  <c r="Q182" i="6" s="1"/>
  <c r="R182" i="6" s="1"/>
  <c r="J186" i="6"/>
  <c r="O186" i="6"/>
  <c r="P186" i="6" s="1"/>
  <c r="Q186" i="6" s="1"/>
  <c r="R186" i="6" s="1"/>
  <c r="Q192" i="6"/>
  <c r="R192" i="6" s="1"/>
  <c r="J232" i="6"/>
  <c r="O232" i="6"/>
  <c r="P232" i="6" s="1"/>
  <c r="Q232" i="6" s="1"/>
  <c r="R232" i="6" s="1"/>
  <c r="O119" i="6"/>
  <c r="P119" i="6" s="1"/>
  <c r="Q119" i="6" s="1"/>
  <c r="R119" i="6" s="1"/>
  <c r="O123" i="6"/>
  <c r="P123" i="6" s="1"/>
  <c r="Q123" i="6" s="1"/>
  <c r="R123" i="6" s="1"/>
  <c r="O127" i="6"/>
  <c r="P127" i="6" s="1"/>
  <c r="Q127" i="6" s="1"/>
  <c r="R127" i="6" s="1"/>
  <c r="O131" i="6"/>
  <c r="P131" i="6" s="1"/>
  <c r="Q131" i="6" s="1"/>
  <c r="R131" i="6" s="1"/>
  <c r="O135" i="6"/>
  <c r="P135" i="6" s="1"/>
  <c r="Q135" i="6" s="1"/>
  <c r="R135" i="6" s="1"/>
  <c r="O139" i="6"/>
  <c r="P139" i="6" s="1"/>
  <c r="Q139" i="6" s="1"/>
  <c r="R139" i="6" s="1"/>
  <c r="O143" i="6"/>
  <c r="P143" i="6" s="1"/>
  <c r="Q143" i="6" s="1"/>
  <c r="R143" i="6" s="1"/>
  <c r="O147" i="6"/>
  <c r="P147" i="6" s="1"/>
  <c r="Q147" i="6" s="1"/>
  <c r="R147" i="6" s="1"/>
  <c r="O151" i="6"/>
  <c r="P151" i="6" s="1"/>
  <c r="Q151" i="6" s="1"/>
  <c r="R151" i="6" s="1"/>
  <c r="O152" i="6"/>
  <c r="P152" i="6" s="1"/>
  <c r="Q152" i="6" s="1"/>
  <c r="R152" i="6" s="1"/>
  <c r="O153" i="6"/>
  <c r="P153" i="6" s="1"/>
  <c r="Q153" i="6" s="1"/>
  <c r="R153" i="6" s="1"/>
  <c r="O154" i="6"/>
  <c r="P154" i="6" s="1"/>
  <c r="Q154" i="6" s="1"/>
  <c r="R154" i="6" s="1"/>
  <c r="O155" i="6"/>
  <c r="P155" i="6" s="1"/>
  <c r="Q155" i="6" s="1"/>
  <c r="R155" i="6" s="1"/>
  <c r="O156" i="6"/>
  <c r="P156" i="6" s="1"/>
  <c r="Q156" i="6" s="1"/>
  <c r="R156" i="6" s="1"/>
  <c r="O157" i="6"/>
  <c r="P157" i="6" s="1"/>
  <c r="Q157" i="6" s="1"/>
  <c r="R157" i="6" s="1"/>
  <c r="O158" i="6"/>
  <c r="P158" i="6" s="1"/>
  <c r="Q158" i="6" s="1"/>
  <c r="R158" i="6" s="1"/>
  <c r="O159" i="6"/>
  <c r="P159" i="6" s="1"/>
  <c r="Q159" i="6" s="1"/>
  <c r="R159" i="6" s="1"/>
  <c r="O160" i="6"/>
  <c r="P160" i="6" s="1"/>
  <c r="Q160" i="6" s="1"/>
  <c r="R160" i="6" s="1"/>
  <c r="P164" i="6"/>
  <c r="Q164" i="6" s="1"/>
  <c r="R164" i="6" s="1"/>
  <c r="P176" i="6"/>
  <c r="Q176" i="6" s="1"/>
  <c r="R176" i="6" s="1"/>
  <c r="Q188" i="6"/>
  <c r="R188" i="6" s="1"/>
  <c r="J203" i="6"/>
  <c r="O203" i="6"/>
  <c r="P203" i="6" s="1"/>
  <c r="Q203" i="6" s="1"/>
  <c r="R203" i="6" s="1"/>
  <c r="J210" i="6"/>
  <c r="O210" i="6"/>
  <c r="P210" i="6" s="1"/>
  <c r="Q210" i="6" s="1"/>
  <c r="R210" i="6" s="1"/>
  <c r="O252" i="6"/>
  <c r="P252" i="6" s="1"/>
  <c r="Q252" i="6" s="1"/>
  <c r="R252" i="6" s="1"/>
  <c r="J252" i="6"/>
  <c r="O162" i="6"/>
  <c r="P162" i="6" s="1"/>
  <c r="Q162" i="6" s="1"/>
  <c r="R162" i="6" s="1"/>
  <c r="O166" i="6"/>
  <c r="P166" i="6" s="1"/>
  <c r="Q166" i="6" s="1"/>
  <c r="R166" i="6" s="1"/>
  <c r="O170" i="6"/>
  <c r="P170" i="6" s="1"/>
  <c r="Q170" i="6" s="1"/>
  <c r="R170" i="6" s="1"/>
  <c r="O174" i="6"/>
  <c r="P174" i="6" s="1"/>
  <c r="Q174" i="6" s="1"/>
  <c r="R174" i="6" s="1"/>
  <c r="O178" i="6"/>
  <c r="P178" i="6" s="1"/>
  <c r="Q178" i="6" s="1"/>
  <c r="R178" i="6" s="1"/>
  <c r="Q195" i="6"/>
  <c r="R195" i="6" s="1"/>
  <c r="Q205" i="6"/>
  <c r="R205" i="6" s="1"/>
  <c r="Q209" i="6"/>
  <c r="R209" i="6" s="1"/>
  <c r="Q237" i="6"/>
  <c r="R237" i="6" s="1"/>
  <c r="Q208" i="6"/>
  <c r="R208" i="6" s="1"/>
  <c r="J224" i="6"/>
  <c r="O224" i="6"/>
  <c r="P224" i="6" s="1"/>
  <c r="Q224" i="6" s="1"/>
  <c r="R224" i="6" s="1"/>
  <c r="O163" i="6"/>
  <c r="P163" i="6" s="1"/>
  <c r="Q163" i="6" s="1"/>
  <c r="R163" i="6" s="1"/>
  <c r="O167" i="6"/>
  <c r="P167" i="6" s="1"/>
  <c r="Q167" i="6" s="1"/>
  <c r="R167" i="6" s="1"/>
  <c r="O171" i="6"/>
  <c r="P171" i="6" s="1"/>
  <c r="Q171" i="6" s="1"/>
  <c r="R171" i="6" s="1"/>
  <c r="O175" i="6"/>
  <c r="P175" i="6" s="1"/>
  <c r="Q175" i="6" s="1"/>
  <c r="R175" i="6" s="1"/>
  <c r="O179" i="6"/>
  <c r="P179" i="6" s="1"/>
  <c r="Q179" i="6" s="1"/>
  <c r="R179" i="6" s="1"/>
  <c r="O185" i="6"/>
  <c r="P185" i="6" s="1"/>
  <c r="Q185" i="6" s="1"/>
  <c r="R185" i="6" s="1"/>
  <c r="O197" i="6"/>
  <c r="P197" i="6" s="1"/>
  <c r="Q197" i="6" s="1"/>
  <c r="R197" i="6" s="1"/>
  <c r="Q207" i="6"/>
  <c r="R207" i="6" s="1"/>
  <c r="Q229" i="6"/>
  <c r="R229" i="6" s="1"/>
  <c r="Q233" i="6"/>
  <c r="R233" i="6" s="1"/>
  <c r="O184" i="6"/>
  <c r="P184" i="6" s="1"/>
  <c r="Q184" i="6" s="1"/>
  <c r="R184" i="6" s="1"/>
  <c r="O193" i="6"/>
  <c r="P193" i="6" s="1"/>
  <c r="Q193" i="6" s="1"/>
  <c r="R193" i="6" s="1"/>
  <c r="Q221" i="6"/>
  <c r="R221" i="6" s="1"/>
  <c r="Q225" i="6"/>
  <c r="R225" i="6" s="1"/>
  <c r="O190" i="6"/>
  <c r="P190" i="6" s="1"/>
  <c r="Q190" i="6" s="1"/>
  <c r="R190" i="6" s="1"/>
  <c r="O194" i="6"/>
  <c r="P194" i="6" s="1"/>
  <c r="Q194" i="6" s="1"/>
  <c r="R194" i="6" s="1"/>
  <c r="O198" i="6"/>
  <c r="P198" i="6" s="1"/>
  <c r="Q198" i="6" s="1"/>
  <c r="R198" i="6" s="1"/>
  <c r="O202" i="6"/>
  <c r="P202" i="6" s="1"/>
  <c r="Q202" i="6" s="1"/>
  <c r="R202" i="6" s="1"/>
  <c r="O206" i="6"/>
  <c r="P206" i="6" s="1"/>
  <c r="Q206" i="6" s="1"/>
  <c r="R206" i="6" s="1"/>
  <c r="O220" i="6"/>
  <c r="P220" i="6" s="1"/>
  <c r="Q220" i="6" s="1"/>
  <c r="R220" i="6" s="1"/>
  <c r="O228" i="6"/>
  <c r="P228" i="6" s="1"/>
  <c r="Q228" i="6" s="1"/>
  <c r="R228" i="6" s="1"/>
  <c r="O236" i="6"/>
  <c r="P236" i="6" s="1"/>
  <c r="Q236" i="6" s="1"/>
  <c r="R236" i="6" s="1"/>
  <c r="P239" i="6"/>
  <c r="Q239" i="6" s="1"/>
  <c r="R239" i="6" s="1"/>
  <c r="P243" i="6"/>
  <c r="Q243" i="6" s="1"/>
  <c r="R243" i="6" s="1"/>
  <c r="O249" i="6"/>
  <c r="P249" i="6" s="1"/>
  <c r="Q249" i="6" s="1"/>
  <c r="R249" i="6" s="1"/>
  <c r="J249" i="6"/>
  <c r="O219" i="6"/>
  <c r="P219" i="6" s="1"/>
  <c r="Q219" i="6" s="1"/>
  <c r="R219" i="6" s="1"/>
  <c r="O223" i="6"/>
  <c r="P223" i="6" s="1"/>
  <c r="Q223" i="6" s="1"/>
  <c r="R223" i="6" s="1"/>
  <c r="O227" i="6"/>
  <c r="P227" i="6" s="1"/>
  <c r="Q227" i="6" s="1"/>
  <c r="R227" i="6" s="1"/>
  <c r="O231" i="6"/>
  <c r="P231" i="6" s="1"/>
  <c r="Q231" i="6" s="1"/>
  <c r="R231" i="6" s="1"/>
  <c r="O235" i="6"/>
  <c r="P235" i="6" s="1"/>
  <c r="Q235" i="6" s="1"/>
  <c r="R235" i="6" s="1"/>
  <c r="O248" i="6"/>
  <c r="P248" i="6" s="1"/>
  <c r="Q248" i="6" s="1"/>
  <c r="R248" i="6" s="1"/>
  <c r="J248" i="6"/>
  <c r="O250" i="6"/>
  <c r="P250" i="6" s="1"/>
  <c r="Q250" i="6" s="1"/>
  <c r="R250" i="6" s="1"/>
  <c r="J250" i="6"/>
  <c r="O257" i="6"/>
  <c r="P257" i="6" s="1"/>
  <c r="Q257" i="6" s="1"/>
  <c r="R257" i="6" s="1"/>
  <c r="J257" i="6"/>
  <c r="O214" i="6"/>
  <c r="P214" i="6" s="1"/>
  <c r="Q214" i="6" s="1"/>
  <c r="R214" i="6" s="1"/>
  <c r="O218" i="6"/>
  <c r="P218" i="6" s="1"/>
  <c r="Q218" i="6" s="1"/>
  <c r="R218" i="6" s="1"/>
  <c r="O222" i="6"/>
  <c r="P222" i="6" s="1"/>
  <c r="Q222" i="6" s="1"/>
  <c r="R222" i="6" s="1"/>
  <c r="O226" i="6"/>
  <c r="P226" i="6" s="1"/>
  <c r="Q226" i="6" s="1"/>
  <c r="R226" i="6" s="1"/>
  <c r="O230" i="6"/>
  <c r="P230" i="6" s="1"/>
  <c r="Q230" i="6" s="1"/>
  <c r="R230" i="6" s="1"/>
  <c r="O234" i="6"/>
  <c r="P234" i="6" s="1"/>
  <c r="Q234" i="6" s="1"/>
  <c r="R234" i="6" s="1"/>
  <c r="O240" i="6"/>
  <c r="P240" i="6" s="1"/>
  <c r="Q240" i="6" s="1"/>
  <c r="R240" i="6" s="1"/>
  <c r="O244" i="6"/>
  <c r="P244" i="6" s="1"/>
  <c r="Q244" i="6" s="1"/>
  <c r="R244" i="6" s="1"/>
  <c r="O260" i="6"/>
  <c r="P260" i="6" s="1"/>
  <c r="Q260" i="6" s="1"/>
  <c r="R260" i="6" s="1"/>
  <c r="J260" i="6"/>
  <c r="O238" i="6"/>
  <c r="P238" i="6" s="1"/>
  <c r="Q238" i="6" s="1"/>
  <c r="R238" i="6" s="1"/>
  <c r="O242" i="6"/>
  <c r="P242" i="6" s="1"/>
  <c r="Q242" i="6" s="1"/>
  <c r="R242" i="6" s="1"/>
  <c r="O246" i="6"/>
  <c r="P246" i="6" s="1"/>
  <c r="Q246" i="6" s="1"/>
  <c r="R246" i="6" s="1"/>
  <c r="J246" i="6"/>
  <c r="O256" i="6"/>
  <c r="P256" i="6" s="1"/>
  <c r="Q256" i="6" s="1"/>
  <c r="R256" i="6" s="1"/>
  <c r="J256" i="6"/>
  <c r="O261" i="6"/>
  <c r="P261" i="6" s="1"/>
  <c r="Q261" i="6" s="1"/>
  <c r="R261" i="6" s="1"/>
  <c r="J261" i="6"/>
  <c r="O253" i="6"/>
  <c r="P253" i="6" s="1"/>
  <c r="Q253" i="6" s="1"/>
  <c r="R253" i="6" s="1"/>
  <c r="J253" i="6"/>
  <c r="O247" i="6"/>
  <c r="P247" i="6" s="1"/>
  <c r="Q247" i="6" s="1"/>
  <c r="R247" i="6" s="1"/>
  <c r="J247" i="6"/>
  <c r="O251" i="6"/>
  <c r="P251" i="6" s="1"/>
  <c r="Q251" i="6" s="1"/>
  <c r="R251" i="6" s="1"/>
  <c r="J251" i="6"/>
  <c r="O255" i="6"/>
  <c r="P255" i="6" s="1"/>
  <c r="Q255" i="6" s="1"/>
  <c r="R255" i="6" s="1"/>
  <c r="J255" i="6"/>
  <c r="O259" i="6"/>
  <c r="P259" i="6" s="1"/>
  <c r="Q259" i="6" s="1"/>
  <c r="R259" i="6" s="1"/>
  <c r="J259" i="6"/>
  <c r="O254" i="6"/>
  <c r="P254" i="6" s="1"/>
  <c r="Q254" i="6" s="1"/>
  <c r="R254" i="6" s="1"/>
  <c r="J254" i="6"/>
  <c r="O258" i="6"/>
  <c r="P258" i="6" s="1"/>
  <c r="Q258" i="6" s="1"/>
  <c r="R258" i="6" s="1"/>
  <c r="J258" i="6"/>
  <c r="O262" i="6"/>
  <c r="P262" i="6" s="1"/>
  <c r="Q262" i="6" s="1"/>
  <c r="R262" i="6" s="1"/>
  <c r="J262" i="6"/>
  <c r="P27" i="6" l="1"/>
  <c r="Q27" i="6" s="1"/>
  <c r="R27" i="6" s="1"/>
  <c r="Q28" i="6"/>
  <c r="R28" i="6" s="1"/>
  <c r="J24" i="6"/>
  <c r="O25" i="6"/>
  <c r="O24" i="6"/>
  <c r="P26" i="6"/>
  <c r="Q26" i="6" s="1"/>
  <c r="R26" i="6" s="1"/>
  <c r="R24" i="6" l="1"/>
  <c r="U262" i="6" s="1"/>
  <c r="R25" i="6"/>
  <c r="V261" i="6"/>
  <c r="V257" i="6"/>
  <c r="V253" i="6"/>
  <c r="V262" i="6"/>
  <c r="V258" i="6"/>
  <c r="V254" i="6"/>
  <c r="V250" i="6"/>
  <c r="V246" i="6"/>
  <c r="V256" i="6"/>
  <c r="V245" i="6"/>
  <c r="V241" i="6"/>
  <c r="V259" i="6"/>
  <c r="V251" i="6"/>
  <c r="V249" i="6"/>
  <c r="V248" i="6"/>
  <c r="V242" i="6"/>
  <c r="V238" i="6"/>
  <c r="V237" i="6"/>
  <c r="V236" i="6"/>
  <c r="V255" i="6"/>
  <c r="V233" i="6"/>
  <c r="V229" i="6"/>
  <c r="V225" i="6"/>
  <c r="V221" i="6"/>
  <c r="V217" i="6"/>
  <c r="V213" i="6"/>
  <c r="V243" i="6"/>
  <c r="V239" i="6"/>
  <c r="V234" i="6"/>
  <c r="V230" i="6"/>
  <c r="V226" i="6"/>
  <c r="V222" i="6"/>
  <c r="V218" i="6"/>
  <c r="V214" i="6"/>
  <c r="V211" i="6"/>
  <c r="V210" i="6"/>
  <c r="V209" i="6"/>
  <c r="V208" i="6"/>
  <c r="V207" i="6"/>
  <c r="V260" i="6"/>
  <c r="V252" i="6"/>
  <c r="V247" i="6"/>
  <c r="V235" i="6"/>
  <c r="V231" i="6"/>
  <c r="V227" i="6"/>
  <c r="V223" i="6"/>
  <c r="V219" i="6"/>
  <c r="V240" i="6"/>
  <c r="V204" i="6"/>
  <c r="V200" i="6"/>
  <c r="V196" i="6"/>
  <c r="V192" i="6"/>
  <c r="V188" i="6"/>
  <c r="V184" i="6"/>
  <c r="V228" i="6"/>
  <c r="V220" i="6"/>
  <c r="V216" i="6"/>
  <c r="V212" i="6"/>
  <c r="V205" i="6"/>
  <c r="V201" i="6"/>
  <c r="V197" i="6"/>
  <c r="V193" i="6"/>
  <c r="V189" i="6"/>
  <c r="V185" i="6"/>
  <c r="V181" i="6"/>
  <c r="V206" i="6"/>
  <c r="V202" i="6"/>
  <c r="V198" i="6"/>
  <c r="V194" i="6"/>
  <c r="V190" i="6"/>
  <c r="V186" i="6"/>
  <c r="V232" i="6"/>
  <c r="V191" i="6"/>
  <c r="V182" i="6"/>
  <c r="V178" i="6"/>
  <c r="V174" i="6"/>
  <c r="V170" i="6"/>
  <c r="V166" i="6"/>
  <c r="V162" i="6"/>
  <c r="V215" i="6"/>
  <c r="V195" i="6"/>
  <c r="V183" i="6"/>
  <c r="V179" i="6"/>
  <c r="V175" i="6"/>
  <c r="V171" i="6"/>
  <c r="V167" i="6"/>
  <c r="V163" i="6"/>
  <c r="V159" i="6"/>
  <c r="V158" i="6"/>
  <c r="V157" i="6"/>
  <c r="V156" i="6"/>
  <c r="V155" i="6"/>
  <c r="V154" i="6"/>
  <c r="V153" i="6"/>
  <c r="V152" i="6"/>
  <c r="V151" i="6"/>
  <c r="V199" i="6"/>
  <c r="V244" i="6"/>
  <c r="V187" i="6"/>
  <c r="V150" i="6"/>
  <c r="V146" i="6"/>
  <c r="V142" i="6"/>
  <c r="V138" i="6"/>
  <c r="V134" i="6"/>
  <c r="V130" i="6"/>
  <c r="V126" i="6"/>
  <c r="V122" i="6"/>
  <c r="V118" i="6"/>
  <c r="V114" i="6"/>
  <c r="V177" i="6"/>
  <c r="V173" i="6"/>
  <c r="V169" i="6"/>
  <c r="V165" i="6"/>
  <c r="V161" i="6"/>
  <c r="V147" i="6"/>
  <c r="V143" i="6"/>
  <c r="V139" i="6"/>
  <c r="V135" i="6"/>
  <c r="V131" i="6"/>
  <c r="V127" i="6"/>
  <c r="V123" i="6"/>
  <c r="V119" i="6"/>
  <c r="V224" i="6"/>
  <c r="V203" i="6"/>
  <c r="V148" i="6"/>
  <c r="V144" i="6"/>
  <c r="V140" i="6"/>
  <c r="V136" i="6"/>
  <c r="V132" i="6"/>
  <c r="V128" i="6"/>
  <c r="V124" i="6"/>
  <c r="V120" i="6"/>
  <c r="V116" i="6"/>
  <c r="V112" i="6"/>
  <c r="V108" i="6"/>
  <c r="V176" i="6"/>
  <c r="V160" i="6"/>
  <c r="V141" i="6"/>
  <c r="V125" i="6"/>
  <c r="V106" i="6"/>
  <c r="V105" i="6"/>
  <c r="V103" i="6"/>
  <c r="V99" i="6"/>
  <c r="V95" i="6"/>
  <c r="V91" i="6"/>
  <c r="V87" i="6"/>
  <c r="V83" i="6"/>
  <c r="V79" i="6"/>
  <c r="V75" i="6"/>
  <c r="V71" i="6"/>
  <c r="V67" i="6"/>
  <c r="V63" i="6"/>
  <c r="V59" i="6"/>
  <c r="V55" i="6"/>
  <c r="V180" i="6"/>
  <c r="V164" i="6"/>
  <c r="V145" i="6"/>
  <c r="V129" i="6"/>
  <c r="V117" i="6"/>
  <c r="V115" i="6"/>
  <c r="V113" i="6"/>
  <c r="V111" i="6"/>
  <c r="V104" i="6"/>
  <c r="V100" i="6"/>
  <c r="V96" i="6"/>
  <c r="V92" i="6"/>
  <c r="V88" i="6"/>
  <c r="V84" i="6"/>
  <c r="V80" i="6"/>
  <c r="V76" i="6"/>
  <c r="V72" i="6"/>
  <c r="V68" i="6"/>
  <c r="V64" i="6"/>
  <c r="V60" i="6"/>
  <c r="V172" i="6"/>
  <c r="V133" i="6"/>
  <c r="V110" i="6"/>
  <c r="V54" i="6"/>
  <c r="V49" i="6"/>
  <c r="V45" i="6"/>
  <c r="V41" i="6"/>
  <c r="V43" i="6"/>
  <c r="V97" i="6"/>
  <c r="V89" i="6"/>
  <c r="V81" i="6"/>
  <c r="V61" i="6"/>
  <c r="V56" i="6"/>
  <c r="V52" i="6"/>
  <c r="V168" i="6"/>
  <c r="V149" i="6"/>
  <c r="V107" i="6"/>
  <c r="V102" i="6"/>
  <c r="V98" i="6"/>
  <c r="V94" i="6"/>
  <c r="V90" i="6"/>
  <c r="V86" i="6"/>
  <c r="V82" i="6"/>
  <c r="V78" i="6"/>
  <c r="V74" i="6"/>
  <c r="V70" i="6"/>
  <c r="V66" i="6"/>
  <c r="V62" i="6"/>
  <c r="V53" i="6"/>
  <c r="V50" i="6"/>
  <c r="V46" i="6"/>
  <c r="V42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58" i="6"/>
  <c r="V51" i="6"/>
  <c r="V47" i="6"/>
  <c r="V137" i="6"/>
  <c r="V93" i="6"/>
  <c r="V85" i="6"/>
  <c r="V73" i="6"/>
  <c r="V69" i="6"/>
  <c r="V121" i="6"/>
  <c r="V109" i="6"/>
  <c r="V101" i="6"/>
  <c r="V77" i="6"/>
  <c r="V65" i="6"/>
  <c r="V57" i="6"/>
  <c r="V48" i="6"/>
  <c r="V44" i="6"/>
  <c r="W255" i="6"/>
  <c r="W251" i="6"/>
  <c r="W261" i="6"/>
  <c r="W231" i="6"/>
  <c r="W225" i="6"/>
  <c r="W224" i="6"/>
  <c r="W219" i="6"/>
  <c r="W217" i="6"/>
  <c r="W212" i="6"/>
  <c r="W211" i="6"/>
  <c r="W206" i="6"/>
  <c r="W205" i="6"/>
  <c r="W199" i="6"/>
  <c r="W198" i="6"/>
  <c r="W195" i="6"/>
  <c r="W193" i="6"/>
  <c r="W190" i="6"/>
  <c r="W189" i="6"/>
  <c r="W187" i="6"/>
  <c r="W185" i="6"/>
  <c r="W183" i="6"/>
  <c r="W182" i="6"/>
  <c r="W179" i="6"/>
  <c r="W178" i="6"/>
  <c r="W177" i="6"/>
  <c r="W174" i="6"/>
  <c r="W173" i="6"/>
  <c r="W171" i="6"/>
  <c r="W169" i="6"/>
  <c r="W167" i="6"/>
  <c r="W166" i="6"/>
  <c r="W163" i="6"/>
  <c r="W162" i="6"/>
  <c r="W161" i="6"/>
  <c r="W246" i="6"/>
  <c r="W253" i="6"/>
  <c r="W158" i="6"/>
  <c r="W156" i="6"/>
  <c r="W154" i="6"/>
  <c r="W153" i="6"/>
  <c r="W150" i="6"/>
  <c r="W149" i="6"/>
  <c r="W148" i="6"/>
  <c r="W145" i="6"/>
  <c r="W144" i="6"/>
  <c r="W142" i="6"/>
  <c r="W140" i="6"/>
  <c r="W138" i="6"/>
  <c r="W137" i="6"/>
  <c r="W134" i="6"/>
  <c r="W133" i="6"/>
  <c r="W132" i="6"/>
  <c r="W129" i="6"/>
  <c r="W128" i="6"/>
  <c r="W126" i="6"/>
  <c r="W124" i="6"/>
  <c r="W122" i="6"/>
  <c r="W121" i="6"/>
  <c r="W118" i="6"/>
  <c r="W117" i="6"/>
  <c r="W116" i="6"/>
  <c r="W113" i="6"/>
  <c r="W112" i="6"/>
  <c r="W110" i="6"/>
  <c r="W108" i="6"/>
  <c r="W106" i="6"/>
  <c r="W105" i="6"/>
  <c r="W102" i="6"/>
  <c r="W101" i="6"/>
  <c r="W100" i="6"/>
  <c r="W97" i="6"/>
  <c r="W96" i="6"/>
  <c r="W94" i="6"/>
  <c r="W92" i="6"/>
  <c r="W90" i="6"/>
  <c r="W89" i="6"/>
  <c r="W86" i="6"/>
  <c r="W85" i="6"/>
  <c r="W84" i="6"/>
  <c r="W81" i="6"/>
  <c r="W80" i="6"/>
  <c r="W78" i="6"/>
  <c r="W76" i="6"/>
  <c r="W74" i="6"/>
  <c r="W73" i="6"/>
  <c r="W70" i="6"/>
  <c r="W69" i="6"/>
  <c r="W68" i="6"/>
  <c r="W65" i="6"/>
  <c r="W64" i="6"/>
  <c r="W62" i="6"/>
  <c r="W60" i="6"/>
  <c r="W58" i="6"/>
  <c r="W57" i="6"/>
  <c r="W54" i="6"/>
  <c r="W53" i="6"/>
  <c r="W52" i="6"/>
  <c r="W49" i="6"/>
  <c r="W48" i="6"/>
  <c r="W46" i="6"/>
  <c r="W44" i="6"/>
  <c r="W42" i="6"/>
  <c r="W41" i="6"/>
  <c r="W39" i="6"/>
  <c r="W38" i="6"/>
  <c r="W37" i="6"/>
  <c r="W34" i="6"/>
  <c r="W33" i="6"/>
  <c r="W31" i="6"/>
  <c r="W30" i="6"/>
  <c r="W29" i="6"/>
  <c r="W27" i="6"/>
  <c r="W26" i="6"/>
  <c r="W233" i="6" l="1"/>
  <c r="W249" i="6"/>
  <c r="W194" i="6"/>
  <c r="W201" i="6"/>
  <c r="W209" i="6"/>
  <c r="W213" i="6"/>
  <c r="W220" i="6"/>
  <c r="W228" i="6"/>
  <c r="W235" i="6"/>
  <c r="W240" i="6"/>
  <c r="W262" i="6"/>
  <c r="W203" i="6"/>
  <c r="W210" i="6"/>
  <c r="W215" i="6"/>
  <c r="W223" i="6"/>
  <c r="W229" i="6"/>
  <c r="W236" i="6"/>
  <c r="W241" i="6"/>
  <c r="W250" i="6"/>
  <c r="W243" i="6"/>
  <c r="W245" i="6"/>
  <c r="U30" i="6"/>
  <c r="U46" i="6"/>
  <c r="W35" i="6"/>
  <c r="W256" i="6"/>
  <c r="W45" i="6"/>
  <c r="W50" i="6"/>
  <c r="W56" i="6"/>
  <c r="W61" i="6"/>
  <c r="W66" i="6"/>
  <c r="W72" i="6"/>
  <c r="W77" i="6"/>
  <c r="W82" i="6"/>
  <c r="W88" i="6"/>
  <c r="W93" i="6"/>
  <c r="W98" i="6"/>
  <c r="W104" i="6"/>
  <c r="W109" i="6"/>
  <c r="W114" i="6"/>
  <c r="W120" i="6"/>
  <c r="W125" i="6"/>
  <c r="W130" i="6"/>
  <c r="W136" i="6"/>
  <c r="W141" i="6"/>
  <c r="W146" i="6"/>
  <c r="W152" i="6"/>
  <c r="W157" i="6"/>
  <c r="W260" i="6"/>
  <c r="W165" i="6"/>
  <c r="W170" i="6"/>
  <c r="W175" i="6"/>
  <c r="W181" i="6"/>
  <c r="W186" i="6"/>
  <c r="W191" i="6"/>
  <c r="W197" i="6"/>
  <c r="W202" i="6"/>
  <c r="W207" i="6"/>
  <c r="W257" i="6"/>
  <c r="W216" i="6"/>
  <c r="W221" i="6"/>
  <c r="W227" i="6"/>
  <c r="W232" i="6"/>
  <c r="W237" i="6"/>
  <c r="W239" i="6"/>
  <c r="W244" i="6"/>
  <c r="W259" i="6"/>
  <c r="U56" i="6"/>
  <c r="W258" i="6"/>
  <c r="U87" i="6"/>
  <c r="U45" i="6"/>
  <c r="U102" i="6"/>
  <c r="U34" i="6"/>
  <c r="U80" i="6"/>
  <c r="U148" i="6"/>
  <c r="U179" i="6"/>
  <c r="U35" i="6"/>
  <c r="U154" i="6"/>
  <c r="U59" i="6"/>
  <c r="U170" i="6"/>
  <c r="W28" i="6"/>
  <c r="W32" i="6"/>
  <c r="W36" i="6"/>
  <c r="W40" i="6"/>
  <c r="W43" i="6"/>
  <c r="W47" i="6"/>
  <c r="W51" i="6"/>
  <c r="W55" i="6"/>
  <c r="W59" i="6"/>
  <c r="W63" i="6"/>
  <c r="W67" i="6"/>
  <c r="W71" i="6"/>
  <c r="W75" i="6"/>
  <c r="W79" i="6"/>
  <c r="W83" i="6"/>
  <c r="W87" i="6"/>
  <c r="W91" i="6"/>
  <c r="W95" i="6"/>
  <c r="W99" i="6"/>
  <c r="W103" i="6"/>
  <c r="W107" i="6"/>
  <c r="W111" i="6"/>
  <c r="W115" i="6"/>
  <c r="W119" i="6"/>
  <c r="W123" i="6"/>
  <c r="W127" i="6"/>
  <c r="W131" i="6"/>
  <c r="W135" i="6"/>
  <c r="W139" i="6"/>
  <c r="W143" i="6"/>
  <c r="W147" i="6"/>
  <c r="W151" i="6"/>
  <c r="W155" i="6"/>
  <c r="W159" i="6"/>
  <c r="W160" i="6"/>
  <c r="W164" i="6"/>
  <c r="W168" i="6"/>
  <c r="W172" i="6"/>
  <c r="W176" i="6"/>
  <c r="W180" i="6"/>
  <c r="W184" i="6"/>
  <c r="W188" i="6"/>
  <c r="W192" i="6"/>
  <c r="W196" i="6"/>
  <c r="W200" i="6"/>
  <c r="W204" i="6"/>
  <c r="W208" i="6"/>
  <c r="W252" i="6"/>
  <c r="W214" i="6"/>
  <c r="W218" i="6"/>
  <c r="W222" i="6"/>
  <c r="W226" i="6"/>
  <c r="W230" i="6"/>
  <c r="W234" i="6"/>
  <c r="W248" i="6"/>
  <c r="W238" i="6"/>
  <c r="W242" i="6"/>
  <c r="W247" i="6"/>
  <c r="W254" i="6"/>
  <c r="U29" i="6"/>
  <c r="U96" i="6"/>
  <c r="U65" i="6"/>
  <c r="U62" i="6"/>
  <c r="U176" i="6"/>
  <c r="U135" i="6"/>
  <c r="U186" i="6"/>
  <c r="U136" i="6"/>
  <c r="U72" i="6"/>
  <c r="U158" i="6"/>
  <c r="U85" i="6"/>
  <c r="U54" i="6"/>
  <c r="U126" i="6"/>
  <c r="U192" i="6"/>
  <c r="U51" i="6"/>
  <c r="U49" i="6"/>
  <c r="U100" i="6"/>
  <c r="U53" i="6"/>
  <c r="U93" i="6"/>
  <c r="U99" i="6"/>
  <c r="U124" i="6"/>
  <c r="U113" i="6"/>
  <c r="U235" i="6"/>
  <c r="U26" i="6"/>
  <c r="U42" i="6"/>
  <c r="U151" i="6"/>
  <c r="U32" i="6"/>
  <c r="U64" i="6"/>
  <c r="U84" i="6"/>
  <c r="U104" i="6"/>
  <c r="U33" i="6"/>
  <c r="U52" i="6"/>
  <c r="U69" i="6"/>
  <c r="U97" i="6"/>
  <c r="U71" i="6"/>
  <c r="U106" i="6"/>
  <c r="U78" i="6"/>
  <c r="U115" i="6"/>
  <c r="U134" i="6"/>
  <c r="U129" i="6"/>
  <c r="U165" i="6"/>
  <c r="U191" i="6"/>
  <c r="U47" i="6"/>
  <c r="U31" i="6"/>
  <c r="U50" i="6"/>
  <c r="U155" i="6"/>
  <c r="U41" i="6"/>
  <c r="U68" i="6"/>
  <c r="U88" i="6"/>
  <c r="U120" i="6"/>
  <c r="U39" i="6"/>
  <c r="U55" i="6"/>
  <c r="U77" i="6"/>
  <c r="U109" i="6"/>
  <c r="U79" i="6"/>
  <c r="U112" i="6"/>
  <c r="U98" i="6"/>
  <c r="U119" i="6"/>
  <c r="U150" i="6"/>
  <c r="U172" i="6"/>
  <c r="U185" i="6"/>
  <c r="U233" i="6"/>
  <c r="U36" i="6"/>
  <c r="U44" i="6"/>
  <c r="U61" i="6"/>
  <c r="U81" i="6"/>
  <c r="U101" i="6"/>
  <c r="U67" i="6"/>
  <c r="U95" i="6"/>
  <c r="U128" i="6"/>
  <c r="U82" i="6"/>
  <c r="U152" i="6"/>
  <c r="U139" i="6"/>
  <c r="U163" i="6"/>
  <c r="U141" i="6"/>
  <c r="U178" i="6"/>
  <c r="U207" i="6"/>
  <c r="U232" i="6"/>
  <c r="U132" i="6"/>
  <c r="U28" i="6"/>
  <c r="U38" i="6"/>
  <c r="U43" i="6"/>
  <c r="U159" i="6"/>
  <c r="U37" i="6"/>
  <c r="U60" i="6"/>
  <c r="U76" i="6"/>
  <c r="U92" i="6"/>
  <c r="U110" i="6"/>
  <c r="U27" i="6"/>
  <c r="U40" i="6"/>
  <c r="U48" i="6"/>
  <c r="U57" i="6"/>
  <c r="U73" i="6"/>
  <c r="U89" i="6"/>
  <c r="U108" i="6"/>
  <c r="U63" i="6"/>
  <c r="U83" i="6"/>
  <c r="U103" i="6"/>
  <c r="U153" i="6"/>
  <c r="U66" i="6"/>
  <c r="U86" i="6"/>
  <c r="U116" i="6"/>
  <c r="U156" i="6"/>
  <c r="U123" i="6"/>
  <c r="U147" i="6"/>
  <c r="U138" i="6"/>
  <c r="U167" i="6"/>
  <c r="U121" i="6"/>
  <c r="U145" i="6"/>
  <c r="U242" i="6"/>
  <c r="U223" i="6"/>
  <c r="U206" i="6"/>
  <c r="U208" i="6"/>
  <c r="U226" i="6"/>
  <c r="U248" i="6"/>
  <c r="U157" i="6"/>
  <c r="U70" i="6"/>
  <c r="U94" i="6"/>
  <c r="U118" i="6"/>
  <c r="U107" i="6"/>
  <c r="U131" i="6"/>
  <c r="U122" i="6"/>
  <c r="U142" i="6"/>
  <c r="U175" i="6"/>
  <c r="U125" i="6"/>
  <c r="U149" i="6"/>
  <c r="U162" i="6"/>
  <c r="U161" i="6"/>
  <c r="U201" i="6"/>
  <c r="U227" i="6"/>
  <c r="U243" i="6"/>
  <c r="U249" i="6"/>
  <c r="U75" i="6"/>
  <c r="U91" i="6"/>
  <c r="U105" i="6"/>
  <c r="U144" i="6"/>
  <c r="U58" i="6"/>
  <c r="U74" i="6"/>
  <c r="U90" i="6"/>
  <c r="U114" i="6"/>
  <c r="U140" i="6"/>
  <c r="U111" i="6"/>
  <c r="U127" i="6"/>
  <c r="U143" i="6"/>
  <c r="U130" i="6"/>
  <c r="U146" i="6"/>
  <c r="U171" i="6"/>
  <c r="U117" i="6"/>
  <c r="U133" i="6"/>
  <c r="U168" i="6"/>
  <c r="U198" i="6"/>
  <c r="U181" i="6"/>
  <c r="U177" i="6"/>
  <c r="U205" i="6"/>
  <c r="U211" i="6"/>
  <c r="U238" i="6"/>
  <c r="U212" i="6"/>
  <c r="U255" i="6"/>
  <c r="U137" i="6"/>
  <c r="U160" i="6"/>
  <c r="U202" i="6"/>
  <c r="U166" i="6"/>
  <c r="U182" i="6"/>
  <c r="U173" i="6"/>
  <c r="U189" i="6"/>
  <c r="U196" i="6"/>
  <c r="U214" i="6"/>
  <c r="U195" i="6"/>
  <c r="U213" i="6"/>
  <c r="U245" i="6"/>
  <c r="U257" i="6"/>
  <c r="U193" i="6"/>
  <c r="U184" i="6"/>
  <c r="U200" i="6"/>
  <c r="U209" i="6"/>
  <c r="U218" i="6"/>
  <c r="U183" i="6"/>
  <c r="U203" i="6"/>
  <c r="U230" i="6"/>
  <c r="U225" i="6"/>
  <c r="U216" i="6"/>
  <c r="U240" i="6"/>
  <c r="U252" i="6"/>
  <c r="U259" i="6"/>
  <c r="U164" i="6"/>
  <c r="U180" i="6"/>
  <c r="U231" i="6"/>
  <c r="U174" i="6"/>
  <c r="U194" i="6"/>
  <c r="U169" i="6"/>
  <c r="U190" i="6"/>
  <c r="U197" i="6"/>
  <c r="U188" i="6"/>
  <c r="U204" i="6"/>
  <c r="U210" i="6"/>
  <c r="U219" i="6"/>
  <c r="U187" i="6"/>
  <c r="U215" i="6"/>
  <c r="U234" i="6"/>
  <c r="U229" i="6"/>
  <c r="U224" i="6"/>
  <c r="U247" i="6"/>
  <c r="U253" i="6"/>
  <c r="U260" i="6"/>
  <c r="U217" i="6"/>
  <c r="U237" i="6"/>
  <c r="U228" i="6"/>
  <c r="U244" i="6"/>
  <c r="U251" i="6"/>
  <c r="U256" i="6"/>
  <c r="U261" i="6"/>
  <c r="U199" i="6"/>
  <c r="U222" i="6"/>
  <c r="U239" i="6"/>
  <c r="U221" i="6"/>
  <c r="U236" i="6"/>
  <c r="U220" i="6"/>
  <c r="U241" i="6"/>
  <c r="U246" i="6"/>
  <c r="U250" i="6"/>
  <c r="U254" i="6"/>
  <c r="U258" i="6"/>
  <c r="V19" i="6"/>
  <c r="V24" i="6"/>
  <c r="W24" i="6" l="1"/>
  <c r="W23" i="6" s="1"/>
  <c r="W22" i="6" s="1"/>
  <c r="W19" i="6"/>
  <c r="U24" i="6"/>
  <c r="U19" i="6"/>
  <c r="X23" i="6" l="1"/>
  <c r="X259" i="6"/>
  <c r="Y259" i="6" s="1"/>
  <c r="Z259" i="6" s="1"/>
  <c r="X255" i="6"/>
  <c r="Y255" i="6" s="1"/>
  <c r="Z255" i="6" s="1"/>
  <c r="X251" i="6"/>
  <c r="Y251" i="6" s="1"/>
  <c r="Z251" i="6" s="1"/>
  <c r="X260" i="6"/>
  <c r="Y260" i="6" s="1"/>
  <c r="Z260" i="6" s="1"/>
  <c r="X256" i="6"/>
  <c r="Y256" i="6" s="1"/>
  <c r="Z256" i="6" s="1"/>
  <c r="X252" i="6"/>
  <c r="Y252" i="6" s="1"/>
  <c r="Z252" i="6" s="1"/>
  <c r="X248" i="6"/>
  <c r="Y248" i="6" s="1"/>
  <c r="Z248" i="6" s="1"/>
  <c r="X257" i="6"/>
  <c r="Y257" i="6" s="1"/>
  <c r="Z257" i="6" s="1"/>
  <c r="X242" i="6"/>
  <c r="Y242" i="6" s="1"/>
  <c r="Z242" i="6" s="1"/>
  <c r="X238" i="6"/>
  <c r="Y238" i="6" s="1"/>
  <c r="Z238" i="6" s="1"/>
  <c r="X254" i="6"/>
  <c r="Y254" i="6" s="1"/>
  <c r="Z254" i="6" s="1"/>
  <c r="X247" i="6"/>
  <c r="Y247" i="6" s="1"/>
  <c r="Z247" i="6" s="1"/>
  <c r="X246" i="6"/>
  <c r="Y246" i="6" s="1"/>
  <c r="Z246" i="6" s="1"/>
  <c r="X243" i="6"/>
  <c r="Y243" i="6" s="1"/>
  <c r="Z243" i="6" s="1"/>
  <c r="X239" i="6"/>
  <c r="Y239" i="6" s="1"/>
  <c r="Z239" i="6" s="1"/>
  <c r="X245" i="6"/>
  <c r="Y245" i="6" s="1"/>
  <c r="Z245" i="6" s="1"/>
  <c r="X241" i="6"/>
  <c r="Y241" i="6" s="1"/>
  <c r="Z241" i="6" s="1"/>
  <c r="X237" i="6"/>
  <c r="Y237" i="6" s="1"/>
  <c r="Z237" i="6" s="1"/>
  <c r="X236" i="6"/>
  <c r="Y236" i="6" s="1"/>
  <c r="Z236" i="6" s="1"/>
  <c r="X234" i="6"/>
  <c r="Y234" i="6" s="1"/>
  <c r="Z234" i="6" s="1"/>
  <c r="X230" i="6"/>
  <c r="Y230" i="6" s="1"/>
  <c r="Z230" i="6" s="1"/>
  <c r="X226" i="6"/>
  <c r="Y226" i="6" s="1"/>
  <c r="Z226" i="6" s="1"/>
  <c r="X222" i="6"/>
  <c r="Y222" i="6" s="1"/>
  <c r="Z222" i="6" s="1"/>
  <c r="X218" i="6"/>
  <c r="Y218" i="6" s="1"/>
  <c r="Z218" i="6" s="1"/>
  <c r="X214" i="6"/>
  <c r="Y214" i="6" s="1"/>
  <c r="Z214" i="6" s="1"/>
  <c r="X262" i="6"/>
  <c r="Y262" i="6" s="1"/>
  <c r="Z262" i="6" s="1"/>
  <c r="X261" i="6"/>
  <c r="Y261" i="6" s="1"/>
  <c r="Z261" i="6" s="1"/>
  <c r="X250" i="6"/>
  <c r="Y250" i="6" s="1"/>
  <c r="Z250" i="6" s="1"/>
  <c r="X235" i="6"/>
  <c r="Y235" i="6" s="1"/>
  <c r="Z235" i="6" s="1"/>
  <c r="X231" i="6"/>
  <c r="Y231" i="6" s="1"/>
  <c r="Z231" i="6" s="1"/>
  <c r="X227" i="6"/>
  <c r="Y227" i="6" s="1"/>
  <c r="Z227" i="6" s="1"/>
  <c r="X223" i="6"/>
  <c r="Y223" i="6" s="1"/>
  <c r="Z223" i="6" s="1"/>
  <c r="X219" i="6"/>
  <c r="Y219" i="6" s="1"/>
  <c r="Z219" i="6" s="1"/>
  <c r="X215" i="6"/>
  <c r="Y215" i="6" s="1"/>
  <c r="Z215" i="6" s="1"/>
  <c r="X253" i="6"/>
  <c r="Y253" i="6" s="1"/>
  <c r="Z253" i="6" s="1"/>
  <c r="X249" i="6"/>
  <c r="Y249" i="6" s="1"/>
  <c r="Z249" i="6" s="1"/>
  <c r="X244" i="6"/>
  <c r="Y244" i="6" s="1"/>
  <c r="Z244" i="6" s="1"/>
  <c r="X240" i="6"/>
  <c r="Y240" i="6" s="1"/>
  <c r="Z240" i="6" s="1"/>
  <c r="X232" i="6"/>
  <c r="Y232" i="6" s="1"/>
  <c r="Z232" i="6" s="1"/>
  <c r="X228" i="6"/>
  <c r="Y228" i="6" s="1"/>
  <c r="Z228" i="6" s="1"/>
  <c r="X224" i="6"/>
  <c r="Y224" i="6" s="1"/>
  <c r="Z224" i="6" s="1"/>
  <c r="X220" i="6"/>
  <c r="Y220" i="6" s="1"/>
  <c r="Z220" i="6" s="1"/>
  <c r="X216" i="6"/>
  <c r="Y216" i="6" s="1"/>
  <c r="Z216" i="6" s="1"/>
  <c r="X212" i="6"/>
  <c r="Y212" i="6" s="1"/>
  <c r="Z212" i="6" s="1"/>
  <c r="X211" i="6"/>
  <c r="Y211" i="6" s="1"/>
  <c r="Z211" i="6" s="1"/>
  <c r="X210" i="6"/>
  <c r="Y210" i="6" s="1"/>
  <c r="Z210" i="6" s="1"/>
  <c r="X209" i="6"/>
  <c r="Y209" i="6" s="1"/>
  <c r="Z209" i="6" s="1"/>
  <c r="X208" i="6"/>
  <c r="Y208" i="6" s="1"/>
  <c r="Z208" i="6" s="1"/>
  <c r="X207" i="6"/>
  <c r="Y207" i="6" s="1"/>
  <c r="Z207" i="6" s="1"/>
  <c r="X205" i="6"/>
  <c r="Y205" i="6" s="1"/>
  <c r="Z205" i="6" s="1"/>
  <c r="X201" i="6"/>
  <c r="Y201" i="6" s="1"/>
  <c r="Z201" i="6" s="1"/>
  <c r="X197" i="6"/>
  <c r="Y197" i="6" s="1"/>
  <c r="Z197" i="6" s="1"/>
  <c r="X193" i="6"/>
  <c r="Y193" i="6" s="1"/>
  <c r="Z193" i="6" s="1"/>
  <c r="X189" i="6"/>
  <c r="Y189" i="6" s="1"/>
  <c r="Z189" i="6" s="1"/>
  <c r="X185" i="6"/>
  <c r="Y185" i="6" s="1"/>
  <c r="Z185" i="6" s="1"/>
  <c r="X258" i="6"/>
  <c r="Y258" i="6" s="1"/>
  <c r="Z258" i="6" s="1"/>
  <c r="X229" i="6"/>
  <c r="Y229" i="6" s="1"/>
  <c r="Z229" i="6" s="1"/>
  <c r="X221" i="6"/>
  <c r="Y221" i="6" s="1"/>
  <c r="Z221" i="6" s="1"/>
  <c r="X206" i="6"/>
  <c r="Y206" i="6" s="1"/>
  <c r="Z206" i="6" s="1"/>
  <c r="X202" i="6"/>
  <c r="Y202" i="6" s="1"/>
  <c r="Z202" i="6" s="1"/>
  <c r="X198" i="6"/>
  <c r="Y198" i="6" s="1"/>
  <c r="Z198" i="6" s="1"/>
  <c r="X194" i="6"/>
  <c r="Y194" i="6" s="1"/>
  <c r="Z194" i="6" s="1"/>
  <c r="X190" i="6"/>
  <c r="Y190" i="6" s="1"/>
  <c r="Z190" i="6" s="1"/>
  <c r="X186" i="6"/>
  <c r="Y186" i="6" s="1"/>
  <c r="Z186" i="6" s="1"/>
  <c r="X182" i="6"/>
  <c r="Y182" i="6" s="1"/>
  <c r="Z182" i="6" s="1"/>
  <c r="X217" i="6"/>
  <c r="Y217" i="6" s="1"/>
  <c r="Z217" i="6" s="1"/>
  <c r="X213" i="6"/>
  <c r="Y213" i="6" s="1"/>
  <c r="Z213" i="6" s="1"/>
  <c r="X203" i="6"/>
  <c r="Y203" i="6" s="1"/>
  <c r="Z203" i="6" s="1"/>
  <c r="X199" i="6"/>
  <c r="Y199" i="6" s="1"/>
  <c r="Z199" i="6" s="1"/>
  <c r="X195" i="6"/>
  <c r="Y195" i="6" s="1"/>
  <c r="Z195" i="6" s="1"/>
  <c r="X191" i="6"/>
  <c r="Y191" i="6" s="1"/>
  <c r="Z191" i="6" s="1"/>
  <c r="X187" i="6"/>
  <c r="Y187" i="6" s="1"/>
  <c r="Z187" i="6" s="1"/>
  <c r="X225" i="6"/>
  <c r="Y225" i="6" s="1"/>
  <c r="Z225" i="6" s="1"/>
  <c r="X192" i="6"/>
  <c r="Y192" i="6" s="1"/>
  <c r="Z192" i="6" s="1"/>
  <c r="X183" i="6"/>
  <c r="Y183" i="6" s="1"/>
  <c r="Z183" i="6" s="1"/>
  <c r="X181" i="6"/>
  <c r="Y181" i="6" s="1"/>
  <c r="Z181" i="6" s="1"/>
  <c r="X179" i="6"/>
  <c r="Y179" i="6" s="1"/>
  <c r="Z179" i="6" s="1"/>
  <c r="X175" i="6"/>
  <c r="Y175" i="6" s="1"/>
  <c r="Z175" i="6" s="1"/>
  <c r="AA175" i="6" s="1"/>
  <c r="AD175" i="6" s="1"/>
  <c r="V179" i="4" s="1"/>
  <c r="X171" i="6"/>
  <c r="Y171" i="6" s="1"/>
  <c r="Z171" i="6" s="1"/>
  <c r="X167" i="6"/>
  <c r="Y167" i="6" s="1"/>
  <c r="Z167" i="6" s="1"/>
  <c r="X163" i="6"/>
  <c r="Y163" i="6" s="1"/>
  <c r="Z163" i="6" s="1"/>
  <c r="X233" i="6"/>
  <c r="Y233" i="6" s="1"/>
  <c r="Z233" i="6" s="1"/>
  <c r="X196" i="6"/>
  <c r="Y196" i="6" s="1"/>
  <c r="Z196" i="6" s="1"/>
  <c r="X180" i="6"/>
  <c r="Y180" i="6" s="1"/>
  <c r="Z180" i="6" s="1"/>
  <c r="AA180" i="6" s="1"/>
  <c r="AD180" i="6" s="1"/>
  <c r="V185" i="4" s="1"/>
  <c r="X176" i="6"/>
  <c r="Y176" i="6" s="1"/>
  <c r="Z176" i="6" s="1"/>
  <c r="X172" i="6"/>
  <c r="Y172" i="6" s="1"/>
  <c r="Z172" i="6" s="1"/>
  <c r="X168" i="6"/>
  <c r="Y168" i="6" s="1"/>
  <c r="Z168" i="6" s="1"/>
  <c r="X164" i="6"/>
  <c r="Y164" i="6" s="1"/>
  <c r="Z164" i="6" s="1"/>
  <c r="X160" i="6"/>
  <c r="Y160" i="6" s="1"/>
  <c r="Z160" i="6" s="1"/>
  <c r="X200" i="6"/>
  <c r="Y200" i="6" s="1"/>
  <c r="Z200" i="6" s="1"/>
  <c r="X177" i="6"/>
  <c r="Y177" i="6" s="1"/>
  <c r="Z177" i="6" s="1"/>
  <c r="X173" i="6"/>
  <c r="Y173" i="6" s="1"/>
  <c r="Z173" i="6" s="1"/>
  <c r="X169" i="6"/>
  <c r="Y169" i="6" s="1"/>
  <c r="Z169" i="6" s="1"/>
  <c r="X165" i="6"/>
  <c r="Y165" i="6" s="1"/>
  <c r="Z165" i="6" s="1"/>
  <c r="X161" i="6"/>
  <c r="Y161" i="6" s="1"/>
  <c r="Z161" i="6" s="1"/>
  <c r="X147" i="6"/>
  <c r="Y147" i="6" s="1"/>
  <c r="Z147" i="6" s="1"/>
  <c r="X143" i="6"/>
  <c r="Y143" i="6" s="1"/>
  <c r="Z143" i="6" s="1"/>
  <c r="X139" i="6"/>
  <c r="Y139" i="6" s="1"/>
  <c r="Z139" i="6" s="1"/>
  <c r="X135" i="6"/>
  <c r="Y135" i="6" s="1"/>
  <c r="Z135" i="6" s="1"/>
  <c r="X131" i="6"/>
  <c r="Y131" i="6" s="1"/>
  <c r="Z131" i="6" s="1"/>
  <c r="X127" i="6"/>
  <c r="Y127" i="6" s="1"/>
  <c r="Z127" i="6" s="1"/>
  <c r="X123" i="6"/>
  <c r="Y123" i="6" s="1"/>
  <c r="Z123" i="6" s="1"/>
  <c r="X119" i="6"/>
  <c r="Y119" i="6" s="1"/>
  <c r="Z119" i="6" s="1"/>
  <c r="X115" i="6"/>
  <c r="Y115" i="6" s="1"/>
  <c r="Z115" i="6" s="1"/>
  <c r="X188" i="6"/>
  <c r="Y188" i="6" s="1"/>
  <c r="Z188" i="6" s="1"/>
  <c r="X148" i="6"/>
  <c r="Y148" i="6" s="1"/>
  <c r="Z148" i="6" s="1"/>
  <c r="X144" i="6"/>
  <c r="Y144" i="6" s="1"/>
  <c r="Z144" i="6" s="1"/>
  <c r="X140" i="6"/>
  <c r="Y140" i="6" s="1"/>
  <c r="Z140" i="6" s="1"/>
  <c r="X136" i="6"/>
  <c r="Y136" i="6" s="1"/>
  <c r="Z136" i="6" s="1"/>
  <c r="X132" i="6"/>
  <c r="Y132" i="6" s="1"/>
  <c r="Z132" i="6" s="1"/>
  <c r="X128" i="6"/>
  <c r="Y128" i="6" s="1"/>
  <c r="Z128" i="6" s="1"/>
  <c r="X124" i="6"/>
  <c r="Y124" i="6" s="1"/>
  <c r="Z124" i="6" s="1"/>
  <c r="X120" i="6"/>
  <c r="Y120" i="6" s="1"/>
  <c r="Z120" i="6" s="1"/>
  <c r="X184" i="6"/>
  <c r="Y184" i="6" s="1"/>
  <c r="Z184" i="6" s="1"/>
  <c r="X178" i="6"/>
  <c r="Y178" i="6" s="1"/>
  <c r="Z178" i="6" s="1"/>
  <c r="X174" i="6"/>
  <c r="Y174" i="6" s="1"/>
  <c r="Z174" i="6" s="1"/>
  <c r="X170" i="6"/>
  <c r="Y170" i="6" s="1"/>
  <c r="Z170" i="6" s="1"/>
  <c r="X166" i="6"/>
  <c r="Y166" i="6" s="1"/>
  <c r="Z166" i="6" s="1"/>
  <c r="X162" i="6"/>
  <c r="Y162" i="6" s="1"/>
  <c r="Z162" i="6" s="1"/>
  <c r="X159" i="6"/>
  <c r="Y159" i="6" s="1"/>
  <c r="Z159" i="6" s="1"/>
  <c r="X158" i="6"/>
  <c r="Y158" i="6" s="1"/>
  <c r="Z158" i="6" s="1"/>
  <c r="X157" i="6"/>
  <c r="Y157" i="6" s="1"/>
  <c r="Z157" i="6" s="1"/>
  <c r="X156" i="6"/>
  <c r="Y156" i="6" s="1"/>
  <c r="Z156" i="6" s="1"/>
  <c r="X155" i="6"/>
  <c r="Y155" i="6" s="1"/>
  <c r="Z155" i="6" s="1"/>
  <c r="X154" i="6"/>
  <c r="Y154" i="6" s="1"/>
  <c r="Z154" i="6" s="1"/>
  <c r="X153" i="6"/>
  <c r="Y153" i="6" s="1"/>
  <c r="Z153" i="6" s="1"/>
  <c r="X152" i="6"/>
  <c r="Y152" i="6" s="1"/>
  <c r="Z152" i="6" s="1"/>
  <c r="X151" i="6"/>
  <c r="Y151" i="6" s="1"/>
  <c r="Z151" i="6" s="1"/>
  <c r="X149" i="6"/>
  <c r="Y149" i="6" s="1"/>
  <c r="Z149" i="6" s="1"/>
  <c r="X145" i="6"/>
  <c r="Y145" i="6" s="1"/>
  <c r="Z145" i="6" s="1"/>
  <c r="X141" i="6"/>
  <c r="Y141" i="6" s="1"/>
  <c r="Z141" i="6" s="1"/>
  <c r="X137" i="6"/>
  <c r="Y137" i="6" s="1"/>
  <c r="Z137" i="6" s="1"/>
  <c r="X133" i="6"/>
  <c r="Y133" i="6" s="1"/>
  <c r="Z133" i="6" s="1"/>
  <c r="X129" i="6"/>
  <c r="Y129" i="6" s="1"/>
  <c r="Z129" i="6" s="1"/>
  <c r="X125" i="6"/>
  <c r="Y125" i="6" s="1"/>
  <c r="Z125" i="6" s="1"/>
  <c r="X121" i="6"/>
  <c r="Y121" i="6" s="1"/>
  <c r="Z121" i="6" s="1"/>
  <c r="X117" i="6"/>
  <c r="Y117" i="6" s="1"/>
  <c r="Z117" i="6" s="1"/>
  <c r="X113" i="6"/>
  <c r="Y113" i="6" s="1"/>
  <c r="Z113" i="6" s="1"/>
  <c r="X109" i="6"/>
  <c r="Y109" i="6" s="1"/>
  <c r="Z109" i="6" s="1"/>
  <c r="X105" i="6"/>
  <c r="Y105" i="6" s="1"/>
  <c r="Z105" i="6" s="1"/>
  <c r="X204" i="6"/>
  <c r="Y204" i="6" s="1"/>
  <c r="Z204" i="6" s="1"/>
  <c r="X142" i="6"/>
  <c r="Y142" i="6" s="1"/>
  <c r="Z142" i="6" s="1"/>
  <c r="X126" i="6"/>
  <c r="Y126" i="6" s="1"/>
  <c r="Z126" i="6" s="1"/>
  <c r="X112" i="6"/>
  <c r="Y112" i="6" s="1"/>
  <c r="Z112" i="6" s="1"/>
  <c r="X111" i="6"/>
  <c r="Y111" i="6" s="1"/>
  <c r="Z111" i="6" s="1"/>
  <c r="X104" i="6"/>
  <c r="Y104" i="6" s="1"/>
  <c r="Z104" i="6" s="1"/>
  <c r="X100" i="6"/>
  <c r="Y100" i="6" s="1"/>
  <c r="Z100" i="6" s="1"/>
  <c r="X96" i="6"/>
  <c r="Y96" i="6" s="1"/>
  <c r="Z96" i="6" s="1"/>
  <c r="X92" i="6"/>
  <c r="Y92" i="6" s="1"/>
  <c r="Z92" i="6" s="1"/>
  <c r="X88" i="6"/>
  <c r="Y88" i="6" s="1"/>
  <c r="Z88" i="6" s="1"/>
  <c r="X84" i="6"/>
  <c r="Y84" i="6" s="1"/>
  <c r="Z84" i="6" s="1"/>
  <c r="X80" i="6"/>
  <c r="Y80" i="6" s="1"/>
  <c r="Z80" i="6" s="1"/>
  <c r="X76" i="6"/>
  <c r="Y76" i="6" s="1"/>
  <c r="Z76" i="6" s="1"/>
  <c r="X72" i="6"/>
  <c r="Y72" i="6" s="1"/>
  <c r="Z72" i="6" s="1"/>
  <c r="X68" i="6"/>
  <c r="Y68" i="6" s="1"/>
  <c r="Z68" i="6" s="1"/>
  <c r="X64" i="6"/>
  <c r="Y64" i="6" s="1"/>
  <c r="Z64" i="6" s="1"/>
  <c r="X60" i="6"/>
  <c r="Y60" i="6" s="1"/>
  <c r="Z60" i="6" s="1"/>
  <c r="X56" i="6"/>
  <c r="Y56" i="6" s="1"/>
  <c r="Z56" i="6" s="1"/>
  <c r="X146" i="6"/>
  <c r="Y146" i="6" s="1"/>
  <c r="Z146" i="6" s="1"/>
  <c r="X130" i="6"/>
  <c r="Y130" i="6" s="1"/>
  <c r="Z130" i="6" s="1"/>
  <c r="X110" i="6"/>
  <c r="Y110" i="6" s="1"/>
  <c r="Z110" i="6" s="1"/>
  <c r="X101" i="6"/>
  <c r="Y101" i="6" s="1"/>
  <c r="Z101" i="6" s="1"/>
  <c r="X97" i="6"/>
  <c r="Y97" i="6" s="1"/>
  <c r="Z97" i="6" s="1"/>
  <c r="X93" i="6"/>
  <c r="Y93" i="6" s="1"/>
  <c r="Z93" i="6" s="1"/>
  <c r="X89" i="6"/>
  <c r="Y89" i="6" s="1"/>
  <c r="Z89" i="6" s="1"/>
  <c r="X85" i="6"/>
  <c r="Y85" i="6" s="1"/>
  <c r="Z85" i="6" s="1"/>
  <c r="X81" i="6"/>
  <c r="Y81" i="6" s="1"/>
  <c r="Z81" i="6" s="1"/>
  <c r="X77" i="6"/>
  <c r="Y77" i="6" s="1"/>
  <c r="Z77" i="6" s="1"/>
  <c r="X73" i="6"/>
  <c r="Y73" i="6" s="1"/>
  <c r="Z73" i="6" s="1"/>
  <c r="X69" i="6"/>
  <c r="Y69" i="6" s="1"/>
  <c r="Z69" i="6" s="1"/>
  <c r="X65" i="6"/>
  <c r="Y65" i="6" s="1"/>
  <c r="Z65" i="6" s="1"/>
  <c r="X61" i="6"/>
  <c r="Y61" i="6" s="1"/>
  <c r="Z61" i="6" s="1"/>
  <c r="X138" i="6"/>
  <c r="Y138" i="6" s="1"/>
  <c r="Z138" i="6" s="1"/>
  <c r="X134" i="6"/>
  <c r="Y134" i="6" s="1"/>
  <c r="Z134" i="6" s="1"/>
  <c r="X118" i="6"/>
  <c r="Y118" i="6" s="1"/>
  <c r="Z118" i="6" s="1"/>
  <c r="X107" i="6"/>
  <c r="Y107" i="6" s="1"/>
  <c r="Z107" i="6" s="1"/>
  <c r="X102" i="6"/>
  <c r="Y102" i="6" s="1"/>
  <c r="Z102" i="6" s="1"/>
  <c r="X98" i="6"/>
  <c r="Y98" i="6" s="1"/>
  <c r="Z98" i="6" s="1"/>
  <c r="X94" i="6"/>
  <c r="Y94" i="6" s="1"/>
  <c r="Z94" i="6" s="1"/>
  <c r="X90" i="6"/>
  <c r="Y90" i="6" s="1"/>
  <c r="Z90" i="6" s="1"/>
  <c r="X86" i="6"/>
  <c r="Y86" i="6" s="1"/>
  <c r="Z86" i="6" s="1"/>
  <c r="X82" i="6"/>
  <c r="Y82" i="6" s="1"/>
  <c r="Z82" i="6" s="1"/>
  <c r="X78" i="6"/>
  <c r="Y78" i="6" s="1"/>
  <c r="Z78" i="6" s="1"/>
  <c r="X74" i="6"/>
  <c r="Y74" i="6" s="1"/>
  <c r="Z74" i="6" s="1"/>
  <c r="X70" i="6"/>
  <c r="Y70" i="6" s="1"/>
  <c r="Z70" i="6" s="1"/>
  <c r="X66" i="6"/>
  <c r="Y66" i="6" s="1"/>
  <c r="Z66" i="6" s="1"/>
  <c r="X62" i="6"/>
  <c r="Y62" i="6" s="1"/>
  <c r="Z62" i="6" s="1"/>
  <c r="X53" i="6"/>
  <c r="Y53" i="6" s="1"/>
  <c r="Z53" i="6" s="1"/>
  <c r="X50" i="6"/>
  <c r="Y50" i="6" s="1"/>
  <c r="Z50" i="6" s="1"/>
  <c r="X46" i="6"/>
  <c r="Y46" i="6" s="1"/>
  <c r="Z46" i="6" s="1"/>
  <c r="X42" i="6"/>
  <c r="Y42" i="6" s="1"/>
  <c r="Z42" i="6" s="1"/>
  <c r="X114" i="6"/>
  <c r="Y114" i="6" s="1"/>
  <c r="Z114" i="6" s="1"/>
  <c r="X95" i="6"/>
  <c r="Y95" i="6" s="1"/>
  <c r="Z95" i="6" s="1"/>
  <c r="X87" i="6"/>
  <c r="Y87" i="6" s="1"/>
  <c r="Z87" i="6" s="1"/>
  <c r="X63" i="6"/>
  <c r="Y63" i="6" s="1"/>
  <c r="Z63" i="6" s="1"/>
  <c r="X57" i="6"/>
  <c r="Y57" i="6" s="1"/>
  <c r="Z57" i="6" s="1"/>
  <c r="X52" i="6"/>
  <c r="Y52" i="6" s="1"/>
  <c r="Z52" i="6" s="1"/>
  <c r="X55" i="6"/>
  <c r="Y55" i="6" s="1"/>
  <c r="Z55" i="6" s="1"/>
  <c r="X49" i="6"/>
  <c r="Y49" i="6" s="1"/>
  <c r="Z49" i="6" s="1"/>
  <c r="X45" i="6"/>
  <c r="Y45" i="6" s="1"/>
  <c r="Z45" i="6" s="1"/>
  <c r="X38" i="6"/>
  <c r="Y38" i="6" s="1"/>
  <c r="Z38" i="6" s="1"/>
  <c r="X33" i="6"/>
  <c r="Y33" i="6" s="1"/>
  <c r="Z33" i="6" s="1"/>
  <c r="X30" i="6"/>
  <c r="Y30" i="6" s="1"/>
  <c r="Z30" i="6" s="1"/>
  <c r="X27" i="6"/>
  <c r="Y27" i="6" s="1"/>
  <c r="Z27" i="6" s="1"/>
  <c r="X150" i="6"/>
  <c r="Y150" i="6" s="1"/>
  <c r="Z150" i="6" s="1"/>
  <c r="X106" i="6"/>
  <c r="Y106" i="6" s="1"/>
  <c r="Z106" i="6" s="1"/>
  <c r="X58" i="6"/>
  <c r="Y58" i="6" s="1"/>
  <c r="Z58" i="6" s="1"/>
  <c r="AA58" i="6" s="1"/>
  <c r="AD58" i="6" s="1"/>
  <c r="V58" i="4" s="1"/>
  <c r="X51" i="6"/>
  <c r="Y51" i="6" s="1"/>
  <c r="Z51" i="6" s="1"/>
  <c r="X47" i="6"/>
  <c r="Y47" i="6" s="1"/>
  <c r="Z47" i="6" s="1"/>
  <c r="X43" i="6"/>
  <c r="Y43" i="6" s="1"/>
  <c r="Z43" i="6" s="1"/>
  <c r="X83" i="6"/>
  <c r="Y83" i="6" s="1"/>
  <c r="Z83" i="6" s="1"/>
  <c r="X71" i="6"/>
  <c r="Y71" i="6" s="1"/>
  <c r="Z71" i="6" s="1"/>
  <c r="X48" i="6"/>
  <c r="Y48" i="6" s="1"/>
  <c r="Z48" i="6" s="1"/>
  <c r="X44" i="6"/>
  <c r="Y44" i="6" s="1"/>
  <c r="Z44" i="6" s="1"/>
  <c r="X40" i="6"/>
  <c r="Y40" i="6" s="1"/>
  <c r="Z40" i="6" s="1"/>
  <c r="X37" i="6"/>
  <c r="Y37" i="6" s="1"/>
  <c r="Z37" i="6" s="1"/>
  <c r="X34" i="6"/>
  <c r="Y34" i="6" s="1"/>
  <c r="Z34" i="6" s="1"/>
  <c r="X32" i="6"/>
  <c r="Y32" i="6" s="1"/>
  <c r="Z32" i="6" s="1"/>
  <c r="X29" i="6"/>
  <c r="Y29" i="6" s="1"/>
  <c r="Z29" i="6" s="1"/>
  <c r="X26" i="6"/>
  <c r="X103" i="6"/>
  <c r="Y103" i="6" s="1"/>
  <c r="Z103" i="6" s="1"/>
  <c r="X99" i="6"/>
  <c r="Y99" i="6" s="1"/>
  <c r="Z99" i="6" s="1"/>
  <c r="X91" i="6"/>
  <c r="Y91" i="6" s="1"/>
  <c r="Z91" i="6" s="1"/>
  <c r="X79" i="6"/>
  <c r="Y79" i="6" s="1"/>
  <c r="Z79" i="6" s="1"/>
  <c r="X75" i="6"/>
  <c r="Y75" i="6" s="1"/>
  <c r="Z75" i="6" s="1"/>
  <c r="X67" i="6"/>
  <c r="Y67" i="6" s="1"/>
  <c r="Z67" i="6" s="1"/>
  <c r="X59" i="6"/>
  <c r="Y59" i="6" s="1"/>
  <c r="Z59" i="6" s="1"/>
  <c r="X122" i="6"/>
  <c r="Y122" i="6" s="1"/>
  <c r="Z122" i="6" s="1"/>
  <c r="X116" i="6"/>
  <c r="Y116" i="6" s="1"/>
  <c r="Z116" i="6" s="1"/>
  <c r="X108" i="6"/>
  <c r="Y108" i="6" s="1"/>
  <c r="Z108" i="6" s="1"/>
  <c r="X54" i="6"/>
  <c r="Y54" i="6" s="1"/>
  <c r="Z54" i="6" s="1"/>
  <c r="X41" i="6"/>
  <c r="Y41" i="6" s="1"/>
  <c r="Z41" i="6" s="1"/>
  <c r="X39" i="6"/>
  <c r="Y39" i="6" s="1"/>
  <c r="Z39" i="6" s="1"/>
  <c r="X36" i="6"/>
  <c r="Y36" i="6" s="1"/>
  <c r="Z36" i="6" s="1"/>
  <c r="X35" i="6"/>
  <c r="Y35" i="6" s="1"/>
  <c r="Z35" i="6" s="1"/>
  <c r="X31" i="6"/>
  <c r="Y31" i="6" s="1"/>
  <c r="Z31" i="6" s="1"/>
  <c r="X28" i="6"/>
  <c r="Y28" i="6" s="1"/>
  <c r="Z28" i="6" s="1"/>
  <c r="X24" i="6" l="1"/>
  <c r="Y26" i="6"/>
  <c r="Y19" i="6" l="1"/>
  <c r="Y25" i="6"/>
  <c r="Z26" i="6"/>
  <c r="Y24" i="6"/>
  <c r="Z23" i="6" l="1"/>
  <c r="Z22" i="6"/>
  <c r="AA22" i="6"/>
  <c r="AA19" i="6"/>
  <c r="Y22" i="6"/>
  <c r="Y23" i="6" s="1"/>
  <c r="AA31" i="6" l="1"/>
  <c r="AD31" i="6" s="1"/>
  <c r="V31" i="4" s="1"/>
  <c r="AA53" i="6"/>
  <c r="AD53" i="6" s="1"/>
  <c r="V53" i="4" s="1"/>
  <c r="AA27" i="6"/>
  <c r="AD27" i="6" s="1"/>
  <c r="V27" i="4" s="1"/>
  <c r="AA93" i="6"/>
  <c r="AD93" i="6" s="1"/>
  <c r="V94" i="4" s="1"/>
  <c r="AA137" i="6"/>
  <c r="AD137" i="6" s="1"/>
  <c r="V141" i="4" s="1"/>
  <c r="AA187" i="6"/>
  <c r="AD187" i="6" s="1"/>
  <c r="AA212" i="6"/>
  <c r="AD212" i="6" s="1"/>
  <c r="V217" i="4" s="1"/>
  <c r="AA245" i="6"/>
  <c r="AD245" i="6" s="1"/>
  <c r="V251" i="4" s="1"/>
  <c r="AA40" i="6"/>
  <c r="AD40" i="6" s="1"/>
  <c r="V40" i="4" s="1"/>
  <c r="AA94" i="6"/>
  <c r="AD94" i="6" s="1"/>
  <c r="V95" i="4" s="1"/>
  <c r="AA100" i="6"/>
  <c r="AD100" i="6" s="1"/>
  <c r="V104" i="4" s="1"/>
  <c r="AA178" i="6"/>
  <c r="AD178" i="6" s="1"/>
  <c r="V182" i="4" s="1"/>
  <c r="AA171" i="6"/>
  <c r="AD171" i="6" s="1"/>
  <c r="V175" i="4" s="1"/>
  <c r="AA209" i="6"/>
  <c r="AD209" i="6" s="1"/>
  <c r="V214" i="4" s="1"/>
  <c r="AA239" i="6"/>
  <c r="AD239" i="6" s="1"/>
  <c r="V245" i="4" s="1"/>
  <c r="AA99" i="6"/>
  <c r="AD99" i="6" s="1"/>
  <c r="V103" i="4" s="1"/>
  <c r="AA106" i="6"/>
  <c r="AD106" i="6" s="1"/>
  <c r="V110" i="4" s="1"/>
  <c r="AA46" i="6"/>
  <c r="AD46" i="6" s="1"/>
  <c r="V46" i="4" s="1"/>
  <c r="AA134" i="6"/>
  <c r="AD134" i="6" s="1"/>
  <c r="V138" i="4" s="1"/>
  <c r="AA56" i="6"/>
  <c r="AD56" i="6" s="1"/>
  <c r="V56" i="4" s="1"/>
  <c r="AA142" i="6"/>
  <c r="AD142" i="6" s="1"/>
  <c r="V146" i="4" s="1"/>
  <c r="AA153" i="6"/>
  <c r="AD153" i="6" s="1"/>
  <c r="V157" i="4" s="1"/>
  <c r="AA132" i="6"/>
  <c r="AD132" i="6" s="1"/>
  <c r="V136" i="4" s="1"/>
  <c r="AA165" i="6"/>
  <c r="AD165" i="6" s="1"/>
  <c r="V169" i="4" s="1"/>
  <c r="AA192" i="6"/>
  <c r="AD192" i="6" s="1"/>
  <c r="V196" i="4" s="1"/>
  <c r="AA221" i="6"/>
  <c r="AD221" i="6" s="1"/>
  <c r="V226" i="4" s="1"/>
  <c r="AA220" i="6"/>
  <c r="AD220" i="6" s="1"/>
  <c r="V225" i="4" s="1"/>
  <c r="AA262" i="6"/>
  <c r="AD262" i="6" s="1"/>
  <c r="V269" i="4" s="1"/>
  <c r="AA238" i="6"/>
  <c r="AD238" i="6" s="1"/>
  <c r="V244" i="4" s="1"/>
  <c r="AA74" i="6"/>
  <c r="AD74" i="6" s="1"/>
  <c r="V75" i="4" s="1"/>
  <c r="AA112" i="6"/>
  <c r="AD112" i="6" s="1"/>
  <c r="V116" i="4" s="1"/>
  <c r="AA174" i="6"/>
  <c r="AD174" i="6" s="1"/>
  <c r="V178" i="4" s="1"/>
  <c r="AA131" i="6"/>
  <c r="AD131" i="6" s="1"/>
  <c r="V135" i="4" s="1"/>
  <c r="AA186" i="6"/>
  <c r="AD186" i="6" s="1"/>
  <c r="V191" i="4" s="1"/>
  <c r="AA223" i="6"/>
  <c r="AD223" i="6" s="1"/>
  <c r="V228" i="4" s="1"/>
  <c r="AA35" i="6"/>
  <c r="AD35" i="6" s="1"/>
  <c r="V35" i="4" s="1"/>
  <c r="AA30" i="6"/>
  <c r="AD30" i="6" s="1"/>
  <c r="V30" i="4" s="1"/>
  <c r="AA81" i="6"/>
  <c r="AD81" i="6" s="1"/>
  <c r="V82" i="4" s="1"/>
  <c r="AA125" i="6"/>
  <c r="AD125" i="6" s="1"/>
  <c r="V129" i="4" s="1"/>
  <c r="AA119" i="6"/>
  <c r="AD119" i="6" s="1"/>
  <c r="V123" i="4" s="1"/>
  <c r="AA183" i="6"/>
  <c r="AD183" i="6" s="1"/>
  <c r="V188" i="4" s="1"/>
  <c r="AA216" i="6"/>
  <c r="AD216" i="6" s="1"/>
  <c r="V221" i="4" s="1"/>
  <c r="AA254" i="6"/>
  <c r="AD254" i="6" s="1"/>
  <c r="V260" i="4" s="1"/>
  <c r="AA39" i="6"/>
  <c r="AD39" i="6" s="1"/>
  <c r="V39" i="4" s="1"/>
  <c r="AA34" i="6"/>
  <c r="AD34" i="6" s="1"/>
  <c r="V34" i="4" s="1"/>
  <c r="AA38" i="6"/>
  <c r="AD38" i="6" s="1"/>
  <c r="V38" i="4" s="1"/>
  <c r="AA70" i="6"/>
  <c r="AD70" i="6" s="1"/>
  <c r="V71" i="4" s="1"/>
  <c r="AA73" i="6"/>
  <c r="AD73" i="6" s="1"/>
  <c r="V74" i="4" s="1"/>
  <c r="AA76" i="6"/>
  <c r="AD76" i="6" s="1"/>
  <c r="V77" i="4" s="1"/>
  <c r="AA117" i="6"/>
  <c r="AD117" i="6" s="1"/>
  <c r="V121" i="4" s="1"/>
  <c r="AA158" i="6"/>
  <c r="AD158" i="6" s="1"/>
  <c r="V162" i="4" s="1"/>
  <c r="AA188" i="6"/>
  <c r="AD188" i="6" s="1"/>
  <c r="V192" i="4" s="1"/>
  <c r="AA160" i="6"/>
  <c r="AD160" i="6" s="1"/>
  <c r="V164" i="4" s="1"/>
  <c r="AA225" i="6"/>
  <c r="AD225" i="6" s="1"/>
  <c r="V230" i="4" s="1"/>
  <c r="AA229" i="6"/>
  <c r="AD229" i="6" s="1"/>
  <c r="V235" i="4" s="1"/>
  <c r="AA224" i="6"/>
  <c r="AD224" i="6" s="1"/>
  <c r="V229" i="4" s="1"/>
  <c r="AA214" i="6"/>
  <c r="AD214" i="6" s="1"/>
  <c r="V219" i="4" s="1"/>
  <c r="AA242" i="6"/>
  <c r="AD242" i="6" s="1"/>
  <c r="V248" i="4" s="1"/>
  <c r="AA79" i="6"/>
  <c r="AD79" i="6" s="1"/>
  <c r="V80" i="4" s="1"/>
  <c r="AA77" i="6"/>
  <c r="AD77" i="6" s="1"/>
  <c r="V78" i="4" s="1"/>
  <c r="AA114" i="6"/>
  <c r="AD114" i="6" s="1"/>
  <c r="V118" i="4" s="1"/>
  <c r="AA64" i="6"/>
  <c r="AD64" i="6" s="1"/>
  <c r="V64" i="4" s="1"/>
  <c r="AA159" i="6"/>
  <c r="AD159" i="6" s="1"/>
  <c r="V163" i="4" s="1"/>
  <c r="AA203" i="6"/>
  <c r="AD203" i="6" s="1"/>
  <c r="V208" i="4" s="1"/>
  <c r="AA249" i="6"/>
  <c r="AD249" i="6" s="1"/>
  <c r="V255" i="4" s="1"/>
  <c r="AA257" i="6"/>
  <c r="AD257" i="6" s="1"/>
  <c r="V263" i="4" s="1"/>
  <c r="AA49" i="6"/>
  <c r="AD49" i="6" s="1"/>
  <c r="V49" i="4" s="1"/>
  <c r="AA65" i="6"/>
  <c r="AD65" i="6" s="1"/>
  <c r="V65" i="4" s="1"/>
  <c r="AA109" i="6"/>
  <c r="AD109" i="6" s="1"/>
  <c r="V113" i="4" s="1"/>
  <c r="AA144" i="6"/>
  <c r="AD144" i="6" s="1"/>
  <c r="V148" i="4" s="1"/>
  <c r="AA191" i="6"/>
  <c r="AD191" i="6" s="1"/>
  <c r="V195" i="4" s="1"/>
  <c r="AA232" i="6"/>
  <c r="AD232" i="6" s="1"/>
  <c r="V238" i="4" s="1"/>
  <c r="AA248" i="6"/>
  <c r="AD248" i="6" s="1"/>
  <c r="V254" i="4" s="1"/>
  <c r="AA32" i="6"/>
  <c r="AD32" i="6" s="1"/>
  <c r="V32" i="4" s="1"/>
  <c r="AA33" i="6"/>
  <c r="AD33" i="6" s="1"/>
  <c r="V33" i="4" s="1"/>
  <c r="AA66" i="6"/>
  <c r="AD66" i="6" s="1"/>
  <c r="V66" i="4" s="1"/>
  <c r="AA69" i="6"/>
  <c r="AD69" i="6" s="1"/>
  <c r="V70" i="4" s="1"/>
  <c r="AA72" i="6"/>
  <c r="AD72" i="6" s="1"/>
  <c r="V73" i="4" s="1"/>
  <c r="AA113" i="6"/>
  <c r="AD113" i="6" s="1"/>
  <c r="V117" i="4" s="1"/>
  <c r="AA157" i="6"/>
  <c r="AD157" i="6" s="1"/>
  <c r="V161" i="4" s="1"/>
  <c r="AA148" i="6"/>
  <c r="AD148" i="6" s="1"/>
  <c r="V152" i="4" s="1"/>
  <c r="AA200" i="6"/>
  <c r="AD200" i="6" s="1"/>
  <c r="V205" i="4" s="1"/>
  <c r="AA195" i="6"/>
  <c r="AD195" i="6" s="1"/>
  <c r="V199" i="4" s="1"/>
  <c r="AA189" i="6"/>
  <c r="AD189" i="6" s="1"/>
  <c r="V193" i="4" s="1"/>
  <c r="AA240" i="6"/>
  <c r="AD240" i="6" s="1"/>
  <c r="V246" i="4" s="1"/>
  <c r="AA226" i="6"/>
  <c r="AD226" i="6" s="1"/>
  <c r="V231" i="4" s="1"/>
  <c r="AA252" i="6"/>
  <c r="AD252" i="6" s="1"/>
  <c r="V258" i="4" s="1"/>
  <c r="AA107" i="6"/>
  <c r="AD107" i="6" s="1"/>
  <c r="V111" i="4" s="1"/>
  <c r="AA121" i="6"/>
  <c r="AD121" i="6" s="1"/>
  <c r="V125" i="4" s="1"/>
  <c r="AA124" i="6"/>
  <c r="AD124" i="6" s="1"/>
  <c r="V128" i="4" s="1"/>
  <c r="AA147" i="6"/>
  <c r="AD147" i="6" s="1"/>
  <c r="V151" i="4" s="1"/>
  <c r="AA258" i="6"/>
  <c r="AD258" i="6" s="1"/>
  <c r="V264" i="4" s="1"/>
  <c r="AA234" i="6"/>
  <c r="AD234" i="6" s="1"/>
  <c r="V240" i="4" s="1"/>
  <c r="AA59" i="6"/>
  <c r="AD59" i="6" s="1"/>
  <c r="V59" i="4" s="1"/>
  <c r="AA42" i="6"/>
  <c r="AD42" i="6" s="1"/>
  <c r="V42" i="4" s="1"/>
  <c r="AA146" i="6"/>
  <c r="AD146" i="6" s="1"/>
  <c r="V150" i="4" s="1"/>
  <c r="AA152" i="6"/>
  <c r="AD152" i="6" s="1"/>
  <c r="V156" i="4" s="1"/>
  <c r="AA161" i="6"/>
  <c r="AD161" i="6" s="1"/>
  <c r="V165" i="4" s="1"/>
  <c r="AA213" i="6"/>
  <c r="AD213" i="6" s="1"/>
  <c r="V218" i="4" s="1"/>
  <c r="AA253" i="6"/>
  <c r="AD253" i="6" s="1"/>
  <c r="V259" i="4" s="1"/>
  <c r="AA251" i="6"/>
  <c r="AD251" i="6" s="1"/>
  <c r="V257" i="4" s="1"/>
  <c r="AA116" i="6"/>
  <c r="AD116" i="6" s="1"/>
  <c r="V120" i="4" s="1"/>
  <c r="AA48" i="6"/>
  <c r="AD48" i="6" s="1"/>
  <c r="V48" i="4" s="1"/>
  <c r="AA52" i="6"/>
  <c r="AD52" i="6" s="1"/>
  <c r="V52" i="4" s="1"/>
  <c r="AA86" i="6"/>
  <c r="AD86" i="6" s="1"/>
  <c r="V87" i="4" s="1"/>
  <c r="AA89" i="6"/>
  <c r="AD89" i="6" s="1"/>
  <c r="V90" i="4" s="1"/>
  <c r="AA92" i="6"/>
  <c r="AD92" i="6" s="1"/>
  <c r="V93" i="4" s="1"/>
  <c r="AA133" i="6"/>
  <c r="AD133" i="6" s="1"/>
  <c r="V137" i="4" s="1"/>
  <c r="AA170" i="6"/>
  <c r="AD170" i="6" s="1"/>
  <c r="V174" i="4" s="1"/>
  <c r="AA127" i="6"/>
  <c r="AD127" i="6" s="1"/>
  <c r="V131" i="4" s="1"/>
  <c r="AA176" i="6"/>
  <c r="AD176" i="6" s="1"/>
  <c r="V180" i="4" s="1"/>
  <c r="AA199" i="6"/>
  <c r="AD199" i="6" s="1"/>
  <c r="V204" i="4" s="1"/>
  <c r="AA193" i="6"/>
  <c r="AD193" i="6" s="1"/>
  <c r="V197" i="4" s="1"/>
  <c r="AA244" i="6"/>
  <c r="AD244" i="6" s="1"/>
  <c r="V250" i="4" s="1"/>
  <c r="AA230" i="6"/>
  <c r="AD230" i="6" s="1"/>
  <c r="V236" i="4" s="1"/>
  <c r="AA256" i="6"/>
  <c r="AD256" i="6" s="1"/>
  <c r="V262" i="4" s="1"/>
  <c r="AA71" i="6"/>
  <c r="AD71" i="6" s="1"/>
  <c r="V72" i="4" s="1"/>
  <c r="AA41" i="6"/>
  <c r="AD41" i="6" s="1"/>
  <c r="V41" i="4" s="1"/>
  <c r="AA90" i="6"/>
  <c r="AD90" i="6" s="1"/>
  <c r="V91" i="4" s="1"/>
  <c r="AA96" i="6"/>
  <c r="AD96" i="6" s="1"/>
  <c r="V98" i="4" s="1"/>
  <c r="AA164" i="6"/>
  <c r="AD164" i="6" s="1"/>
  <c r="V168" i="4" s="1"/>
  <c r="AA202" i="6"/>
  <c r="AD202" i="6" s="1"/>
  <c r="V207" i="4" s="1"/>
  <c r="AA250" i="6"/>
  <c r="AD250" i="6" s="1"/>
  <c r="V256" i="4" s="1"/>
  <c r="AA54" i="6"/>
  <c r="AD54" i="6" s="1"/>
  <c r="V54" i="4" s="1"/>
  <c r="AA63" i="6"/>
  <c r="AD63" i="6" s="1"/>
  <c r="V63" i="4" s="1"/>
  <c r="AA97" i="6"/>
  <c r="AD97" i="6" s="1"/>
  <c r="V99" i="4" s="1"/>
  <c r="AA141" i="6"/>
  <c r="AD141" i="6" s="1"/>
  <c r="V145" i="4" s="1"/>
  <c r="AA135" i="6"/>
  <c r="AD135" i="6" s="1"/>
  <c r="V139" i="4" s="1"/>
  <c r="AA190" i="6"/>
  <c r="AD190" i="6" s="1"/>
  <c r="V194" i="4" s="1"/>
  <c r="AA227" i="6"/>
  <c r="AD227" i="6" s="1"/>
  <c r="V232" i="4" s="1"/>
  <c r="AA36" i="6"/>
  <c r="AD36" i="6" s="1"/>
  <c r="V36" i="4" s="1"/>
  <c r="AA44" i="6"/>
  <c r="AD44" i="6" s="1"/>
  <c r="V44" i="4" s="1"/>
  <c r="AA55" i="6"/>
  <c r="AD55" i="6" s="1"/>
  <c r="V55" i="4" s="1"/>
  <c r="AA82" i="6"/>
  <c r="AD82" i="6" s="1"/>
  <c r="V83" i="4" s="1"/>
  <c r="AA85" i="6"/>
  <c r="AD85" i="6" s="1"/>
  <c r="V86" i="4" s="1"/>
  <c r="AA88" i="6"/>
  <c r="AD88" i="6" s="1"/>
  <c r="V89" i="4" s="1"/>
  <c r="AA129" i="6"/>
  <c r="AD129" i="6" s="1"/>
  <c r="V133" i="4" s="1"/>
  <c r="AA166" i="6"/>
  <c r="AD166" i="6" s="1"/>
  <c r="V170" i="4" s="1"/>
  <c r="AA123" i="6"/>
  <c r="AD123" i="6" s="1"/>
  <c r="V127" i="4" s="1"/>
  <c r="AA172" i="6"/>
  <c r="AD172" i="6" s="1"/>
  <c r="V176" i="4" s="1"/>
  <c r="AA217" i="6"/>
  <c r="AD217" i="6" s="1"/>
  <c r="V222" i="4" s="1"/>
  <c r="AA205" i="6"/>
  <c r="AD205" i="6" s="1"/>
  <c r="V210" i="4" s="1"/>
  <c r="AA215" i="6"/>
  <c r="AD215" i="6" s="1"/>
  <c r="V220" i="4" s="1"/>
  <c r="AA237" i="6"/>
  <c r="AD237" i="6" s="1"/>
  <c r="V243" i="4" s="1"/>
  <c r="AA255" i="6"/>
  <c r="AD255" i="6" s="1"/>
  <c r="V261" i="4" s="1"/>
  <c r="AA51" i="6"/>
  <c r="AD51" i="6" s="1"/>
  <c r="V51" i="4" s="1"/>
  <c r="AA130" i="6"/>
  <c r="AD130" i="6" s="1"/>
  <c r="V134" i="4" s="1"/>
  <c r="AA151" i="6"/>
  <c r="AD151" i="6" s="1"/>
  <c r="V155" i="4" s="1"/>
  <c r="AA140" i="6"/>
  <c r="AD140" i="6" s="1"/>
  <c r="V144" i="4" s="1"/>
  <c r="AA173" i="6"/>
  <c r="AD173" i="6" s="1"/>
  <c r="V177" i="4" s="1"/>
  <c r="AA208" i="6"/>
  <c r="AD208" i="6" s="1"/>
  <c r="V213" i="4" s="1"/>
  <c r="AA247" i="6"/>
  <c r="AD247" i="6" s="1"/>
  <c r="V253" i="4" s="1"/>
  <c r="AA29" i="6"/>
  <c r="V29" i="4" s="1"/>
  <c r="AA78" i="6"/>
  <c r="AD78" i="6" s="1"/>
  <c r="V79" i="4" s="1"/>
  <c r="AA84" i="6"/>
  <c r="AD84" i="6" s="1"/>
  <c r="V85" i="4" s="1"/>
  <c r="AA162" i="6"/>
  <c r="AD162" i="6" s="1"/>
  <c r="V166" i="4" s="1"/>
  <c r="AA177" i="6"/>
  <c r="AD177" i="6" s="1"/>
  <c r="V181" i="4" s="1"/>
  <c r="AA206" i="6"/>
  <c r="AD206" i="6" s="1"/>
  <c r="V211" i="4" s="1"/>
  <c r="AA261" i="6"/>
  <c r="AD261" i="6" s="1"/>
  <c r="V268" i="4" s="1"/>
  <c r="AA108" i="6"/>
  <c r="AD108" i="6" s="1"/>
  <c r="V112" i="4" s="1"/>
  <c r="AA75" i="6"/>
  <c r="AD75" i="6" s="1"/>
  <c r="V76" i="4" s="1"/>
  <c r="AA47" i="6"/>
  <c r="AD47" i="6" s="1"/>
  <c r="V47" i="4" s="1"/>
  <c r="AA95" i="6"/>
  <c r="AD95" i="6" s="1"/>
  <c r="V96" i="4" s="1"/>
  <c r="AA102" i="6"/>
  <c r="AD102" i="6" s="1"/>
  <c r="V106" i="4" s="1"/>
  <c r="AA110" i="6"/>
  <c r="AD110" i="6" s="1"/>
  <c r="V114" i="4" s="1"/>
  <c r="AA111" i="6"/>
  <c r="AD111" i="6" s="1"/>
  <c r="V115" i="4" s="1"/>
  <c r="AA149" i="6"/>
  <c r="AD149" i="6" s="1"/>
  <c r="V153" i="4" s="1"/>
  <c r="AA120" i="6"/>
  <c r="AD120" i="6" s="1"/>
  <c r="V124" i="4" s="1"/>
  <c r="AA143" i="6"/>
  <c r="AD143" i="6" s="1"/>
  <c r="V147" i="4" s="1"/>
  <c r="AA163" i="6"/>
  <c r="AD163" i="6" s="1"/>
  <c r="V167" i="4" s="1"/>
  <c r="AA182" i="6"/>
  <c r="AD182" i="6" s="1"/>
  <c r="V187" i="4" s="1"/>
  <c r="AA207" i="6"/>
  <c r="AD207" i="6" s="1"/>
  <c r="V212" i="4" s="1"/>
  <c r="AA219" i="6"/>
  <c r="AD219" i="6" s="1"/>
  <c r="V224" i="4" s="1"/>
  <c r="AA241" i="6"/>
  <c r="AD241" i="6" s="1"/>
  <c r="V247" i="4" s="1"/>
  <c r="AA259" i="6"/>
  <c r="AD259" i="6" s="1"/>
  <c r="V266" i="4" s="1"/>
  <c r="AA45" i="6"/>
  <c r="AD45" i="6" s="1"/>
  <c r="V45" i="4" s="1"/>
  <c r="AA37" i="6"/>
  <c r="AD37" i="6" s="1"/>
  <c r="V37" i="4" s="1"/>
  <c r="AA61" i="6"/>
  <c r="AD61" i="6" s="1"/>
  <c r="V61" i="4" s="1"/>
  <c r="AA105" i="6"/>
  <c r="AD105" i="6" s="1"/>
  <c r="V109" i="4" s="1"/>
  <c r="AA167" i="6"/>
  <c r="AD167" i="6" s="1"/>
  <c r="V171" i="4" s="1"/>
  <c r="AA197" i="6"/>
  <c r="AD197" i="6" s="1"/>
  <c r="V201" i="4" s="1"/>
  <c r="AA218" i="6"/>
  <c r="AD218" i="6" s="1"/>
  <c r="V223" i="4" s="1"/>
  <c r="AA91" i="6"/>
  <c r="AD91" i="6" s="1"/>
  <c r="V92" i="4" s="1"/>
  <c r="AA62" i="6"/>
  <c r="AD62" i="6" s="1"/>
  <c r="V62" i="4" s="1"/>
  <c r="AA68" i="6"/>
  <c r="AD68" i="6" s="1"/>
  <c r="V68" i="4" s="1"/>
  <c r="AA156" i="6"/>
  <c r="AD156" i="6" s="1"/>
  <c r="V160" i="4" s="1"/>
  <c r="AA168" i="6"/>
  <c r="AD168" i="6" s="1"/>
  <c r="V172" i="4" s="1"/>
  <c r="AA185" i="6"/>
  <c r="AD185" i="6" s="1"/>
  <c r="V190" i="4" s="1"/>
  <c r="AA222" i="6"/>
  <c r="AD222" i="6" s="1"/>
  <c r="V227" i="4" s="1"/>
  <c r="AA67" i="6"/>
  <c r="AD67" i="6" s="1"/>
  <c r="V67" i="4" s="1"/>
  <c r="AA43" i="6"/>
  <c r="AD43" i="6" s="1"/>
  <c r="V43" i="4" s="1"/>
  <c r="AA87" i="6"/>
  <c r="AD87" i="6" s="1"/>
  <c r="V88" i="4" s="1"/>
  <c r="AA98" i="6"/>
  <c r="AD98" i="6" s="1"/>
  <c r="V100" i="4" s="1"/>
  <c r="AA101" i="6"/>
  <c r="AD101" i="6" s="1"/>
  <c r="V105" i="4" s="1"/>
  <c r="AA104" i="6"/>
  <c r="AD104" i="6" s="1"/>
  <c r="V108" i="4" s="1"/>
  <c r="AA145" i="6"/>
  <c r="AD145" i="6" s="1"/>
  <c r="V149" i="4" s="1"/>
  <c r="AA184" i="6"/>
  <c r="AD184" i="6" s="1"/>
  <c r="V189" i="4" s="1"/>
  <c r="AA139" i="6"/>
  <c r="AD139" i="6" s="1"/>
  <c r="V143" i="4" s="1"/>
  <c r="AA233" i="6"/>
  <c r="AD233" i="6" s="1"/>
  <c r="V239" i="4" s="1"/>
  <c r="AA194" i="6"/>
  <c r="AD194" i="6" s="1"/>
  <c r="V198" i="4" s="1"/>
  <c r="AA210" i="6"/>
  <c r="AD210" i="6" s="1"/>
  <c r="V215" i="4" s="1"/>
  <c r="AA231" i="6"/>
  <c r="AD231" i="6" s="1"/>
  <c r="V237" i="4" s="1"/>
  <c r="AA243" i="6"/>
  <c r="AD243" i="6" s="1"/>
  <c r="V249" i="4" s="1"/>
  <c r="AA122" i="6"/>
  <c r="AD122" i="6" s="1"/>
  <c r="V126" i="4" s="1"/>
  <c r="AA57" i="6"/>
  <c r="AD57" i="6" s="1"/>
  <c r="V57" i="4" s="1"/>
  <c r="AA80" i="6"/>
  <c r="AD80" i="6" s="1"/>
  <c r="V81" i="4" s="1"/>
  <c r="AA155" i="6"/>
  <c r="AD155" i="6" s="1"/>
  <c r="V159" i="4" s="1"/>
  <c r="AA115" i="6"/>
  <c r="AD115" i="6" s="1"/>
  <c r="V119" i="4" s="1"/>
  <c r="AA181" i="6"/>
  <c r="AD181" i="6" s="1"/>
  <c r="V186" i="4" s="1"/>
  <c r="AA228" i="6"/>
  <c r="AD228" i="6" s="1"/>
  <c r="V234" i="4" s="1"/>
  <c r="AA260" i="6"/>
  <c r="AD260" i="6" s="1"/>
  <c r="V267" i="4" s="1"/>
  <c r="AA83" i="6"/>
  <c r="AD83" i="6" s="1"/>
  <c r="V84" i="4" s="1"/>
  <c r="AA118" i="6"/>
  <c r="AD118" i="6" s="1"/>
  <c r="V122" i="4" s="1"/>
  <c r="AA126" i="6"/>
  <c r="AD126" i="6" s="1"/>
  <c r="V130" i="4" s="1"/>
  <c r="AA128" i="6"/>
  <c r="AD128" i="6" s="1"/>
  <c r="V132" i="4" s="1"/>
  <c r="AA196" i="6"/>
  <c r="AD196" i="6" s="1"/>
  <c r="V200" i="4" s="1"/>
  <c r="AA201" i="6"/>
  <c r="AD201" i="6" s="1"/>
  <c r="V206" i="4" s="1"/>
  <c r="AA236" i="6"/>
  <c r="AD236" i="6" s="1"/>
  <c r="V242" i="4" s="1"/>
  <c r="AA28" i="6"/>
  <c r="AD28" i="6" s="1"/>
  <c r="V28" i="4" s="1"/>
  <c r="AA103" i="6"/>
  <c r="AD103" i="6" s="1"/>
  <c r="V107" i="4" s="1"/>
  <c r="AA150" i="6"/>
  <c r="AD150" i="6" s="1"/>
  <c r="V154" i="4" s="1"/>
  <c r="AA50" i="6"/>
  <c r="AD50" i="6" s="1"/>
  <c r="V50" i="4" s="1"/>
  <c r="AA138" i="6"/>
  <c r="AD138" i="6" s="1"/>
  <c r="V142" i="4" s="1"/>
  <c r="AA60" i="6"/>
  <c r="AD60" i="6" s="1"/>
  <c r="V60" i="4" s="1"/>
  <c r="AA204" i="6"/>
  <c r="AD204" i="6" s="1"/>
  <c r="V209" i="4" s="1"/>
  <c r="AA154" i="6"/>
  <c r="AD154" i="6" s="1"/>
  <c r="V158" i="4" s="1"/>
  <c r="AA136" i="6"/>
  <c r="AD136" i="6" s="1"/>
  <c r="V140" i="4" s="1"/>
  <c r="AA169" i="6"/>
  <c r="AD169" i="6" s="1"/>
  <c r="V173" i="4" s="1"/>
  <c r="AA179" i="6"/>
  <c r="AD179" i="6" s="1"/>
  <c r="V183" i="4" s="1"/>
  <c r="AA198" i="6"/>
  <c r="AD198" i="6" s="1"/>
  <c r="V202" i="4" s="1"/>
  <c r="AA211" i="6"/>
  <c r="AD211" i="6" s="1"/>
  <c r="V216" i="4" s="1"/>
  <c r="AA235" i="6"/>
  <c r="AD235" i="6" s="1"/>
  <c r="V241" i="4" s="1"/>
  <c r="AA246" i="6"/>
  <c r="AD246" i="6" s="1"/>
  <c r="V252" i="4" s="1"/>
  <c r="AA26" i="6"/>
  <c r="AD26" i="6" l="1"/>
  <c r="AA23" i="6"/>
  <c r="AD24" i="6" l="1"/>
  <c r="V26" i="4"/>
  <c r="F241" i="5" l="1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N3" i="5"/>
  <c r="I3" i="5"/>
  <c r="G3" i="5"/>
  <c r="E3" i="5"/>
  <c r="I2" i="5" l="1"/>
  <c r="J19" i="5" s="1"/>
  <c r="J6" i="5"/>
  <c r="K6" i="5" s="1"/>
  <c r="J14" i="5"/>
  <c r="K14" i="5" s="1"/>
  <c r="J22" i="5"/>
  <c r="K22" i="5" s="1"/>
  <c r="J27" i="5"/>
  <c r="K27" i="5" s="1"/>
  <c r="J35" i="5"/>
  <c r="K35" i="5" s="1"/>
  <c r="J143" i="5"/>
  <c r="K143" i="5" s="1"/>
  <c r="J237" i="5"/>
  <c r="K237" i="5" s="1"/>
  <c r="J229" i="5"/>
  <c r="J221" i="5"/>
  <c r="K221" i="5" s="1"/>
  <c r="J213" i="5"/>
  <c r="J205" i="5"/>
  <c r="J197" i="5"/>
  <c r="J189" i="5"/>
  <c r="J234" i="5"/>
  <c r="J226" i="5"/>
  <c r="J218" i="5"/>
  <c r="J210" i="5"/>
  <c r="J202" i="5"/>
  <c r="J194" i="5"/>
  <c r="J235" i="5"/>
  <c r="J227" i="5"/>
  <c r="K227" i="5" s="1"/>
  <c r="J219" i="5"/>
  <c r="J211" i="5"/>
  <c r="J203" i="5"/>
  <c r="J195" i="5"/>
  <c r="K195" i="5" s="1"/>
  <c r="J187" i="5"/>
  <c r="J232" i="5"/>
  <c r="J216" i="5"/>
  <c r="K216" i="5" s="1"/>
  <c r="J200" i="5"/>
  <c r="J175" i="5"/>
  <c r="J167" i="5"/>
  <c r="J159" i="5"/>
  <c r="J190" i="5"/>
  <c r="K190" i="5" s="1"/>
  <c r="J186" i="5"/>
  <c r="J178" i="5"/>
  <c r="J176" i="5"/>
  <c r="K176" i="5" s="1"/>
  <c r="J168" i="5"/>
  <c r="J160" i="5"/>
  <c r="J228" i="5"/>
  <c r="K228" i="5" s="1"/>
  <c r="J212" i="5"/>
  <c r="J196" i="5"/>
  <c r="K196" i="5" s="1"/>
  <c r="J180" i="5"/>
  <c r="J173" i="5"/>
  <c r="K173" i="5" s="1"/>
  <c r="J165" i="5"/>
  <c r="J157" i="5"/>
  <c r="J153" i="5"/>
  <c r="J145" i="5"/>
  <c r="J137" i="5"/>
  <c r="J129" i="5"/>
  <c r="K129" i="5" s="1"/>
  <c r="J121" i="5"/>
  <c r="J170" i="5"/>
  <c r="K170" i="5" s="1"/>
  <c r="J156" i="5"/>
  <c r="J150" i="5"/>
  <c r="K150" i="5" s="1"/>
  <c r="J142" i="5"/>
  <c r="J128" i="5"/>
  <c r="J112" i="5"/>
  <c r="J104" i="5"/>
  <c r="J96" i="5"/>
  <c r="J88" i="5"/>
  <c r="J80" i="5"/>
  <c r="J72" i="5"/>
  <c r="K72" i="5" s="1"/>
  <c r="J64" i="5"/>
  <c r="J56" i="5"/>
  <c r="K56" i="5" s="1"/>
  <c r="J48" i="5"/>
  <c r="J40" i="5"/>
  <c r="K40" i="5" s="1"/>
  <c r="J174" i="5"/>
  <c r="K174" i="5" s="1"/>
  <c r="J138" i="5"/>
  <c r="K138" i="5" s="1"/>
  <c r="J130" i="5"/>
  <c r="K130" i="5" s="1"/>
  <c r="J122" i="5"/>
  <c r="J113" i="5"/>
  <c r="J105" i="5"/>
  <c r="J97" i="5"/>
  <c r="J89" i="5"/>
  <c r="K89" i="5" s="1"/>
  <c r="J81" i="5"/>
  <c r="J73" i="5"/>
  <c r="K73" i="5" s="1"/>
  <c r="J65" i="5"/>
  <c r="J57" i="5"/>
  <c r="K57" i="5" s="1"/>
  <c r="J49" i="5"/>
  <c r="J41" i="5"/>
  <c r="J140" i="5"/>
  <c r="J124" i="5"/>
  <c r="K124" i="5" s="1"/>
  <c r="J36" i="5"/>
  <c r="K36" i="5" s="1"/>
  <c r="J151" i="5"/>
  <c r="J131" i="5"/>
  <c r="J114" i="5"/>
  <c r="K114" i="5" s="1"/>
  <c r="J110" i="5"/>
  <c r="J106" i="5"/>
  <c r="K106" i="5" s="1"/>
  <c r="J102" i="5"/>
  <c r="J98" i="5"/>
  <c r="J94" i="5"/>
  <c r="J90" i="5"/>
  <c r="J86" i="5"/>
  <c r="J82" i="5"/>
  <c r="J78" i="5"/>
  <c r="J74" i="5"/>
  <c r="J70" i="5"/>
  <c r="J66" i="5"/>
  <c r="J62" i="5"/>
  <c r="J58" i="5"/>
  <c r="J54" i="5"/>
  <c r="J50" i="5"/>
  <c r="J46" i="5"/>
  <c r="J42" i="5"/>
  <c r="K42" i="5" s="1"/>
  <c r="J132" i="5"/>
  <c r="J116" i="5"/>
  <c r="J34" i="5"/>
  <c r="J26" i="5"/>
  <c r="K26" i="5" s="1"/>
  <c r="J9" i="5"/>
  <c r="J17" i="5"/>
  <c r="J25" i="5"/>
  <c r="K25" i="5" s="1"/>
  <c r="K232" i="5"/>
  <c r="K212" i="5"/>
  <c r="K200" i="5"/>
  <c r="K205" i="5"/>
  <c r="K210" i="5"/>
  <c r="K194" i="5"/>
  <c r="K211" i="5"/>
  <c r="K189" i="5"/>
  <c r="K167" i="5"/>
  <c r="K128" i="5"/>
  <c r="K116" i="5"/>
  <c r="K145" i="5"/>
  <c r="K151" i="5"/>
  <c r="K104" i="5"/>
  <c r="K88" i="5"/>
  <c r="K157" i="5"/>
  <c r="K105" i="5"/>
  <c r="K98" i="5"/>
  <c r="K90" i="5"/>
  <c r="K82" i="5"/>
  <c r="K74" i="5"/>
  <c r="K66" i="5"/>
  <c r="K58" i="5"/>
  <c r="K50" i="5"/>
  <c r="K41" i="5"/>
  <c r="J7" i="5"/>
  <c r="J11" i="5"/>
  <c r="J15" i="5"/>
  <c r="F3" i="5"/>
  <c r="J8" i="5"/>
  <c r="J12" i="5"/>
  <c r="J16" i="5"/>
  <c r="K19" i="5"/>
  <c r="J20" i="5"/>
  <c r="J23" i="5"/>
  <c r="K23" i="5" s="1"/>
  <c r="J28" i="5"/>
  <c r="J31" i="5"/>
  <c r="K31" i="5" s="1"/>
  <c r="J39" i="5"/>
  <c r="K122" i="5"/>
  <c r="J139" i="5"/>
  <c r="J152" i="5"/>
  <c r="J166" i="5"/>
  <c r="K166" i="5" s="1"/>
  <c r="K178" i="5"/>
  <c r="K168" i="5"/>
  <c r="K186" i="5"/>
  <c r="K226" i="5"/>
  <c r="J33" i="5" l="1"/>
  <c r="J13" i="5"/>
  <c r="J30" i="5"/>
  <c r="J126" i="5"/>
  <c r="K126" i="5" s="1"/>
  <c r="J43" i="5"/>
  <c r="K43" i="5" s="1"/>
  <c r="J51" i="5"/>
  <c r="J59" i="5"/>
  <c r="K59" i="5" s="1"/>
  <c r="J67" i="5"/>
  <c r="K67" i="5" s="1"/>
  <c r="J75" i="5"/>
  <c r="K75" i="5" s="1"/>
  <c r="J83" i="5"/>
  <c r="J91" i="5"/>
  <c r="K91" i="5" s="1"/>
  <c r="J99" i="5"/>
  <c r="J107" i="5"/>
  <c r="K107" i="5" s="1"/>
  <c r="J115" i="5"/>
  <c r="J155" i="5"/>
  <c r="K155" i="5" s="1"/>
  <c r="J134" i="5"/>
  <c r="K134" i="5" s="1"/>
  <c r="J45" i="5"/>
  <c r="K45" i="5" s="1"/>
  <c r="J61" i="5"/>
  <c r="K61" i="5" s="1"/>
  <c r="J77" i="5"/>
  <c r="K77" i="5" s="1"/>
  <c r="J93" i="5"/>
  <c r="K93" i="5" s="1"/>
  <c r="P93" i="5" s="1"/>
  <c r="J109" i="5"/>
  <c r="K109" i="5" s="1"/>
  <c r="J127" i="5"/>
  <c r="K127" i="5" s="1"/>
  <c r="J158" i="5"/>
  <c r="K158" i="5" s="1"/>
  <c r="J44" i="5"/>
  <c r="K44" i="5" s="1"/>
  <c r="P44" i="5" s="1"/>
  <c r="J60" i="5"/>
  <c r="K60" i="5" s="1"/>
  <c r="J76" i="5"/>
  <c r="K76" i="5" s="1"/>
  <c r="J92" i="5"/>
  <c r="K92" i="5" s="1"/>
  <c r="J108" i="5"/>
  <c r="K108" i="5" s="1"/>
  <c r="P108" i="5" s="1"/>
  <c r="J136" i="5"/>
  <c r="K136" i="5" s="1"/>
  <c r="J154" i="5"/>
  <c r="K154" i="5" s="1"/>
  <c r="J117" i="5"/>
  <c r="J133" i="5"/>
  <c r="K133" i="5" s="1"/>
  <c r="P133" i="5" s="1"/>
  <c r="J149" i="5"/>
  <c r="K149" i="5" s="1"/>
  <c r="J161" i="5"/>
  <c r="J179" i="5"/>
  <c r="K179" i="5" s="1"/>
  <c r="J204" i="5"/>
  <c r="K204" i="5" s="1"/>
  <c r="P204" i="5" s="1"/>
  <c r="J236" i="5"/>
  <c r="K236" i="5" s="1"/>
  <c r="J172" i="5"/>
  <c r="K172" i="5" s="1"/>
  <c r="J183" i="5"/>
  <c r="K183" i="5" s="1"/>
  <c r="J192" i="5"/>
  <c r="K192" i="5" s="1"/>
  <c r="M192" i="5" s="1"/>
  <c r="O192" i="5" s="1"/>
  <c r="U95" i="4" s="1"/>
  <c r="J171" i="5"/>
  <c r="K171" i="5" s="1"/>
  <c r="J208" i="5"/>
  <c r="K208" i="5" s="1"/>
  <c r="J240" i="5"/>
  <c r="K240" i="5" s="1"/>
  <c r="J199" i="5"/>
  <c r="J215" i="5"/>
  <c r="K215" i="5" s="1"/>
  <c r="J231" i="5"/>
  <c r="K231" i="5" s="1"/>
  <c r="J198" i="5"/>
  <c r="K198" i="5" s="1"/>
  <c r="J214" i="5"/>
  <c r="K214" i="5" s="1"/>
  <c r="P214" i="5" s="1"/>
  <c r="J230" i="5"/>
  <c r="K230" i="5" s="1"/>
  <c r="J193" i="5"/>
  <c r="J209" i="5"/>
  <c r="J225" i="5"/>
  <c r="J241" i="5"/>
  <c r="J32" i="5"/>
  <c r="K32" i="5" s="1"/>
  <c r="J18" i="5"/>
  <c r="K18" i="5" s="1"/>
  <c r="J148" i="5"/>
  <c r="K148" i="5" s="1"/>
  <c r="M148" i="5" s="1"/>
  <c r="O148" i="5" s="1"/>
  <c r="U221" i="4" s="1"/>
  <c r="J21" i="5"/>
  <c r="J5" i="5"/>
  <c r="J38" i="5"/>
  <c r="K38" i="5" s="1"/>
  <c r="J37" i="5"/>
  <c r="K37" i="5" s="1"/>
  <c r="M37" i="5" s="1"/>
  <c r="O37" i="5" s="1"/>
  <c r="U226" i="4" s="1"/>
  <c r="J47" i="5"/>
  <c r="K47" i="5" s="1"/>
  <c r="J55" i="5"/>
  <c r="K55" i="5" s="1"/>
  <c r="J63" i="5"/>
  <c r="K63" i="5" s="1"/>
  <c r="J71" i="5"/>
  <c r="K71" i="5" s="1"/>
  <c r="M71" i="5" s="1"/>
  <c r="O71" i="5" s="1"/>
  <c r="U182" i="4" s="1"/>
  <c r="J79" i="5"/>
  <c r="K79" i="5" s="1"/>
  <c r="J87" i="5"/>
  <c r="K87" i="5" s="1"/>
  <c r="J95" i="5"/>
  <c r="K95" i="5" s="1"/>
  <c r="J103" i="5"/>
  <c r="K103" i="5" s="1"/>
  <c r="M103" i="5" s="1"/>
  <c r="O103" i="5" s="1"/>
  <c r="U70" i="4" s="1"/>
  <c r="J111" i="5"/>
  <c r="K111" i="5" s="1"/>
  <c r="J147" i="5"/>
  <c r="K147" i="5" s="1"/>
  <c r="J118" i="5"/>
  <c r="K118" i="5" s="1"/>
  <c r="J144" i="5"/>
  <c r="K144" i="5" s="1"/>
  <c r="M144" i="5" s="1"/>
  <c r="O144" i="5" s="1"/>
  <c r="U180" i="4" s="1"/>
  <c r="J53" i="5"/>
  <c r="K53" i="5" s="1"/>
  <c r="J69" i="5"/>
  <c r="K69" i="5" s="1"/>
  <c r="J85" i="5"/>
  <c r="K85" i="5" s="1"/>
  <c r="J101" i="5"/>
  <c r="K101" i="5" s="1"/>
  <c r="P101" i="5" s="1"/>
  <c r="J119" i="5"/>
  <c r="K119" i="5" s="1"/>
  <c r="J135" i="5"/>
  <c r="K135" i="5" s="1"/>
  <c r="J181" i="5"/>
  <c r="K181" i="5" s="1"/>
  <c r="J52" i="5"/>
  <c r="K52" i="5" s="1"/>
  <c r="P52" i="5" s="1"/>
  <c r="J68" i="5"/>
  <c r="K68" i="5" s="1"/>
  <c r="J84" i="5"/>
  <c r="K84" i="5" s="1"/>
  <c r="J100" i="5"/>
  <c r="K100" i="5" s="1"/>
  <c r="J120" i="5"/>
  <c r="K120" i="5" s="1"/>
  <c r="P120" i="5" s="1"/>
  <c r="J146" i="5"/>
  <c r="K146" i="5" s="1"/>
  <c r="J162" i="5"/>
  <c r="K162" i="5" s="1"/>
  <c r="J125" i="5"/>
  <c r="K125" i="5" s="1"/>
  <c r="J141" i="5"/>
  <c r="K141" i="5" s="1"/>
  <c r="P141" i="5" s="1"/>
  <c r="J185" i="5"/>
  <c r="K185" i="5" s="1"/>
  <c r="J169" i="5"/>
  <c r="K169" i="5" s="1"/>
  <c r="J184" i="5"/>
  <c r="K184" i="5" s="1"/>
  <c r="J220" i="5"/>
  <c r="K220" i="5" s="1"/>
  <c r="M220" i="5" s="1"/>
  <c r="O220" i="5" s="1"/>
  <c r="U107" i="4" s="1"/>
  <c r="J164" i="5"/>
  <c r="K164" i="5" s="1"/>
  <c r="J177" i="5"/>
  <c r="K177" i="5" s="1"/>
  <c r="J188" i="5"/>
  <c r="K188" i="5" s="1"/>
  <c r="J163" i="5"/>
  <c r="K163" i="5" s="1"/>
  <c r="P163" i="5" s="1"/>
  <c r="J182" i="5"/>
  <c r="K182" i="5" s="1"/>
  <c r="J224" i="5"/>
  <c r="K224" i="5" s="1"/>
  <c r="J191" i="5"/>
  <c r="K191" i="5" s="1"/>
  <c r="J207" i="5"/>
  <c r="K207" i="5" s="1"/>
  <c r="M207" i="5" s="1"/>
  <c r="O207" i="5" s="1"/>
  <c r="U86" i="4" s="1"/>
  <c r="J223" i="5"/>
  <c r="K223" i="5" s="1"/>
  <c r="J239" i="5"/>
  <c r="K239" i="5" s="1"/>
  <c r="J206" i="5"/>
  <c r="K206" i="5" s="1"/>
  <c r="J222" i="5"/>
  <c r="K222" i="5" s="1"/>
  <c r="P222" i="5" s="1"/>
  <c r="J238" i="5"/>
  <c r="K238" i="5" s="1"/>
  <c r="J201" i="5"/>
  <c r="K201" i="5" s="1"/>
  <c r="J217" i="5"/>
  <c r="K217" i="5" s="1"/>
  <c r="J233" i="5"/>
  <c r="K233" i="5" s="1"/>
  <c r="P233" i="5" s="1"/>
  <c r="J29" i="5"/>
  <c r="K29" i="5" s="1"/>
  <c r="J123" i="5"/>
  <c r="K123" i="5" s="1"/>
  <c r="J24" i="5"/>
  <c r="J10" i="5"/>
  <c r="K10" i="5" s="1"/>
  <c r="M10" i="5" s="1"/>
  <c r="O10" i="5" s="1"/>
  <c r="U151" i="4" s="1"/>
  <c r="K7" i="5"/>
  <c r="K16" i="5"/>
  <c r="K9" i="5"/>
  <c r="K15" i="5"/>
  <c r="P15" i="5" s="1"/>
  <c r="K24" i="5"/>
  <c r="M24" i="5" s="1"/>
  <c r="O24" i="5" s="1"/>
  <c r="U206" i="4" s="1"/>
  <c r="K65" i="5"/>
  <c r="K81" i="5"/>
  <c r="K117" i="5"/>
  <c r="P117" i="5" s="1"/>
  <c r="K165" i="5"/>
  <c r="M165" i="5" s="1"/>
  <c r="O165" i="5" s="1"/>
  <c r="U176" i="4" s="1"/>
  <c r="K142" i="5"/>
  <c r="K153" i="5"/>
  <c r="P153" i="5" s="1"/>
  <c r="K140" i="5"/>
  <c r="M140" i="5" s="1"/>
  <c r="O140" i="5" s="1"/>
  <c r="U42" i="4" s="1"/>
  <c r="K161" i="5"/>
  <c r="K159" i="5"/>
  <c r="K175" i="5"/>
  <c r="P175" i="5" s="1"/>
  <c r="K219" i="5"/>
  <c r="M219" i="5" s="1"/>
  <c r="O219" i="5" s="1"/>
  <c r="U110" i="4" s="1"/>
  <c r="K193" i="5"/>
  <c r="K209" i="5"/>
  <c r="K225" i="5"/>
  <c r="P225" i="5" s="1"/>
  <c r="K241" i="5"/>
  <c r="L241" i="5" s="1"/>
  <c r="M241" i="5" s="1"/>
  <c r="O241" i="5" s="1"/>
  <c r="U204" i="4" s="1"/>
  <c r="K8" i="5"/>
  <c r="K17" i="5"/>
  <c r="K49" i="5"/>
  <c r="M49" i="5" s="1"/>
  <c r="O49" i="5" s="1"/>
  <c r="U81" i="4" s="1"/>
  <c r="K97" i="5"/>
  <c r="P97" i="5" s="1"/>
  <c r="K113" i="5"/>
  <c r="K39" i="5"/>
  <c r="K199" i="5"/>
  <c r="M199" i="5" s="1"/>
  <c r="O199" i="5" s="1"/>
  <c r="U72" i="4" s="1"/>
  <c r="K51" i="5"/>
  <c r="M51" i="5" s="1"/>
  <c r="O51" i="5" s="1"/>
  <c r="K83" i="5"/>
  <c r="K99" i="5"/>
  <c r="M99" i="5" s="1"/>
  <c r="O99" i="5" s="1"/>
  <c r="U88" i="4" s="1"/>
  <c r="K115" i="5"/>
  <c r="M115" i="5" s="1"/>
  <c r="O115" i="5" s="1"/>
  <c r="U215" i="4" s="1"/>
  <c r="K180" i="5"/>
  <c r="K30" i="5"/>
  <c r="K21" i="5"/>
  <c r="P21" i="5" s="1"/>
  <c r="K13" i="5"/>
  <c r="P13" i="5" s="1"/>
  <c r="K5" i="5"/>
  <c r="K132" i="5"/>
  <c r="K160" i="5"/>
  <c r="M160" i="5" s="1"/>
  <c r="O160" i="5" s="1"/>
  <c r="U27" i="4" s="1"/>
  <c r="K202" i="5"/>
  <c r="P202" i="5" s="1"/>
  <c r="K218" i="5"/>
  <c r="M218" i="5" s="1"/>
  <c r="O218" i="5" s="1"/>
  <c r="U108" i="4" s="1"/>
  <c r="K234" i="5"/>
  <c r="M6" i="5"/>
  <c r="O6" i="5" s="1"/>
  <c r="U242" i="4" s="1"/>
  <c r="P6" i="5"/>
  <c r="M116" i="5"/>
  <c r="O116" i="5" s="1"/>
  <c r="U152" i="4" s="1"/>
  <c r="P116" i="5"/>
  <c r="P30" i="5"/>
  <c r="M30" i="5"/>
  <c r="O30" i="5" s="1"/>
  <c r="U241" i="4" s="1"/>
  <c r="P23" i="5"/>
  <c r="M23" i="5"/>
  <c r="O23" i="5" s="1"/>
  <c r="U162" i="4" s="1"/>
  <c r="M132" i="5"/>
  <c r="O132" i="5" s="1"/>
  <c r="U164" i="4" s="1"/>
  <c r="P132" i="5"/>
  <c r="P36" i="5"/>
  <c r="M36" i="5"/>
  <c r="O36" i="5" s="1"/>
  <c r="U217" i="4" s="1"/>
  <c r="P160" i="5"/>
  <c r="P234" i="5"/>
  <c r="M234" i="5"/>
  <c r="O234" i="5" s="1"/>
  <c r="U234" i="4" s="1"/>
  <c r="M18" i="5"/>
  <c r="O18" i="5" s="1"/>
  <c r="U210" i="4" s="1"/>
  <c r="P18" i="5"/>
  <c r="M31" i="5"/>
  <c r="O31" i="5" s="1"/>
  <c r="U109" i="4" s="1"/>
  <c r="P31" i="5"/>
  <c r="P29" i="5"/>
  <c r="M29" i="5"/>
  <c r="O29" i="5" s="1"/>
  <c r="U125" i="4" s="1"/>
  <c r="P41" i="5"/>
  <c r="M41" i="5"/>
  <c r="O41" i="5" s="1"/>
  <c r="U219" i="4" s="1"/>
  <c r="P57" i="5"/>
  <c r="M57" i="5"/>
  <c r="O57" i="5" s="1"/>
  <c r="U149" i="4" s="1"/>
  <c r="P65" i="5"/>
  <c r="M65" i="5"/>
  <c r="O65" i="5" s="1"/>
  <c r="U258" i="4" s="1"/>
  <c r="P73" i="5"/>
  <c r="M73" i="5"/>
  <c r="O73" i="5" s="1"/>
  <c r="U141" i="4" s="1"/>
  <c r="P81" i="5"/>
  <c r="M81" i="5"/>
  <c r="O81" i="5" s="1"/>
  <c r="U52" i="4" s="1"/>
  <c r="P89" i="5"/>
  <c r="M89" i="5"/>
  <c r="O89" i="5" s="1"/>
  <c r="U118" i="4" s="1"/>
  <c r="P105" i="5"/>
  <c r="M105" i="5"/>
  <c r="O105" i="5" s="1"/>
  <c r="U49" i="4" s="1"/>
  <c r="P113" i="5"/>
  <c r="M113" i="5"/>
  <c r="O113" i="5" s="1"/>
  <c r="U64" i="4" s="1"/>
  <c r="M157" i="5"/>
  <c r="O157" i="5" s="1"/>
  <c r="U185" i="4" s="1"/>
  <c r="P157" i="5"/>
  <c r="P165" i="5"/>
  <c r="P142" i="5"/>
  <c r="M142" i="5"/>
  <c r="O142" i="5" s="1"/>
  <c r="U257" i="4" s="1"/>
  <c r="P150" i="5"/>
  <c r="M150" i="5"/>
  <c r="O150" i="5" s="1"/>
  <c r="U155" i="4" s="1"/>
  <c r="M184" i="5"/>
  <c r="O184" i="5" s="1"/>
  <c r="U261" i="4" s="1"/>
  <c r="P184" i="5"/>
  <c r="M124" i="5"/>
  <c r="O124" i="5" s="1"/>
  <c r="U230" i="4" s="1"/>
  <c r="P124" i="5"/>
  <c r="M161" i="5"/>
  <c r="O161" i="5" s="1"/>
  <c r="U160" i="4" s="1"/>
  <c r="P161" i="5"/>
  <c r="P177" i="5"/>
  <c r="L177" i="5"/>
  <c r="M177" i="5" s="1"/>
  <c r="O177" i="5" s="1"/>
  <c r="U263" i="4" s="1"/>
  <c r="M162" i="5"/>
  <c r="O162" i="5" s="1"/>
  <c r="U238" i="4" s="1"/>
  <c r="P162" i="5"/>
  <c r="M181" i="5"/>
  <c r="O181" i="5" s="1"/>
  <c r="U32" i="4" s="1"/>
  <c r="P181" i="5"/>
  <c r="P210" i="5"/>
  <c r="M210" i="5"/>
  <c r="O210" i="5" s="1"/>
  <c r="U157" i="4" s="1"/>
  <c r="M200" i="5"/>
  <c r="O200" i="5" s="1"/>
  <c r="U133" i="4" s="1"/>
  <c r="P200" i="5"/>
  <c r="M232" i="5"/>
  <c r="O232" i="5" s="1"/>
  <c r="U212" i="4" s="1"/>
  <c r="P232" i="5"/>
  <c r="P17" i="5"/>
  <c r="M17" i="5"/>
  <c r="O17" i="5" s="1"/>
  <c r="U199" i="4" s="1"/>
  <c r="M9" i="5"/>
  <c r="O9" i="5" s="1"/>
  <c r="U117" i="4" s="1"/>
  <c r="P9" i="5"/>
  <c r="P37" i="5"/>
  <c r="P22" i="5"/>
  <c r="M22" i="5"/>
  <c r="O22" i="5" s="1"/>
  <c r="U194" i="4" s="1"/>
  <c r="P39" i="5"/>
  <c r="M39" i="5"/>
  <c r="O39" i="5" s="1"/>
  <c r="U222" i="4" s="1"/>
  <c r="M180" i="5"/>
  <c r="O180" i="5" s="1"/>
  <c r="U74" i="4" s="1"/>
  <c r="P180" i="5"/>
  <c r="M216" i="5"/>
  <c r="O216" i="5" s="1"/>
  <c r="U111" i="4" s="1"/>
  <c r="P216" i="5"/>
  <c r="M186" i="5"/>
  <c r="O186" i="5" s="1"/>
  <c r="U39" i="4" s="1"/>
  <c r="P186" i="5"/>
  <c r="L179" i="5"/>
  <c r="M179" i="5" s="1"/>
  <c r="O179" i="5" s="1"/>
  <c r="U268" i="4" s="1"/>
  <c r="P179" i="5"/>
  <c r="P146" i="5"/>
  <c r="M146" i="5"/>
  <c r="O146" i="5" s="1"/>
  <c r="U44" i="4" s="1"/>
  <c r="M138" i="5"/>
  <c r="O138" i="5" s="1"/>
  <c r="U61" i="4" s="1"/>
  <c r="P138" i="5"/>
  <c r="P45" i="5"/>
  <c r="M45" i="5"/>
  <c r="O45" i="5" s="1"/>
  <c r="U163" i="4" s="1"/>
  <c r="P24" i="5"/>
  <c r="M135" i="5"/>
  <c r="O135" i="5" s="1"/>
  <c r="U68" i="4" s="1"/>
  <c r="P135" i="5"/>
  <c r="P68" i="5"/>
  <c r="M68" i="5"/>
  <c r="O68" i="5" s="1"/>
  <c r="U135" i="4" s="1"/>
  <c r="M63" i="5"/>
  <c r="O63" i="5" s="1"/>
  <c r="U112" i="4" s="1"/>
  <c r="P63" i="5"/>
  <c r="M111" i="5"/>
  <c r="O111" i="5" s="1"/>
  <c r="U142" i="4" s="1"/>
  <c r="P111" i="5"/>
  <c r="P159" i="5"/>
  <c r="M159" i="5"/>
  <c r="O159" i="5" s="1"/>
  <c r="U31" i="4" s="1"/>
  <c r="P193" i="5"/>
  <c r="M193" i="5"/>
  <c r="O193" i="5" s="1"/>
  <c r="U80" i="4" s="1"/>
  <c r="P16" i="5"/>
  <c r="M16" i="5"/>
  <c r="O16" i="5" s="1"/>
  <c r="U193" i="4" s="1"/>
  <c r="M14" i="5"/>
  <c r="O14" i="5" s="1"/>
  <c r="U190" i="4" s="1"/>
  <c r="P14" i="5"/>
  <c r="M240" i="5"/>
  <c r="O240" i="5" s="1"/>
  <c r="U191" i="4" s="1"/>
  <c r="P240" i="5"/>
  <c r="M208" i="5"/>
  <c r="O208" i="5" s="1"/>
  <c r="U120" i="4" s="1"/>
  <c r="P208" i="5"/>
  <c r="P192" i="5"/>
  <c r="M236" i="5"/>
  <c r="O236" i="5" s="1"/>
  <c r="U235" i="4" s="1"/>
  <c r="P236" i="5"/>
  <c r="M166" i="5"/>
  <c r="O166" i="5" s="1"/>
  <c r="U57" i="4" s="1"/>
  <c r="P166" i="5"/>
  <c r="M143" i="5"/>
  <c r="O143" i="5" s="1"/>
  <c r="U137" i="4" s="1"/>
  <c r="P143" i="5"/>
  <c r="P118" i="5"/>
  <c r="M118" i="5"/>
  <c r="O118" i="5" s="1"/>
  <c r="U255" i="4" s="1"/>
  <c r="M133" i="5"/>
  <c r="O133" i="5" s="1"/>
  <c r="U131" i="4" s="1"/>
  <c r="P125" i="5"/>
  <c r="M125" i="5"/>
  <c r="O125" i="5" s="1"/>
  <c r="U245" i="4" s="1"/>
  <c r="M101" i="5"/>
  <c r="O101" i="5" s="1"/>
  <c r="U119" i="4" s="1"/>
  <c r="P69" i="5"/>
  <c r="M69" i="5"/>
  <c r="O69" i="5" s="1"/>
  <c r="U153" i="4" s="1"/>
  <c r="K33" i="5"/>
  <c r="M42" i="5"/>
  <c r="O42" i="5" s="1"/>
  <c r="U161" i="4" s="1"/>
  <c r="P42" i="5"/>
  <c r="M50" i="5"/>
  <c r="O50" i="5" s="1"/>
  <c r="U198" i="4" s="1"/>
  <c r="P50" i="5"/>
  <c r="M58" i="5"/>
  <c r="O58" i="5" s="1"/>
  <c r="U158" i="4" s="1"/>
  <c r="P58" i="5"/>
  <c r="M66" i="5"/>
  <c r="O66" i="5" s="1"/>
  <c r="U169" i="4" s="1"/>
  <c r="P66" i="5"/>
  <c r="M74" i="5"/>
  <c r="O74" i="5" s="1"/>
  <c r="U243" i="4" s="1"/>
  <c r="P74" i="5"/>
  <c r="M82" i="5"/>
  <c r="O82" i="5" s="1"/>
  <c r="U209" i="4" s="1"/>
  <c r="P82" i="5"/>
  <c r="M90" i="5"/>
  <c r="O90" i="5" s="1"/>
  <c r="U150" i="4" s="1"/>
  <c r="P90" i="5"/>
  <c r="M98" i="5"/>
  <c r="O98" i="5" s="1"/>
  <c r="U46" i="4" s="1"/>
  <c r="P98" i="5"/>
  <c r="M106" i="5"/>
  <c r="O106" i="5" s="1"/>
  <c r="U30" i="4" s="1"/>
  <c r="P106" i="5"/>
  <c r="M114" i="5"/>
  <c r="O114" i="5" s="1"/>
  <c r="U208" i="4" s="1"/>
  <c r="P114" i="5"/>
  <c r="M239" i="5"/>
  <c r="O239" i="5" s="1"/>
  <c r="U251" i="4" s="1"/>
  <c r="P239" i="5"/>
  <c r="P56" i="5"/>
  <c r="M56" i="5"/>
  <c r="O56" i="5" s="1"/>
  <c r="U115" i="4" s="1"/>
  <c r="P72" i="5"/>
  <c r="M72" i="5"/>
  <c r="O72" i="5" s="1"/>
  <c r="U218" i="4" s="1"/>
  <c r="P88" i="5"/>
  <c r="M88" i="5"/>
  <c r="O88" i="5" s="1"/>
  <c r="U134" i="4" s="1"/>
  <c r="P104" i="5"/>
  <c r="M104" i="5"/>
  <c r="O104" i="5" s="1"/>
  <c r="U56" i="4" s="1"/>
  <c r="M83" i="5"/>
  <c r="O83" i="5" s="1"/>
  <c r="U168" i="4" s="1"/>
  <c r="P83" i="5"/>
  <c r="K131" i="5"/>
  <c r="M151" i="5"/>
  <c r="O151" i="5" s="1"/>
  <c r="U59" i="4" s="1"/>
  <c r="P151" i="5"/>
  <c r="M223" i="5"/>
  <c r="O223" i="5" s="1"/>
  <c r="U93" i="4" s="1"/>
  <c r="P223" i="5"/>
  <c r="P128" i="5"/>
  <c r="M128" i="5"/>
  <c r="O128" i="5" s="1"/>
  <c r="U77" i="4" s="1"/>
  <c r="M163" i="5"/>
  <c r="O163" i="5" s="1"/>
  <c r="U91" i="4" s="1"/>
  <c r="P182" i="5"/>
  <c r="M182" i="5"/>
  <c r="O182" i="5" s="1"/>
  <c r="U171" i="4" s="1"/>
  <c r="M195" i="5"/>
  <c r="O195" i="5" s="1"/>
  <c r="U127" i="4" s="1"/>
  <c r="P195" i="5"/>
  <c r="M227" i="5"/>
  <c r="O227" i="5" s="1"/>
  <c r="U201" i="4" s="1"/>
  <c r="P227" i="5"/>
  <c r="K197" i="5"/>
  <c r="K213" i="5"/>
  <c r="K229" i="5"/>
  <c r="P226" i="5"/>
  <c r="M226" i="5"/>
  <c r="O226" i="5" s="1"/>
  <c r="U254" i="4" s="1"/>
  <c r="P198" i="5"/>
  <c r="M198" i="5"/>
  <c r="O198" i="5" s="1"/>
  <c r="U65" i="4" s="1"/>
  <c r="M174" i="5"/>
  <c r="O174" i="5" s="1"/>
  <c r="U252" i="4" s="1"/>
  <c r="P174" i="5"/>
  <c r="P168" i="5"/>
  <c r="M168" i="5"/>
  <c r="O168" i="5" s="1"/>
  <c r="U250" i="4" s="1"/>
  <c r="P176" i="5"/>
  <c r="L176" i="5"/>
  <c r="M130" i="5"/>
  <c r="O130" i="5" s="1"/>
  <c r="U51" i="4" s="1"/>
  <c r="P130" i="5"/>
  <c r="P77" i="5"/>
  <c r="M77" i="5"/>
  <c r="O77" i="5" s="1"/>
  <c r="U156" i="4" s="1"/>
  <c r="P100" i="5"/>
  <c r="M100" i="5"/>
  <c r="O100" i="5" s="1"/>
  <c r="U90" i="4" s="1"/>
  <c r="M79" i="5"/>
  <c r="O79" i="5" s="1"/>
  <c r="U207" i="4" s="1"/>
  <c r="P79" i="5"/>
  <c r="M191" i="5"/>
  <c r="O191" i="5" s="1"/>
  <c r="U175" i="4" s="1"/>
  <c r="P191" i="5"/>
  <c r="P40" i="5"/>
  <c r="M40" i="5"/>
  <c r="O40" i="5" s="1"/>
  <c r="U139" i="4" s="1"/>
  <c r="P5" i="5"/>
  <c r="M5" i="5"/>
  <c r="O5" i="5" s="1"/>
  <c r="M190" i="5"/>
  <c r="O190" i="5" s="1"/>
  <c r="U47" i="4" s="1"/>
  <c r="P190" i="5"/>
  <c r="M228" i="5"/>
  <c r="O228" i="5" s="1"/>
  <c r="U267" i="4" s="1"/>
  <c r="P228" i="5"/>
  <c r="M196" i="5"/>
  <c r="O196" i="5" s="1"/>
  <c r="U66" i="4" s="1"/>
  <c r="P196" i="5"/>
  <c r="M158" i="5"/>
  <c r="O158" i="5" s="1"/>
  <c r="U177" i="4" s="1"/>
  <c r="P158" i="5"/>
  <c r="P172" i="5"/>
  <c r="M172" i="5"/>
  <c r="O172" i="5" s="1"/>
  <c r="U178" i="4" s="1"/>
  <c r="M173" i="5"/>
  <c r="O173" i="5" s="1"/>
  <c r="U45" i="4" s="1"/>
  <c r="P173" i="5"/>
  <c r="P154" i="5"/>
  <c r="M154" i="5"/>
  <c r="O154" i="5" s="1"/>
  <c r="U58" i="4" s="1"/>
  <c r="P183" i="5"/>
  <c r="M183" i="5"/>
  <c r="O183" i="5" s="1"/>
  <c r="U229" i="4" s="1"/>
  <c r="M122" i="5"/>
  <c r="O122" i="5" s="1"/>
  <c r="U114" i="4" s="1"/>
  <c r="P122" i="5"/>
  <c r="M127" i="5"/>
  <c r="O127" i="5" s="1"/>
  <c r="U43" i="4" s="1"/>
  <c r="P127" i="5"/>
  <c r="M93" i="5"/>
  <c r="O93" i="5" s="1"/>
  <c r="U83" i="4" s="1"/>
  <c r="P61" i="5"/>
  <c r="M61" i="5"/>
  <c r="O61" i="5" s="1"/>
  <c r="U165" i="4" s="1"/>
  <c r="P35" i="5"/>
  <c r="M35" i="5"/>
  <c r="O35" i="5" s="1"/>
  <c r="U122" i="4" s="1"/>
  <c r="M27" i="5"/>
  <c r="O27" i="5" s="1"/>
  <c r="U259" i="4" s="1"/>
  <c r="P27" i="5"/>
  <c r="M19" i="5"/>
  <c r="O19" i="5" s="1"/>
  <c r="U196" i="4" s="1"/>
  <c r="P19" i="5"/>
  <c r="K11" i="5"/>
  <c r="M38" i="5"/>
  <c r="O38" i="5" s="1"/>
  <c r="U138" i="4" s="1"/>
  <c r="P38" i="5"/>
  <c r="K121" i="5"/>
  <c r="M119" i="5"/>
  <c r="O119" i="5" s="1"/>
  <c r="U36" i="4" s="1"/>
  <c r="P119" i="5"/>
  <c r="P129" i="5"/>
  <c r="M129" i="5"/>
  <c r="O129" i="5" s="1"/>
  <c r="U38" i="4" s="1"/>
  <c r="P60" i="5"/>
  <c r="M60" i="5"/>
  <c r="O60" i="5" s="1"/>
  <c r="U129" i="4" s="1"/>
  <c r="P76" i="5"/>
  <c r="M76" i="5"/>
  <c r="O76" i="5" s="1"/>
  <c r="U246" i="4" s="1"/>
  <c r="P92" i="5"/>
  <c r="M92" i="5"/>
  <c r="O92" i="5" s="1"/>
  <c r="U54" i="4" s="1"/>
  <c r="M231" i="5"/>
  <c r="O231" i="5" s="1"/>
  <c r="U253" i="4" s="1"/>
  <c r="P231" i="5"/>
  <c r="M55" i="5"/>
  <c r="O55" i="5" s="1"/>
  <c r="U200" i="4" s="1"/>
  <c r="P55" i="5"/>
  <c r="P71" i="5"/>
  <c r="M87" i="5"/>
  <c r="O87" i="5" s="1"/>
  <c r="U126" i="4" s="1"/>
  <c r="P87" i="5"/>
  <c r="P103" i="5"/>
  <c r="P145" i="5"/>
  <c r="M145" i="5"/>
  <c r="O145" i="5" s="1"/>
  <c r="U63" i="4" s="1"/>
  <c r="P148" i="5"/>
  <c r="P167" i="5"/>
  <c r="M167" i="5"/>
  <c r="O167" i="5" s="1"/>
  <c r="U53" i="4" s="1"/>
  <c r="K187" i="5"/>
  <c r="K203" i="5"/>
  <c r="K235" i="5"/>
  <c r="P201" i="5"/>
  <c r="M201" i="5"/>
  <c r="O201" i="5" s="1"/>
  <c r="U231" i="4" s="1"/>
  <c r="P217" i="5"/>
  <c r="M217" i="5"/>
  <c r="O217" i="5" s="1"/>
  <c r="U105" i="4" s="1"/>
  <c r="K28" i="5"/>
  <c r="K20" i="5"/>
  <c r="K12" i="5"/>
  <c r="M32" i="5"/>
  <c r="O32" i="5" s="1"/>
  <c r="U89" i="4" s="1"/>
  <c r="P32" i="5"/>
  <c r="P194" i="5"/>
  <c r="M194" i="5"/>
  <c r="O194" i="5" s="1"/>
  <c r="U146" i="4" s="1"/>
  <c r="P230" i="5"/>
  <c r="M230" i="5"/>
  <c r="O230" i="5" s="1"/>
  <c r="U247" i="4" s="1"/>
  <c r="M212" i="5"/>
  <c r="O212" i="5" s="1"/>
  <c r="U181" i="4" s="1"/>
  <c r="P212" i="5"/>
  <c r="P164" i="5"/>
  <c r="M164" i="5"/>
  <c r="O164" i="5" s="1"/>
  <c r="U100" i="4" s="1"/>
  <c r="P178" i="5"/>
  <c r="M178" i="5"/>
  <c r="O178" i="5" s="1"/>
  <c r="U71" i="4" s="1"/>
  <c r="P109" i="5"/>
  <c r="M109" i="5"/>
  <c r="O109" i="5" s="1"/>
  <c r="U29" i="4" s="1"/>
  <c r="M7" i="5"/>
  <c r="O7" i="5" s="1"/>
  <c r="U192" i="4" s="1"/>
  <c r="P7" i="5"/>
  <c r="P84" i="5"/>
  <c r="M84" i="5"/>
  <c r="O84" i="5" s="1"/>
  <c r="U167" i="4" s="1"/>
  <c r="M47" i="5"/>
  <c r="O47" i="5" s="1"/>
  <c r="U240" i="4" s="1"/>
  <c r="P47" i="5"/>
  <c r="M95" i="5"/>
  <c r="O95" i="5" s="1"/>
  <c r="U79" i="4" s="1"/>
  <c r="P95" i="5"/>
  <c r="P209" i="5"/>
  <c r="M209" i="5"/>
  <c r="O209" i="5" s="1"/>
  <c r="U173" i="4" s="1"/>
  <c r="P8" i="5"/>
  <c r="M8" i="5"/>
  <c r="O8" i="5" s="1"/>
  <c r="U113" i="4" s="1"/>
  <c r="M224" i="5"/>
  <c r="O224" i="5" s="1"/>
  <c r="U94" i="4" s="1"/>
  <c r="P224" i="5"/>
  <c r="P238" i="5"/>
  <c r="M238" i="5"/>
  <c r="O238" i="5" s="1"/>
  <c r="U211" i="4" s="1"/>
  <c r="P206" i="5"/>
  <c r="M206" i="5"/>
  <c r="O206" i="5" s="1"/>
  <c r="U96" i="4" s="1"/>
  <c r="M188" i="5"/>
  <c r="O188" i="5" s="1"/>
  <c r="U237" i="4" s="1"/>
  <c r="P188" i="5"/>
  <c r="L185" i="5"/>
  <c r="M185" i="5" s="1"/>
  <c r="O185" i="5" s="1"/>
  <c r="U179" i="4" s="1"/>
  <c r="P185" i="5"/>
  <c r="M169" i="5"/>
  <c r="O169" i="5" s="1"/>
  <c r="U76" i="4" s="1"/>
  <c r="P169" i="5"/>
  <c r="M170" i="5"/>
  <c r="O170" i="5" s="1"/>
  <c r="U154" i="4" s="1"/>
  <c r="P170" i="5"/>
  <c r="P134" i="5"/>
  <c r="M134" i="5"/>
  <c r="O134" i="5" s="1"/>
  <c r="U143" i="4" s="1"/>
  <c r="M141" i="5"/>
  <c r="O141" i="5" s="1"/>
  <c r="U41" i="4" s="1"/>
  <c r="P85" i="5"/>
  <c r="M85" i="5"/>
  <c r="O85" i="5" s="1"/>
  <c r="U223" i="4" s="1"/>
  <c r="P53" i="5"/>
  <c r="M53" i="5"/>
  <c r="O53" i="5" s="1"/>
  <c r="U128" i="4" s="1"/>
  <c r="K34" i="5"/>
  <c r="P26" i="5"/>
  <c r="M26" i="5"/>
  <c r="O26" i="5" s="1"/>
  <c r="U228" i="4" s="1"/>
  <c r="M25" i="5"/>
  <c r="O25" i="5" s="1"/>
  <c r="U82" i="4" s="1"/>
  <c r="P25" i="5"/>
  <c r="K46" i="5"/>
  <c r="K54" i="5"/>
  <c r="K62" i="5"/>
  <c r="K70" i="5"/>
  <c r="K78" i="5"/>
  <c r="K86" i="5"/>
  <c r="K94" i="5"/>
  <c r="K102" i="5"/>
  <c r="K110" i="5"/>
  <c r="K137" i="5"/>
  <c r="M215" i="5"/>
  <c r="O215" i="5" s="1"/>
  <c r="U187" i="4" s="1"/>
  <c r="P215" i="5"/>
  <c r="K48" i="5"/>
  <c r="K64" i="5"/>
  <c r="K80" i="5"/>
  <c r="K96" i="5"/>
  <c r="K112" i="5"/>
  <c r="M43" i="5"/>
  <c r="O43" i="5" s="1"/>
  <c r="U145" i="4" s="1"/>
  <c r="P43" i="5"/>
  <c r="M59" i="5"/>
  <c r="O59" i="5" s="1"/>
  <c r="U140" i="4" s="1"/>
  <c r="P59" i="5"/>
  <c r="M75" i="5"/>
  <c r="O75" i="5" s="1"/>
  <c r="U92" i="4" s="1"/>
  <c r="P75" i="5"/>
  <c r="M91" i="5"/>
  <c r="O91" i="5" s="1"/>
  <c r="U264" i="4" s="1"/>
  <c r="P91" i="5"/>
  <c r="M107" i="5"/>
  <c r="O107" i="5" s="1"/>
  <c r="U67" i="4" s="1"/>
  <c r="P107" i="5"/>
  <c r="M123" i="5"/>
  <c r="O123" i="5" s="1"/>
  <c r="U34" i="4" s="1"/>
  <c r="P123" i="5"/>
  <c r="K139" i="5"/>
  <c r="M147" i="5"/>
  <c r="O147" i="5" s="1"/>
  <c r="U172" i="4" s="1"/>
  <c r="P147" i="5"/>
  <c r="M155" i="5"/>
  <c r="O155" i="5" s="1"/>
  <c r="U35" i="4" s="1"/>
  <c r="P155" i="5"/>
  <c r="P149" i="5"/>
  <c r="M149" i="5"/>
  <c r="O149" i="5" s="1"/>
  <c r="U269" i="4" s="1"/>
  <c r="P136" i="5"/>
  <c r="M136" i="5"/>
  <c r="O136" i="5" s="1"/>
  <c r="U159" i="4" s="1"/>
  <c r="K152" i="5"/>
  <c r="K156" i="5"/>
  <c r="M156" i="5" s="1"/>
  <c r="O156" i="5" s="1"/>
  <c r="U170" i="4" s="1"/>
  <c r="P171" i="5"/>
  <c r="M171" i="5"/>
  <c r="O171" i="5" s="1"/>
  <c r="U262" i="4" s="1"/>
  <c r="P189" i="5"/>
  <c r="M189" i="5"/>
  <c r="O189" i="5" s="1"/>
  <c r="U50" i="4" s="1"/>
  <c r="M211" i="5"/>
  <c r="O211" i="5" s="1"/>
  <c r="U183" i="4" s="1"/>
  <c r="P211" i="5"/>
  <c r="P205" i="5"/>
  <c r="M205" i="5"/>
  <c r="O205" i="5" s="1"/>
  <c r="U85" i="4" s="1"/>
  <c r="P221" i="5"/>
  <c r="M221" i="5"/>
  <c r="O221" i="5" s="1"/>
  <c r="U99" i="4" s="1"/>
  <c r="P237" i="5"/>
  <c r="M237" i="5"/>
  <c r="O237" i="5" s="1"/>
  <c r="U227" i="4" s="1"/>
  <c r="M67" i="5" l="1"/>
  <c r="O67" i="5" s="1"/>
  <c r="U224" i="4" s="1"/>
  <c r="P67" i="5"/>
  <c r="P126" i="5"/>
  <c r="M126" i="5"/>
  <c r="O126" i="5" s="1"/>
  <c r="U26" i="4" s="1"/>
  <c r="M120" i="5"/>
  <c r="O120" i="5" s="1"/>
  <c r="U197" i="4" s="1"/>
  <c r="M233" i="5"/>
  <c r="O233" i="5" s="1"/>
  <c r="U236" i="4" s="1"/>
  <c r="M204" i="5"/>
  <c r="O204" i="5" s="1"/>
  <c r="U202" i="4" s="1"/>
  <c r="P10" i="5"/>
  <c r="P220" i="5"/>
  <c r="P207" i="5"/>
  <c r="M108" i="5"/>
  <c r="O108" i="5" s="1"/>
  <c r="U75" i="4" s="1"/>
  <c r="M44" i="5"/>
  <c r="O44" i="5" s="1"/>
  <c r="U103" i="4" s="1"/>
  <c r="M214" i="5"/>
  <c r="O214" i="5" s="1"/>
  <c r="U186" i="4" s="1"/>
  <c r="M52" i="5"/>
  <c r="O52" i="5" s="1"/>
  <c r="U244" i="4" s="1"/>
  <c r="J3" i="5"/>
  <c r="P144" i="5"/>
  <c r="M222" i="5"/>
  <c r="O222" i="5" s="1"/>
  <c r="U98" i="4" s="1"/>
  <c r="M21" i="5"/>
  <c r="O21" i="5" s="1"/>
  <c r="U260" i="4" s="1"/>
  <c r="M15" i="5"/>
  <c r="O15" i="5" s="1"/>
  <c r="U220" i="4" s="1"/>
  <c r="P99" i="5"/>
  <c r="P49" i="5"/>
  <c r="M225" i="5"/>
  <c r="O225" i="5" s="1"/>
  <c r="U166" i="4" s="1"/>
  <c r="M153" i="5"/>
  <c r="O153" i="5" s="1"/>
  <c r="U106" i="4" s="1"/>
  <c r="M117" i="5"/>
  <c r="O117" i="5" s="1"/>
  <c r="U121" i="4" s="1"/>
  <c r="M175" i="5"/>
  <c r="O175" i="5" s="1"/>
  <c r="U78" i="4" s="1"/>
  <c r="P199" i="5"/>
  <c r="P115" i="5"/>
  <c r="P51" i="5"/>
  <c r="P241" i="5"/>
  <c r="P219" i="5"/>
  <c r="P140" i="5"/>
  <c r="M97" i="5"/>
  <c r="O97" i="5" s="1"/>
  <c r="U136" i="4" s="1"/>
  <c r="M13" i="5"/>
  <c r="O13" i="5" s="1"/>
  <c r="U195" i="4" s="1"/>
  <c r="M202" i="5"/>
  <c r="O202" i="5" s="1"/>
  <c r="U87" i="4" s="1"/>
  <c r="L3" i="5"/>
  <c r="P218" i="5"/>
  <c r="P112" i="5"/>
  <c r="M112" i="5"/>
  <c r="O112" i="5" s="1"/>
  <c r="U239" i="4" s="1"/>
  <c r="M110" i="5"/>
  <c r="O110" i="5" s="1"/>
  <c r="U28" i="4" s="1"/>
  <c r="P110" i="5"/>
  <c r="M46" i="5"/>
  <c r="O46" i="5" s="1"/>
  <c r="U84" i="4" s="1"/>
  <c r="P46" i="5"/>
  <c r="P96" i="5"/>
  <c r="M96" i="5"/>
  <c r="O96" i="5" s="1"/>
  <c r="U48" i="4" s="1"/>
  <c r="M102" i="5"/>
  <c r="O102" i="5" s="1"/>
  <c r="U249" i="4" s="1"/>
  <c r="P102" i="5"/>
  <c r="M70" i="5"/>
  <c r="O70" i="5" s="1"/>
  <c r="U130" i="4" s="1"/>
  <c r="P70" i="5"/>
  <c r="P34" i="5"/>
  <c r="M34" i="5"/>
  <c r="O34" i="5" s="1"/>
  <c r="U232" i="4" s="1"/>
  <c r="M187" i="5"/>
  <c r="O187" i="5" s="1"/>
  <c r="U104" i="4" s="1"/>
  <c r="P187" i="5"/>
  <c r="M176" i="5"/>
  <c r="O176" i="5" s="1"/>
  <c r="U188" i="4" s="1"/>
  <c r="P213" i="5"/>
  <c r="M213" i="5"/>
  <c r="O213" i="5" s="1"/>
  <c r="U148" i="4" s="1"/>
  <c r="M152" i="5"/>
  <c r="O152" i="5" s="1"/>
  <c r="U40" i="4" s="1"/>
  <c r="P152" i="5"/>
  <c r="P48" i="5"/>
  <c r="M48" i="5"/>
  <c r="O48" i="5" s="1"/>
  <c r="U213" i="4" s="1"/>
  <c r="M78" i="5"/>
  <c r="O78" i="5" s="1"/>
  <c r="U216" i="4" s="1"/>
  <c r="P78" i="5"/>
  <c r="M28" i="5"/>
  <c r="O28" i="5" s="1"/>
  <c r="U116" i="4" s="1"/>
  <c r="P28" i="5"/>
  <c r="M203" i="5"/>
  <c r="O203" i="5" s="1"/>
  <c r="U123" i="4" s="1"/>
  <c r="P203" i="5"/>
  <c r="P121" i="5"/>
  <c r="M121" i="5"/>
  <c r="O121" i="5" s="1"/>
  <c r="U60" i="4" s="1"/>
  <c r="U205" i="4"/>
  <c r="P229" i="5"/>
  <c r="M229" i="5"/>
  <c r="O229" i="5" s="1"/>
  <c r="U266" i="4" s="1"/>
  <c r="P80" i="5"/>
  <c r="M80" i="5"/>
  <c r="O80" i="5" s="1"/>
  <c r="U256" i="4" s="1"/>
  <c r="M94" i="5"/>
  <c r="O94" i="5" s="1"/>
  <c r="U132" i="4" s="1"/>
  <c r="P94" i="5"/>
  <c r="M62" i="5"/>
  <c r="O62" i="5" s="1"/>
  <c r="U147" i="4" s="1"/>
  <c r="P62" i="5"/>
  <c r="P12" i="5"/>
  <c r="M12" i="5"/>
  <c r="O12" i="5" s="1"/>
  <c r="U214" i="4" s="1"/>
  <c r="P197" i="5"/>
  <c r="M197" i="5"/>
  <c r="O197" i="5" s="1"/>
  <c r="U73" i="4" s="1"/>
  <c r="M33" i="5"/>
  <c r="O33" i="5" s="1"/>
  <c r="U124" i="4" s="1"/>
  <c r="P33" i="5"/>
  <c r="M139" i="5"/>
  <c r="O139" i="5" s="1"/>
  <c r="U37" i="4" s="1"/>
  <c r="P139" i="5"/>
  <c r="P64" i="5"/>
  <c r="M64" i="5"/>
  <c r="O64" i="5" s="1"/>
  <c r="U144" i="4" s="1"/>
  <c r="P137" i="5"/>
  <c r="M137" i="5"/>
  <c r="O137" i="5" s="1"/>
  <c r="U62" i="4" s="1"/>
  <c r="M86" i="5"/>
  <c r="O86" i="5" s="1"/>
  <c r="U55" i="4" s="1"/>
  <c r="P86" i="5"/>
  <c r="M54" i="5"/>
  <c r="O54" i="5" s="1"/>
  <c r="U174" i="4" s="1"/>
  <c r="P54" i="5"/>
  <c r="P20" i="5"/>
  <c r="M20" i="5"/>
  <c r="O20" i="5" s="1"/>
  <c r="U248" i="4" s="1"/>
  <c r="M235" i="5"/>
  <c r="O235" i="5" s="1"/>
  <c r="U225" i="4" s="1"/>
  <c r="P235" i="5"/>
  <c r="M11" i="5"/>
  <c r="O11" i="5" s="1"/>
  <c r="U189" i="4" s="1"/>
  <c r="P11" i="5"/>
  <c r="M131" i="5"/>
  <c r="O131" i="5" s="1"/>
  <c r="U33" i="4" s="1"/>
  <c r="P131" i="5"/>
  <c r="U23" i="4" l="1"/>
  <c r="O3" i="5"/>
  <c r="M3" i="5"/>
  <c r="E6" i="4" l="1"/>
  <c r="R19" i="4" l="1"/>
  <c r="R24" i="4" s="1"/>
  <c r="M18" i="4"/>
  <c r="E10" i="4"/>
  <c r="E11" i="4" s="1"/>
  <c r="E14" i="4" s="1"/>
  <c r="Q6" i="4"/>
  <c r="Q4" i="4"/>
  <c r="F186" i="1"/>
  <c r="G29" i="1"/>
  <c r="G138" i="1"/>
  <c r="F75" i="1"/>
  <c r="F34" i="1"/>
  <c r="F134" i="1"/>
  <c r="F78" i="1"/>
  <c r="F79" i="1"/>
  <c r="F82" i="1"/>
  <c r="F243" i="1"/>
  <c r="F83" i="1"/>
  <c r="F188" i="1"/>
  <c r="F155" i="1"/>
  <c r="F189" i="1"/>
  <c r="F84" i="1"/>
  <c r="F190" i="1"/>
  <c r="F191" i="1"/>
  <c r="F192" i="1"/>
  <c r="F85" i="1"/>
  <c r="F193" i="1"/>
  <c r="F86" i="1"/>
  <c r="F194" i="1"/>
  <c r="F195" i="1"/>
  <c r="F87" i="1"/>
  <c r="F244" i="1"/>
  <c r="F196" i="1"/>
  <c r="F89" i="1"/>
  <c r="F91" i="1"/>
  <c r="F156" i="1"/>
  <c r="F157" i="1"/>
  <c r="F158" i="1"/>
  <c r="F200" i="1"/>
  <c r="F201" i="1"/>
  <c r="F92" i="1"/>
  <c r="F93" i="1"/>
  <c r="F94" i="1"/>
  <c r="F203" i="1"/>
  <c r="F204" i="1"/>
  <c r="F95" i="1"/>
  <c r="F205" i="1"/>
  <c r="F96" i="1"/>
  <c r="F206" i="1"/>
  <c r="F59" i="1"/>
  <c r="F97" i="1"/>
  <c r="F207" i="1"/>
  <c r="F208" i="1"/>
  <c r="F60" i="1"/>
  <c r="F209" i="1"/>
  <c r="F210" i="1"/>
  <c r="F245" i="1"/>
  <c r="F246" i="1"/>
  <c r="F211" i="1"/>
  <c r="F98" i="1"/>
  <c r="F159" i="1"/>
  <c r="F99" i="1"/>
  <c r="F160" i="1"/>
  <c r="F100" i="1"/>
  <c r="F101" i="1"/>
  <c r="F161" i="1"/>
  <c r="F212" i="1"/>
  <c r="F164" i="1"/>
  <c r="F214" i="1"/>
  <c r="F165" i="1"/>
  <c r="F102" i="1"/>
  <c r="F166" i="1"/>
  <c r="F247" i="1"/>
  <c r="F167" i="1"/>
  <c r="F215" i="1"/>
  <c r="F103" i="1"/>
  <c r="F104" i="1"/>
  <c r="F216" i="1"/>
  <c r="F72" i="1"/>
  <c r="G213" i="1"/>
  <c r="G163" i="1"/>
  <c r="G248" i="1"/>
  <c r="G105" i="1"/>
  <c r="E19" i="1"/>
  <c r="E7" i="1"/>
  <c r="E50" i="1"/>
  <c r="E91" i="1"/>
  <c r="E131" i="1"/>
  <c r="E172" i="1"/>
  <c r="E193" i="1"/>
  <c r="E174" i="1"/>
  <c r="E59" i="1"/>
  <c r="E82" i="1"/>
  <c r="E90" i="1"/>
  <c r="E124" i="1"/>
  <c r="E139" i="1"/>
  <c r="E147" i="1"/>
  <c r="E151" i="1"/>
  <c r="E155" i="1"/>
  <c r="E58" i="1"/>
  <c r="E83" i="1"/>
  <c r="E96" i="1"/>
  <c r="E111" i="1"/>
  <c r="E142" i="1"/>
  <c r="E79" i="1"/>
  <c r="E87" i="1"/>
  <c r="E120" i="1"/>
  <c r="E248" i="1"/>
  <c r="E182" i="1"/>
  <c r="E198" i="1"/>
  <c r="E197" i="1"/>
  <c r="E41" i="1"/>
  <c r="E55" i="1"/>
  <c r="E38" i="1"/>
  <c r="E42" i="1"/>
  <c r="E46" i="1"/>
  <c r="E48" i="1"/>
  <c r="E54" i="1"/>
  <c r="E88" i="1"/>
  <c r="E29" i="1"/>
  <c r="E61" i="1"/>
  <c r="E81" i="1"/>
  <c r="E110" i="1"/>
  <c r="E112" i="1"/>
  <c r="E116" i="1"/>
  <c r="E118" i="1"/>
  <c r="E126" i="1"/>
  <c r="E128" i="1"/>
  <c r="E134" i="1"/>
  <c r="E154" i="1"/>
  <c r="E156" i="1"/>
  <c r="E181" i="1"/>
  <c r="E121" i="1"/>
  <c r="E141" i="1"/>
  <c r="E157" i="1"/>
  <c r="E161" i="1"/>
  <c r="E168" i="1"/>
  <c r="E208" i="1"/>
  <c r="E219" i="1"/>
  <c r="E226" i="1"/>
  <c r="E238" i="1"/>
  <c r="R4" i="1"/>
  <c r="F139" i="1" l="1"/>
  <c r="F125" i="1"/>
  <c r="F40" i="1"/>
  <c r="F174" i="1"/>
  <c r="F90" i="1"/>
  <c r="F197" i="1"/>
  <c r="F88" i="1"/>
  <c r="F81" i="1"/>
  <c r="F80" i="1"/>
  <c r="F182" i="1"/>
  <c r="F63" i="1"/>
  <c r="F49" i="1"/>
  <c r="F6" i="1"/>
  <c r="F12" i="1"/>
  <c r="F13" i="1"/>
  <c r="F7" i="1"/>
  <c r="F19" i="1"/>
  <c r="F106" i="1"/>
  <c r="F14" i="1"/>
  <c r="F20" i="1"/>
  <c r="F42" i="1"/>
  <c r="F107" i="1"/>
  <c r="F43" i="1"/>
  <c r="F28" i="1"/>
  <c r="F30" i="1"/>
  <c r="F9" i="1"/>
  <c r="F217" i="1"/>
  <c r="F108" i="1"/>
  <c r="F31" i="1"/>
  <c r="F218" i="1"/>
  <c r="F110" i="1"/>
  <c r="F10" i="1"/>
  <c r="F219" i="1"/>
  <c r="F32" i="1"/>
  <c r="F33" i="1"/>
  <c r="F168" i="1"/>
  <c r="F220" i="1"/>
  <c r="F113" i="1"/>
  <c r="F114" i="1"/>
  <c r="F46" i="1"/>
  <c r="F47" i="1"/>
  <c r="F222" i="1"/>
  <c r="F169" i="1"/>
  <c r="F48" i="1"/>
  <c r="F118" i="1"/>
  <c r="F170" i="1"/>
  <c r="F11" i="1"/>
  <c r="F120" i="1"/>
  <c r="F223" i="1"/>
  <c r="F224" i="1"/>
  <c r="F122" i="1"/>
  <c r="F123" i="1"/>
  <c r="F124" i="1"/>
  <c r="F24" i="1"/>
  <c r="F126" i="1"/>
  <c r="F127" i="1"/>
  <c r="F128" i="1"/>
  <c r="F225" i="1"/>
  <c r="F15" i="1"/>
  <c r="F16" i="1"/>
  <c r="F131" i="1"/>
  <c r="F226" i="1"/>
  <c r="F171" i="1"/>
  <c r="F172" i="1"/>
  <c r="F133" i="1"/>
  <c r="F135" i="1"/>
  <c r="F61" i="1"/>
  <c r="F173" i="1"/>
  <c r="F62" i="1"/>
  <c r="F227" i="1"/>
  <c r="F228" i="1"/>
  <c r="F50" i="1"/>
  <c r="F36" i="1"/>
  <c r="F64" i="1"/>
  <c r="F137" i="1"/>
  <c r="F17" i="1"/>
  <c r="F138" i="1"/>
  <c r="H138" i="1" s="1"/>
  <c r="F229" i="1"/>
  <c r="F140" i="1"/>
  <c r="F232" i="1"/>
  <c r="F233" i="1"/>
  <c r="F234" i="1"/>
  <c r="F51" i="1"/>
  <c r="F235" i="1"/>
  <c r="F141" i="1"/>
  <c r="F175" i="1"/>
  <c r="F176" i="1"/>
  <c r="F237" i="1"/>
  <c r="F142" i="1"/>
  <c r="F143" i="1"/>
  <c r="F238" i="1"/>
  <c r="F144" i="1"/>
  <c r="F145" i="1"/>
  <c r="F146" i="1"/>
  <c r="F65" i="1"/>
  <c r="F52" i="1"/>
  <c r="F239" i="1"/>
  <c r="F37" i="1"/>
  <c r="F66" i="1"/>
  <c r="F177" i="1"/>
  <c r="F178" i="1"/>
  <c r="F179" i="1"/>
  <c r="F180" i="1"/>
  <c r="F149" i="1"/>
  <c r="F53" i="1"/>
  <c r="F181" i="1"/>
  <c r="F68" i="1"/>
  <c r="F70" i="1"/>
  <c r="F71" i="1"/>
  <c r="F241" i="1"/>
  <c r="F74" i="1"/>
  <c r="F242" i="1"/>
  <c r="F54" i="1"/>
  <c r="F184" i="1"/>
  <c r="F76" i="1"/>
  <c r="F151" i="1"/>
  <c r="F185" i="1"/>
  <c r="F77" i="1"/>
  <c r="F152" i="1"/>
  <c r="F56" i="1"/>
  <c r="F153" i="1"/>
  <c r="F154" i="1"/>
  <c r="F38" i="1"/>
  <c r="F39" i="1"/>
  <c r="F58" i="1"/>
  <c r="F199" i="1"/>
  <c r="F198" i="1"/>
  <c r="F187" i="1"/>
  <c r="F57" i="1"/>
  <c r="F35" i="1"/>
  <c r="F23" i="1"/>
  <c r="F150" i="1"/>
  <c r="F136" i="1"/>
  <c r="G6" i="1"/>
  <c r="G25" i="1"/>
  <c r="G18" i="1"/>
  <c r="G26" i="1"/>
  <c r="G27" i="1"/>
  <c r="G41" i="1"/>
  <c r="G8" i="1"/>
  <c r="G14" i="1"/>
  <c r="G42" i="1"/>
  <c r="G107" i="1"/>
  <c r="G43" i="1"/>
  <c r="G30" i="1"/>
  <c r="G9" i="1"/>
  <c r="G21" i="1"/>
  <c r="G22" i="1"/>
  <c r="G108" i="1"/>
  <c r="G109" i="1"/>
  <c r="G44" i="1"/>
  <c r="G111" i="1"/>
  <c r="G10" i="1"/>
  <c r="G219" i="1"/>
  <c r="G32" i="1"/>
  <c r="G33" i="1"/>
  <c r="G112" i="1"/>
  <c r="G220" i="1"/>
  <c r="G113" i="1"/>
  <c r="G45" i="1"/>
  <c r="G115" i="1"/>
  <c r="G221" i="1"/>
  <c r="G47" i="1"/>
  <c r="G116" i="1"/>
  <c r="G222" i="1"/>
  <c r="G48" i="1"/>
  <c r="G117" i="1"/>
  <c r="G170" i="1"/>
  <c r="H170" i="1" s="1"/>
  <c r="G119" i="1"/>
  <c r="G11" i="1"/>
  <c r="G120" i="1"/>
  <c r="G49" i="1"/>
  <c r="G121" i="1"/>
  <c r="G223" i="1"/>
  <c r="G224" i="1"/>
  <c r="G122" i="1"/>
  <c r="H122" i="1" s="1"/>
  <c r="G124" i="1"/>
  <c r="G24" i="1"/>
  <c r="G125" i="1"/>
  <c r="G126" i="1"/>
  <c r="G127" i="1"/>
  <c r="G128" i="1"/>
  <c r="G35" i="1"/>
  <c r="H35" i="1" s="1"/>
  <c r="G129" i="1"/>
  <c r="G225" i="1"/>
  <c r="G15" i="1"/>
  <c r="G130" i="1"/>
  <c r="G131" i="1"/>
  <c r="G132" i="1"/>
  <c r="G171" i="1"/>
  <c r="G172" i="1"/>
  <c r="G133" i="1"/>
  <c r="G134" i="1"/>
  <c r="H134" i="1" s="1"/>
  <c r="I134" i="1" s="1"/>
  <c r="G135" i="1"/>
  <c r="G61" i="1"/>
  <c r="G173" i="1"/>
  <c r="G174" i="1"/>
  <c r="G62" i="1"/>
  <c r="G227" i="1"/>
  <c r="H227" i="1" s="1"/>
  <c r="G228" i="1"/>
  <c r="H228" i="1" s="1"/>
  <c r="G63" i="1"/>
  <c r="G50" i="1"/>
  <c r="G36" i="1"/>
  <c r="G64" i="1"/>
  <c r="H64" i="1" s="1"/>
  <c r="G136" i="1"/>
  <c r="G137" i="1"/>
  <c r="G17" i="1"/>
  <c r="G139" i="1"/>
  <c r="H139" i="1" s="1"/>
  <c r="I139" i="1" s="1"/>
  <c r="L139" i="1" s="1"/>
  <c r="G229" i="1"/>
  <c r="H229" i="1" s="1"/>
  <c r="G140" i="1"/>
  <c r="G230" i="1"/>
  <c r="G231" i="1"/>
  <c r="G232" i="1"/>
  <c r="G233" i="1"/>
  <c r="G234" i="1"/>
  <c r="H234" i="1" s="1"/>
  <c r="G51" i="1"/>
  <c r="H51" i="1" s="1"/>
  <c r="G235" i="1"/>
  <c r="G141" i="1"/>
  <c r="G175" i="1"/>
  <c r="H175" i="1" s="1"/>
  <c r="G236" i="1"/>
  <c r="G176" i="1"/>
  <c r="G237" i="1"/>
  <c r="G142" i="1"/>
  <c r="G143" i="1"/>
  <c r="G238" i="1"/>
  <c r="G144" i="1"/>
  <c r="G65" i="1"/>
  <c r="G52" i="1"/>
  <c r="G239" i="1"/>
  <c r="G147" i="1"/>
  <c r="G37" i="1"/>
  <c r="H37" i="1" s="1"/>
  <c r="G66" i="1"/>
  <c r="H66" i="1" s="1"/>
  <c r="G148" i="1"/>
  <c r="G177" i="1"/>
  <c r="G178" i="1"/>
  <c r="G179" i="1"/>
  <c r="H179" i="1" s="1"/>
  <c r="G180" i="1"/>
  <c r="G149" i="1"/>
  <c r="G53" i="1"/>
  <c r="G181" i="1"/>
  <c r="H181" i="1" s="1"/>
  <c r="I181" i="1" s="1"/>
  <c r="L181" i="1" s="1"/>
  <c r="G67" i="1"/>
  <c r="G68" i="1"/>
  <c r="G69" i="1"/>
  <c r="G70" i="1"/>
  <c r="G71" i="1"/>
  <c r="G72" i="1"/>
  <c r="H72" i="1" s="1"/>
  <c r="G240" i="1"/>
  <c r="G241" i="1"/>
  <c r="H241" i="1" s="1"/>
  <c r="G73" i="1"/>
  <c r="G182" i="1"/>
  <c r="G74" i="1"/>
  <c r="G242" i="1"/>
  <c r="G54" i="1"/>
  <c r="H54" i="1" s="1"/>
  <c r="I54" i="1" s="1"/>
  <c r="G75" i="1"/>
  <c r="H75" i="1" s="1"/>
  <c r="G183" i="1"/>
  <c r="G184" i="1"/>
  <c r="G76" i="1"/>
  <c r="G150" i="1"/>
  <c r="G185" i="1"/>
  <c r="H185" i="1" s="1"/>
  <c r="G77" i="1"/>
  <c r="G152" i="1"/>
  <c r="G55" i="1"/>
  <c r="G56" i="1"/>
  <c r="G153" i="1"/>
  <c r="G78" i="1"/>
  <c r="H78" i="1" s="1"/>
  <c r="G79" i="1"/>
  <c r="H79" i="1" s="1"/>
  <c r="I79" i="1" s="1"/>
  <c r="G186" i="1"/>
  <c r="H186" i="1" s="1"/>
  <c r="G57" i="1"/>
  <c r="G154" i="1"/>
  <c r="G80" i="1"/>
  <c r="G38" i="1"/>
  <c r="G187" i="1"/>
  <c r="G81" i="1"/>
  <c r="G82" i="1"/>
  <c r="H82" i="1" s="1"/>
  <c r="I82" i="1" s="1"/>
  <c r="L82" i="1" s="1"/>
  <c r="G243" i="1"/>
  <c r="H243" i="1" s="1"/>
  <c r="G83" i="1"/>
  <c r="H83" i="1" s="1"/>
  <c r="I83" i="1" s="1"/>
  <c r="G188" i="1"/>
  <c r="H188" i="1" s="1"/>
  <c r="G155" i="1"/>
  <c r="H155" i="1" s="1"/>
  <c r="I155" i="1" s="1"/>
  <c r="L155" i="1" s="1"/>
  <c r="G189" i="1"/>
  <c r="H189" i="1" s="1"/>
  <c r="G84" i="1"/>
  <c r="H84" i="1" s="1"/>
  <c r="G190" i="1"/>
  <c r="H190" i="1" s="1"/>
  <c r="G191" i="1"/>
  <c r="H191" i="1" s="1"/>
  <c r="G192" i="1"/>
  <c r="H192" i="1" s="1"/>
  <c r="G85" i="1"/>
  <c r="H85" i="1" s="1"/>
  <c r="G193" i="1"/>
  <c r="H193" i="1" s="1"/>
  <c r="I193" i="1" s="1"/>
  <c r="L193" i="1" s="1"/>
  <c r="G86" i="1"/>
  <c r="H86" i="1" s="1"/>
  <c r="G194" i="1"/>
  <c r="H194" i="1" s="1"/>
  <c r="G195" i="1"/>
  <c r="H195" i="1" s="1"/>
  <c r="G87" i="1"/>
  <c r="H87" i="1" s="1"/>
  <c r="I87" i="1" s="1"/>
  <c r="G88" i="1"/>
  <c r="G244" i="1"/>
  <c r="H244" i="1" s="1"/>
  <c r="G196" i="1"/>
  <c r="H196" i="1" s="1"/>
  <c r="G197" i="1"/>
  <c r="G198" i="1"/>
  <c r="G89" i="1"/>
  <c r="H89" i="1" s="1"/>
  <c r="G90" i="1"/>
  <c r="G91" i="1"/>
  <c r="H91" i="1" s="1"/>
  <c r="I91" i="1" s="1"/>
  <c r="L91" i="1" s="1"/>
  <c r="G199" i="1"/>
  <c r="G156" i="1"/>
  <c r="G157" i="1"/>
  <c r="H157" i="1" s="1"/>
  <c r="I157" i="1" s="1"/>
  <c r="G158" i="1"/>
  <c r="G200" i="1"/>
  <c r="H200" i="1" s="1"/>
  <c r="G201" i="1"/>
  <c r="H201" i="1" s="1"/>
  <c r="G202" i="1"/>
  <c r="G39" i="1"/>
  <c r="G58" i="1"/>
  <c r="H58" i="1" s="1"/>
  <c r="I58" i="1" s="1"/>
  <c r="L58" i="1" s="1"/>
  <c r="G92" i="1"/>
  <c r="G93" i="1"/>
  <c r="H93" i="1" s="1"/>
  <c r="G94" i="1"/>
  <c r="G203" i="1"/>
  <c r="H203" i="1" s="1"/>
  <c r="G204" i="1"/>
  <c r="H204" i="1" s="1"/>
  <c r="G95" i="1"/>
  <c r="H95" i="1" s="1"/>
  <c r="G205" i="1"/>
  <c r="H205" i="1" s="1"/>
  <c r="G96" i="1"/>
  <c r="H96" i="1" s="1"/>
  <c r="I96" i="1" s="1"/>
  <c r="L96" i="1" s="1"/>
  <c r="G206" i="1"/>
  <c r="H206" i="1" s="1"/>
  <c r="G59" i="1"/>
  <c r="H59" i="1" s="1"/>
  <c r="I59" i="1" s="1"/>
  <c r="L59" i="1" s="1"/>
  <c r="G97" i="1"/>
  <c r="H97" i="1" s="1"/>
  <c r="G207" i="1"/>
  <c r="G208" i="1"/>
  <c r="H208" i="1" s="1"/>
  <c r="I208" i="1" s="1"/>
  <c r="L208" i="1" s="1"/>
  <c r="G60" i="1"/>
  <c r="H60" i="1" s="1"/>
  <c r="G209" i="1"/>
  <c r="H209" i="1" s="1"/>
  <c r="G210" i="1"/>
  <c r="H210" i="1" s="1"/>
  <c r="G245" i="1"/>
  <c r="H245" i="1" s="1"/>
  <c r="G246" i="1"/>
  <c r="H246" i="1" s="1"/>
  <c r="G211" i="1"/>
  <c r="H211" i="1" s="1"/>
  <c r="G98" i="1"/>
  <c r="H98" i="1" s="1"/>
  <c r="G159" i="1"/>
  <c r="H159" i="1" s="1"/>
  <c r="G99" i="1"/>
  <c r="H99" i="1" s="1"/>
  <c r="G160" i="1"/>
  <c r="H160" i="1" s="1"/>
  <c r="G100" i="1"/>
  <c r="H100" i="1" s="1"/>
  <c r="G101" i="1"/>
  <c r="H101" i="1" s="1"/>
  <c r="G161" i="1"/>
  <c r="H161" i="1" s="1"/>
  <c r="I161" i="1" s="1"/>
  <c r="G212" i="1"/>
  <c r="H212" i="1" s="1"/>
  <c r="G162" i="1"/>
  <c r="G164" i="1"/>
  <c r="H164" i="1" s="1"/>
  <c r="G214" i="1"/>
  <c r="H214" i="1" s="1"/>
  <c r="G165" i="1"/>
  <c r="H165" i="1" s="1"/>
  <c r="G102" i="1"/>
  <c r="H102" i="1" s="1"/>
  <c r="G166" i="1"/>
  <c r="H166" i="1" s="1"/>
  <c r="G247" i="1"/>
  <c r="H247" i="1" s="1"/>
  <c r="G167" i="1"/>
  <c r="H167" i="1" s="1"/>
  <c r="G215" i="1"/>
  <c r="H215" i="1" s="1"/>
  <c r="G103" i="1"/>
  <c r="H103" i="1" s="1"/>
  <c r="G104" i="1"/>
  <c r="H104" i="1" s="1"/>
  <c r="G216" i="1"/>
  <c r="H216" i="1" s="1"/>
  <c r="F213" i="1"/>
  <c r="H213" i="1" s="1"/>
  <c r="F162" i="1"/>
  <c r="F163" i="1"/>
  <c r="H163" i="1" s="1"/>
  <c r="F248" i="1"/>
  <c r="H248" i="1" s="1"/>
  <c r="I248" i="1" s="1"/>
  <c r="F105" i="1"/>
  <c r="H105" i="1" s="1"/>
  <c r="H26" i="4"/>
  <c r="E16" i="1"/>
  <c r="E40" i="1"/>
  <c r="E21" i="1"/>
  <c r="F147" i="1"/>
  <c r="F236" i="1"/>
  <c r="E22" i="1"/>
  <c r="E23" i="1"/>
  <c r="E26" i="1"/>
  <c r="H94" i="1"/>
  <c r="H92" i="1"/>
  <c r="H126" i="1"/>
  <c r="I126" i="1" s="1"/>
  <c r="L126" i="1" s="1"/>
  <c r="E37" i="1"/>
  <c r="E17" i="1"/>
  <c r="E25" i="1"/>
  <c r="E27" i="1"/>
  <c r="E34" i="1"/>
  <c r="E39" i="1"/>
  <c r="E45" i="1"/>
  <c r="H207" i="1"/>
  <c r="H76" i="1"/>
  <c r="H156" i="1"/>
  <c r="I156" i="1" s="1"/>
  <c r="L156" i="1" s="1"/>
  <c r="E15" i="1"/>
  <c r="E9" i="1"/>
  <c r="E14" i="1"/>
  <c r="E31" i="1"/>
  <c r="E32" i="1"/>
  <c r="E33" i="1"/>
  <c r="E35" i="1"/>
  <c r="H48" i="1"/>
  <c r="I48" i="1" s="1"/>
  <c r="L48" i="1" s="1"/>
  <c r="H239" i="1"/>
  <c r="E28" i="1"/>
  <c r="E30" i="1"/>
  <c r="H135" i="1"/>
  <c r="H178" i="1"/>
  <c r="F25" i="4"/>
  <c r="F24" i="4"/>
  <c r="E12" i="1"/>
  <c r="E18" i="1"/>
  <c r="E11" i="1"/>
  <c r="E24" i="1"/>
  <c r="E13" i="1"/>
  <c r="E8" i="1"/>
  <c r="E10" i="1"/>
  <c r="G34" i="1"/>
  <c r="H34" i="1" s="1"/>
  <c r="G114" i="1"/>
  <c r="G46" i="1"/>
  <c r="G169" i="1"/>
  <c r="H169" i="1" s="1"/>
  <c r="G16" i="1"/>
  <c r="H16" i="1" s="1"/>
  <c r="G226" i="1"/>
  <c r="H226" i="1" s="1"/>
  <c r="I226" i="1" s="1"/>
  <c r="G146" i="1"/>
  <c r="H146" i="1" s="1"/>
  <c r="G151" i="1"/>
  <c r="F202" i="1"/>
  <c r="H158" i="1"/>
  <c r="H180" i="1"/>
  <c r="G145" i="1"/>
  <c r="G123" i="1"/>
  <c r="H62" i="1"/>
  <c r="F183" i="1"/>
  <c r="H183" i="1" s="1"/>
  <c r="E20" i="1"/>
  <c r="H136" i="1"/>
  <c r="H6" i="1"/>
  <c r="H33" i="1"/>
  <c r="F112" i="1"/>
  <c r="F45" i="1"/>
  <c r="F221" i="1"/>
  <c r="F119" i="1"/>
  <c r="F121" i="1"/>
  <c r="H65" i="1"/>
  <c r="H53" i="1"/>
  <c r="E214" i="1"/>
  <c r="F44" i="1"/>
  <c r="F8" i="1"/>
  <c r="F27" i="1"/>
  <c r="G12" i="1"/>
  <c r="G40" i="1"/>
  <c r="H40" i="1" s="1"/>
  <c r="F25" i="1"/>
  <c r="G7" i="1"/>
  <c r="F26" i="1"/>
  <c r="G19" i="1"/>
  <c r="G106" i="1"/>
  <c r="F41" i="1"/>
  <c r="G20" i="1"/>
  <c r="G28" i="1"/>
  <c r="H28" i="1" s="1"/>
  <c r="F29" i="1"/>
  <c r="H29" i="1" s="1"/>
  <c r="I29" i="1" s="1"/>
  <c r="G217" i="1"/>
  <c r="F21" i="1"/>
  <c r="H21" i="1" s="1"/>
  <c r="G31" i="1"/>
  <c r="F109" i="1"/>
  <c r="G110" i="1"/>
  <c r="F111" i="1"/>
  <c r="G23" i="1"/>
  <c r="H23" i="1" s="1"/>
  <c r="G168" i="1"/>
  <c r="F129" i="1"/>
  <c r="F230" i="1"/>
  <c r="H230" i="1" s="1"/>
  <c r="F231" i="1"/>
  <c r="H231" i="1" s="1"/>
  <c r="F18" i="1"/>
  <c r="F115" i="1"/>
  <c r="F117" i="1"/>
  <c r="F148" i="1"/>
  <c r="H197" i="1"/>
  <c r="I197" i="1" s="1"/>
  <c r="G13" i="1"/>
  <c r="H13" i="1" s="1"/>
  <c r="F130" i="1"/>
  <c r="F116" i="1"/>
  <c r="F22" i="1"/>
  <c r="G118" i="1"/>
  <c r="G218" i="1"/>
  <c r="H24" i="1"/>
  <c r="F132" i="1"/>
  <c r="F67" i="1"/>
  <c r="H67" i="1" s="1"/>
  <c r="F69" i="1"/>
  <c r="F73" i="1"/>
  <c r="H73" i="1" s="1"/>
  <c r="F240" i="1"/>
  <c r="H240" i="1" s="1"/>
  <c r="F55" i="1"/>
  <c r="G24" i="4"/>
  <c r="G25" i="4"/>
  <c r="E16" i="4"/>
  <c r="E15" i="4"/>
  <c r="H39" i="1" l="1"/>
  <c r="H49" i="1"/>
  <c r="H176" i="1"/>
  <c r="H61" i="1"/>
  <c r="I61" i="1" s="1"/>
  <c r="H171" i="1"/>
  <c r="H15" i="1"/>
  <c r="H114" i="1"/>
  <c r="H43" i="1"/>
  <c r="H151" i="1"/>
  <c r="I151" i="1" s="1"/>
  <c r="L151" i="1" s="1"/>
  <c r="H129" i="1"/>
  <c r="H217" i="1"/>
  <c r="H45" i="1"/>
  <c r="I45" i="1" s="1"/>
  <c r="L45" i="1" s="1"/>
  <c r="H88" i="1"/>
  <c r="I88" i="1" s="1"/>
  <c r="L88" i="1" s="1"/>
  <c r="H68" i="1"/>
  <c r="H140" i="1"/>
  <c r="H137" i="1"/>
  <c r="H11" i="1"/>
  <c r="H111" i="1"/>
  <c r="I111" i="1" s="1"/>
  <c r="H20" i="1"/>
  <c r="I20" i="1" s="1"/>
  <c r="H120" i="1"/>
  <c r="I120" i="1" s="1"/>
  <c r="L120" i="1" s="1"/>
  <c r="H22" i="1"/>
  <c r="I22" i="1" s="1"/>
  <c r="H18" i="1"/>
  <c r="H110" i="1"/>
  <c r="I110" i="1" s="1"/>
  <c r="H123" i="1"/>
  <c r="H46" i="1"/>
  <c r="I46" i="1" s="1"/>
  <c r="L46" i="1" s="1"/>
  <c r="H69" i="1"/>
  <c r="H116" i="1"/>
  <c r="I116" i="1" s="1"/>
  <c r="L116" i="1" s="1"/>
  <c r="H168" i="1"/>
  <c r="I168" i="1" s="1"/>
  <c r="L168" i="1" s="1"/>
  <c r="H152" i="1"/>
  <c r="H238" i="1"/>
  <c r="I238" i="1" s="1"/>
  <c r="H63" i="1"/>
  <c r="H127" i="1"/>
  <c r="H10" i="1"/>
  <c r="H108" i="1"/>
  <c r="H14" i="1"/>
  <c r="H52" i="1"/>
  <c r="H237" i="1"/>
  <c r="H173" i="1"/>
  <c r="H174" i="1"/>
  <c r="I174" i="1" s="1"/>
  <c r="L174" i="1" s="1"/>
  <c r="H198" i="1"/>
  <c r="I198" i="1" s="1"/>
  <c r="L198" i="1" s="1"/>
  <c r="H38" i="1"/>
  <c r="I38" i="1" s="1"/>
  <c r="H162" i="1"/>
  <c r="H77" i="1"/>
  <c r="H184" i="1"/>
  <c r="H225" i="1"/>
  <c r="H224" i="1"/>
  <c r="H113" i="1"/>
  <c r="H32" i="1"/>
  <c r="I32" i="1" s="1"/>
  <c r="L32" i="1" s="1"/>
  <c r="H107" i="1"/>
  <c r="H142" i="1"/>
  <c r="I142" i="1" s="1"/>
  <c r="L142" i="1" s="1"/>
  <c r="H141" i="1"/>
  <c r="I141" i="1" s="1"/>
  <c r="H233" i="1"/>
  <c r="H36" i="1"/>
  <c r="H131" i="1"/>
  <c r="I131" i="1" s="1"/>
  <c r="L131" i="1" s="1"/>
  <c r="I21" i="1"/>
  <c r="L21" i="1" s="1"/>
  <c r="H218" i="1"/>
  <c r="H117" i="1"/>
  <c r="H41" i="1"/>
  <c r="I41" i="1" s="1"/>
  <c r="L41" i="1" s="1"/>
  <c r="H12" i="1"/>
  <c r="I12" i="1" s="1"/>
  <c r="L12" i="1" s="1"/>
  <c r="H147" i="1"/>
  <c r="I147" i="1" s="1"/>
  <c r="H9" i="1"/>
  <c r="I9" i="1" s="1"/>
  <c r="L9" i="1" s="1"/>
  <c r="H199" i="1"/>
  <c r="H149" i="1"/>
  <c r="H177" i="1"/>
  <c r="H144" i="1"/>
  <c r="H235" i="1"/>
  <c r="H232" i="1"/>
  <c r="H17" i="1"/>
  <c r="I17" i="1" s="1"/>
  <c r="L17" i="1" s="1"/>
  <c r="H172" i="1"/>
  <c r="I172" i="1" s="1"/>
  <c r="L172" i="1" s="1"/>
  <c r="H128" i="1"/>
  <c r="I128" i="1" s="1"/>
  <c r="L128" i="1" s="1"/>
  <c r="H223" i="1"/>
  <c r="H47" i="1"/>
  <c r="H220" i="1"/>
  <c r="H219" i="1"/>
  <c r="I219" i="1" s="1"/>
  <c r="L219" i="1" s="1"/>
  <c r="H42" i="1"/>
  <c r="I42" i="1" s="1"/>
  <c r="L42" i="1" s="1"/>
  <c r="H118" i="1"/>
  <c r="I118" i="1" s="1"/>
  <c r="L118" i="1" s="1"/>
  <c r="H130" i="1"/>
  <c r="I23" i="1"/>
  <c r="L23" i="1" s="1"/>
  <c r="H109" i="1"/>
  <c r="H106" i="1"/>
  <c r="H44" i="1"/>
  <c r="H153" i="1"/>
  <c r="H222" i="1"/>
  <c r="H145" i="1"/>
  <c r="H55" i="1"/>
  <c r="I55" i="1" s="1"/>
  <c r="H148" i="1"/>
  <c r="I28" i="1"/>
  <c r="H25" i="1"/>
  <c r="I25" i="1" s="1"/>
  <c r="L25" i="1" s="1"/>
  <c r="H27" i="1"/>
  <c r="I27" i="1" s="1"/>
  <c r="L27" i="1" s="1"/>
  <c r="H221" i="1"/>
  <c r="H133" i="1"/>
  <c r="I18" i="1"/>
  <c r="H202" i="1"/>
  <c r="I14" i="1"/>
  <c r="L14" i="1" s="1"/>
  <c r="I16" i="1"/>
  <c r="L16" i="1" s="1"/>
  <c r="H70" i="1"/>
  <c r="H124" i="1"/>
  <c r="I124" i="1" s="1"/>
  <c r="L124" i="1" s="1"/>
  <c r="H30" i="1"/>
  <c r="I30" i="1" s="1"/>
  <c r="L30" i="1" s="1"/>
  <c r="H236" i="1"/>
  <c r="I39" i="1"/>
  <c r="L39" i="1" s="1"/>
  <c r="I40" i="1"/>
  <c r="L40" i="1" s="1"/>
  <c r="H19" i="1"/>
  <c r="I19" i="1" s="1"/>
  <c r="I15" i="1"/>
  <c r="L15" i="1" s="1"/>
  <c r="H121" i="1"/>
  <c r="I121" i="1" s="1"/>
  <c r="L121" i="1" s="1"/>
  <c r="H119" i="1"/>
  <c r="H31" i="1"/>
  <c r="I31" i="1" s="1"/>
  <c r="H132" i="1"/>
  <c r="H115" i="1"/>
  <c r="H26" i="1"/>
  <c r="I26" i="1" s="1"/>
  <c r="L26" i="1" s="1"/>
  <c r="H112" i="1"/>
  <c r="I112" i="1" s="1"/>
  <c r="L112" i="1" s="1"/>
  <c r="H50" i="1"/>
  <c r="I50" i="1" s="1"/>
  <c r="L50" i="1" s="1"/>
  <c r="H143" i="1"/>
  <c r="H182" i="1"/>
  <c r="I182" i="1" s="1"/>
  <c r="L182" i="1" s="1"/>
  <c r="H90" i="1"/>
  <c r="I90" i="1" s="1"/>
  <c r="L90" i="1" s="1"/>
  <c r="H150" i="1"/>
  <c r="H154" i="1"/>
  <c r="I154" i="1" s="1"/>
  <c r="L154" i="1" s="1"/>
  <c r="H80" i="1"/>
  <c r="H57" i="1"/>
  <c r="H56" i="1"/>
  <c r="H74" i="1"/>
  <c r="H81" i="1"/>
  <c r="I81" i="1" s="1"/>
  <c r="L81" i="1" s="1"/>
  <c r="H125" i="1"/>
  <c r="H187" i="1"/>
  <c r="H242" i="1"/>
  <c r="H71" i="1"/>
  <c r="I37" i="1"/>
  <c r="L37" i="1" s="1"/>
  <c r="I33" i="1"/>
  <c r="L33" i="1" s="1"/>
  <c r="I24" i="1"/>
  <c r="L24" i="1" s="1"/>
  <c r="I35" i="1"/>
  <c r="L35" i="1" s="1"/>
  <c r="I34" i="1"/>
  <c r="L34" i="1" s="1"/>
  <c r="H24" i="4"/>
  <c r="I13" i="1"/>
  <c r="L13" i="1" s="1"/>
  <c r="I11" i="1"/>
  <c r="L11" i="1" s="1"/>
  <c r="I10" i="1"/>
  <c r="L10" i="1" s="1"/>
  <c r="I214" i="1"/>
  <c r="F5" i="1"/>
  <c r="L22" i="1"/>
  <c r="L197" i="1"/>
  <c r="L18" i="1"/>
  <c r="L29" i="1"/>
  <c r="H7" i="1"/>
  <c r="G5" i="1"/>
  <c r="G4" i="1"/>
  <c r="E166" i="1"/>
  <c r="E237" i="1"/>
  <c r="E235" i="1"/>
  <c r="E105" i="1"/>
  <c r="E117" i="1"/>
  <c r="L134" i="1"/>
  <c r="L38" i="1"/>
  <c r="L141" i="1"/>
  <c r="L147" i="1"/>
  <c r="E196" i="1"/>
  <c r="L55" i="1"/>
  <c r="L20" i="1"/>
  <c r="L111" i="1"/>
  <c r="L31" i="1"/>
  <c r="L28" i="1"/>
  <c r="E201" i="1"/>
  <c r="E109" i="1"/>
  <c r="E169" i="1"/>
  <c r="L226" i="1"/>
  <c r="L87" i="1"/>
  <c r="E69" i="1"/>
  <c r="E89" i="1"/>
  <c r="E231" i="1"/>
  <c r="E60" i="1"/>
  <c r="E199" i="1"/>
  <c r="E49" i="1"/>
  <c r="E115" i="1"/>
  <c r="E51" i="1"/>
  <c r="E72" i="1"/>
  <c r="E223" i="1"/>
  <c r="E202" i="1"/>
  <c r="E140" i="1"/>
  <c r="E132" i="1"/>
  <c r="E241" i="1"/>
  <c r="E234" i="1"/>
  <c r="E209" i="1"/>
  <c r="E242" i="1"/>
  <c r="E239" i="1"/>
  <c r="E180" i="1"/>
  <c r="E129" i="1"/>
  <c r="E143" i="1"/>
  <c r="E71" i="1"/>
  <c r="E236" i="1"/>
  <c r="E233" i="1"/>
  <c r="E167" i="1"/>
  <c r="E62" i="1"/>
  <c r="E84" i="1"/>
  <c r="E204" i="1"/>
  <c r="E192" i="1"/>
  <c r="E207" i="1"/>
  <c r="E173" i="1"/>
  <c r="E211" i="1"/>
  <c r="E57" i="1"/>
  <c r="E175" i="1"/>
  <c r="E104" i="1"/>
  <c r="E98" i="1"/>
  <c r="E92" i="1"/>
  <c r="E191" i="1"/>
  <c r="E200" i="1"/>
  <c r="E145" i="1"/>
  <c r="E227" i="1"/>
  <c r="E216" i="1"/>
  <c r="E217" i="1"/>
  <c r="E63" i="1"/>
  <c r="E246" i="1"/>
  <c r="E230" i="1"/>
  <c r="E177" i="1"/>
  <c r="E163" i="1"/>
  <c r="E68" i="1"/>
  <c r="E210" i="1"/>
  <c r="E245" i="1"/>
  <c r="E228" i="1"/>
  <c r="E244" i="1"/>
  <c r="E113" i="1"/>
  <c r="E123" i="1"/>
  <c r="E194" i="1"/>
  <c r="E220" i="1"/>
  <c r="E122" i="1"/>
  <c r="E240" i="1"/>
  <c r="I240" i="1" s="1"/>
  <c r="E160" i="1"/>
  <c r="E159" i="1"/>
  <c r="E183" i="1"/>
  <c r="E176" i="1"/>
  <c r="E119" i="1"/>
  <c r="L110" i="1"/>
  <c r="L19" i="1"/>
  <c r="H8" i="1"/>
  <c r="I8" i="1" s="1"/>
  <c r="F4" i="1"/>
  <c r="E6" i="1"/>
  <c r="E44" i="1"/>
  <c r="E66" i="1"/>
  <c r="E186" i="1"/>
  <c r="E187" i="1"/>
  <c r="E135" i="1"/>
  <c r="E150" i="1"/>
  <c r="E36" i="1"/>
  <c r="E146" i="1"/>
  <c r="L54" i="1"/>
  <c r="L161" i="1"/>
  <c r="L238" i="1"/>
  <c r="L83" i="1"/>
  <c r="L61" i="1"/>
  <c r="E144" i="1"/>
  <c r="E65" i="1"/>
  <c r="E70" i="1"/>
  <c r="E188" i="1"/>
  <c r="E114" i="1"/>
  <c r="E232" i="1"/>
  <c r="E100" i="1"/>
  <c r="E247" i="1"/>
  <c r="E218" i="1"/>
  <c r="E53" i="1"/>
  <c r="E206" i="1"/>
  <c r="E164" i="1"/>
  <c r="E137" i="1"/>
  <c r="E86" i="1"/>
  <c r="E212" i="1"/>
  <c r="E77" i="1"/>
  <c r="E130" i="1"/>
  <c r="E95" i="1"/>
  <c r="E225" i="1"/>
  <c r="E106" i="1"/>
  <c r="E94" i="1"/>
  <c r="E103" i="1"/>
  <c r="E178" i="1"/>
  <c r="E190" i="1"/>
  <c r="E185" i="1"/>
  <c r="E93" i="1"/>
  <c r="E229" i="1"/>
  <c r="E215" i="1"/>
  <c r="E97" i="1"/>
  <c r="E47" i="1"/>
  <c r="E189" i="1"/>
  <c r="E148" i="1"/>
  <c r="E74" i="1"/>
  <c r="E203" i="1"/>
  <c r="E133" i="1"/>
  <c r="E67" i="1"/>
  <c r="E108" i="1"/>
  <c r="E102" i="1"/>
  <c r="E101" i="1"/>
  <c r="E64" i="1"/>
  <c r="E73" i="1"/>
  <c r="E43" i="1"/>
  <c r="E213" i="1"/>
  <c r="E152" i="1"/>
  <c r="E56" i="1"/>
  <c r="E243" i="1"/>
  <c r="E224" i="1"/>
  <c r="E99" i="1"/>
  <c r="E165" i="1"/>
  <c r="E149" i="1"/>
  <c r="E184" i="1"/>
  <c r="E75" i="1"/>
  <c r="E85" i="1"/>
  <c r="E107" i="1"/>
  <c r="E205" i="1"/>
  <c r="E76" i="1"/>
  <c r="E179" i="1"/>
  <c r="E171" i="1"/>
  <c r="E195" i="1"/>
  <c r="E127" i="1"/>
  <c r="E138" i="1"/>
  <c r="E78" i="1"/>
  <c r="E80" i="1"/>
  <c r="E136" i="1"/>
  <c r="E162" i="1"/>
  <c r="E125" i="1"/>
  <c r="E52" i="1"/>
  <c r="E221" i="1"/>
  <c r="E153" i="1"/>
  <c r="E170" i="1"/>
  <c r="E158" i="1"/>
  <c r="E222" i="1"/>
  <c r="L79" i="1"/>
  <c r="L157" i="1"/>
  <c r="L248" i="1"/>
  <c r="H25" i="4"/>
  <c r="E17" i="4"/>
  <c r="I129" i="1" l="1"/>
  <c r="I115" i="1"/>
  <c r="I132" i="1"/>
  <c r="I69" i="1"/>
  <c r="L69" i="1" s="1"/>
  <c r="I231" i="1"/>
  <c r="L231" i="1" s="1"/>
  <c r="I230" i="1"/>
  <c r="L230" i="1" s="1"/>
  <c r="I52" i="1"/>
  <c r="I75" i="1"/>
  <c r="I133" i="1"/>
  <c r="I137" i="1"/>
  <c r="I144" i="1"/>
  <c r="L8" i="1"/>
  <c r="I210" i="1"/>
  <c r="I191" i="1"/>
  <c r="I98" i="1"/>
  <c r="I57" i="1"/>
  <c r="I207" i="1"/>
  <c r="I84" i="1"/>
  <c r="I236" i="1"/>
  <c r="I71" i="1"/>
  <c r="I239" i="1"/>
  <c r="I209" i="1"/>
  <c r="I140" i="1"/>
  <c r="I51" i="1"/>
  <c r="I60" i="1"/>
  <c r="I89" i="1"/>
  <c r="L129" i="1"/>
  <c r="I73" i="1"/>
  <c r="I80" i="1"/>
  <c r="I165" i="1"/>
  <c r="I215" i="1"/>
  <c r="I114" i="1"/>
  <c r="I135" i="1"/>
  <c r="I119" i="1"/>
  <c r="I122" i="1"/>
  <c r="I113" i="1"/>
  <c r="I63" i="1"/>
  <c r="I145" i="1"/>
  <c r="I125" i="1"/>
  <c r="I78" i="1"/>
  <c r="I205" i="1"/>
  <c r="I184" i="1"/>
  <c r="I99" i="1"/>
  <c r="I64" i="1"/>
  <c r="I203" i="1"/>
  <c r="I47" i="1"/>
  <c r="I178" i="1"/>
  <c r="I77" i="1"/>
  <c r="I164" i="1"/>
  <c r="I247" i="1"/>
  <c r="I188" i="1"/>
  <c r="I146" i="1"/>
  <c r="I187" i="1"/>
  <c r="L115" i="1"/>
  <c r="L132" i="1"/>
  <c r="I176" i="1"/>
  <c r="I220" i="1"/>
  <c r="I244" i="1"/>
  <c r="I68" i="1"/>
  <c r="I177" i="1"/>
  <c r="I200" i="1"/>
  <c r="I104" i="1"/>
  <c r="I211" i="1"/>
  <c r="I192" i="1"/>
  <c r="I62" i="1"/>
  <c r="I143" i="1"/>
  <c r="I242" i="1"/>
  <c r="I202" i="1"/>
  <c r="I201" i="1"/>
  <c r="I130" i="1"/>
  <c r="I105" i="1"/>
  <c r="I166" i="1"/>
  <c r="I7" i="1"/>
  <c r="H4" i="1"/>
  <c r="H5" i="1"/>
  <c r="I148" i="1"/>
  <c r="I234" i="1"/>
  <c r="I217" i="1"/>
  <c r="I158" i="1"/>
  <c r="I76" i="1"/>
  <c r="I56" i="1"/>
  <c r="I190" i="1"/>
  <c r="I162" i="1"/>
  <c r="I171" i="1"/>
  <c r="I101" i="1"/>
  <c r="I108" i="1"/>
  <c r="I74" i="1"/>
  <c r="I93" i="1"/>
  <c r="I103" i="1"/>
  <c r="I225" i="1"/>
  <c r="I212" i="1"/>
  <c r="I206" i="1"/>
  <c r="I100" i="1"/>
  <c r="I70" i="1"/>
  <c r="I36" i="1"/>
  <c r="I186" i="1"/>
  <c r="I6" i="1"/>
  <c r="I26" i="4"/>
  <c r="E4" i="1"/>
  <c r="E5" i="1"/>
  <c r="I117" i="1"/>
  <c r="I183" i="1"/>
  <c r="I160" i="1"/>
  <c r="I194" i="1"/>
  <c r="I228" i="1"/>
  <c r="I216" i="1"/>
  <c r="I175" i="1"/>
  <c r="I173" i="1"/>
  <c r="I204" i="1"/>
  <c r="I167" i="1"/>
  <c r="I241" i="1"/>
  <c r="I223" i="1"/>
  <c r="I49" i="1"/>
  <c r="I229" i="1"/>
  <c r="I235" i="1"/>
  <c r="I44" i="1"/>
  <c r="I106" i="1"/>
  <c r="I218" i="1"/>
  <c r="L214" i="1"/>
  <c r="I195" i="1"/>
  <c r="I213" i="1"/>
  <c r="I189" i="1"/>
  <c r="I153" i="1"/>
  <c r="I138" i="1"/>
  <c r="I107" i="1"/>
  <c r="I224" i="1"/>
  <c r="I152" i="1"/>
  <c r="I43" i="1"/>
  <c r="I222" i="1"/>
  <c r="I221" i="1"/>
  <c r="I136" i="1"/>
  <c r="I127" i="1"/>
  <c r="I179" i="1"/>
  <c r="I85" i="1"/>
  <c r="I149" i="1"/>
  <c r="I243" i="1"/>
  <c r="I102" i="1"/>
  <c r="I97" i="1"/>
  <c r="I185" i="1"/>
  <c r="I94" i="1"/>
  <c r="I95" i="1"/>
  <c r="I86" i="1"/>
  <c r="I53" i="1"/>
  <c r="I232" i="1"/>
  <c r="I65" i="1"/>
  <c r="I150" i="1"/>
  <c r="I66" i="1"/>
  <c r="L240" i="1"/>
  <c r="I159" i="1"/>
  <c r="I123" i="1"/>
  <c r="I245" i="1"/>
  <c r="I163" i="1"/>
  <c r="I246" i="1"/>
  <c r="I227" i="1"/>
  <c r="I92" i="1"/>
  <c r="I233" i="1"/>
  <c r="I180" i="1"/>
  <c r="I72" i="1"/>
  <c r="I199" i="1"/>
  <c r="I169" i="1"/>
  <c r="I196" i="1"/>
  <c r="I237" i="1"/>
  <c r="I109" i="1"/>
  <c r="I67" i="1"/>
  <c r="I170" i="1"/>
  <c r="L3" i="4" l="1"/>
  <c r="L7" i="4"/>
  <c r="L11" i="4"/>
  <c r="L4" i="4"/>
  <c r="L8" i="4"/>
  <c r="L10" i="4"/>
  <c r="L5" i="4"/>
  <c r="L9" i="4"/>
  <c r="L6" i="4"/>
  <c r="E24" i="4"/>
  <c r="L67" i="1"/>
  <c r="L196" i="1"/>
  <c r="L199" i="1"/>
  <c r="L233" i="1"/>
  <c r="L227" i="1"/>
  <c r="L163" i="1"/>
  <c r="L123" i="1"/>
  <c r="L66" i="1"/>
  <c r="L65" i="1"/>
  <c r="L53" i="1"/>
  <c r="L95" i="1"/>
  <c r="L185" i="1"/>
  <c r="L243" i="1"/>
  <c r="L85" i="1"/>
  <c r="L127" i="1"/>
  <c r="L107" i="1"/>
  <c r="L153" i="1"/>
  <c r="L189" i="1"/>
  <c r="L44" i="1"/>
  <c r="L241" i="1"/>
  <c r="L173" i="1"/>
  <c r="L216" i="1"/>
  <c r="L160" i="1"/>
  <c r="L117" i="1"/>
  <c r="L6" i="1"/>
  <c r="L100" i="1"/>
  <c r="L74" i="1"/>
  <c r="L56" i="1"/>
  <c r="L158" i="1"/>
  <c r="L201" i="1"/>
  <c r="L202" i="1"/>
  <c r="L143" i="1"/>
  <c r="L192" i="1"/>
  <c r="L104" i="1"/>
  <c r="L220" i="1"/>
  <c r="L63" i="1"/>
  <c r="L89" i="1"/>
  <c r="L51" i="1"/>
  <c r="L209" i="1"/>
  <c r="L71" i="1"/>
  <c r="L84" i="1"/>
  <c r="L57" i="1"/>
  <c r="L191" i="1"/>
  <c r="L137" i="1"/>
  <c r="L75" i="1"/>
  <c r="L221" i="1"/>
  <c r="L152" i="1"/>
  <c r="L195" i="1"/>
  <c r="L235" i="1"/>
  <c r="L49" i="1"/>
  <c r="L70" i="1"/>
  <c r="L206" i="1"/>
  <c r="L93" i="1"/>
  <c r="L108" i="1"/>
  <c r="L190" i="1"/>
  <c r="L217" i="1"/>
  <c r="L68" i="1"/>
  <c r="L164" i="1"/>
  <c r="L178" i="1"/>
  <c r="L64" i="1"/>
  <c r="L184" i="1"/>
  <c r="L78" i="1"/>
  <c r="L145" i="1"/>
  <c r="L113" i="1"/>
  <c r="L114" i="1"/>
  <c r="L73" i="1"/>
  <c r="L170" i="1"/>
  <c r="L237" i="1"/>
  <c r="L180" i="1"/>
  <c r="L159" i="1"/>
  <c r="L109" i="1"/>
  <c r="L167" i="1"/>
  <c r="L228" i="1"/>
  <c r="L169" i="1"/>
  <c r="L72" i="1"/>
  <c r="L92" i="1"/>
  <c r="L246" i="1"/>
  <c r="L245" i="1"/>
  <c r="L150" i="1"/>
  <c r="L232" i="1"/>
  <c r="L86" i="1"/>
  <c r="L94" i="1"/>
  <c r="L97" i="1"/>
  <c r="L102" i="1"/>
  <c r="L149" i="1"/>
  <c r="L179" i="1"/>
  <c r="L222" i="1"/>
  <c r="L43" i="1"/>
  <c r="L138" i="1"/>
  <c r="L213" i="1"/>
  <c r="L218" i="1"/>
  <c r="L223" i="1"/>
  <c r="L204" i="1"/>
  <c r="L194" i="1"/>
  <c r="L183" i="1"/>
  <c r="L186" i="1"/>
  <c r="L225" i="1"/>
  <c r="L171" i="1"/>
  <c r="L76" i="1"/>
  <c r="L234" i="1"/>
  <c r="L7" i="1"/>
  <c r="L105" i="1"/>
  <c r="L242" i="1"/>
  <c r="L62" i="1"/>
  <c r="L200" i="1"/>
  <c r="L177" i="1"/>
  <c r="L244" i="1"/>
  <c r="L176" i="1"/>
  <c r="L187" i="1"/>
  <c r="L188" i="1"/>
  <c r="L47" i="1"/>
  <c r="L119" i="1"/>
  <c r="L165" i="1"/>
  <c r="L60" i="1"/>
  <c r="L140" i="1"/>
  <c r="L239" i="1"/>
  <c r="L236" i="1"/>
  <c r="L207" i="1"/>
  <c r="L98" i="1"/>
  <c r="L210" i="1"/>
  <c r="L144" i="1"/>
  <c r="L133" i="1"/>
  <c r="L52" i="1"/>
  <c r="L136" i="1"/>
  <c r="L224" i="1"/>
  <c r="L106" i="1"/>
  <c r="L229" i="1"/>
  <c r="L175" i="1"/>
  <c r="E25" i="4"/>
  <c r="L36" i="1"/>
  <c r="L212" i="1"/>
  <c r="L103" i="1"/>
  <c r="L101" i="1"/>
  <c r="L162" i="1"/>
  <c r="L148" i="1"/>
  <c r="L166" i="1"/>
  <c r="L130" i="1"/>
  <c r="L211" i="1"/>
  <c r="L146" i="1"/>
  <c r="L247" i="1"/>
  <c r="L77" i="1"/>
  <c r="L203" i="1"/>
  <c r="L99" i="1"/>
  <c r="L205" i="1"/>
  <c r="L125" i="1"/>
  <c r="L122" i="1"/>
  <c r="L135" i="1"/>
  <c r="L215" i="1"/>
  <c r="L80" i="1"/>
  <c r="N41" i="4" l="1"/>
  <c r="N45" i="4"/>
  <c r="N49" i="4"/>
  <c r="N53" i="4"/>
  <c r="N57" i="4"/>
  <c r="N28" i="4"/>
  <c r="N44" i="4"/>
  <c r="N52" i="4"/>
  <c r="N32" i="4"/>
  <c r="N40" i="4"/>
  <c r="N43" i="4"/>
  <c r="N48" i="4"/>
  <c r="N71" i="4"/>
  <c r="N72" i="4"/>
  <c r="N73" i="4"/>
  <c r="N59" i="4"/>
  <c r="N60" i="4"/>
  <c r="N61" i="4"/>
  <c r="N75" i="4"/>
  <c r="N78" i="4"/>
  <c r="N82" i="4"/>
  <c r="N56" i="4"/>
  <c r="N81" i="4"/>
  <c r="N84" i="4"/>
  <c r="N85" i="4"/>
  <c r="N86" i="4"/>
  <c r="N100" i="4"/>
  <c r="N101" i="4"/>
  <c r="N102" i="4"/>
  <c r="N88" i="4"/>
  <c r="N89" i="4"/>
  <c r="N90" i="4"/>
  <c r="N105" i="4"/>
  <c r="N109" i="4"/>
  <c r="N113" i="4"/>
  <c r="N117" i="4"/>
  <c r="N121" i="4"/>
  <c r="N51" i="4"/>
  <c r="N55" i="4"/>
  <c r="N65" i="4"/>
  <c r="N69" i="4"/>
  <c r="N77" i="4"/>
  <c r="N92" i="4"/>
  <c r="N93" i="4"/>
  <c r="N94" i="4"/>
  <c r="N104" i="4"/>
  <c r="N98" i="4"/>
  <c r="N112" i="4"/>
  <c r="N120" i="4"/>
  <c r="N125" i="4"/>
  <c r="N36" i="4"/>
  <c r="N108" i="4"/>
  <c r="N116" i="4"/>
  <c r="N124" i="4"/>
  <c r="N127" i="4"/>
  <c r="N128" i="4"/>
  <c r="N129" i="4"/>
  <c r="N134" i="4"/>
  <c r="N138" i="4"/>
  <c r="N142" i="4"/>
  <c r="N146" i="4"/>
  <c r="N150" i="4"/>
  <c r="N154" i="4"/>
  <c r="N158" i="4"/>
  <c r="N119" i="4"/>
  <c r="N166" i="4"/>
  <c r="N96" i="4"/>
  <c r="N161" i="4"/>
  <c r="N168" i="4"/>
  <c r="N172" i="4"/>
  <c r="N162" i="4"/>
  <c r="N171" i="4"/>
  <c r="N175" i="4"/>
  <c r="N179" i="4"/>
  <c r="N183" i="4"/>
  <c r="N187" i="4"/>
  <c r="N191" i="4"/>
  <c r="N195" i="4"/>
  <c r="N199" i="4"/>
  <c r="N203" i="4"/>
  <c r="N207" i="4"/>
  <c r="N211" i="4"/>
  <c r="N111" i="4"/>
  <c r="N133" i="4"/>
  <c r="N149" i="4"/>
  <c r="N182" i="4"/>
  <c r="N186" i="4"/>
  <c r="N190" i="4"/>
  <c r="N194" i="4"/>
  <c r="N198" i="4"/>
  <c r="N202" i="4"/>
  <c r="N206" i="4"/>
  <c r="N210" i="4"/>
  <c r="N215" i="4"/>
  <c r="N222" i="4"/>
  <c r="N223" i="4"/>
  <c r="N237" i="4"/>
  <c r="N238" i="4"/>
  <c r="N239" i="4"/>
  <c r="N137" i="4"/>
  <c r="N153" i="4"/>
  <c r="N178" i="4"/>
  <c r="N218" i="4"/>
  <c r="N225" i="4"/>
  <c r="N226" i="4"/>
  <c r="N227" i="4"/>
  <c r="N241" i="4"/>
  <c r="N242" i="4"/>
  <c r="N243" i="4"/>
  <c r="N257" i="4"/>
  <c r="N258" i="4"/>
  <c r="N259" i="4"/>
  <c r="N80" i="4"/>
  <c r="N145" i="4"/>
  <c r="N170" i="4"/>
  <c r="N141" i="4"/>
  <c r="N157" i="4"/>
  <c r="N165" i="4"/>
  <c r="N174" i="4"/>
  <c r="N219" i="4"/>
  <c r="N229" i="4"/>
  <c r="N230" i="4"/>
  <c r="N231" i="4"/>
  <c r="N245" i="4"/>
  <c r="N246" i="4"/>
  <c r="N247" i="4"/>
  <c r="N261" i="4"/>
  <c r="N262" i="4"/>
  <c r="N263" i="4"/>
  <c r="N214" i="4"/>
  <c r="N269" i="4"/>
  <c r="N254" i="4"/>
  <c r="N255" i="4"/>
  <c r="N267" i="4"/>
  <c r="N235" i="4"/>
  <c r="N251" i="4"/>
  <c r="N249" i="4"/>
  <c r="N252" i="4"/>
  <c r="N265" i="4"/>
  <c r="N213" i="4"/>
  <c r="N205" i="4"/>
  <c r="N260" i="4"/>
  <c r="N244" i="4"/>
  <c r="N228" i="4"/>
  <c r="N173" i="4"/>
  <c r="N193" i="4"/>
  <c r="N256" i="4"/>
  <c r="N240" i="4"/>
  <c r="N224" i="4"/>
  <c r="N212" i="4"/>
  <c r="N204" i="4"/>
  <c r="N196" i="4"/>
  <c r="N188" i="4"/>
  <c r="N177" i="4"/>
  <c r="N110" i="4"/>
  <c r="N236" i="4"/>
  <c r="N160" i="4"/>
  <c r="N156" i="4"/>
  <c r="N152" i="4"/>
  <c r="N148" i="4"/>
  <c r="N144" i="4"/>
  <c r="N140" i="4"/>
  <c r="N136" i="4"/>
  <c r="N132" i="4"/>
  <c r="N155" i="4"/>
  <c r="N147" i="4"/>
  <c r="N139" i="4"/>
  <c r="N126" i="4"/>
  <c r="N106" i="4"/>
  <c r="N67" i="4"/>
  <c r="N46" i="4"/>
  <c r="N74" i="4"/>
  <c r="N58" i="4"/>
  <c r="N29" i="4"/>
  <c r="N27" i="4"/>
  <c r="N248" i="4"/>
  <c r="N169" i="4"/>
  <c r="N164" i="4"/>
  <c r="N197" i="4"/>
  <c r="N217" i="4"/>
  <c r="N63" i="4"/>
  <c r="N123" i="4"/>
  <c r="N103" i="4"/>
  <c r="N87" i="4"/>
  <c r="N66" i="4"/>
  <c r="N39" i="4"/>
  <c r="N33" i="4"/>
  <c r="N38" i="4"/>
  <c r="N37" i="4"/>
  <c r="N233" i="4"/>
  <c r="N253" i="4"/>
  <c r="N201" i="4"/>
  <c r="N189" i="4"/>
  <c r="N176" i="4"/>
  <c r="N91" i="4"/>
  <c r="N83" i="4"/>
  <c r="N35" i="4"/>
  <c r="N250" i="4"/>
  <c r="N264" i="4"/>
  <c r="N268" i="4"/>
  <c r="N221" i="4"/>
  <c r="N234" i="4"/>
  <c r="N209" i="4"/>
  <c r="N220" i="4"/>
  <c r="N180" i="4"/>
  <c r="N185" i="4"/>
  <c r="N208" i="4"/>
  <c r="N200" i="4"/>
  <c r="N192" i="4"/>
  <c r="N184" i="4"/>
  <c r="N181" i="4"/>
  <c r="N131" i="4"/>
  <c r="N64" i="4"/>
  <c r="N163" i="4"/>
  <c r="N167" i="4"/>
  <c r="N159" i="4"/>
  <c r="N151" i="4"/>
  <c r="N143" i="4"/>
  <c r="N135" i="4"/>
  <c r="N118" i="4"/>
  <c r="N122" i="4"/>
  <c r="N115" i="4"/>
  <c r="N62" i="4"/>
  <c r="N47" i="4"/>
  <c r="N50" i="4"/>
  <c r="N30" i="4"/>
  <c r="N99" i="4"/>
  <c r="N31" i="4"/>
  <c r="N70" i="4"/>
  <c r="N54" i="4"/>
  <c r="N266" i="4"/>
  <c r="N232" i="4"/>
  <c r="N216" i="4"/>
  <c r="N97" i="4"/>
  <c r="N130" i="4"/>
  <c r="N79" i="4"/>
  <c r="N95" i="4"/>
  <c r="N114" i="4"/>
  <c r="N107" i="4"/>
  <c r="N68" i="4"/>
  <c r="N76" i="4"/>
  <c r="N42" i="4"/>
  <c r="N34" i="4"/>
  <c r="E19" i="4"/>
  <c r="F15" i="4" s="1"/>
  <c r="N26" i="4"/>
  <c r="N246" i="1"/>
  <c r="N238" i="1"/>
  <c r="N239" i="1"/>
  <c r="M247" i="1"/>
  <c r="M244" i="1"/>
  <c r="M241" i="1"/>
  <c r="N10" i="1"/>
  <c r="N18" i="1"/>
  <c r="N26" i="1"/>
  <c r="N7" i="1"/>
  <c r="N15" i="1"/>
  <c r="N23" i="1"/>
  <c r="N31" i="1"/>
  <c r="M36" i="1"/>
  <c r="M40" i="1"/>
  <c r="N8" i="1"/>
  <c r="N16" i="1"/>
  <c r="N24" i="1"/>
  <c r="N32" i="1"/>
  <c r="N36" i="1"/>
  <c r="N40" i="1"/>
  <c r="N44" i="1"/>
  <c r="N48" i="1"/>
  <c r="M10" i="1"/>
  <c r="M18" i="1"/>
  <c r="M26" i="1"/>
  <c r="N50" i="1"/>
  <c r="M30" i="1"/>
  <c r="M50" i="1"/>
  <c r="N54" i="1"/>
  <c r="M60" i="1"/>
  <c r="M68" i="1"/>
  <c r="M76" i="1"/>
  <c r="M84" i="1"/>
  <c r="N53" i="1"/>
  <c r="M61" i="1"/>
  <c r="M69" i="1"/>
  <c r="M77" i="1"/>
  <c r="M85" i="1"/>
  <c r="M62" i="1"/>
  <c r="M70" i="1"/>
  <c r="M78" i="1"/>
  <c r="M86" i="1"/>
  <c r="M55" i="1"/>
  <c r="M63" i="1"/>
  <c r="M71" i="1"/>
  <c r="M79" i="1"/>
  <c r="M87" i="1"/>
  <c r="M95" i="1"/>
  <c r="M97" i="1"/>
  <c r="M92" i="1"/>
  <c r="N98" i="1"/>
  <c r="N106" i="1"/>
  <c r="N114" i="1"/>
  <c r="N99" i="1"/>
  <c r="N107" i="1"/>
  <c r="N100" i="1"/>
  <c r="N108" i="1"/>
  <c r="N116" i="1"/>
  <c r="N101" i="1"/>
  <c r="M120" i="1"/>
  <c r="N128" i="1"/>
  <c r="N136" i="1"/>
  <c r="N144" i="1"/>
  <c r="N152" i="1"/>
  <c r="N113" i="1"/>
  <c r="N121" i="1"/>
  <c r="N129" i="1"/>
  <c r="N137" i="1"/>
  <c r="N145" i="1"/>
  <c r="N153" i="1"/>
  <c r="N161" i="1"/>
  <c r="N122" i="1"/>
  <c r="N130" i="1"/>
  <c r="N138" i="1"/>
  <c r="N146" i="1"/>
  <c r="M106" i="1"/>
  <c r="N123" i="1"/>
  <c r="N131" i="1"/>
  <c r="N139" i="1"/>
  <c r="N147" i="1"/>
  <c r="N155" i="1"/>
  <c r="N163" i="1"/>
  <c r="N242" i="1"/>
  <c r="N243" i="1"/>
  <c r="N240" i="1"/>
  <c r="M248" i="1"/>
  <c r="M245" i="1"/>
  <c r="M11" i="1"/>
  <c r="M19" i="1"/>
  <c r="M27" i="1"/>
  <c r="M8" i="1"/>
  <c r="M16" i="1"/>
  <c r="M24" i="1"/>
  <c r="M32" i="1"/>
  <c r="M37" i="1"/>
  <c r="M41" i="1"/>
  <c r="M9" i="1"/>
  <c r="M17" i="1"/>
  <c r="M25" i="1"/>
  <c r="M33" i="1"/>
  <c r="N37" i="1"/>
  <c r="N41" i="1"/>
  <c r="N45" i="1"/>
  <c r="N49" i="1"/>
  <c r="N13" i="1"/>
  <c r="N21" i="1"/>
  <c r="N29" i="1"/>
  <c r="N51" i="1"/>
  <c r="M44" i="1"/>
  <c r="M51" i="1"/>
  <c r="N55" i="1"/>
  <c r="N63" i="1"/>
  <c r="N71" i="1"/>
  <c r="N79" i="1"/>
  <c r="N87" i="1"/>
  <c r="N56" i="1"/>
  <c r="N64" i="1"/>
  <c r="N72" i="1"/>
  <c r="N80" i="1"/>
  <c r="N57" i="1"/>
  <c r="N65" i="1"/>
  <c r="N73" i="1"/>
  <c r="N81" i="1"/>
  <c r="N89" i="1"/>
  <c r="N58" i="1"/>
  <c r="N66" i="1"/>
  <c r="N74" i="1"/>
  <c r="N82" i="1"/>
  <c r="N90" i="1"/>
  <c r="M94" i="1"/>
  <c r="M93" i="1"/>
  <c r="N93" i="1"/>
  <c r="M99" i="1"/>
  <c r="M107" i="1"/>
  <c r="M115" i="1"/>
  <c r="M100" i="1"/>
  <c r="M108" i="1"/>
  <c r="M101" i="1"/>
  <c r="M109" i="1"/>
  <c r="M117" i="1"/>
  <c r="M102" i="1"/>
  <c r="M121" i="1"/>
  <c r="M129" i="1"/>
  <c r="M137" i="1"/>
  <c r="M145" i="1"/>
  <c r="M153" i="1"/>
  <c r="M114" i="1"/>
  <c r="M122" i="1"/>
  <c r="M130" i="1"/>
  <c r="M138" i="1"/>
  <c r="M146" i="1"/>
  <c r="M154" i="1"/>
  <c r="N109" i="1"/>
  <c r="M123" i="1"/>
  <c r="M131" i="1"/>
  <c r="M139" i="1"/>
  <c r="M147" i="1"/>
  <c r="N115" i="1"/>
  <c r="M124" i="1"/>
  <c r="M132" i="1"/>
  <c r="M140" i="1"/>
  <c r="M148" i="1"/>
  <c r="M156" i="1"/>
  <c r="M164" i="1"/>
  <c r="M172" i="1"/>
  <c r="M180" i="1"/>
  <c r="M188" i="1"/>
  <c r="M196" i="1"/>
  <c r="M242" i="1"/>
  <c r="N247" i="1"/>
  <c r="N244" i="1"/>
  <c r="N241" i="1"/>
  <c r="N6" i="1"/>
  <c r="N14" i="1"/>
  <c r="N22" i="1"/>
  <c r="N30" i="1"/>
  <c r="N11" i="1"/>
  <c r="N19" i="1"/>
  <c r="N27" i="1"/>
  <c r="M34" i="1"/>
  <c r="M38" i="1"/>
  <c r="M42" i="1"/>
  <c r="N12" i="1"/>
  <c r="N20" i="1"/>
  <c r="N28" i="1"/>
  <c r="N34" i="1"/>
  <c r="N38" i="1"/>
  <c r="N42" i="1"/>
  <c r="N46" i="1"/>
  <c r="M6" i="1"/>
  <c r="M14" i="1"/>
  <c r="M22" i="1"/>
  <c r="N33" i="1"/>
  <c r="M45" i="1"/>
  <c r="M47" i="1"/>
  <c r="M52" i="1"/>
  <c r="M56" i="1"/>
  <c r="M64" i="1"/>
  <c r="M72" i="1"/>
  <c r="M80" i="1"/>
  <c r="M88" i="1"/>
  <c r="M57" i="1"/>
  <c r="M65" i="1"/>
  <c r="M73" i="1"/>
  <c r="M81" i="1"/>
  <c r="M58" i="1"/>
  <c r="M66" i="1"/>
  <c r="M74" i="1"/>
  <c r="M82" i="1"/>
  <c r="M90" i="1"/>
  <c r="M59" i="1"/>
  <c r="M67" i="1"/>
  <c r="M75" i="1"/>
  <c r="M83" i="1"/>
  <c r="M91" i="1"/>
  <c r="N95" i="1"/>
  <c r="N97" i="1"/>
  <c r="M98" i="1"/>
  <c r="N102" i="1"/>
  <c r="N110" i="1"/>
  <c r="M89" i="1"/>
  <c r="N103" i="1"/>
  <c r="N111" i="1"/>
  <c r="N104" i="1"/>
  <c r="N112" i="1"/>
  <c r="N120" i="1"/>
  <c r="N105" i="1"/>
  <c r="N124" i="1"/>
  <c r="N132" i="1"/>
  <c r="N140" i="1"/>
  <c r="N148" i="1"/>
  <c r="N156" i="1"/>
  <c r="N117" i="1"/>
  <c r="N125" i="1"/>
  <c r="N133" i="1"/>
  <c r="N141" i="1"/>
  <c r="N149" i="1"/>
  <c r="N157" i="1"/>
  <c r="M118" i="1"/>
  <c r="N126" i="1"/>
  <c r="N134" i="1"/>
  <c r="N142" i="1"/>
  <c r="N150" i="1"/>
  <c r="M116" i="1"/>
  <c r="N127" i="1"/>
  <c r="N135" i="1"/>
  <c r="N143" i="1"/>
  <c r="N151" i="1"/>
  <c r="N159" i="1"/>
  <c r="N167" i="1"/>
  <c r="N175" i="1"/>
  <c r="N183" i="1"/>
  <c r="N191" i="1"/>
  <c r="N199" i="1"/>
  <c r="N207" i="1"/>
  <c r="N215" i="1"/>
  <c r="N223" i="1"/>
  <c r="N231" i="1"/>
  <c r="M240" i="1"/>
  <c r="M159" i="1"/>
  <c r="M169" i="1"/>
  <c r="M177" i="1"/>
  <c r="M246" i="1"/>
  <c r="M243" i="1"/>
  <c r="N248" i="1"/>
  <c r="N245" i="1"/>
  <c r="M7" i="1"/>
  <c r="M15" i="1"/>
  <c r="M23" i="1"/>
  <c r="M31" i="1"/>
  <c r="M12" i="1"/>
  <c r="M20" i="1"/>
  <c r="M28" i="1"/>
  <c r="M35" i="1"/>
  <c r="M39" i="1"/>
  <c r="M43" i="1"/>
  <c r="M13" i="1"/>
  <c r="M21" i="1"/>
  <c r="M29" i="1"/>
  <c r="N35" i="1"/>
  <c r="N39" i="1"/>
  <c r="N43" i="1"/>
  <c r="N47" i="1"/>
  <c r="N9" i="1"/>
  <c r="N17" i="1"/>
  <c r="N25" i="1"/>
  <c r="M49" i="1"/>
  <c r="M46" i="1"/>
  <c r="M48" i="1"/>
  <c r="M53" i="1"/>
  <c r="N59" i="1"/>
  <c r="N67" i="1"/>
  <c r="N75" i="1"/>
  <c r="N83" i="1"/>
  <c r="N52" i="1"/>
  <c r="N60" i="1"/>
  <c r="N68" i="1"/>
  <c r="N76" i="1"/>
  <c r="N84" i="1"/>
  <c r="N61" i="1"/>
  <c r="N69" i="1"/>
  <c r="N77" i="1"/>
  <c r="N85" i="1"/>
  <c r="M54" i="1"/>
  <c r="N62" i="1"/>
  <c r="N70" i="1"/>
  <c r="N78" i="1"/>
  <c r="N86" i="1"/>
  <c r="N94" i="1"/>
  <c r="N96" i="1"/>
  <c r="N91" i="1"/>
  <c r="M96" i="1"/>
  <c r="M103" i="1"/>
  <c r="M111" i="1"/>
  <c r="N92" i="1"/>
  <c r="M104" i="1"/>
  <c r="M112" i="1"/>
  <c r="M105" i="1"/>
  <c r="M113" i="1"/>
  <c r="N88" i="1"/>
  <c r="M110" i="1"/>
  <c r="M125" i="1"/>
  <c r="M133" i="1"/>
  <c r="M141" i="1"/>
  <c r="M149" i="1"/>
  <c r="M157" i="1"/>
  <c r="M119" i="1"/>
  <c r="M126" i="1"/>
  <c r="M134" i="1"/>
  <c r="M142" i="1"/>
  <c r="M150" i="1"/>
  <c r="M158" i="1"/>
  <c r="N119" i="1"/>
  <c r="M127" i="1"/>
  <c r="M135" i="1"/>
  <c r="M143" i="1"/>
  <c r="M151" i="1"/>
  <c r="N118" i="1"/>
  <c r="M128" i="1"/>
  <c r="M136" i="1"/>
  <c r="M144" i="1"/>
  <c r="M152" i="1"/>
  <c r="N160" i="1"/>
  <c r="M168" i="1"/>
  <c r="M176" i="1"/>
  <c r="M192" i="1"/>
  <c r="M204" i="1"/>
  <c r="M216" i="1"/>
  <c r="N227" i="1"/>
  <c r="M236" i="1"/>
  <c r="N164" i="1"/>
  <c r="M173" i="1"/>
  <c r="N184" i="1"/>
  <c r="N192" i="1"/>
  <c r="N200" i="1"/>
  <c r="N208" i="1"/>
  <c r="M161" i="1"/>
  <c r="N169" i="1"/>
  <c r="N177" i="1"/>
  <c r="N185" i="1"/>
  <c r="N193" i="1"/>
  <c r="N201" i="1"/>
  <c r="N209" i="1"/>
  <c r="N217" i="1"/>
  <c r="N225" i="1"/>
  <c r="N233" i="1"/>
  <c r="M163" i="1"/>
  <c r="M171" i="1"/>
  <c r="M179" i="1"/>
  <c r="M187" i="1"/>
  <c r="M195" i="1"/>
  <c r="M203" i="1"/>
  <c r="M211" i="1"/>
  <c r="M219" i="1"/>
  <c r="M227" i="1"/>
  <c r="M235" i="1"/>
  <c r="M237" i="1"/>
  <c r="N220" i="1"/>
  <c r="N228" i="1"/>
  <c r="N224" i="1"/>
  <c r="N179" i="1"/>
  <c r="N195" i="1"/>
  <c r="M208" i="1"/>
  <c r="N219" i="1"/>
  <c r="M228" i="1"/>
  <c r="M165" i="1"/>
  <c r="N176" i="1"/>
  <c r="M185" i="1"/>
  <c r="M193" i="1"/>
  <c r="M201" i="1"/>
  <c r="M209" i="1"/>
  <c r="M162" i="1"/>
  <c r="M170" i="1"/>
  <c r="M178" i="1"/>
  <c r="M186" i="1"/>
  <c r="M194" i="1"/>
  <c r="M202" i="1"/>
  <c r="M210" i="1"/>
  <c r="M218" i="1"/>
  <c r="M226" i="1"/>
  <c r="N154" i="1"/>
  <c r="N166" i="1"/>
  <c r="N174" i="1"/>
  <c r="N182" i="1"/>
  <c r="N190" i="1"/>
  <c r="N198" i="1"/>
  <c r="N206" i="1"/>
  <c r="N214" i="1"/>
  <c r="N222" i="1"/>
  <c r="N230" i="1"/>
  <c r="M239" i="1"/>
  <c r="M225" i="1"/>
  <c r="N237" i="1"/>
  <c r="N232" i="1"/>
  <c r="M184" i="1"/>
  <c r="M200" i="1"/>
  <c r="N211" i="1"/>
  <c r="M220" i="1"/>
  <c r="M232" i="1"/>
  <c r="M155" i="1"/>
  <c r="N168" i="1"/>
  <c r="N180" i="1"/>
  <c r="N188" i="1"/>
  <c r="N196" i="1"/>
  <c r="N204" i="1"/>
  <c r="N212" i="1"/>
  <c r="N165" i="1"/>
  <c r="N173" i="1"/>
  <c r="N181" i="1"/>
  <c r="N189" i="1"/>
  <c r="N197" i="1"/>
  <c r="N205" i="1"/>
  <c r="N213" i="1"/>
  <c r="N221" i="1"/>
  <c r="N229" i="1"/>
  <c r="M160" i="1"/>
  <c r="M167" i="1"/>
  <c r="M175" i="1"/>
  <c r="M183" i="1"/>
  <c r="M191" i="1"/>
  <c r="M199" i="1"/>
  <c r="M207" i="1"/>
  <c r="M215" i="1"/>
  <c r="N171" i="1"/>
  <c r="N187" i="1"/>
  <c r="N203" i="1"/>
  <c r="M212" i="1"/>
  <c r="M224" i="1"/>
  <c r="N235" i="1"/>
  <c r="N158" i="1"/>
  <c r="N172" i="1"/>
  <c r="M181" i="1"/>
  <c r="M189" i="1"/>
  <c r="M197" i="1"/>
  <c r="M205" i="1"/>
  <c r="M213" i="1"/>
  <c r="M166" i="1"/>
  <c r="M174" i="1"/>
  <c r="M182" i="1"/>
  <c r="M190" i="1"/>
  <c r="M198" i="1"/>
  <c r="M206" i="1"/>
  <c r="M214" i="1"/>
  <c r="M222" i="1"/>
  <c r="M230" i="1"/>
  <c r="N162" i="1"/>
  <c r="N170" i="1"/>
  <c r="N178" i="1"/>
  <c r="N186" i="1"/>
  <c r="N194" i="1"/>
  <c r="N202" i="1"/>
  <c r="N210" i="1"/>
  <c r="N218" i="1"/>
  <c r="N226" i="1"/>
  <c r="N234" i="1"/>
  <c r="N236" i="1"/>
  <c r="M217" i="1"/>
  <c r="M233" i="1"/>
  <c r="M221" i="1"/>
  <c r="M231" i="1"/>
  <c r="N216" i="1"/>
  <c r="M238" i="1"/>
  <c r="M234" i="1"/>
  <c r="M223" i="1"/>
  <c r="M229" i="1"/>
  <c r="O221" i="1" l="1"/>
  <c r="O214" i="1"/>
  <c r="O238" i="1"/>
  <c r="O206" i="1"/>
  <c r="O174" i="1"/>
  <c r="O197" i="1"/>
  <c r="O207" i="1"/>
  <c r="O175" i="1"/>
  <c r="O220" i="1"/>
  <c r="O210" i="1"/>
  <c r="O178" i="1"/>
  <c r="O201" i="1"/>
  <c r="O165" i="1"/>
  <c r="O219" i="1"/>
  <c r="O187" i="1"/>
  <c r="O236" i="1"/>
  <c r="O192" i="1"/>
  <c r="O152" i="1"/>
  <c r="O127" i="1"/>
  <c r="O142" i="1"/>
  <c r="O157" i="1"/>
  <c r="O125" i="1"/>
  <c r="O105" i="1"/>
  <c r="O111" i="1"/>
  <c r="O53" i="1"/>
  <c r="O21" i="1"/>
  <c r="O35" i="1"/>
  <c r="O31" i="1"/>
  <c r="O177" i="1"/>
  <c r="O98" i="1"/>
  <c r="O83" i="1"/>
  <c r="O90" i="1"/>
  <c r="O58" i="1"/>
  <c r="O57" i="1"/>
  <c r="O64" i="1"/>
  <c r="O45" i="1"/>
  <c r="O6" i="1"/>
  <c r="O42" i="1"/>
  <c r="O180" i="1"/>
  <c r="O148" i="1"/>
  <c r="O123" i="1"/>
  <c r="O138" i="1"/>
  <c r="O153" i="1"/>
  <c r="O121" i="1"/>
  <c r="O101" i="1"/>
  <c r="O107" i="1"/>
  <c r="O94" i="1"/>
  <c r="O51" i="1"/>
  <c r="O17" i="1"/>
  <c r="O32" i="1"/>
  <c r="O27" i="1"/>
  <c r="O248" i="1"/>
  <c r="O92" i="1"/>
  <c r="O79" i="1"/>
  <c r="O86" i="1"/>
  <c r="O85" i="1"/>
  <c r="O60" i="1"/>
  <c r="O40" i="1"/>
  <c r="O182" i="1"/>
  <c r="O233" i="1"/>
  <c r="O229" i="1"/>
  <c r="O217" i="1"/>
  <c r="O230" i="1"/>
  <c r="O198" i="1"/>
  <c r="O166" i="1"/>
  <c r="O189" i="1"/>
  <c r="O199" i="1"/>
  <c r="O167" i="1"/>
  <c r="O202" i="1"/>
  <c r="O170" i="1"/>
  <c r="O193" i="1"/>
  <c r="O228" i="1"/>
  <c r="O237" i="1"/>
  <c r="O211" i="1"/>
  <c r="O179" i="1"/>
  <c r="O161" i="1"/>
  <c r="O176" i="1"/>
  <c r="O144" i="1"/>
  <c r="O151" i="1"/>
  <c r="O134" i="1"/>
  <c r="O149" i="1"/>
  <c r="O110" i="1"/>
  <c r="O112" i="1"/>
  <c r="O103" i="1"/>
  <c r="O48" i="1"/>
  <c r="O13" i="1"/>
  <c r="O28" i="1"/>
  <c r="O23" i="1"/>
  <c r="O169" i="1"/>
  <c r="O89" i="1"/>
  <c r="O75" i="1"/>
  <c r="O82" i="1"/>
  <c r="O81" i="1"/>
  <c r="O88" i="1"/>
  <c r="O56" i="1"/>
  <c r="O38" i="1"/>
  <c r="O242" i="1"/>
  <c r="O172" i="1"/>
  <c r="O140" i="1"/>
  <c r="O147" i="1"/>
  <c r="O130" i="1"/>
  <c r="O145" i="1"/>
  <c r="O102" i="1"/>
  <c r="O108" i="1"/>
  <c r="O99" i="1"/>
  <c r="O44" i="1"/>
  <c r="O9" i="1"/>
  <c r="O24" i="1"/>
  <c r="O19" i="1"/>
  <c r="O97" i="1"/>
  <c r="O71" i="1"/>
  <c r="O78" i="1"/>
  <c r="O77" i="1"/>
  <c r="O84" i="1"/>
  <c r="O26" i="1"/>
  <c r="O36" i="1"/>
  <c r="O241" i="1"/>
  <c r="N24" i="4"/>
  <c r="O223" i="1"/>
  <c r="O231" i="1"/>
  <c r="O222" i="1"/>
  <c r="O190" i="1"/>
  <c r="O213" i="1"/>
  <c r="O181" i="1"/>
  <c r="O224" i="1"/>
  <c r="O191" i="1"/>
  <c r="O160" i="1"/>
  <c r="O155" i="1"/>
  <c r="O200" i="1"/>
  <c r="O225" i="1"/>
  <c r="O226" i="1"/>
  <c r="O194" i="1"/>
  <c r="O162" i="1"/>
  <c r="O185" i="1"/>
  <c r="O235" i="1"/>
  <c r="O203" i="1"/>
  <c r="O171" i="1"/>
  <c r="O173" i="1"/>
  <c r="O216" i="1"/>
  <c r="O168" i="1"/>
  <c r="O136" i="1"/>
  <c r="O143" i="1"/>
  <c r="O158" i="1"/>
  <c r="O126" i="1"/>
  <c r="O141" i="1"/>
  <c r="O104" i="1"/>
  <c r="O96" i="1"/>
  <c r="O54" i="1"/>
  <c r="O46" i="1"/>
  <c r="O43" i="1"/>
  <c r="O20" i="1"/>
  <c r="O15" i="1"/>
  <c r="O243" i="1"/>
  <c r="O159" i="1"/>
  <c r="O116" i="1"/>
  <c r="O67" i="1"/>
  <c r="O74" i="1"/>
  <c r="O73" i="1"/>
  <c r="O80" i="1"/>
  <c r="O52" i="1"/>
  <c r="O22" i="1"/>
  <c r="O34" i="1"/>
  <c r="O196" i="1"/>
  <c r="O164" i="1"/>
  <c r="O132" i="1"/>
  <c r="O139" i="1"/>
  <c r="O154" i="1"/>
  <c r="O122" i="1"/>
  <c r="O137" i="1"/>
  <c r="O117" i="1"/>
  <c r="O100" i="1"/>
  <c r="O33" i="1"/>
  <c r="O41" i="1"/>
  <c r="O16" i="1"/>
  <c r="O11" i="1"/>
  <c r="O106" i="1"/>
  <c r="O120" i="1"/>
  <c r="O95" i="1"/>
  <c r="O63" i="1"/>
  <c r="O70" i="1"/>
  <c r="O69" i="1"/>
  <c r="O76" i="1"/>
  <c r="O50" i="1"/>
  <c r="O18" i="1"/>
  <c r="O244" i="1"/>
  <c r="O234" i="1"/>
  <c r="O205" i="1"/>
  <c r="O212" i="1"/>
  <c r="O215" i="1"/>
  <c r="O183" i="1"/>
  <c r="O232" i="1"/>
  <c r="O184" i="1"/>
  <c r="O239" i="1"/>
  <c r="O218" i="1"/>
  <c r="O186" i="1"/>
  <c r="O209" i="1"/>
  <c r="O208" i="1"/>
  <c r="O227" i="1"/>
  <c r="O195" i="1"/>
  <c r="O163" i="1"/>
  <c r="O204" i="1"/>
  <c r="O128" i="1"/>
  <c r="O135" i="1"/>
  <c r="O150" i="1"/>
  <c r="O119" i="1"/>
  <c r="O133" i="1"/>
  <c r="P146" i="1" s="1"/>
  <c r="R146" i="1" s="1"/>
  <c r="O113" i="1"/>
  <c r="O49" i="1"/>
  <c r="O29" i="1"/>
  <c r="O39" i="1"/>
  <c r="O12" i="1"/>
  <c r="O7" i="1"/>
  <c r="O246" i="1"/>
  <c r="O240" i="1"/>
  <c r="O118" i="1"/>
  <c r="O91" i="1"/>
  <c r="O59" i="1"/>
  <c r="O66" i="1"/>
  <c r="O65" i="1"/>
  <c r="O72" i="1"/>
  <c r="O47" i="1"/>
  <c r="O14" i="1"/>
  <c r="O188" i="1"/>
  <c r="O156" i="1"/>
  <c r="O124" i="1"/>
  <c r="O131" i="1"/>
  <c r="O146" i="1"/>
  <c r="O114" i="1"/>
  <c r="O129" i="1"/>
  <c r="O109" i="1"/>
  <c r="O115" i="1"/>
  <c r="O93" i="1"/>
  <c r="O25" i="1"/>
  <c r="O37" i="1"/>
  <c r="O8" i="1"/>
  <c r="O245" i="1"/>
  <c r="O87" i="1"/>
  <c r="O55" i="1"/>
  <c r="O62" i="1"/>
  <c r="O61" i="1"/>
  <c r="O68" i="1"/>
  <c r="O30" i="1"/>
  <c r="O10" i="1"/>
  <c r="O247" i="1"/>
  <c r="P101" i="1" l="1"/>
  <c r="Q101" i="1" s="1"/>
  <c r="P175" i="1"/>
  <c r="R175" i="1" s="1"/>
  <c r="P29" i="1"/>
  <c r="R29" i="1" s="1"/>
  <c r="P132" i="1"/>
  <c r="R132" i="1" s="1"/>
  <c r="P100" i="1"/>
  <c r="R100" i="1" s="1"/>
  <c r="P203" i="1"/>
  <c r="Q203" i="1" s="1"/>
  <c r="P36" i="1"/>
  <c r="R36" i="1" s="1"/>
  <c r="P152" i="1"/>
  <c r="P49" i="1"/>
  <c r="P57" i="1"/>
  <c r="P30" i="1"/>
  <c r="P20" i="1"/>
  <c r="P95" i="1"/>
  <c r="P156" i="1"/>
  <c r="P215" i="1"/>
  <c r="P35" i="1"/>
  <c r="P185" i="1"/>
  <c r="P219" i="1"/>
  <c r="P196" i="1"/>
  <c r="Q36" i="1"/>
  <c r="J36" i="1" s="1"/>
  <c r="K36" i="1" s="1"/>
  <c r="P108" i="1"/>
  <c r="P130" i="1"/>
  <c r="P65" i="1"/>
  <c r="P11" i="1"/>
  <c r="P28" i="1"/>
  <c r="P117" i="1"/>
  <c r="P159" i="1"/>
  <c r="P39" i="1"/>
  <c r="P62" i="1"/>
  <c r="P184" i="1"/>
  <c r="P193" i="1"/>
  <c r="P154" i="1"/>
  <c r="P211" i="1"/>
  <c r="P213" i="1"/>
  <c r="P235" i="1"/>
  <c r="P162" i="1"/>
  <c r="P239" i="1"/>
  <c r="P50" i="1"/>
  <c r="P53" i="1"/>
  <c r="P121" i="1"/>
  <c r="P163" i="1"/>
  <c r="P73" i="1"/>
  <c r="P19" i="1"/>
  <c r="P34" i="1"/>
  <c r="P125" i="1"/>
  <c r="P167" i="1"/>
  <c r="P43" i="1"/>
  <c r="P70" i="1"/>
  <c r="P118" i="1"/>
  <c r="P201" i="1"/>
  <c r="P220" i="1"/>
  <c r="P230" i="1"/>
  <c r="P221" i="1"/>
  <c r="P158" i="1"/>
  <c r="P81" i="1"/>
  <c r="P105" i="1"/>
  <c r="P59" i="1"/>
  <c r="P174" i="1"/>
  <c r="P170" i="1"/>
  <c r="P144" i="1"/>
  <c r="P74" i="1"/>
  <c r="P207" i="1"/>
  <c r="P91" i="1"/>
  <c r="P160" i="1"/>
  <c r="P164" i="1"/>
  <c r="P206" i="1"/>
  <c r="P197" i="1"/>
  <c r="P40" i="1"/>
  <c r="P137" i="1"/>
  <c r="P51" i="1"/>
  <c r="P89" i="1"/>
  <c r="P42" i="1"/>
  <c r="P110" i="1"/>
  <c r="P141" i="1"/>
  <c r="P9" i="1"/>
  <c r="P67" i="1"/>
  <c r="P217" i="1"/>
  <c r="P182" i="1"/>
  <c r="P173" i="1"/>
  <c r="P171" i="1"/>
  <c r="P178" i="1"/>
  <c r="P128" i="1"/>
  <c r="P123" i="1"/>
  <c r="P37" i="1"/>
  <c r="P58" i="1"/>
  <c r="P46" i="1"/>
  <c r="P149" i="1"/>
  <c r="P191" i="1"/>
  <c r="P17" i="1"/>
  <c r="P75" i="1"/>
  <c r="P94" i="1"/>
  <c r="P119" i="1"/>
  <c r="P225" i="1"/>
  <c r="P190" i="1"/>
  <c r="P168" i="1"/>
  <c r="P186" i="1"/>
  <c r="P10" i="1"/>
  <c r="P99" i="1"/>
  <c r="P153" i="1"/>
  <c r="P41" i="1"/>
  <c r="P66" i="1"/>
  <c r="R101" i="1"/>
  <c r="P103" i="1"/>
  <c r="P157" i="1"/>
  <c r="P199" i="1"/>
  <c r="P25" i="1"/>
  <c r="P83" i="1"/>
  <c r="P96" i="1"/>
  <c r="P233" i="1"/>
  <c r="P195" i="1"/>
  <c r="P232" i="1"/>
  <c r="P180" i="1"/>
  <c r="P38" i="1"/>
  <c r="P47" i="1"/>
  <c r="P209" i="1"/>
  <c r="P172" i="1"/>
  <c r="P18" i="1"/>
  <c r="P55" i="1"/>
  <c r="P148" i="1"/>
  <c r="P23" i="1"/>
  <c r="P129" i="1"/>
  <c r="P87" i="1"/>
  <c r="Q146" i="1"/>
  <c r="S146" i="1" s="1"/>
  <c r="P102" i="1"/>
  <c r="P150" i="1"/>
  <c r="P92" i="1"/>
  <c r="P228" i="1"/>
  <c r="P229" i="1"/>
  <c r="P246" i="1"/>
  <c r="P26" i="1"/>
  <c r="P122" i="1"/>
  <c r="P147" i="1"/>
  <c r="P63" i="1"/>
  <c r="P82" i="1"/>
  <c r="P104" i="1"/>
  <c r="P126" i="1"/>
  <c r="P151" i="1"/>
  <c r="P60" i="1"/>
  <c r="P88" i="1"/>
  <c r="P214" i="1"/>
  <c r="P205" i="1"/>
  <c r="P210" i="1"/>
  <c r="P226" i="1"/>
  <c r="P238" i="1"/>
  <c r="P7" i="1"/>
  <c r="P24" i="1"/>
  <c r="P113" i="1"/>
  <c r="P155" i="1"/>
  <c r="P13" i="1"/>
  <c r="P71" i="1"/>
  <c r="P90" i="1"/>
  <c r="P109" i="1"/>
  <c r="P33" i="1"/>
  <c r="P97" i="1"/>
  <c r="P112" i="1"/>
  <c r="P134" i="1"/>
  <c r="P223" i="1"/>
  <c r="P248" i="1"/>
  <c r="P68" i="1"/>
  <c r="P222" i="1"/>
  <c r="P204" i="1"/>
  <c r="P218" i="1"/>
  <c r="P216" i="1"/>
  <c r="P15" i="1"/>
  <c r="P32" i="1"/>
  <c r="P116" i="1"/>
  <c r="P138" i="1"/>
  <c r="P21" i="1"/>
  <c r="P79" i="1"/>
  <c r="P247" i="1"/>
  <c r="P120" i="1"/>
  <c r="P142" i="1"/>
  <c r="P231" i="1"/>
  <c r="P245" i="1"/>
  <c r="P76" i="1"/>
  <c r="P192" i="1"/>
  <c r="P166" i="1"/>
  <c r="P212" i="1"/>
  <c r="P194" i="1"/>
  <c r="P244" i="1"/>
  <c r="P78" i="1"/>
  <c r="P165" i="1"/>
  <c r="P16" i="1"/>
  <c r="P139" i="1"/>
  <c r="P22" i="1"/>
  <c r="P52" i="1"/>
  <c r="P98" i="1"/>
  <c r="P242" i="1"/>
  <c r="P27" i="1"/>
  <c r="P133" i="1"/>
  <c r="P84" i="1"/>
  <c r="P200" i="1"/>
  <c r="P176" i="1"/>
  <c r="P8" i="1"/>
  <c r="P107" i="1"/>
  <c r="P161" i="1"/>
  <c r="P45" i="1"/>
  <c r="P80" i="1"/>
  <c r="P12" i="1"/>
  <c r="P111" i="1"/>
  <c r="P143" i="1"/>
  <c r="P85" i="1"/>
  <c r="P177" i="1"/>
  <c r="P188" i="1"/>
  <c r="P31" i="1"/>
  <c r="P106" i="1"/>
  <c r="P243" i="1"/>
  <c r="P56" i="1"/>
  <c r="P93" i="1"/>
  <c r="P241" i="1"/>
  <c r="P124" i="1"/>
  <c r="P183" i="1"/>
  <c r="P61" i="1"/>
  <c r="P86" i="1"/>
  <c r="P208" i="1"/>
  <c r="P224" i="1"/>
  <c r="P236" i="1"/>
  <c r="P202" i="1"/>
  <c r="P44" i="1"/>
  <c r="P54" i="1"/>
  <c r="P114" i="1"/>
  <c r="P145" i="1"/>
  <c r="P240" i="1"/>
  <c r="P64" i="1"/>
  <c r="P6" i="1"/>
  <c r="P127" i="1"/>
  <c r="P69" i="1"/>
  <c r="P227" i="1"/>
  <c r="P179" i="1"/>
  <c r="P237" i="1"/>
  <c r="P181" i="1"/>
  <c r="P187" i="1"/>
  <c r="P234" i="1"/>
  <c r="P48" i="1"/>
  <c r="P136" i="1"/>
  <c r="P131" i="1"/>
  <c r="P72" i="1"/>
  <c r="P115" i="1"/>
  <c r="P14" i="1"/>
  <c r="P140" i="1"/>
  <c r="P135" i="1"/>
  <c r="P77" i="1"/>
  <c r="P169" i="1"/>
  <c r="P198" i="1"/>
  <c r="P189" i="1"/>
  <c r="Q100" i="1" l="1"/>
  <c r="J100" i="1" s="1"/>
  <c r="K100" i="1" s="1"/>
  <c r="Q175" i="1"/>
  <c r="R203" i="1"/>
  <c r="J203" i="1" s="1"/>
  <c r="K203" i="1" s="1"/>
  <c r="Q132" i="1"/>
  <c r="S132" i="1" s="1"/>
  <c r="Q29" i="1"/>
  <c r="R140" i="1"/>
  <c r="Q140" i="1"/>
  <c r="Q145" i="1"/>
  <c r="R145" i="1"/>
  <c r="Q86" i="1"/>
  <c r="R86" i="1"/>
  <c r="R85" i="1"/>
  <c r="Q85" i="1"/>
  <c r="R52" i="1"/>
  <c r="Q52" i="1"/>
  <c r="Q247" i="1"/>
  <c r="R247" i="1"/>
  <c r="R218" i="1"/>
  <c r="Q218" i="1"/>
  <c r="R210" i="1"/>
  <c r="Q210" i="1"/>
  <c r="R60" i="1"/>
  <c r="Q60" i="1"/>
  <c r="Q82" i="1"/>
  <c r="R82" i="1"/>
  <c r="Q26" i="1"/>
  <c r="R26" i="1"/>
  <c r="Q92" i="1"/>
  <c r="R92" i="1"/>
  <c r="R87" i="1"/>
  <c r="Q87" i="1"/>
  <c r="R55" i="1"/>
  <c r="Q55" i="1"/>
  <c r="Q47" i="1"/>
  <c r="R47" i="1"/>
  <c r="Q195" i="1"/>
  <c r="R195" i="1"/>
  <c r="R25" i="1"/>
  <c r="Q25" i="1"/>
  <c r="J101" i="1"/>
  <c r="K101" i="1" s="1"/>
  <c r="S101" i="1"/>
  <c r="R99" i="1"/>
  <c r="Q99" i="1"/>
  <c r="R186" i="1"/>
  <c r="Q186" i="1"/>
  <c r="Q119" i="1"/>
  <c r="R119" i="1"/>
  <c r="R191" i="1"/>
  <c r="Q191" i="1"/>
  <c r="R37" i="1"/>
  <c r="Q37" i="1"/>
  <c r="R171" i="1"/>
  <c r="Q171" i="1"/>
  <c r="Q67" i="1"/>
  <c r="R67" i="1"/>
  <c r="Q42" i="1"/>
  <c r="R42" i="1"/>
  <c r="R137" i="1"/>
  <c r="Q137" i="1"/>
  <c r="R164" i="1"/>
  <c r="Q164" i="1"/>
  <c r="R74" i="1"/>
  <c r="Q74" i="1"/>
  <c r="R59" i="1"/>
  <c r="Q59" i="1"/>
  <c r="R221" i="1"/>
  <c r="Q221" i="1"/>
  <c r="R118" i="1"/>
  <c r="Q118" i="1"/>
  <c r="Q125" i="1"/>
  <c r="R125" i="1"/>
  <c r="Q163" i="1"/>
  <c r="R163" i="1"/>
  <c r="Q239" i="1"/>
  <c r="R239" i="1"/>
  <c r="Q211" i="1"/>
  <c r="R211" i="1"/>
  <c r="R62" i="1"/>
  <c r="Q62" i="1"/>
  <c r="Q28" i="1"/>
  <c r="R28" i="1"/>
  <c r="R108" i="1"/>
  <c r="Q108" i="1"/>
  <c r="R185" i="1"/>
  <c r="Q185" i="1"/>
  <c r="R95" i="1"/>
  <c r="Q95" i="1"/>
  <c r="Q49" i="1"/>
  <c r="R49" i="1"/>
  <c r="J146" i="1"/>
  <c r="K146" i="1" s="1"/>
  <c r="J175" i="1"/>
  <c r="K175" i="1" s="1"/>
  <c r="S175" i="1"/>
  <c r="S100" i="1"/>
  <c r="Q133" i="1"/>
  <c r="R133" i="1"/>
  <c r="R245" i="1"/>
  <c r="Q245" i="1"/>
  <c r="R248" i="1"/>
  <c r="Q248" i="1"/>
  <c r="R71" i="1"/>
  <c r="Q71" i="1"/>
  <c r="Q24" i="1"/>
  <c r="R24" i="1"/>
  <c r="R169" i="1"/>
  <c r="Q169" i="1"/>
  <c r="Q14" i="1"/>
  <c r="R14" i="1"/>
  <c r="R136" i="1"/>
  <c r="Q136" i="1"/>
  <c r="R179" i="1"/>
  <c r="Q179" i="1"/>
  <c r="Q6" i="1"/>
  <c r="R6" i="1"/>
  <c r="J26" i="4" s="1"/>
  <c r="R114" i="1"/>
  <c r="Q114" i="1"/>
  <c r="R236" i="1"/>
  <c r="Q236" i="1"/>
  <c r="Q61" i="1"/>
  <c r="R61" i="1"/>
  <c r="R93" i="1"/>
  <c r="Q93" i="1"/>
  <c r="Q31" i="1"/>
  <c r="R31" i="1"/>
  <c r="R143" i="1"/>
  <c r="Q143" i="1"/>
  <c r="R45" i="1"/>
  <c r="Q45" i="1"/>
  <c r="R176" i="1"/>
  <c r="Q176" i="1"/>
  <c r="Q27" i="1"/>
  <c r="R27" i="1"/>
  <c r="Q22" i="1"/>
  <c r="R22" i="1"/>
  <c r="Q78" i="1"/>
  <c r="R78" i="1"/>
  <c r="Q166" i="1"/>
  <c r="R166" i="1"/>
  <c r="Q231" i="1"/>
  <c r="R231" i="1"/>
  <c r="Q79" i="1"/>
  <c r="R79" i="1"/>
  <c r="Q32" i="1"/>
  <c r="R32" i="1"/>
  <c r="Q204" i="1"/>
  <c r="R204" i="1"/>
  <c r="R223" i="1"/>
  <c r="Q223" i="1"/>
  <c r="R33" i="1"/>
  <c r="Q33" i="1"/>
  <c r="Q13" i="1"/>
  <c r="R13" i="1"/>
  <c r="R7" i="1"/>
  <c r="Q7" i="1"/>
  <c r="R205" i="1"/>
  <c r="Q205" i="1"/>
  <c r="Q151" i="1"/>
  <c r="R151" i="1"/>
  <c r="R63" i="1"/>
  <c r="Q63" i="1"/>
  <c r="R246" i="1"/>
  <c r="Q246" i="1"/>
  <c r="Q150" i="1"/>
  <c r="R150" i="1"/>
  <c r="Q129" i="1"/>
  <c r="R129" i="1"/>
  <c r="Q18" i="1"/>
  <c r="R18" i="1"/>
  <c r="Q38" i="1"/>
  <c r="R38" i="1"/>
  <c r="R233" i="1"/>
  <c r="Q233" i="1"/>
  <c r="Q199" i="1"/>
  <c r="R199" i="1"/>
  <c r="Q66" i="1"/>
  <c r="R66" i="1"/>
  <c r="Q10" i="1"/>
  <c r="R10" i="1"/>
  <c r="R168" i="1"/>
  <c r="Q168" i="1"/>
  <c r="Q94" i="1"/>
  <c r="R94" i="1"/>
  <c r="Q149" i="1"/>
  <c r="R149" i="1"/>
  <c r="R123" i="1"/>
  <c r="Q123" i="1"/>
  <c r="R173" i="1"/>
  <c r="Q173" i="1"/>
  <c r="R9" i="1"/>
  <c r="Q9" i="1"/>
  <c r="Q40" i="1"/>
  <c r="R40" i="1"/>
  <c r="R160" i="1"/>
  <c r="Q160" i="1"/>
  <c r="R144" i="1"/>
  <c r="Q144" i="1"/>
  <c r="R105" i="1"/>
  <c r="Q105" i="1"/>
  <c r="R230" i="1"/>
  <c r="Q230" i="1"/>
  <c r="R70" i="1"/>
  <c r="Q70" i="1"/>
  <c r="Q34" i="1"/>
  <c r="R34" i="1"/>
  <c r="R121" i="1"/>
  <c r="Q121" i="1"/>
  <c r="R162" i="1"/>
  <c r="Q162" i="1"/>
  <c r="R154" i="1"/>
  <c r="Q154" i="1"/>
  <c r="Q39" i="1"/>
  <c r="R39" i="1"/>
  <c r="R11" i="1"/>
  <c r="Q11" i="1"/>
  <c r="Q35" i="1"/>
  <c r="R35" i="1"/>
  <c r="R20" i="1"/>
  <c r="Q20" i="1"/>
  <c r="R152" i="1"/>
  <c r="Q152" i="1"/>
  <c r="R198" i="1"/>
  <c r="Q198" i="1"/>
  <c r="Q237" i="1"/>
  <c r="R237" i="1"/>
  <c r="R202" i="1"/>
  <c r="Q202" i="1"/>
  <c r="R106" i="1"/>
  <c r="J170" i="4" s="1"/>
  <c r="Q106" i="1"/>
  <c r="R8" i="1"/>
  <c r="Q8" i="1"/>
  <c r="R212" i="1"/>
  <c r="Q212" i="1"/>
  <c r="R116" i="1"/>
  <c r="Q116" i="1"/>
  <c r="Q97" i="1"/>
  <c r="R97" i="1"/>
  <c r="Q77" i="1"/>
  <c r="R77" i="1"/>
  <c r="R115" i="1"/>
  <c r="Q115" i="1"/>
  <c r="R48" i="1"/>
  <c r="Q48" i="1"/>
  <c r="R187" i="1"/>
  <c r="Q187" i="1"/>
  <c r="R227" i="1"/>
  <c r="Q227" i="1"/>
  <c r="R64" i="1"/>
  <c r="Q64" i="1"/>
  <c r="R54" i="1"/>
  <c r="Q54" i="1"/>
  <c r="R224" i="1"/>
  <c r="Q224" i="1"/>
  <c r="Q183" i="1"/>
  <c r="R183" i="1"/>
  <c r="Q56" i="1"/>
  <c r="R56" i="1"/>
  <c r="R188" i="1"/>
  <c r="Q188" i="1"/>
  <c r="R111" i="1"/>
  <c r="Q111" i="1"/>
  <c r="R161" i="1"/>
  <c r="Q161" i="1"/>
  <c r="Q200" i="1"/>
  <c r="R200" i="1"/>
  <c r="R242" i="1"/>
  <c r="Q242" i="1"/>
  <c r="Q139" i="1"/>
  <c r="R139" i="1"/>
  <c r="R244" i="1"/>
  <c r="Q244" i="1"/>
  <c r="R192" i="1"/>
  <c r="Q192" i="1"/>
  <c r="Q142" i="1"/>
  <c r="R142" i="1"/>
  <c r="R21" i="1"/>
  <c r="Q21" i="1"/>
  <c r="Q15" i="1"/>
  <c r="R15" i="1"/>
  <c r="R222" i="1"/>
  <c r="Q222" i="1"/>
  <c r="R134" i="1"/>
  <c r="Q134" i="1"/>
  <c r="R109" i="1"/>
  <c r="Q109" i="1"/>
  <c r="R155" i="1"/>
  <c r="Q155" i="1"/>
  <c r="Q238" i="1"/>
  <c r="R238" i="1"/>
  <c r="Q214" i="1"/>
  <c r="R214" i="1"/>
  <c r="Q126" i="1"/>
  <c r="R126" i="1"/>
  <c r="R147" i="1"/>
  <c r="Q147" i="1"/>
  <c r="R229" i="1"/>
  <c r="Q229" i="1"/>
  <c r="R102" i="1"/>
  <c r="Q102" i="1"/>
  <c r="R23" i="1"/>
  <c r="Q23" i="1"/>
  <c r="Q172" i="1"/>
  <c r="R172" i="1"/>
  <c r="R180" i="1"/>
  <c r="Q180" i="1"/>
  <c r="Q96" i="1"/>
  <c r="R96" i="1"/>
  <c r="R157" i="1"/>
  <c r="Q157" i="1"/>
  <c r="Q41" i="1"/>
  <c r="R41" i="1"/>
  <c r="Q190" i="1"/>
  <c r="R190" i="1"/>
  <c r="Q75" i="1"/>
  <c r="R75" i="1"/>
  <c r="R46" i="1"/>
  <c r="Q46" i="1"/>
  <c r="Q128" i="1"/>
  <c r="R128" i="1"/>
  <c r="Q182" i="1"/>
  <c r="R182" i="1"/>
  <c r="Q141" i="1"/>
  <c r="R141" i="1"/>
  <c r="Q89" i="1"/>
  <c r="R89" i="1"/>
  <c r="Q197" i="1"/>
  <c r="R197" i="1"/>
  <c r="Q91" i="1"/>
  <c r="R91" i="1"/>
  <c r="Q170" i="1"/>
  <c r="R170" i="1"/>
  <c r="Q81" i="1"/>
  <c r="R81" i="1"/>
  <c r="Q220" i="1"/>
  <c r="R220" i="1"/>
  <c r="Q43" i="1"/>
  <c r="R43" i="1"/>
  <c r="Q19" i="1"/>
  <c r="R19" i="1"/>
  <c r="Q53" i="1"/>
  <c r="R53" i="1"/>
  <c r="R235" i="1"/>
  <c r="Q235" i="1"/>
  <c r="Q193" i="1"/>
  <c r="R193" i="1"/>
  <c r="Q159" i="1"/>
  <c r="R159" i="1"/>
  <c r="R65" i="1"/>
  <c r="Q65" i="1"/>
  <c r="Q196" i="1"/>
  <c r="R196" i="1"/>
  <c r="Q215" i="1"/>
  <c r="R215" i="1"/>
  <c r="R30" i="1"/>
  <c r="Q30" i="1"/>
  <c r="J132" i="1"/>
  <c r="K132" i="1" s="1"/>
  <c r="S36" i="1"/>
  <c r="J29" i="1"/>
  <c r="K29" i="1" s="1"/>
  <c r="S29" i="1"/>
  <c r="Q131" i="1"/>
  <c r="R131" i="1"/>
  <c r="Q127" i="1"/>
  <c r="R127" i="1"/>
  <c r="Q241" i="1"/>
  <c r="R241" i="1"/>
  <c r="R80" i="1"/>
  <c r="Q80" i="1"/>
  <c r="Q165" i="1"/>
  <c r="R165" i="1"/>
  <c r="Q189" i="1"/>
  <c r="R189" i="1"/>
  <c r="R135" i="1"/>
  <c r="Q135" i="1"/>
  <c r="Q72" i="1"/>
  <c r="R72" i="1"/>
  <c r="Q234" i="1"/>
  <c r="R234" i="1"/>
  <c r="Q181" i="1"/>
  <c r="R181" i="1"/>
  <c r="R69" i="1"/>
  <c r="Q69" i="1"/>
  <c r="Q240" i="1"/>
  <c r="R240" i="1"/>
  <c r="R44" i="1"/>
  <c r="Q44" i="1"/>
  <c r="R208" i="1"/>
  <c r="Q208" i="1"/>
  <c r="Q124" i="1"/>
  <c r="R124" i="1"/>
  <c r="Q243" i="1"/>
  <c r="R243" i="1"/>
  <c r="R177" i="1"/>
  <c r="Q177" i="1"/>
  <c r="Q12" i="1"/>
  <c r="R12" i="1"/>
  <c r="Q107" i="1"/>
  <c r="R107" i="1"/>
  <c r="R84" i="1"/>
  <c r="Q84" i="1"/>
  <c r="R98" i="1"/>
  <c r="Q98" i="1"/>
  <c r="Q16" i="1"/>
  <c r="R16" i="1"/>
  <c r="Q194" i="1"/>
  <c r="R194" i="1"/>
  <c r="Q76" i="1"/>
  <c r="R76" i="1"/>
  <c r="R120" i="1"/>
  <c r="Q120" i="1"/>
  <c r="Q138" i="1"/>
  <c r="R138" i="1"/>
  <c r="Q216" i="1"/>
  <c r="R216" i="1"/>
  <c r="R68" i="1"/>
  <c r="Q68" i="1"/>
  <c r="R112" i="1"/>
  <c r="Q112" i="1"/>
  <c r="R90" i="1"/>
  <c r="Q90" i="1"/>
  <c r="Q113" i="1"/>
  <c r="R113" i="1"/>
  <c r="Q226" i="1"/>
  <c r="R226" i="1"/>
  <c r="R88" i="1"/>
  <c r="Q88" i="1"/>
  <c r="Q104" i="1"/>
  <c r="R104" i="1"/>
  <c r="R122" i="1"/>
  <c r="Q122" i="1"/>
  <c r="R228" i="1"/>
  <c r="Q228" i="1"/>
  <c r="R148" i="1"/>
  <c r="Q148" i="1"/>
  <c r="R209" i="1"/>
  <c r="Q209" i="1"/>
  <c r="Q232" i="1"/>
  <c r="R232" i="1"/>
  <c r="R83" i="1"/>
  <c r="Q83" i="1"/>
  <c r="R103" i="1"/>
  <c r="Q103" i="1"/>
  <c r="R153" i="1"/>
  <c r="Q153" i="1"/>
  <c r="R225" i="1"/>
  <c r="Q225" i="1"/>
  <c r="Q17" i="1"/>
  <c r="R17" i="1"/>
  <c r="R58" i="1"/>
  <c r="Q58" i="1"/>
  <c r="R178" i="1"/>
  <c r="Q178" i="1"/>
  <c r="Q217" i="1"/>
  <c r="R217" i="1"/>
  <c r="R110" i="1"/>
  <c r="Q110" i="1"/>
  <c r="R51" i="1"/>
  <c r="Q51" i="1"/>
  <c r="Q206" i="1"/>
  <c r="R206" i="1"/>
  <c r="Q207" i="1"/>
  <c r="R207" i="1"/>
  <c r="Q174" i="1"/>
  <c r="R174" i="1"/>
  <c r="R158" i="1"/>
  <c r="Q158" i="1"/>
  <c r="Q201" i="1"/>
  <c r="R201" i="1"/>
  <c r="Q167" i="1"/>
  <c r="R167" i="1"/>
  <c r="Q73" i="1"/>
  <c r="R73" i="1"/>
  <c r="Q50" i="1"/>
  <c r="R50" i="1"/>
  <c r="Q213" i="1"/>
  <c r="R213" i="1"/>
  <c r="Q184" i="1"/>
  <c r="R184" i="1"/>
  <c r="R117" i="1"/>
  <c r="Q117" i="1"/>
  <c r="Q130" i="1"/>
  <c r="R130" i="1"/>
  <c r="R219" i="1"/>
  <c r="Q219" i="1"/>
  <c r="R156" i="1"/>
  <c r="Q156" i="1"/>
  <c r="Q57" i="1"/>
  <c r="R57" i="1"/>
  <c r="S203" i="1" l="1"/>
  <c r="J28" i="4"/>
  <c r="K28" i="4" s="1"/>
  <c r="J30" i="4"/>
  <c r="K30" i="4" s="1"/>
  <c r="J29" i="4"/>
  <c r="K29" i="4" s="1"/>
  <c r="J27" i="4"/>
  <c r="K27" i="4" s="1"/>
  <c r="J31" i="4"/>
  <c r="K31" i="4" s="1"/>
  <c r="K26" i="4"/>
  <c r="J32" i="4"/>
  <c r="K32" i="4" s="1"/>
  <c r="J37" i="4"/>
  <c r="K37" i="4" s="1"/>
  <c r="J35" i="4"/>
  <c r="K35" i="4" s="1"/>
  <c r="J36" i="4"/>
  <c r="K36" i="4" s="1"/>
  <c r="J33" i="4"/>
  <c r="K33" i="4" s="1"/>
  <c r="J34" i="4"/>
  <c r="K34" i="4" s="1"/>
  <c r="J62" i="4"/>
  <c r="K62" i="4" s="1"/>
  <c r="J74" i="4"/>
  <c r="K74" i="4" s="1"/>
  <c r="J67" i="4"/>
  <c r="K67" i="4" s="1"/>
  <c r="J76" i="4"/>
  <c r="K76" i="4" s="1"/>
  <c r="J79" i="4"/>
  <c r="K79" i="4" s="1"/>
  <c r="J71" i="4"/>
  <c r="K71" i="4" s="1"/>
  <c r="J75" i="4"/>
  <c r="K75" i="4" s="1"/>
  <c r="J70" i="4"/>
  <c r="K70" i="4" s="1"/>
  <c r="J80" i="4"/>
  <c r="K80" i="4" s="1"/>
  <c r="J69" i="4"/>
  <c r="K69" i="4" s="1"/>
  <c r="J66" i="4"/>
  <c r="K66" i="4" s="1"/>
  <c r="J65" i="4"/>
  <c r="K65" i="4" s="1"/>
  <c r="J78" i="4"/>
  <c r="K78" i="4" s="1"/>
  <c r="J61" i="4"/>
  <c r="K61" i="4" s="1"/>
  <c r="J72" i="4"/>
  <c r="K72" i="4" s="1"/>
  <c r="J60" i="4"/>
  <c r="K60" i="4" s="1"/>
  <c r="J63" i="4"/>
  <c r="K63" i="4" s="1"/>
  <c r="J64" i="4"/>
  <c r="K64" i="4" s="1"/>
  <c r="J77" i="4"/>
  <c r="K77" i="4" s="1"/>
  <c r="J68" i="4"/>
  <c r="K68" i="4" s="1"/>
  <c r="J73" i="4"/>
  <c r="K73" i="4" s="1"/>
  <c r="J40" i="4"/>
  <c r="K40" i="4" s="1"/>
  <c r="J38" i="4"/>
  <c r="K38" i="4" s="1"/>
  <c r="J43" i="4"/>
  <c r="K43" i="4" s="1"/>
  <c r="J44" i="4"/>
  <c r="K44" i="4" s="1"/>
  <c r="J41" i="4"/>
  <c r="K41" i="4" s="1"/>
  <c r="J39" i="4"/>
  <c r="K39" i="4" s="1"/>
  <c r="J42" i="4"/>
  <c r="K42" i="4" s="1"/>
  <c r="J96" i="4"/>
  <c r="K96" i="4" s="1"/>
  <c r="J123" i="4"/>
  <c r="K123" i="4" s="1"/>
  <c r="J106" i="4"/>
  <c r="K106" i="4" s="1"/>
  <c r="J84" i="4"/>
  <c r="K84" i="4" s="1"/>
  <c r="J125" i="4"/>
  <c r="K125" i="4" s="1"/>
  <c r="J104" i="4"/>
  <c r="K104" i="4" s="1"/>
  <c r="J91" i="4"/>
  <c r="K91" i="4" s="1"/>
  <c r="J120" i="4"/>
  <c r="K120" i="4" s="1"/>
  <c r="J99" i="4"/>
  <c r="K99" i="4" s="1"/>
  <c r="J92" i="4"/>
  <c r="K92" i="4" s="1"/>
  <c r="J121" i="4"/>
  <c r="K121" i="4" s="1"/>
  <c r="J100" i="4"/>
  <c r="K100" i="4" s="1"/>
  <c r="J82" i="4"/>
  <c r="K82" i="4" s="1"/>
  <c r="J114" i="4"/>
  <c r="K114" i="4" s="1"/>
  <c r="J102" i="4"/>
  <c r="K102" i="4" s="1"/>
  <c r="J118" i="4"/>
  <c r="K118" i="4" s="1"/>
  <c r="J88" i="4"/>
  <c r="K88" i="4" s="1"/>
  <c r="J113" i="4"/>
  <c r="K113" i="4" s="1"/>
  <c r="J90" i="4"/>
  <c r="K90" i="4" s="1"/>
  <c r="J119" i="4"/>
  <c r="K119" i="4" s="1"/>
  <c r="J98" i="4"/>
  <c r="K98" i="4" s="1"/>
  <c r="J115" i="4"/>
  <c r="K115" i="4" s="1"/>
  <c r="J112" i="4"/>
  <c r="K112" i="4" s="1"/>
  <c r="J95" i="4"/>
  <c r="K95" i="4" s="1"/>
  <c r="J111" i="4"/>
  <c r="K111" i="4" s="1"/>
  <c r="J107" i="4"/>
  <c r="K107" i="4" s="1"/>
  <c r="J83" i="4"/>
  <c r="K83" i="4" s="1"/>
  <c r="J109" i="4"/>
  <c r="K109" i="4" s="1"/>
  <c r="J87" i="4"/>
  <c r="K87" i="4" s="1"/>
  <c r="J103" i="4"/>
  <c r="K103" i="4" s="1"/>
  <c r="J93" i="4"/>
  <c r="K93" i="4" s="1"/>
  <c r="J122" i="4"/>
  <c r="K122" i="4" s="1"/>
  <c r="J105" i="4"/>
  <c r="K105" i="4" s="1"/>
  <c r="J117" i="4"/>
  <c r="K117" i="4" s="1"/>
  <c r="J110" i="4"/>
  <c r="K110" i="4" s="1"/>
  <c r="J94" i="4"/>
  <c r="K94" i="4" s="1"/>
  <c r="J81" i="4"/>
  <c r="K81" i="4" s="1"/>
  <c r="J85" i="4"/>
  <c r="K85" i="4" s="1"/>
  <c r="J124" i="4"/>
  <c r="K124" i="4" s="1"/>
  <c r="J86" i="4"/>
  <c r="K86" i="4" s="1"/>
  <c r="J89" i="4"/>
  <c r="K89" i="4" s="1"/>
  <c r="J97" i="4"/>
  <c r="K97" i="4" s="1"/>
  <c r="J108" i="4"/>
  <c r="K108" i="4" s="1"/>
  <c r="J116" i="4"/>
  <c r="K116" i="4" s="1"/>
  <c r="J101" i="4"/>
  <c r="K101" i="4" s="1"/>
  <c r="J269" i="4"/>
  <c r="K269" i="4" s="1"/>
  <c r="J241" i="4"/>
  <c r="K241" i="4" s="1"/>
  <c r="J257" i="4"/>
  <c r="K257" i="4" s="1"/>
  <c r="J247" i="4"/>
  <c r="K247" i="4" s="1"/>
  <c r="J255" i="4"/>
  <c r="K255" i="4" s="1"/>
  <c r="J239" i="4"/>
  <c r="K239" i="4" s="1"/>
  <c r="J264" i="4"/>
  <c r="K264" i="4" s="1"/>
  <c r="J263" i="4"/>
  <c r="K263" i="4" s="1"/>
  <c r="J252" i="4"/>
  <c r="K252" i="4" s="1"/>
  <c r="J265" i="4"/>
  <c r="K265" i="4" s="1"/>
  <c r="J243" i="4"/>
  <c r="K243" i="4" s="1"/>
  <c r="J267" i="4"/>
  <c r="K267" i="4" s="1"/>
  <c r="J248" i="4"/>
  <c r="K248" i="4" s="1"/>
  <c r="J261" i="4"/>
  <c r="K261" i="4" s="1"/>
  <c r="J250" i="4"/>
  <c r="K250" i="4" s="1"/>
  <c r="J251" i="4"/>
  <c r="K251" i="4" s="1"/>
  <c r="J246" i="4"/>
  <c r="K246" i="4" s="1"/>
  <c r="J256" i="4"/>
  <c r="K256" i="4" s="1"/>
  <c r="J260" i="4"/>
  <c r="K260" i="4" s="1"/>
  <c r="J244" i="4"/>
  <c r="K244" i="4" s="1"/>
  <c r="J249" i="4"/>
  <c r="K249" i="4" s="1"/>
  <c r="J245" i="4"/>
  <c r="K245" i="4" s="1"/>
  <c r="J240" i="4"/>
  <c r="K240" i="4" s="1"/>
  <c r="J259" i="4"/>
  <c r="K259" i="4" s="1"/>
  <c r="J258" i="4"/>
  <c r="K258" i="4" s="1"/>
  <c r="J254" i="4"/>
  <c r="K254" i="4" s="1"/>
  <c r="J253" i="4"/>
  <c r="K253" i="4" s="1"/>
  <c r="J266" i="4"/>
  <c r="K266" i="4" s="1"/>
  <c r="J262" i="4"/>
  <c r="K262" i="4" s="1"/>
  <c r="J268" i="4"/>
  <c r="K268" i="4" s="1"/>
  <c r="J238" i="4"/>
  <c r="K238" i="4" s="1"/>
  <c r="J242" i="4"/>
  <c r="K242" i="4" s="1"/>
  <c r="J174" i="4"/>
  <c r="K174" i="4" s="1"/>
  <c r="J186" i="4"/>
  <c r="K186" i="4" s="1"/>
  <c r="J139" i="4"/>
  <c r="K139" i="4" s="1"/>
  <c r="J152" i="4"/>
  <c r="K152" i="4" s="1"/>
  <c r="J184" i="4"/>
  <c r="K184" i="4" s="1"/>
  <c r="J141" i="4"/>
  <c r="K141" i="4" s="1"/>
  <c r="J181" i="4"/>
  <c r="K181" i="4" s="1"/>
  <c r="J169" i="4"/>
  <c r="K169" i="4" s="1"/>
  <c r="J156" i="4"/>
  <c r="K156" i="4" s="1"/>
  <c r="J133" i="4"/>
  <c r="K133" i="4" s="1"/>
  <c r="J178" i="4"/>
  <c r="K178" i="4" s="1"/>
  <c r="J132" i="4"/>
  <c r="K132" i="4" s="1"/>
  <c r="J173" i="4"/>
  <c r="K173" i="4" s="1"/>
  <c r="J144" i="4"/>
  <c r="K144" i="4" s="1"/>
  <c r="J180" i="4"/>
  <c r="K180" i="4" s="1"/>
  <c r="J128" i="4"/>
  <c r="K128" i="4" s="1"/>
  <c r="J172" i="4"/>
  <c r="K172" i="4" s="1"/>
  <c r="J145" i="4"/>
  <c r="K145" i="4" s="1"/>
  <c r="J176" i="4"/>
  <c r="K176" i="4" s="1"/>
  <c r="J130" i="4"/>
  <c r="K130" i="4" s="1"/>
  <c r="J187" i="4"/>
  <c r="K187" i="4" s="1"/>
  <c r="J179" i="4"/>
  <c r="K179" i="4" s="1"/>
  <c r="J167" i="4"/>
  <c r="K167" i="4" s="1"/>
  <c r="J149" i="4"/>
  <c r="K149" i="4" s="1"/>
  <c r="J131" i="4"/>
  <c r="K131" i="4" s="1"/>
  <c r="K170" i="4"/>
  <c r="J126" i="4"/>
  <c r="K126" i="4" s="1"/>
  <c r="J160" i="4"/>
  <c r="K160" i="4" s="1"/>
  <c r="J137" i="4"/>
  <c r="K137" i="4" s="1"/>
  <c r="J166" i="4"/>
  <c r="K166" i="4" s="1"/>
  <c r="J161" i="4"/>
  <c r="K161" i="4" s="1"/>
  <c r="J143" i="4"/>
  <c r="K143" i="4" s="1"/>
  <c r="J168" i="4"/>
  <c r="K168" i="4" s="1"/>
  <c r="J185" i="4"/>
  <c r="K185" i="4" s="1"/>
  <c r="J177" i="4"/>
  <c r="K177" i="4" s="1"/>
  <c r="J165" i="4"/>
  <c r="K165" i="4" s="1"/>
  <c r="J147" i="4"/>
  <c r="K147" i="4" s="1"/>
  <c r="J129" i="4"/>
  <c r="K129" i="4" s="1"/>
  <c r="J164" i="4"/>
  <c r="K164" i="4" s="1"/>
  <c r="J153" i="4"/>
  <c r="K153" i="4" s="1"/>
  <c r="J135" i="4"/>
  <c r="K135" i="4" s="1"/>
  <c r="J163" i="4"/>
  <c r="K163" i="4" s="1"/>
  <c r="J151" i="4"/>
  <c r="K151" i="4" s="1"/>
  <c r="J159" i="4"/>
  <c r="K159" i="4" s="1"/>
  <c r="J140" i="4"/>
  <c r="K140" i="4" s="1"/>
  <c r="J182" i="4"/>
  <c r="K182" i="4" s="1"/>
  <c r="J136" i="4"/>
  <c r="K136" i="4" s="1"/>
  <c r="J188" i="4"/>
  <c r="K188" i="4" s="1"/>
  <c r="J183" i="4"/>
  <c r="K183" i="4" s="1"/>
  <c r="J127" i="4"/>
  <c r="K127" i="4" s="1"/>
  <c r="J148" i="4"/>
  <c r="K148" i="4" s="1"/>
  <c r="J155" i="4"/>
  <c r="K155" i="4" s="1"/>
  <c r="J157" i="4"/>
  <c r="K157" i="4" s="1"/>
  <c r="J175" i="4"/>
  <c r="K175" i="4" s="1"/>
  <c r="J142" i="4"/>
  <c r="K142" i="4" s="1"/>
  <c r="J154" i="4"/>
  <c r="K154" i="4" s="1"/>
  <c r="J146" i="4"/>
  <c r="K146" i="4" s="1"/>
  <c r="J158" i="4"/>
  <c r="K158" i="4" s="1"/>
  <c r="J162" i="4"/>
  <c r="K162" i="4" s="1"/>
  <c r="J171" i="4"/>
  <c r="K171" i="4" s="1"/>
  <c r="J134" i="4"/>
  <c r="K134" i="4" s="1"/>
  <c r="J138" i="4"/>
  <c r="K138" i="4" s="1"/>
  <c r="J150" i="4"/>
  <c r="K150" i="4" s="1"/>
  <c r="J224" i="4"/>
  <c r="K224" i="4" s="1"/>
  <c r="J206" i="4"/>
  <c r="K206" i="4" s="1"/>
  <c r="J228" i="4"/>
  <c r="K228" i="4" s="1"/>
  <c r="J222" i="4"/>
  <c r="K222" i="4" s="1"/>
  <c r="J236" i="4"/>
  <c r="K236" i="4" s="1"/>
  <c r="J213" i="4"/>
  <c r="K213" i="4" s="1"/>
  <c r="J205" i="4"/>
  <c r="K205" i="4" s="1"/>
  <c r="J197" i="4"/>
  <c r="K197" i="4" s="1"/>
  <c r="J189" i="4"/>
  <c r="K189" i="4" s="1"/>
  <c r="J218" i="4"/>
  <c r="K218" i="4" s="1"/>
  <c r="J200" i="4"/>
  <c r="K200" i="4" s="1"/>
  <c r="J217" i="4"/>
  <c r="K217" i="4" s="1"/>
  <c r="J233" i="4"/>
  <c r="K233" i="4" s="1"/>
  <c r="J220" i="4"/>
  <c r="K220" i="4" s="1"/>
  <c r="J202" i="4"/>
  <c r="K202" i="4" s="1"/>
  <c r="J216" i="4"/>
  <c r="K216" i="4" s="1"/>
  <c r="J223" i="4"/>
  <c r="K223" i="4" s="1"/>
  <c r="J211" i="4"/>
  <c r="K211" i="4" s="1"/>
  <c r="J203" i="4"/>
  <c r="K203" i="4" s="1"/>
  <c r="J195" i="4"/>
  <c r="K195" i="4" s="1"/>
  <c r="J212" i="4"/>
  <c r="K212" i="4" s="1"/>
  <c r="J196" i="4"/>
  <c r="K196" i="4" s="1"/>
  <c r="J231" i="4"/>
  <c r="K231" i="4" s="1"/>
  <c r="J214" i="4"/>
  <c r="K214" i="4" s="1"/>
  <c r="J198" i="4"/>
  <c r="K198" i="4" s="1"/>
  <c r="J232" i="4"/>
  <c r="K232" i="4" s="1"/>
  <c r="J194" i="4"/>
  <c r="K194" i="4" s="1"/>
  <c r="J219" i="4"/>
  <c r="K219" i="4" s="1"/>
  <c r="J209" i="4"/>
  <c r="K209" i="4" s="1"/>
  <c r="J201" i="4"/>
  <c r="K201" i="4" s="1"/>
  <c r="J193" i="4"/>
  <c r="K193" i="4" s="1"/>
  <c r="J208" i="4"/>
  <c r="K208" i="4" s="1"/>
  <c r="J190" i="4"/>
  <c r="K190" i="4" s="1"/>
  <c r="J225" i="4"/>
  <c r="K225" i="4" s="1"/>
  <c r="J229" i="4"/>
  <c r="K229" i="4" s="1"/>
  <c r="J230" i="4"/>
  <c r="K230" i="4" s="1"/>
  <c r="J199" i="4"/>
  <c r="K199" i="4" s="1"/>
  <c r="J204" i="4"/>
  <c r="K204" i="4" s="1"/>
  <c r="J210" i="4"/>
  <c r="K210" i="4" s="1"/>
  <c r="J237" i="4"/>
  <c r="K237" i="4" s="1"/>
  <c r="J191" i="4"/>
  <c r="K191" i="4" s="1"/>
  <c r="J221" i="4"/>
  <c r="K221" i="4" s="1"/>
  <c r="J192" i="4"/>
  <c r="K192" i="4" s="1"/>
  <c r="J215" i="4"/>
  <c r="K215" i="4" s="1"/>
  <c r="J207" i="4"/>
  <c r="K207" i="4" s="1"/>
  <c r="J235" i="4"/>
  <c r="K235" i="4" s="1"/>
  <c r="J227" i="4"/>
  <c r="K227" i="4" s="1"/>
  <c r="J226" i="4"/>
  <c r="K226" i="4" s="1"/>
  <c r="J234" i="4"/>
  <c r="K234" i="4" s="1"/>
  <c r="J49" i="4"/>
  <c r="K49" i="4" s="1"/>
  <c r="J57" i="4"/>
  <c r="K57" i="4" s="1"/>
  <c r="J54" i="4"/>
  <c r="K54" i="4" s="1"/>
  <c r="J45" i="4"/>
  <c r="K45" i="4" s="1"/>
  <c r="J55" i="4"/>
  <c r="K55" i="4" s="1"/>
  <c r="J46" i="4"/>
  <c r="K46" i="4" s="1"/>
  <c r="J52" i="4"/>
  <c r="K52" i="4" s="1"/>
  <c r="J53" i="4"/>
  <c r="K53" i="4" s="1"/>
  <c r="J50" i="4"/>
  <c r="K50" i="4" s="1"/>
  <c r="J58" i="4"/>
  <c r="K58" i="4" s="1"/>
  <c r="J47" i="4"/>
  <c r="K47" i="4" s="1"/>
  <c r="J51" i="4"/>
  <c r="K51" i="4" s="1"/>
  <c r="J59" i="4"/>
  <c r="K59" i="4" s="1"/>
  <c r="J48" i="4"/>
  <c r="K48" i="4" s="1"/>
  <c r="J56" i="4"/>
  <c r="K56" i="4" s="1"/>
  <c r="J50" i="1"/>
  <c r="K50" i="1" s="1"/>
  <c r="S50" i="1"/>
  <c r="J207" i="1"/>
  <c r="K207" i="1" s="1"/>
  <c r="S207" i="1"/>
  <c r="J232" i="1"/>
  <c r="K232" i="1" s="1"/>
  <c r="S232" i="1"/>
  <c r="J216" i="1"/>
  <c r="K216" i="1" s="1"/>
  <c r="S216" i="1"/>
  <c r="J124" i="1"/>
  <c r="K124" i="1" s="1"/>
  <c r="S124" i="1"/>
  <c r="S234" i="1"/>
  <c r="J234" i="1"/>
  <c r="K234" i="1" s="1"/>
  <c r="S241" i="1"/>
  <c r="J241" i="1"/>
  <c r="K241" i="1" s="1"/>
  <c r="S131" i="1"/>
  <c r="J131" i="1"/>
  <c r="K131" i="1" s="1"/>
  <c r="S65" i="1"/>
  <c r="J65" i="1"/>
  <c r="K65" i="1" s="1"/>
  <c r="J23" i="1"/>
  <c r="K23" i="1" s="1"/>
  <c r="S23" i="1"/>
  <c r="J21" i="1"/>
  <c r="K21" i="1" s="1"/>
  <c r="S21" i="1"/>
  <c r="J224" i="1"/>
  <c r="K224" i="1" s="1"/>
  <c r="S224" i="1"/>
  <c r="J115" i="1"/>
  <c r="K115" i="1" s="1"/>
  <c r="S115" i="1"/>
  <c r="J106" i="1"/>
  <c r="K106" i="1" s="1"/>
  <c r="S106" i="1"/>
  <c r="J233" i="1"/>
  <c r="K233" i="1" s="1"/>
  <c r="S233" i="1"/>
  <c r="J63" i="1"/>
  <c r="K63" i="1" s="1"/>
  <c r="S63" i="1"/>
  <c r="S223" i="1"/>
  <c r="J223" i="1"/>
  <c r="K223" i="1" s="1"/>
  <c r="S179" i="1"/>
  <c r="J179" i="1"/>
  <c r="K179" i="1" s="1"/>
  <c r="J24" i="1"/>
  <c r="K24" i="1" s="1"/>
  <c r="S24" i="1"/>
  <c r="J125" i="1"/>
  <c r="K125" i="1" s="1"/>
  <c r="S125" i="1"/>
  <c r="S67" i="1"/>
  <c r="J67" i="1"/>
  <c r="K67" i="1" s="1"/>
  <c r="J119" i="1"/>
  <c r="K119" i="1" s="1"/>
  <c r="S119" i="1"/>
  <c r="S156" i="1"/>
  <c r="J156" i="1"/>
  <c r="K156" i="1" s="1"/>
  <c r="S158" i="1"/>
  <c r="J158" i="1"/>
  <c r="K158" i="1" s="1"/>
  <c r="J51" i="1"/>
  <c r="K51" i="1" s="1"/>
  <c r="S51" i="1"/>
  <c r="J58" i="1"/>
  <c r="K58" i="1" s="1"/>
  <c r="S58" i="1"/>
  <c r="J225" i="1"/>
  <c r="K225" i="1" s="1"/>
  <c r="S225" i="1"/>
  <c r="J103" i="1"/>
  <c r="K103" i="1" s="1"/>
  <c r="S103" i="1"/>
  <c r="S148" i="1"/>
  <c r="J148" i="1"/>
  <c r="K148" i="1" s="1"/>
  <c r="J122" i="1"/>
  <c r="K122" i="1" s="1"/>
  <c r="S122" i="1"/>
  <c r="J88" i="1"/>
  <c r="K88" i="1" s="1"/>
  <c r="S88" i="1"/>
  <c r="J112" i="1"/>
  <c r="K112" i="1" s="1"/>
  <c r="S112" i="1"/>
  <c r="J120" i="1"/>
  <c r="K120" i="1" s="1"/>
  <c r="S120" i="1"/>
  <c r="S98" i="1"/>
  <c r="J98" i="1"/>
  <c r="K98" i="1" s="1"/>
  <c r="S177" i="1"/>
  <c r="J177" i="1"/>
  <c r="K177" i="1" s="1"/>
  <c r="S44" i="1"/>
  <c r="J44" i="1"/>
  <c r="K44" i="1" s="1"/>
  <c r="J69" i="1"/>
  <c r="K69" i="1" s="1"/>
  <c r="S69" i="1"/>
  <c r="J135" i="1"/>
  <c r="K135" i="1" s="1"/>
  <c r="S135" i="1"/>
  <c r="J196" i="1"/>
  <c r="K196" i="1" s="1"/>
  <c r="S196" i="1"/>
  <c r="J159" i="1"/>
  <c r="K159" i="1" s="1"/>
  <c r="S159" i="1"/>
  <c r="S19" i="1"/>
  <c r="J19" i="1"/>
  <c r="K19" i="1" s="1"/>
  <c r="J220" i="1"/>
  <c r="K220" i="1" s="1"/>
  <c r="S220" i="1"/>
  <c r="S170" i="1"/>
  <c r="J170" i="1"/>
  <c r="K170" i="1" s="1"/>
  <c r="J197" i="1"/>
  <c r="K197" i="1" s="1"/>
  <c r="S197" i="1"/>
  <c r="J141" i="1"/>
  <c r="K141" i="1" s="1"/>
  <c r="S141" i="1"/>
  <c r="S128" i="1"/>
  <c r="J128" i="1"/>
  <c r="K128" i="1" s="1"/>
  <c r="S75" i="1"/>
  <c r="J75" i="1"/>
  <c r="K75" i="1" s="1"/>
  <c r="J41" i="1"/>
  <c r="K41" i="1" s="1"/>
  <c r="S41" i="1"/>
  <c r="J96" i="1"/>
  <c r="K96" i="1" s="1"/>
  <c r="S96" i="1"/>
  <c r="J172" i="1"/>
  <c r="K172" i="1" s="1"/>
  <c r="S172" i="1"/>
  <c r="J214" i="1"/>
  <c r="K214" i="1" s="1"/>
  <c r="S214" i="1"/>
  <c r="S15" i="1"/>
  <c r="J15" i="1"/>
  <c r="K15" i="1" s="1"/>
  <c r="S142" i="1"/>
  <c r="J142" i="1"/>
  <c r="K142" i="1" s="1"/>
  <c r="S183" i="1"/>
  <c r="J183" i="1"/>
  <c r="K183" i="1" s="1"/>
  <c r="J77" i="1"/>
  <c r="K77" i="1" s="1"/>
  <c r="S77" i="1"/>
  <c r="S94" i="1"/>
  <c r="J94" i="1"/>
  <c r="K94" i="1" s="1"/>
  <c r="J10" i="1"/>
  <c r="K10" i="1" s="1"/>
  <c r="S10" i="1"/>
  <c r="J199" i="1"/>
  <c r="K199" i="1" s="1"/>
  <c r="S199" i="1"/>
  <c r="S38" i="1"/>
  <c r="J38" i="1"/>
  <c r="K38" i="1" s="1"/>
  <c r="J129" i="1"/>
  <c r="K129" i="1" s="1"/>
  <c r="S129" i="1"/>
  <c r="S151" i="1"/>
  <c r="J151" i="1"/>
  <c r="K151" i="1" s="1"/>
  <c r="J204" i="1"/>
  <c r="K204" i="1" s="1"/>
  <c r="S204" i="1"/>
  <c r="J79" i="1"/>
  <c r="K79" i="1" s="1"/>
  <c r="S79" i="1"/>
  <c r="S166" i="1"/>
  <c r="J166" i="1"/>
  <c r="K166" i="1" s="1"/>
  <c r="J22" i="1"/>
  <c r="K22" i="1" s="1"/>
  <c r="S22" i="1"/>
  <c r="J6" i="1"/>
  <c r="K6" i="1" s="1"/>
  <c r="S6" i="1"/>
  <c r="J248" i="1"/>
  <c r="K248" i="1" s="1"/>
  <c r="S248" i="1"/>
  <c r="J95" i="1"/>
  <c r="K95" i="1" s="1"/>
  <c r="S95" i="1"/>
  <c r="J108" i="1"/>
  <c r="K108" i="1" s="1"/>
  <c r="S108" i="1"/>
  <c r="J62" i="1"/>
  <c r="K62" i="1" s="1"/>
  <c r="S62" i="1"/>
  <c r="S221" i="1"/>
  <c r="J221" i="1"/>
  <c r="K221" i="1" s="1"/>
  <c r="J74" i="1"/>
  <c r="K74" i="1" s="1"/>
  <c r="S74" i="1"/>
  <c r="S137" i="1"/>
  <c r="J137" i="1"/>
  <c r="K137" i="1" s="1"/>
  <c r="S37" i="1"/>
  <c r="J37" i="1"/>
  <c r="K37" i="1" s="1"/>
  <c r="J99" i="1"/>
  <c r="K99" i="1" s="1"/>
  <c r="S99" i="1"/>
  <c r="J25" i="1"/>
  <c r="K25" i="1" s="1"/>
  <c r="S25" i="1"/>
  <c r="J87" i="1"/>
  <c r="K87" i="1" s="1"/>
  <c r="S87" i="1"/>
  <c r="J60" i="1"/>
  <c r="K60" i="1" s="1"/>
  <c r="S60" i="1"/>
  <c r="J218" i="1"/>
  <c r="K218" i="1" s="1"/>
  <c r="S218" i="1"/>
  <c r="S52" i="1"/>
  <c r="J52" i="1"/>
  <c r="K52" i="1" s="1"/>
  <c r="S184" i="1"/>
  <c r="J184" i="1"/>
  <c r="K184" i="1" s="1"/>
  <c r="S217" i="1"/>
  <c r="J217" i="1"/>
  <c r="K217" i="1" s="1"/>
  <c r="S194" i="1"/>
  <c r="J194" i="1"/>
  <c r="K194" i="1" s="1"/>
  <c r="J46" i="1"/>
  <c r="K46" i="1" s="1"/>
  <c r="S46" i="1"/>
  <c r="J180" i="1"/>
  <c r="K180" i="1" s="1"/>
  <c r="S180" i="1"/>
  <c r="S222" i="1"/>
  <c r="J222" i="1"/>
  <c r="K222" i="1" s="1"/>
  <c r="J187" i="1"/>
  <c r="K187" i="1" s="1"/>
  <c r="S187" i="1"/>
  <c r="J230" i="1"/>
  <c r="K230" i="1" s="1"/>
  <c r="S230" i="1"/>
  <c r="J173" i="1"/>
  <c r="K173" i="1" s="1"/>
  <c r="S173" i="1"/>
  <c r="J45" i="1"/>
  <c r="K45" i="1" s="1"/>
  <c r="S45" i="1"/>
  <c r="J114" i="1"/>
  <c r="K114" i="1" s="1"/>
  <c r="S114" i="1"/>
  <c r="J133" i="1"/>
  <c r="K133" i="1" s="1"/>
  <c r="S133" i="1"/>
  <c r="J239" i="1"/>
  <c r="K239" i="1" s="1"/>
  <c r="S239" i="1"/>
  <c r="S47" i="1"/>
  <c r="J47" i="1"/>
  <c r="K47" i="1" s="1"/>
  <c r="J26" i="1"/>
  <c r="K26" i="1" s="1"/>
  <c r="S26" i="1"/>
  <c r="S86" i="1"/>
  <c r="J86" i="1"/>
  <c r="K86" i="1" s="1"/>
  <c r="S57" i="1"/>
  <c r="J57" i="1"/>
  <c r="K57" i="1" s="1"/>
  <c r="S213" i="1"/>
  <c r="J213" i="1"/>
  <c r="K213" i="1" s="1"/>
  <c r="J73" i="1"/>
  <c r="K73" i="1" s="1"/>
  <c r="S73" i="1"/>
  <c r="J201" i="1"/>
  <c r="K201" i="1" s="1"/>
  <c r="S201" i="1"/>
  <c r="J174" i="1"/>
  <c r="K174" i="1" s="1"/>
  <c r="S174" i="1"/>
  <c r="J206" i="1"/>
  <c r="K206" i="1" s="1"/>
  <c r="S206" i="1"/>
  <c r="J17" i="1"/>
  <c r="K17" i="1" s="1"/>
  <c r="S17" i="1"/>
  <c r="J104" i="1"/>
  <c r="K104" i="1" s="1"/>
  <c r="S104" i="1"/>
  <c r="J226" i="1"/>
  <c r="K226" i="1" s="1"/>
  <c r="S226" i="1"/>
  <c r="S138" i="1"/>
  <c r="J138" i="1"/>
  <c r="K138" i="1" s="1"/>
  <c r="S76" i="1"/>
  <c r="J76" i="1"/>
  <c r="K76" i="1" s="1"/>
  <c r="S16" i="1"/>
  <c r="J16" i="1"/>
  <c r="K16" i="1" s="1"/>
  <c r="J12" i="1"/>
  <c r="K12" i="1" s="1"/>
  <c r="S12" i="1"/>
  <c r="J243" i="1"/>
  <c r="K243" i="1" s="1"/>
  <c r="S243" i="1"/>
  <c r="J240" i="1"/>
  <c r="K240" i="1" s="1"/>
  <c r="S240" i="1"/>
  <c r="J181" i="1"/>
  <c r="K181" i="1" s="1"/>
  <c r="S181" i="1"/>
  <c r="S72" i="1"/>
  <c r="J72" i="1"/>
  <c r="K72" i="1" s="1"/>
  <c r="J189" i="1"/>
  <c r="K189" i="1" s="1"/>
  <c r="S189" i="1"/>
  <c r="J127" i="1"/>
  <c r="K127" i="1" s="1"/>
  <c r="S127" i="1"/>
  <c r="J30" i="1"/>
  <c r="K30" i="1" s="1"/>
  <c r="S30" i="1"/>
  <c r="S235" i="1"/>
  <c r="J235" i="1"/>
  <c r="K235" i="1" s="1"/>
  <c r="J102" i="1"/>
  <c r="K102" i="1" s="1"/>
  <c r="S102" i="1"/>
  <c r="J147" i="1"/>
  <c r="K147" i="1" s="1"/>
  <c r="S147" i="1"/>
  <c r="J155" i="1"/>
  <c r="K155" i="1" s="1"/>
  <c r="S155" i="1"/>
  <c r="S134" i="1"/>
  <c r="J134" i="1"/>
  <c r="K134" i="1" s="1"/>
  <c r="J244" i="1"/>
  <c r="K244" i="1" s="1"/>
  <c r="S244" i="1"/>
  <c r="S242" i="1"/>
  <c r="J242" i="1"/>
  <c r="K242" i="1" s="1"/>
  <c r="J161" i="1"/>
  <c r="K161" i="1" s="1"/>
  <c r="S161" i="1"/>
  <c r="J188" i="1"/>
  <c r="K188" i="1" s="1"/>
  <c r="S188" i="1"/>
  <c r="J54" i="1"/>
  <c r="K54" i="1" s="1"/>
  <c r="S54" i="1"/>
  <c r="J227" i="1"/>
  <c r="K227" i="1" s="1"/>
  <c r="S227" i="1"/>
  <c r="S48" i="1"/>
  <c r="J48" i="1"/>
  <c r="K48" i="1" s="1"/>
  <c r="S116" i="1"/>
  <c r="J116" i="1"/>
  <c r="K116" i="1" s="1"/>
  <c r="J8" i="1"/>
  <c r="K8" i="1" s="1"/>
  <c r="S8" i="1"/>
  <c r="S202" i="1"/>
  <c r="J202" i="1"/>
  <c r="K202" i="1" s="1"/>
  <c r="J198" i="1"/>
  <c r="K198" i="1" s="1"/>
  <c r="S198" i="1"/>
  <c r="J20" i="1"/>
  <c r="K20" i="1" s="1"/>
  <c r="S20" i="1"/>
  <c r="J11" i="1"/>
  <c r="K11" i="1" s="1"/>
  <c r="S11" i="1"/>
  <c r="S154" i="1"/>
  <c r="J154" i="1"/>
  <c r="K154" i="1" s="1"/>
  <c r="J121" i="1"/>
  <c r="K121" i="1" s="1"/>
  <c r="S121" i="1"/>
  <c r="J70" i="1"/>
  <c r="K70" i="1" s="1"/>
  <c r="S70" i="1"/>
  <c r="J105" i="1"/>
  <c r="K105" i="1" s="1"/>
  <c r="S105" i="1"/>
  <c r="S160" i="1"/>
  <c r="J160" i="1"/>
  <c r="K160" i="1" s="1"/>
  <c r="J9" i="1"/>
  <c r="K9" i="1" s="1"/>
  <c r="S9" i="1"/>
  <c r="J123" i="1"/>
  <c r="K123" i="1" s="1"/>
  <c r="S123" i="1"/>
  <c r="J246" i="1"/>
  <c r="K246" i="1" s="1"/>
  <c r="S246" i="1"/>
  <c r="J7" i="1"/>
  <c r="K7" i="1" s="1"/>
  <c r="S7" i="1"/>
  <c r="J33" i="1"/>
  <c r="K33" i="1" s="1"/>
  <c r="S33" i="1"/>
  <c r="J176" i="1"/>
  <c r="K176" i="1" s="1"/>
  <c r="S176" i="1"/>
  <c r="S143" i="1"/>
  <c r="J143" i="1"/>
  <c r="K143" i="1" s="1"/>
  <c r="S93" i="1"/>
  <c r="J93" i="1"/>
  <c r="K93" i="1" s="1"/>
  <c r="J236" i="1"/>
  <c r="K236" i="1" s="1"/>
  <c r="S236" i="1"/>
  <c r="S136" i="1"/>
  <c r="J136" i="1"/>
  <c r="K136" i="1" s="1"/>
  <c r="S169" i="1"/>
  <c r="J169" i="1"/>
  <c r="K169" i="1" s="1"/>
  <c r="J49" i="1"/>
  <c r="K49" i="1" s="1"/>
  <c r="S49" i="1"/>
  <c r="J28" i="1"/>
  <c r="K28" i="1" s="1"/>
  <c r="S28" i="1"/>
  <c r="J211" i="1"/>
  <c r="K211" i="1" s="1"/>
  <c r="S211" i="1"/>
  <c r="J163" i="1"/>
  <c r="K163" i="1" s="1"/>
  <c r="S163" i="1"/>
  <c r="S42" i="1"/>
  <c r="J42" i="1"/>
  <c r="K42" i="1" s="1"/>
  <c r="S195" i="1"/>
  <c r="J195" i="1"/>
  <c r="K195" i="1" s="1"/>
  <c r="J92" i="1"/>
  <c r="K92" i="1" s="1"/>
  <c r="S92" i="1"/>
  <c r="J82" i="1"/>
  <c r="K82" i="1" s="1"/>
  <c r="S82" i="1"/>
  <c r="S247" i="1"/>
  <c r="J247" i="1"/>
  <c r="K247" i="1" s="1"/>
  <c r="J145" i="1"/>
  <c r="K145" i="1" s="1"/>
  <c r="S145" i="1"/>
  <c r="J130" i="1"/>
  <c r="K130" i="1" s="1"/>
  <c r="S130" i="1"/>
  <c r="S167" i="1"/>
  <c r="J167" i="1"/>
  <c r="K167" i="1" s="1"/>
  <c r="S113" i="1"/>
  <c r="J113" i="1"/>
  <c r="K113" i="1" s="1"/>
  <c r="J107" i="1"/>
  <c r="K107" i="1" s="1"/>
  <c r="S107" i="1"/>
  <c r="J165" i="1"/>
  <c r="K165" i="1" s="1"/>
  <c r="S165" i="1"/>
  <c r="S157" i="1"/>
  <c r="J157" i="1"/>
  <c r="K157" i="1" s="1"/>
  <c r="J229" i="1"/>
  <c r="K229" i="1" s="1"/>
  <c r="S229" i="1"/>
  <c r="J109" i="1"/>
  <c r="K109" i="1" s="1"/>
  <c r="S109" i="1"/>
  <c r="J192" i="1"/>
  <c r="K192" i="1" s="1"/>
  <c r="S192" i="1"/>
  <c r="J111" i="1"/>
  <c r="K111" i="1" s="1"/>
  <c r="S111" i="1"/>
  <c r="S64" i="1"/>
  <c r="J64" i="1"/>
  <c r="K64" i="1" s="1"/>
  <c r="S212" i="1"/>
  <c r="J212" i="1"/>
  <c r="K212" i="1" s="1"/>
  <c r="S152" i="1"/>
  <c r="J152" i="1"/>
  <c r="K152" i="1" s="1"/>
  <c r="J162" i="1"/>
  <c r="K162" i="1" s="1"/>
  <c r="S162" i="1"/>
  <c r="J144" i="1"/>
  <c r="K144" i="1" s="1"/>
  <c r="S144" i="1"/>
  <c r="J168" i="1"/>
  <c r="K168" i="1" s="1"/>
  <c r="S168" i="1"/>
  <c r="J205" i="1"/>
  <c r="K205" i="1" s="1"/>
  <c r="S205" i="1"/>
  <c r="S219" i="1"/>
  <c r="J219" i="1"/>
  <c r="K219" i="1" s="1"/>
  <c r="S117" i="1"/>
  <c r="J117" i="1"/>
  <c r="K117" i="1" s="1"/>
  <c r="J110" i="1"/>
  <c r="K110" i="1" s="1"/>
  <c r="S110" i="1"/>
  <c r="J178" i="1"/>
  <c r="K178" i="1" s="1"/>
  <c r="S178" i="1"/>
  <c r="J153" i="1"/>
  <c r="K153" i="1" s="1"/>
  <c r="S153" i="1"/>
  <c r="S83" i="1"/>
  <c r="J83" i="1"/>
  <c r="K83" i="1" s="1"/>
  <c r="S209" i="1"/>
  <c r="J209" i="1"/>
  <c r="K209" i="1" s="1"/>
  <c r="S228" i="1"/>
  <c r="J228" i="1"/>
  <c r="K228" i="1" s="1"/>
  <c r="J90" i="1"/>
  <c r="K90" i="1" s="1"/>
  <c r="S90" i="1"/>
  <c r="S68" i="1"/>
  <c r="J68" i="1"/>
  <c r="K68" i="1" s="1"/>
  <c r="S84" i="1"/>
  <c r="J84" i="1"/>
  <c r="K84" i="1" s="1"/>
  <c r="J208" i="1"/>
  <c r="K208" i="1" s="1"/>
  <c r="S208" i="1"/>
  <c r="S80" i="1"/>
  <c r="J80" i="1"/>
  <c r="K80" i="1" s="1"/>
  <c r="J215" i="1"/>
  <c r="K215" i="1" s="1"/>
  <c r="S215" i="1"/>
  <c r="J193" i="1"/>
  <c r="K193" i="1" s="1"/>
  <c r="S193" i="1"/>
  <c r="J53" i="1"/>
  <c r="K53" i="1" s="1"/>
  <c r="S53" i="1"/>
  <c r="S43" i="1"/>
  <c r="J43" i="1"/>
  <c r="K43" i="1" s="1"/>
  <c r="S81" i="1"/>
  <c r="J81" i="1"/>
  <c r="K81" i="1" s="1"/>
  <c r="J91" i="1"/>
  <c r="K91" i="1" s="1"/>
  <c r="S91" i="1"/>
  <c r="S89" i="1"/>
  <c r="J89" i="1"/>
  <c r="K89" i="1" s="1"/>
  <c r="J182" i="1"/>
  <c r="K182" i="1" s="1"/>
  <c r="S182" i="1"/>
  <c r="S190" i="1"/>
  <c r="J190" i="1"/>
  <c r="K190" i="1" s="1"/>
  <c r="J126" i="1"/>
  <c r="K126" i="1" s="1"/>
  <c r="S126" i="1"/>
  <c r="S238" i="1"/>
  <c r="J238" i="1"/>
  <c r="K238" i="1" s="1"/>
  <c r="J139" i="1"/>
  <c r="K139" i="1" s="1"/>
  <c r="S139" i="1"/>
  <c r="J200" i="1"/>
  <c r="K200" i="1" s="1"/>
  <c r="S200" i="1"/>
  <c r="S56" i="1"/>
  <c r="J56" i="1"/>
  <c r="K56" i="1" s="1"/>
  <c r="J97" i="1"/>
  <c r="K97" i="1" s="1"/>
  <c r="S97" i="1"/>
  <c r="S237" i="1"/>
  <c r="J237" i="1"/>
  <c r="K237" i="1" s="1"/>
  <c r="J35" i="1"/>
  <c r="K35" i="1" s="1"/>
  <c r="S35" i="1"/>
  <c r="J39" i="1"/>
  <c r="K39" i="1" s="1"/>
  <c r="S39" i="1"/>
  <c r="S34" i="1"/>
  <c r="J34" i="1"/>
  <c r="K34" i="1" s="1"/>
  <c r="J40" i="1"/>
  <c r="K40" i="1" s="1"/>
  <c r="S40" i="1"/>
  <c r="J149" i="1"/>
  <c r="K149" i="1" s="1"/>
  <c r="S149" i="1"/>
  <c r="J66" i="1"/>
  <c r="K66" i="1" s="1"/>
  <c r="S66" i="1"/>
  <c r="J18" i="1"/>
  <c r="K18" i="1" s="1"/>
  <c r="S18" i="1"/>
  <c r="S150" i="1"/>
  <c r="J150" i="1"/>
  <c r="K150" i="1" s="1"/>
  <c r="S13" i="1"/>
  <c r="J13" i="1"/>
  <c r="K13" i="1" s="1"/>
  <c r="J32" i="1"/>
  <c r="K32" i="1" s="1"/>
  <c r="S32" i="1"/>
  <c r="J231" i="1"/>
  <c r="K231" i="1" s="1"/>
  <c r="S231" i="1"/>
  <c r="S78" i="1"/>
  <c r="J78" i="1"/>
  <c r="K78" i="1" s="1"/>
  <c r="J27" i="1"/>
  <c r="K27" i="1" s="1"/>
  <c r="S27" i="1"/>
  <c r="J31" i="1"/>
  <c r="K31" i="1" s="1"/>
  <c r="S31" i="1"/>
  <c r="S61" i="1"/>
  <c r="J61" i="1"/>
  <c r="K61" i="1" s="1"/>
  <c r="J14" i="1"/>
  <c r="K14" i="1" s="1"/>
  <c r="S14" i="1"/>
  <c r="S71" i="1"/>
  <c r="J71" i="1"/>
  <c r="K71" i="1" s="1"/>
  <c r="J245" i="1"/>
  <c r="K245" i="1" s="1"/>
  <c r="S245" i="1"/>
  <c r="S185" i="1"/>
  <c r="J185" i="1"/>
  <c r="K185" i="1" s="1"/>
  <c r="J118" i="1"/>
  <c r="K118" i="1" s="1"/>
  <c r="S118" i="1"/>
  <c r="S59" i="1"/>
  <c r="J59" i="1"/>
  <c r="K59" i="1" s="1"/>
  <c r="J164" i="1"/>
  <c r="K164" i="1" s="1"/>
  <c r="S164" i="1"/>
  <c r="J171" i="1"/>
  <c r="K171" i="1" s="1"/>
  <c r="S171" i="1"/>
  <c r="S191" i="1"/>
  <c r="J191" i="1"/>
  <c r="K191" i="1" s="1"/>
  <c r="J186" i="1"/>
  <c r="K186" i="1" s="1"/>
  <c r="S186" i="1"/>
  <c r="S55" i="1"/>
  <c r="J55" i="1"/>
  <c r="K55" i="1" s="1"/>
  <c r="J210" i="1"/>
  <c r="K210" i="1" s="1"/>
  <c r="S210" i="1"/>
  <c r="S85" i="1"/>
  <c r="J85" i="1"/>
  <c r="K85" i="1" s="1"/>
  <c r="J140" i="1"/>
  <c r="K140" i="1" s="1"/>
  <c r="S140" i="1"/>
  <c r="K24" i="4" l="1"/>
  <c r="O56" i="4" s="1"/>
  <c r="K25" i="4"/>
  <c r="K4" i="1"/>
  <c r="K5" i="1"/>
  <c r="O80" i="4" l="1"/>
  <c r="M82" i="4"/>
  <c r="O242" i="4"/>
  <c r="M80" i="4"/>
  <c r="M87" i="4"/>
  <c r="M149" i="4"/>
  <c r="O44" i="4"/>
  <c r="M101" i="4"/>
  <c r="O143" i="4"/>
  <c r="O31" i="4"/>
  <c r="O82" i="4"/>
  <c r="O263" i="4"/>
  <c r="M190" i="4"/>
  <c r="M31" i="4"/>
  <c r="M44" i="4"/>
  <c r="O87" i="4"/>
  <c r="M242" i="4"/>
  <c r="M189" i="4"/>
  <c r="O62" i="4"/>
  <c r="O63" i="4"/>
  <c r="M125" i="4"/>
  <c r="M98" i="4"/>
  <c r="M81" i="4"/>
  <c r="M251" i="4"/>
  <c r="O169" i="4"/>
  <c r="M188" i="4"/>
  <c r="O191" i="4"/>
  <c r="M62" i="4"/>
  <c r="M63" i="4"/>
  <c r="O125" i="4"/>
  <c r="O98" i="4"/>
  <c r="O101" i="4"/>
  <c r="O251" i="4"/>
  <c r="M128" i="4"/>
  <c r="O224" i="4"/>
  <c r="M234" i="4"/>
  <c r="O81" i="4"/>
  <c r="M263" i="4"/>
  <c r="O259" i="4"/>
  <c r="O128" i="4"/>
  <c r="O153" i="4"/>
  <c r="M223" i="4"/>
  <c r="M30" i="4"/>
  <c r="M259" i="4"/>
  <c r="M169" i="4"/>
  <c r="O149" i="4"/>
  <c r="M154" i="4"/>
  <c r="O198" i="4"/>
  <c r="M53" i="4"/>
  <c r="M33" i="4"/>
  <c r="O123" i="4"/>
  <c r="M248" i="4"/>
  <c r="O140" i="4"/>
  <c r="O67" i="4"/>
  <c r="O124" i="4"/>
  <c r="O254" i="4"/>
  <c r="M158" i="4"/>
  <c r="M58" i="4"/>
  <c r="M119" i="4"/>
  <c r="O197" i="4"/>
  <c r="O28" i="4"/>
  <c r="O79" i="4"/>
  <c r="M78" i="4"/>
  <c r="O73" i="4"/>
  <c r="M96" i="4"/>
  <c r="O99" i="4"/>
  <c r="M88" i="4"/>
  <c r="M111" i="4"/>
  <c r="O105" i="4"/>
  <c r="M89" i="4"/>
  <c r="O247" i="4"/>
  <c r="M267" i="4"/>
  <c r="M244" i="4"/>
  <c r="M266" i="4"/>
  <c r="M152" i="4"/>
  <c r="M132" i="4"/>
  <c r="M130" i="4"/>
  <c r="M160" i="4"/>
  <c r="M165" i="4"/>
  <c r="O159" i="4"/>
  <c r="M155" i="4"/>
  <c r="M171" i="4"/>
  <c r="O236" i="4"/>
  <c r="M233" i="4"/>
  <c r="M212" i="4"/>
  <c r="O209" i="4"/>
  <c r="O199" i="4"/>
  <c r="M207" i="4"/>
  <c r="M45" i="4"/>
  <c r="M51" i="4"/>
  <c r="M26" i="4"/>
  <c r="O36" i="4"/>
  <c r="O71" i="4"/>
  <c r="M64" i="4"/>
  <c r="O104" i="4"/>
  <c r="M117" i="4"/>
  <c r="O249" i="4"/>
  <c r="M187" i="4"/>
  <c r="O157" i="4"/>
  <c r="O196" i="4"/>
  <c r="M55" i="4"/>
  <c r="M66" i="4"/>
  <c r="M102" i="4"/>
  <c r="M241" i="4"/>
  <c r="M186" i="4"/>
  <c r="O185" i="4"/>
  <c r="O228" i="4"/>
  <c r="M229" i="4"/>
  <c r="M27" i="4"/>
  <c r="O43" i="4"/>
  <c r="O109" i="4"/>
  <c r="M250" i="4"/>
  <c r="M180" i="4"/>
  <c r="M136" i="4"/>
  <c r="O216" i="4"/>
  <c r="M226" i="4"/>
  <c r="M143" i="4"/>
  <c r="M153" i="4"/>
  <c r="O188" i="4"/>
  <c r="O154" i="4"/>
  <c r="M224" i="4"/>
  <c r="O189" i="4"/>
  <c r="O223" i="4"/>
  <c r="M198" i="4"/>
  <c r="O190" i="4"/>
  <c r="M191" i="4"/>
  <c r="O234" i="4"/>
  <c r="O53" i="4"/>
  <c r="O30" i="4"/>
  <c r="M71" i="4"/>
  <c r="M61" i="4"/>
  <c r="M107" i="4"/>
  <c r="O173" i="4"/>
  <c r="O220" i="4"/>
  <c r="O235" i="4"/>
  <c r="M91" i="4"/>
  <c r="O170" i="4"/>
  <c r="O194" i="4"/>
  <c r="M60" i="4"/>
  <c r="O264" i="4"/>
  <c r="M181" i="4"/>
  <c r="O164" i="4"/>
  <c r="O237" i="4"/>
  <c r="M35" i="4"/>
  <c r="M28" i="4"/>
  <c r="O35" i="4"/>
  <c r="M79" i="4"/>
  <c r="O78" i="4"/>
  <c r="M73" i="4"/>
  <c r="O96" i="4"/>
  <c r="M99" i="4"/>
  <c r="O88" i="4"/>
  <c r="O111" i="4"/>
  <c r="M105" i="4"/>
  <c r="O89" i="4"/>
  <c r="M247" i="4"/>
  <c r="O267" i="4"/>
  <c r="O244" i="4"/>
  <c r="O266" i="4"/>
  <c r="O152" i="4"/>
  <c r="O132" i="4"/>
  <c r="O130" i="4"/>
  <c r="O160" i="4"/>
  <c r="O165" i="4"/>
  <c r="M159" i="4"/>
  <c r="O155" i="4"/>
  <c r="O171" i="4"/>
  <c r="M236" i="4"/>
  <c r="O233" i="4"/>
  <c r="O212" i="4"/>
  <c r="M209" i="4"/>
  <c r="M199" i="4"/>
  <c r="O207" i="4"/>
  <c r="O45" i="4"/>
  <c r="O51" i="4"/>
  <c r="O26" i="4"/>
  <c r="M36" i="4"/>
  <c r="O69" i="4"/>
  <c r="O40" i="4"/>
  <c r="O92" i="4"/>
  <c r="O97" i="4"/>
  <c r="M262" i="4"/>
  <c r="M137" i="4"/>
  <c r="M134" i="4"/>
  <c r="O201" i="4"/>
  <c r="M59" i="4"/>
  <c r="O77" i="4"/>
  <c r="M112" i="4"/>
  <c r="M265" i="4"/>
  <c r="O133" i="4"/>
  <c r="O163" i="4"/>
  <c r="O200" i="4"/>
  <c r="M192" i="4"/>
  <c r="O34" i="4"/>
  <c r="O84" i="4"/>
  <c r="M94" i="4"/>
  <c r="M240" i="4"/>
  <c r="M167" i="4"/>
  <c r="M142" i="4"/>
  <c r="M214" i="4"/>
  <c r="M52" i="4"/>
  <c r="O74" i="4"/>
  <c r="O61" i="4"/>
  <c r="O41" i="4"/>
  <c r="M113" i="4"/>
  <c r="M255" i="4"/>
  <c r="M184" i="4"/>
  <c r="M147" i="4"/>
  <c r="O213" i="4"/>
  <c r="M204" i="4"/>
  <c r="O32" i="4"/>
  <c r="O39" i="4"/>
  <c r="O93" i="4"/>
  <c r="O256" i="4"/>
  <c r="O145" i="4"/>
  <c r="M127" i="4"/>
  <c r="M203" i="4"/>
  <c r="M57" i="4"/>
  <c r="M70" i="4"/>
  <c r="M100" i="4"/>
  <c r="M116" i="4"/>
  <c r="O238" i="4"/>
  <c r="O161" i="4"/>
  <c r="M150" i="4"/>
  <c r="O208" i="4"/>
  <c r="M56" i="4"/>
  <c r="O52" i="4"/>
  <c r="O226" i="4"/>
  <c r="M237" i="4"/>
  <c r="M208" i="4"/>
  <c r="O214" i="4"/>
  <c r="M216" i="4"/>
  <c r="M197" i="4"/>
  <c r="O150" i="4"/>
  <c r="O142" i="4"/>
  <c r="O136" i="4"/>
  <c r="M164" i="4"/>
  <c r="M161" i="4"/>
  <c r="O167" i="4"/>
  <c r="O180" i="4"/>
  <c r="O181" i="4"/>
  <c r="M238" i="4"/>
  <c r="O240" i="4"/>
  <c r="O250" i="4"/>
  <c r="M264" i="4"/>
  <c r="O116" i="4"/>
  <c r="O94" i="4"/>
  <c r="M109" i="4"/>
  <c r="O119" i="4"/>
  <c r="O100" i="4"/>
  <c r="M84" i="4"/>
  <c r="M43" i="4"/>
  <c r="O60" i="4"/>
  <c r="O70" i="4"/>
  <c r="M34" i="4"/>
  <c r="O27" i="4"/>
  <c r="O58" i="4"/>
  <c r="O57" i="4"/>
  <c r="O192" i="4"/>
  <c r="O229" i="4"/>
  <c r="M194" i="4"/>
  <c r="O203" i="4"/>
  <c r="M200" i="4"/>
  <c r="M228" i="4"/>
  <c r="O158" i="4"/>
  <c r="O127" i="4"/>
  <c r="M163" i="4"/>
  <c r="M185" i="4"/>
  <c r="M170" i="4"/>
  <c r="M145" i="4"/>
  <c r="M133" i="4"/>
  <c r="O186" i="4"/>
  <c r="M254" i="4"/>
  <c r="M256" i="4"/>
  <c r="O265" i="4"/>
  <c r="O241" i="4"/>
  <c r="M124" i="4"/>
  <c r="M93" i="4"/>
  <c r="O112" i="4"/>
  <c r="O102" i="4"/>
  <c r="O91" i="4"/>
  <c r="M39" i="4"/>
  <c r="M77" i="4"/>
  <c r="O66" i="4"/>
  <c r="M67" i="4"/>
  <c r="M32" i="4"/>
  <c r="O59" i="4"/>
  <c r="O55" i="4"/>
  <c r="M235" i="4"/>
  <c r="O204" i="4"/>
  <c r="M201" i="4"/>
  <c r="M196" i="4"/>
  <c r="M220" i="4"/>
  <c r="M213" i="4"/>
  <c r="O134" i="4"/>
  <c r="M157" i="4"/>
  <c r="M140" i="4"/>
  <c r="O147" i="4"/>
  <c r="O137" i="4"/>
  <c r="O187" i="4"/>
  <c r="M173" i="4"/>
  <c r="O184" i="4"/>
  <c r="O262" i="4"/>
  <c r="M249" i="4"/>
  <c r="O248" i="4"/>
  <c r="O255" i="4"/>
  <c r="M97" i="4"/>
  <c r="O117" i="4"/>
  <c r="O107" i="4"/>
  <c r="O113" i="4"/>
  <c r="M92" i="4"/>
  <c r="O47" i="4"/>
  <c r="O54" i="4"/>
  <c r="O215" i="4"/>
  <c r="O230" i="4"/>
  <c r="M219" i="4"/>
  <c r="O195" i="4"/>
  <c r="M217" i="4"/>
  <c r="O222" i="4"/>
  <c r="M162" i="4"/>
  <c r="M148" i="4"/>
  <c r="O151" i="4"/>
  <c r="M177" i="4"/>
  <c r="M126" i="4"/>
  <c r="O176" i="4"/>
  <c r="M178" i="4"/>
  <c r="O139" i="4"/>
  <c r="O253" i="4"/>
  <c r="M260" i="4"/>
  <c r="M243" i="4"/>
  <c r="O257" i="4"/>
  <c r="M86" i="4"/>
  <c r="O122" i="4"/>
  <c r="O95" i="4"/>
  <c r="O118" i="4"/>
  <c r="M120" i="4"/>
  <c r="M42" i="4"/>
  <c r="O68" i="4"/>
  <c r="M65" i="4"/>
  <c r="M76" i="4"/>
  <c r="M37" i="4"/>
  <c r="M48" i="4"/>
  <c r="O46" i="4"/>
  <c r="M227" i="4"/>
  <c r="O210" i="4"/>
  <c r="M193" i="4"/>
  <c r="M231" i="4"/>
  <c r="O202" i="4"/>
  <c r="M205" i="4"/>
  <c r="M138" i="4"/>
  <c r="O175" i="4"/>
  <c r="M182" i="4"/>
  <c r="M129" i="4"/>
  <c r="M166" i="4"/>
  <c r="O179" i="4"/>
  <c r="O144" i="4"/>
  <c r="O141" i="4"/>
  <c r="M268" i="4"/>
  <c r="O245" i="4"/>
  <c r="O261" i="4"/>
  <c r="M239" i="4"/>
  <c r="O108" i="4"/>
  <c r="O110" i="4"/>
  <c r="M83" i="4"/>
  <c r="O90" i="4"/>
  <c r="O121" i="4"/>
  <c r="O106" i="4"/>
  <c r="O38" i="4"/>
  <c r="O72" i="4"/>
  <c r="M75" i="4"/>
  <c r="O33" i="4"/>
  <c r="M29" i="4"/>
  <c r="M50" i="4"/>
  <c r="O49" i="4"/>
  <c r="O221" i="4"/>
  <c r="M225" i="4"/>
  <c r="O232" i="4"/>
  <c r="M211" i="4"/>
  <c r="O218" i="4"/>
  <c r="M206" i="4"/>
  <c r="O146" i="4"/>
  <c r="M183" i="4"/>
  <c r="M135" i="4"/>
  <c r="M168" i="4"/>
  <c r="M131" i="4"/>
  <c r="O172" i="4"/>
  <c r="M156" i="4"/>
  <c r="M174" i="4"/>
  <c r="M258" i="4"/>
  <c r="O246" i="4"/>
  <c r="O252" i="4"/>
  <c r="M269" i="4"/>
  <c r="O85" i="4"/>
  <c r="M103" i="4"/>
  <c r="M115" i="4"/>
  <c r="O114" i="4"/>
  <c r="M74" i="4"/>
  <c r="M69" i="4"/>
  <c r="O64" i="4"/>
  <c r="M41" i="4"/>
  <c r="M104" i="4"/>
  <c r="O115" i="4"/>
  <c r="M85" i="4"/>
  <c r="M252" i="4"/>
  <c r="O258" i="4"/>
  <c r="O156" i="4"/>
  <c r="O131" i="4"/>
  <c r="O135" i="4"/>
  <c r="M146" i="4"/>
  <c r="M218" i="4"/>
  <c r="M232" i="4"/>
  <c r="M221" i="4"/>
  <c r="O50" i="4"/>
  <c r="M72" i="4"/>
  <c r="M106" i="4"/>
  <c r="M90" i="4"/>
  <c r="M110" i="4"/>
  <c r="O239" i="4"/>
  <c r="M245" i="4"/>
  <c r="M141" i="4"/>
  <c r="M179" i="4"/>
  <c r="O129" i="4"/>
  <c r="M175" i="4"/>
  <c r="O205" i="4"/>
  <c r="O231" i="4"/>
  <c r="M210" i="4"/>
  <c r="M46" i="4"/>
  <c r="O37" i="4"/>
  <c r="O65" i="4"/>
  <c r="O42" i="4"/>
  <c r="M118" i="4"/>
  <c r="M122" i="4"/>
  <c r="M257" i="4"/>
  <c r="O260" i="4"/>
  <c r="M139" i="4"/>
  <c r="M176" i="4"/>
  <c r="O177" i="4"/>
  <c r="O148" i="4"/>
  <c r="M222" i="4"/>
  <c r="M195" i="4"/>
  <c r="M230" i="4"/>
  <c r="M54" i="4"/>
  <c r="M40" i="4"/>
  <c r="M123" i="4"/>
  <c r="M114" i="4"/>
  <c r="O103" i="4"/>
  <c r="O269" i="4"/>
  <c r="M246" i="4"/>
  <c r="O174" i="4"/>
  <c r="M172" i="4"/>
  <c r="O168" i="4"/>
  <c r="O183" i="4"/>
  <c r="O206" i="4"/>
  <c r="O211" i="4"/>
  <c r="O225" i="4"/>
  <c r="M49" i="4"/>
  <c r="O29" i="4"/>
  <c r="O75" i="4"/>
  <c r="M38" i="4"/>
  <c r="M121" i="4"/>
  <c r="O83" i="4"/>
  <c r="M108" i="4"/>
  <c r="M261" i="4"/>
  <c r="O268" i="4"/>
  <c r="M144" i="4"/>
  <c r="O166" i="4"/>
  <c r="O182" i="4"/>
  <c r="O138" i="4"/>
  <c r="M202" i="4"/>
  <c r="O193" i="4"/>
  <c r="O227" i="4"/>
  <c r="O48" i="4"/>
  <c r="O76" i="4"/>
  <c r="M68" i="4"/>
  <c r="O120" i="4"/>
  <c r="M95" i="4"/>
  <c r="O86" i="4"/>
  <c r="O243" i="4"/>
  <c r="M253" i="4"/>
  <c r="O178" i="4"/>
  <c r="O126" i="4"/>
  <c r="M151" i="4"/>
  <c r="O162" i="4"/>
  <c r="O217" i="4"/>
  <c r="O219" i="4"/>
  <c r="M215" i="4"/>
  <c r="M47" i="4"/>
  <c r="V23" i="4"/>
  <c r="V22" i="4" s="1"/>
  <c r="O24" i="4" l="1"/>
  <c r="O23" i="4" s="1"/>
  <c r="M24" i="4"/>
  <c r="P27" i="4" l="1"/>
  <c r="P31" i="4"/>
  <c r="P35" i="4"/>
  <c r="P39" i="4"/>
  <c r="Q39" i="4" s="1"/>
  <c r="R39" i="4" s="1"/>
  <c r="P43" i="4"/>
  <c r="P47" i="4"/>
  <c r="P51" i="4"/>
  <c r="P55" i="4"/>
  <c r="Q55" i="4" s="1"/>
  <c r="R55" i="4" s="1"/>
  <c r="P59" i="4"/>
  <c r="P63" i="4"/>
  <c r="P67" i="4"/>
  <c r="P71" i="4"/>
  <c r="Q71" i="4" s="1"/>
  <c r="R71" i="4" s="1"/>
  <c r="P75" i="4"/>
  <c r="P79" i="4"/>
  <c r="P83" i="4"/>
  <c r="P87" i="4"/>
  <c r="Q87" i="4" s="1"/>
  <c r="R87" i="4" s="1"/>
  <c r="P91" i="4"/>
  <c r="P95" i="4"/>
  <c r="P99" i="4"/>
  <c r="P103" i="4"/>
  <c r="Q103" i="4" s="1"/>
  <c r="R103" i="4" s="1"/>
  <c r="P107" i="4"/>
  <c r="P111" i="4"/>
  <c r="P115" i="4"/>
  <c r="P119" i="4"/>
  <c r="Q119" i="4" s="1"/>
  <c r="R119" i="4" s="1"/>
  <c r="P123" i="4"/>
  <c r="P127" i="4"/>
  <c r="P131" i="4"/>
  <c r="P135" i="4"/>
  <c r="Q135" i="4" s="1"/>
  <c r="R135" i="4" s="1"/>
  <c r="P139" i="4"/>
  <c r="P143" i="4"/>
  <c r="P147" i="4"/>
  <c r="P151" i="4"/>
  <c r="Q151" i="4" s="1"/>
  <c r="R151" i="4" s="1"/>
  <c r="P155" i="4"/>
  <c r="P159" i="4"/>
  <c r="P163" i="4"/>
  <c r="P167" i="4"/>
  <c r="Q167" i="4" s="1"/>
  <c r="R167" i="4" s="1"/>
  <c r="P171" i="4"/>
  <c r="P175" i="4"/>
  <c r="P179" i="4"/>
  <c r="P183" i="4"/>
  <c r="Q183" i="4" s="1"/>
  <c r="R183" i="4" s="1"/>
  <c r="P187" i="4"/>
  <c r="P191" i="4"/>
  <c r="P195" i="4"/>
  <c r="P199" i="4"/>
  <c r="Q199" i="4" s="1"/>
  <c r="R199" i="4" s="1"/>
  <c r="P203" i="4"/>
  <c r="P207" i="4"/>
  <c r="P211" i="4"/>
  <c r="P215" i="4"/>
  <c r="Q215" i="4" s="1"/>
  <c r="R215" i="4" s="1"/>
  <c r="P219" i="4"/>
  <c r="P223" i="4"/>
  <c r="P227" i="4"/>
  <c r="P231" i="4"/>
  <c r="Q231" i="4" s="1"/>
  <c r="R231" i="4" s="1"/>
  <c r="P235" i="4"/>
  <c r="P239" i="4"/>
  <c r="P243" i="4"/>
  <c r="P247" i="4"/>
  <c r="Q247" i="4" s="1"/>
  <c r="R247" i="4" s="1"/>
  <c r="P251" i="4"/>
  <c r="P255" i="4"/>
  <c r="P259" i="4"/>
  <c r="P263" i="4"/>
  <c r="Q263" i="4" s="1"/>
  <c r="R263" i="4" s="1"/>
  <c r="P267" i="4"/>
  <c r="P38" i="4"/>
  <c r="P58" i="4"/>
  <c r="P70" i="4"/>
  <c r="Q70" i="4" s="1"/>
  <c r="R70" i="4" s="1"/>
  <c r="P86" i="4"/>
  <c r="P98" i="4"/>
  <c r="P114" i="4"/>
  <c r="P126" i="4"/>
  <c r="Q126" i="4" s="1"/>
  <c r="R126" i="4" s="1"/>
  <c r="P138" i="4"/>
  <c r="P150" i="4"/>
  <c r="P166" i="4"/>
  <c r="P178" i="4"/>
  <c r="Q178" i="4" s="1"/>
  <c r="R178" i="4" s="1"/>
  <c r="P190" i="4"/>
  <c r="P202" i="4"/>
  <c r="P214" i="4"/>
  <c r="P230" i="4"/>
  <c r="Q230" i="4" s="1"/>
  <c r="R230" i="4" s="1"/>
  <c r="P242" i="4"/>
  <c r="P254" i="4"/>
  <c r="P266" i="4"/>
  <c r="P28" i="4"/>
  <c r="Q28" i="4" s="1"/>
  <c r="R28" i="4" s="1"/>
  <c r="P32" i="4"/>
  <c r="P36" i="4"/>
  <c r="P40" i="4"/>
  <c r="P44" i="4"/>
  <c r="Q44" i="4" s="1"/>
  <c r="R44" i="4" s="1"/>
  <c r="P48" i="4"/>
  <c r="P52" i="4"/>
  <c r="P56" i="4"/>
  <c r="P60" i="4"/>
  <c r="Q60" i="4" s="1"/>
  <c r="R60" i="4" s="1"/>
  <c r="P64" i="4"/>
  <c r="P68" i="4"/>
  <c r="P72" i="4"/>
  <c r="P76" i="4"/>
  <c r="Q76" i="4" s="1"/>
  <c r="R76" i="4" s="1"/>
  <c r="P80" i="4"/>
  <c r="P84" i="4"/>
  <c r="P88" i="4"/>
  <c r="P92" i="4"/>
  <c r="Q92" i="4" s="1"/>
  <c r="R92" i="4" s="1"/>
  <c r="P96" i="4"/>
  <c r="P100" i="4"/>
  <c r="P104" i="4"/>
  <c r="P108" i="4"/>
  <c r="Q108" i="4" s="1"/>
  <c r="R108" i="4" s="1"/>
  <c r="P112" i="4"/>
  <c r="P116" i="4"/>
  <c r="P120" i="4"/>
  <c r="P124" i="4"/>
  <c r="Q124" i="4" s="1"/>
  <c r="R124" i="4" s="1"/>
  <c r="P128" i="4"/>
  <c r="P132" i="4"/>
  <c r="P136" i="4"/>
  <c r="P140" i="4"/>
  <c r="Q140" i="4" s="1"/>
  <c r="R140" i="4" s="1"/>
  <c r="P144" i="4"/>
  <c r="P148" i="4"/>
  <c r="P152" i="4"/>
  <c r="P156" i="4"/>
  <c r="Q156" i="4" s="1"/>
  <c r="R156" i="4" s="1"/>
  <c r="P160" i="4"/>
  <c r="P164" i="4"/>
  <c r="P168" i="4"/>
  <c r="P172" i="4"/>
  <c r="Q172" i="4" s="1"/>
  <c r="R172" i="4" s="1"/>
  <c r="P176" i="4"/>
  <c r="P180" i="4"/>
  <c r="P184" i="4"/>
  <c r="P188" i="4"/>
  <c r="Q188" i="4" s="1"/>
  <c r="R188" i="4" s="1"/>
  <c r="P192" i="4"/>
  <c r="P196" i="4"/>
  <c r="P200" i="4"/>
  <c r="P204" i="4"/>
  <c r="Q204" i="4" s="1"/>
  <c r="R204" i="4" s="1"/>
  <c r="P208" i="4"/>
  <c r="P212" i="4"/>
  <c r="P216" i="4"/>
  <c r="P220" i="4"/>
  <c r="Q220" i="4" s="1"/>
  <c r="R220" i="4" s="1"/>
  <c r="P224" i="4"/>
  <c r="P228" i="4"/>
  <c r="P232" i="4"/>
  <c r="P236" i="4"/>
  <c r="Q236" i="4" s="1"/>
  <c r="R236" i="4" s="1"/>
  <c r="P240" i="4"/>
  <c r="P244" i="4"/>
  <c r="P248" i="4"/>
  <c r="P252" i="4"/>
  <c r="Q252" i="4" s="1"/>
  <c r="R252" i="4" s="1"/>
  <c r="P256" i="4"/>
  <c r="P260" i="4"/>
  <c r="P264" i="4"/>
  <c r="P268" i="4"/>
  <c r="Q268" i="4" s="1"/>
  <c r="R268" i="4" s="1"/>
  <c r="P34" i="4"/>
  <c r="P46" i="4"/>
  <c r="P54" i="4"/>
  <c r="P66" i="4"/>
  <c r="Q66" i="4" s="1"/>
  <c r="R66" i="4" s="1"/>
  <c r="P78" i="4"/>
  <c r="P90" i="4"/>
  <c r="P106" i="4"/>
  <c r="P118" i="4"/>
  <c r="Q118" i="4" s="1"/>
  <c r="R118" i="4" s="1"/>
  <c r="P134" i="4"/>
  <c r="P146" i="4"/>
  <c r="P158" i="4"/>
  <c r="P170" i="4"/>
  <c r="Q170" i="4" s="1"/>
  <c r="R170" i="4" s="1"/>
  <c r="P186" i="4"/>
  <c r="P198" i="4"/>
  <c r="P210" i="4"/>
  <c r="P222" i="4"/>
  <c r="Q222" i="4" s="1"/>
  <c r="R222" i="4" s="1"/>
  <c r="P238" i="4"/>
  <c r="P250" i="4"/>
  <c r="P262" i="4"/>
  <c r="P29" i="4"/>
  <c r="Q29" i="4" s="1"/>
  <c r="R29" i="4" s="1"/>
  <c r="P33" i="4"/>
  <c r="P37" i="4"/>
  <c r="P41" i="4"/>
  <c r="P45" i="4"/>
  <c r="Q45" i="4" s="1"/>
  <c r="R45" i="4" s="1"/>
  <c r="P49" i="4"/>
  <c r="P53" i="4"/>
  <c r="P57" i="4"/>
  <c r="P61" i="4"/>
  <c r="Q61" i="4" s="1"/>
  <c r="R61" i="4" s="1"/>
  <c r="P65" i="4"/>
  <c r="P69" i="4"/>
  <c r="P73" i="4"/>
  <c r="P77" i="4"/>
  <c r="Q77" i="4" s="1"/>
  <c r="R77" i="4" s="1"/>
  <c r="P81" i="4"/>
  <c r="P85" i="4"/>
  <c r="P89" i="4"/>
  <c r="P93" i="4"/>
  <c r="Q93" i="4" s="1"/>
  <c r="R93" i="4" s="1"/>
  <c r="P97" i="4"/>
  <c r="P101" i="4"/>
  <c r="P105" i="4"/>
  <c r="P109" i="4"/>
  <c r="Q109" i="4" s="1"/>
  <c r="R109" i="4" s="1"/>
  <c r="P113" i="4"/>
  <c r="P117" i="4"/>
  <c r="P121" i="4"/>
  <c r="P125" i="4"/>
  <c r="Q125" i="4" s="1"/>
  <c r="R125" i="4" s="1"/>
  <c r="P129" i="4"/>
  <c r="P133" i="4"/>
  <c r="P137" i="4"/>
  <c r="P141" i="4"/>
  <c r="Q141" i="4" s="1"/>
  <c r="R141" i="4" s="1"/>
  <c r="P145" i="4"/>
  <c r="P149" i="4"/>
  <c r="P153" i="4"/>
  <c r="P157" i="4"/>
  <c r="Q157" i="4" s="1"/>
  <c r="R157" i="4" s="1"/>
  <c r="P161" i="4"/>
  <c r="P165" i="4"/>
  <c r="P169" i="4"/>
  <c r="P173" i="4"/>
  <c r="Q173" i="4" s="1"/>
  <c r="R173" i="4" s="1"/>
  <c r="P177" i="4"/>
  <c r="P181" i="4"/>
  <c r="P185" i="4"/>
  <c r="P189" i="4"/>
  <c r="Q189" i="4" s="1"/>
  <c r="R189" i="4" s="1"/>
  <c r="P193" i="4"/>
  <c r="P197" i="4"/>
  <c r="P201" i="4"/>
  <c r="P205" i="4"/>
  <c r="Q205" i="4" s="1"/>
  <c r="R205" i="4" s="1"/>
  <c r="P209" i="4"/>
  <c r="P213" i="4"/>
  <c r="P217" i="4"/>
  <c r="P221" i="4"/>
  <c r="Q221" i="4" s="1"/>
  <c r="R221" i="4" s="1"/>
  <c r="P225" i="4"/>
  <c r="P229" i="4"/>
  <c r="P233" i="4"/>
  <c r="P237" i="4"/>
  <c r="Q237" i="4" s="1"/>
  <c r="R237" i="4" s="1"/>
  <c r="P241" i="4"/>
  <c r="P245" i="4"/>
  <c r="P249" i="4"/>
  <c r="P253" i="4"/>
  <c r="Q253" i="4" s="1"/>
  <c r="R253" i="4" s="1"/>
  <c r="P257" i="4"/>
  <c r="P261" i="4"/>
  <c r="P265" i="4"/>
  <c r="P269" i="4"/>
  <c r="Q269" i="4" s="1"/>
  <c r="R269" i="4" s="1"/>
  <c r="P30" i="4"/>
  <c r="P42" i="4"/>
  <c r="Q42" i="4" s="1"/>
  <c r="R42" i="4" s="1"/>
  <c r="P50" i="4"/>
  <c r="P62" i="4"/>
  <c r="Q62" i="4" s="1"/>
  <c r="R62" i="4" s="1"/>
  <c r="P74" i="4"/>
  <c r="P82" i="4"/>
  <c r="P94" i="4"/>
  <c r="P102" i="4"/>
  <c r="Q102" i="4" s="1"/>
  <c r="R102" i="4" s="1"/>
  <c r="P110" i="4"/>
  <c r="P122" i="4"/>
  <c r="P130" i="4"/>
  <c r="P142" i="4"/>
  <c r="Q142" i="4" s="1"/>
  <c r="R142" i="4" s="1"/>
  <c r="P154" i="4"/>
  <c r="P162" i="4"/>
  <c r="P174" i="4"/>
  <c r="P182" i="4"/>
  <c r="Q182" i="4" s="1"/>
  <c r="R182" i="4" s="1"/>
  <c r="P194" i="4"/>
  <c r="P206" i="4"/>
  <c r="P218" i="4"/>
  <c r="P226" i="4"/>
  <c r="Q226" i="4" s="1"/>
  <c r="R226" i="4" s="1"/>
  <c r="P234" i="4"/>
  <c r="P246" i="4"/>
  <c r="P258" i="4"/>
  <c r="P26" i="4"/>
  <c r="Q26" i="4" s="1"/>
  <c r="Q33" i="4"/>
  <c r="R33" i="4" s="1"/>
  <c r="Q37" i="4"/>
  <c r="R37" i="4" s="1"/>
  <c r="Q41" i="4"/>
  <c r="R41" i="4" s="1"/>
  <c r="Q32" i="4"/>
  <c r="R32" i="4" s="1"/>
  <c r="Q36" i="4"/>
  <c r="R36" i="4" s="1"/>
  <c r="Q40" i="4"/>
  <c r="R40" i="4" s="1"/>
  <c r="Q48" i="4"/>
  <c r="R48" i="4" s="1"/>
  <c r="Q52" i="4"/>
  <c r="R52" i="4" s="1"/>
  <c r="Q56" i="4"/>
  <c r="R56" i="4" s="1"/>
  <c r="Q27" i="4"/>
  <c r="R27" i="4" s="1"/>
  <c r="Q31" i="4"/>
  <c r="R31" i="4" s="1"/>
  <c r="Q35" i="4"/>
  <c r="R35" i="4" s="1"/>
  <c r="Q43" i="4"/>
  <c r="R43" i="4" s="1"/>
  <c r="Q47" i="4"/>
  <c r="R47" i="4" s="1"/>
  <c r="Q51" i="4"/>
  <c r="R51" i="4" s="1"/>
  <c r="Q38" i="4"/>
  <c r="R38" i="4" s="1"/>
  <c r="Q46" i="4"/>
  <c r="R46" i="4" s="1"/>
  <c r="Q54" i="4"/>
  <c r="R54" i="4" s="1"/>
  <c r="Q64" i="4"/>
  <c r="R64" i="4" s="1"/>
  <c r="Q68" i="4"/>
  <c r="R68" i="4" s="1"/>
  <c r="Q72" i="4"/>
  <c r="R72" i="4" s="1"/>
  <c r="Q30" i="4"/>
  <c r="R30" i="4" s="1"/>
  <c r="Q34" i="4"/>
  <c r="R34" i="4" s="1"/>
  <c r="Q65" i="4"/>
  <c r="R65" i="4" s="1"/>
  <c r="Q67" i="4"/>
  <c r="R67" i="4" s="1"/>
  <c r="Q81" i="4"/>
  <c r="R81" i="4" s="1"/>
  <c r="Q85" i="4"/>
  <c r="R85" i="4" s="1"/>
  <c r="Q89" i="4"/>
  <c r="R89" i="4" s="1"/>
  <c r="Q97" i="4"/>
  <c r="R97" i="4" s="1"/>
  <c r="Q101" i="4"/>
  <c r="R101" i="4" s="1"/>
  <c r="Q49" i="4"/>
  <c r="R49" i="4" s="1"/>
  <c r="Q69" i="4"/>
  <c r="R69" i="4" s="1"/>
  <c r="Q80" i="4"/>
  <c r="R80" i="4" s="1"/>
  <c r="Q53" i="4"/>
  <c r="R53" i="4" s="1"/>
  <c r="Q57" i="4"/>
  <c r="R57" i="4" s="1"/>
  <c r="Q75" i="4"/>
  <c r="R75" i="4" s="1"/>
  <c r="Q94" i="4"/>
  <c r="R94" i="4" s="1"/>
  <c r="Q95" i="4"/>
  <c r="R95" i="4" s="1"/>
  <c r="Q96" i="4"/>
  <c r="R96" i="4" s="1"/>
  <c r="Q104" i="4"/>
  <c r="R104" i="4" s="1"/>
  <c r="Q112" i="4"/>
  <c r="R112" i="4" s="1"/>
  <c r="Q116" i="4"/>
  <c r="R116" i="4" s="1"/>
  <c r="Q120" i="4"/>
  <c r="R120" i="4" s="1"/>
  <c r="Q128" i="4"/>
  <c r="R128" i="4" s="1"/>
  <c r="Q59" i="4"/>
  <c r="R59" i="4" s="1"/>
  <c r="Q74" i="4"/>
  <c r="R74" i="4" s="1"/>
  <c r="Q78" i="4"/>
  <c r="R78" i="4" s="1"/>
  <c r="Q83" i="4"/>
  <c r="R83" i="4" s="1"/>
  <c r="Q84" i="4"/>
  <c r="R84" i="4" s="1"/>
  <c r="Q98" i="4"/>
  <c r="R98" i="4" s="1"/>
  <c r="Q99" i="4"/>
  <c r="R99" i="4" s="1"/>
  <c r="Q100" i="4"/>
  <c r="R100" i="4" s="1"/>
  <c r="Q107" i="4"/>
  <c r="R107" i="4" s="1"/>
  <c r="Q111" i="4"/>
  <c r="R111" i="4" s="1"/>
  <c r="Q115" i="4"/>
  <c r="R115" i="4" s="1"/>
  <c r="Q123" i="4"/>
  <c r="R123" i="4" s="1"/>
  <c r="Q58" i="4"/>
  <c r="R58" i="4" s="1"/>
  <c r="Q63" i="4"/>
  <c r="R63" i="4" s="1"/>
  <c r="Q73" i="4"/>
  <c r="R73" i="4" s="1"/>
  <c r="Q79" i="4"/>
  <c r="R79" i="4" s="1"/>
  <c r="Q86" i="4"/>
  <c r="R86" i="4" s="1"/>
  <c r="Q88" i="4"/>
  <c r="R88" i="4" s="1"/>
  <c r="Q106" i="4"/>
  <c r="R106" i="4" s="1"/>
  <c r="Q114" i="4"/>
  <c r="R114" i="4" s="1"/>
  <c r="Q122" i="4"/>
  <c r="R122" i="4" s="1"/>
  <c r="Q129" i="4"/>
  <c r="R129" i="4" s="1"/>
  <c r="Q130" i="4"/>
  <c r="R130" i="4" s="1"/>
  <c r="Q131" i="4"/>
  <c r="R131" i="4" s="1"/>
  <c r="Q134" i="4"/>
  <c r="R134" i="4" s="1"/>
  <c r="Q138" i="4"/>
  <c r="R138" i="4" s="1"/>
  <c r="Q146" i="4"/>
  <c r="R146" i="4" s="1"/>
  <c r="Q150" i="4"/>
  <c r="R150" i="4" s="1"/>
  <c r="Q154" i="4"/>
  <c r="R154" i="4" s="1"/>
  <c r="Q158" i="4"/>
  <c r="R158" i="4" s="1"/>
  <c r="Q162" i="4"/>
  <c r="R162" i="4" s="1"/>
  <c r="Q50" i="4"/>
  <c r="R50" i="4" s="1"/>
  <c r="Q117" i="4"/>
  <c r="R117" i="4" s="1"/>
  <c r="Q133" i="4"/>
  <c r="R133" i="4" s="1"/>
  <c r="Q137" i="4"/>
  <c r="R137" i="4" s="1"/>
  <c r="Q145" i="4"/>
  <c r="R145" i="4" s="1"/>
  <c r="Q149" i="4"/>
  <c r="R149" i="4" s="1"/>
  <c r="Q153" i="4"/>
  <c r="R153" i="4" s="1"/>
  <c r="Q161" i="4"/>
  <c r="R161" i="4" s="1"/>
  <c r="Q165" i="4"/>
  <c r="R165" i="4" s="1"/>
  <c r="Q82" i="4"/>
  <c r="R82" i="4" s="1"/>
  <c r="Q90" i="4"/>
  <c r="R90" i="4" s="1"/>
  <c r="Q91" i="4"/>
  <c r="R91" i="4" s="1"/>
  <c r="Q110" i="4"/>
  <c r="R110" i="4" s="1"/>
  <c r="Q132" i="4"/>
  <c r="R132" i="4" s="1"/>
  <c r="Q136" i="4"/>
  <c r="R136" i="4" s="1"/>
  <c r="Q144" i="4"/>
  <c r="R144" i="4" s="1"/>
  <c r="Q148" i="4"/>
  <c r="R148" i="4" s="1"/>
  <c r="Q152" i="4"/>
  <c r="R152" i="4" s="1"/>
  <c r="Q160" i="4"/>
  <c r="R160" i="4" s="1"/>
  <c r="Q171" i="4"/>
  <c r="R171" i="4" s="1"/>
  <c r="Q175" i="4"/>
  <c r="R175" i="4" s="1"/>
  <c r="Q179" i="4"/>
  <c r="R179" i="4" s="1"/>
  <c r="S179" i="4" s="1"/>
  <c r="Q187" i="4"/>
  <c r="R187" i="4" s="1"/>
  <c r="Q191" i="4"/>
  <c r="R191" i="4" s="1"/>
  <c r="Q195" i="4"/>
  <c r="R195" i="4" s="1"/>
  <c r="Q203" i="4"/>
  <c r="R203" i="4" s="1"/>
  <c r="Q207" i="4"/>
  <c r="R207" i="4" s="1"/>
  <c r="Q211" i="4"/>
  <c r="R211" i="4" s="1"/>
  <c r="Q219" i="4"/>
  <c r="R219" i="4" s="1"/>
  <c r="Q105" i="4"/>
  <c r="R105" i="4" s="1"/>
  <c r="Q139" i="4"/>
  <c r="R139" i="4" s="1"/>
  <c r="Q143" i="4"/>
  <c r="R143" i="4" s="1"/>
  <c r="Q147" i="4"/>
  <c r="R147" i="4" s="1"/>
  <c r="Q155" i="4"/>
  <c r="R155" i="4" s="1"/>
  <c r="S155" i="4" s="1"/>
  <c r="Q159" i="4"/>
  <c r="R159" i="4" s="1"/>
  <c r="Q163" i="4"/>
  <c r="R163" i="4" s="1"/>
  <c r="Q174" i="4"/>
  <c r="R174" i="4" s="1"/>
  <c r="Q186" i="4"/>
  <c r="R186" i="4" s="1"/>
  <c r="Q190" i="4"/>
  <c r="R190" i="4" s="1"/>
  <c r="Q194" i="4"/>
  <c r="R194" i="4" s="1"/>
  <c r="Q198" i="4"/>
  <c r="R198" i="4" s="1"/>
  <c r="Q202" i="4"/>
  <c r="R202" i="4" s="1"/>
  <c r="Q206" i="4"/>
  <c r="R206" i="4" s="1"/>
  <c r="Q210" i="4"/>
  <c r="R210" i="4" s="1"/>
  <c r="Q214" i="4"/>
  <c r="R214" i="4" s="1"/>
  <c r="Q218" i="4"/>
  <c r="R218" i="4" s="1"/>
  <c r="Q234" i="4"/>
  <c r="R234" i="4" s="1"/>
  <c r="Q238" i="4"/>
  <c r="R238" i="4" s="1"/>
  <c r="Q242" i="4"/>
  <c r="R242" i="4" s="1"/>
  <c r="Q246" i="4"/>
  <c r="R246" i="4" s="1"/>
  <c r="Q250" i="4"/>
  <c r="R250" i="4" s="1"/>
  <c r="Q254" i="4"/>
  <c r="R254" i="4" s="1"/>
  <c r="Q258" i="4"/>
  <c r="R258" i="4" s="1"/>
  <c r="Q262" i="4"/>
  <c r="R262" i="4" s="1"/>
  <c r="Q266" i="4"/>
  <c r="R266" i="4" s="1"/>
  <c r="Q113" i="4"/>
  <c r="R113" i="4" s="1"/>
  <c r="Q127" i="4"/>
  <c r="R127" i="4" s="1"/>
  <c r="Q164" i="4"/>
  <c r="R164" i="4" s="1"/>
  <c r="Q166" i="4"/>
  <c r="R166" i="4" s="1"/>
  <c r="Q169" i="4"/>
  <c r="R169" i="4" s="1"/>
  <c r="Q177" i="4"/>
  <c r="R177" i="4" s="1"/>
  <c r="Q181" i="4"/>
  <c r="R181" i="4" s="1"/>
  <c r="Q185" i="4"/>
  <c r="R185" i="4" s="1"/>
  <c r="S185" i="4" s="1"/>
  <c r="Q193" i="4"/>
  <c r="R193" i="4" s="1"/>
  <c r="Q197" i="4"/>
  <c r="R197" i="4" s="1"/>
  <c r="Q201" i="4"/>
  <c r="R201" i="4" s="1"/>
  <c r="Q209" i="4"/>
  <c r="R209" i="4" s="1"/>
  <c r="Q121" i="4"/>
  <c r="R121" i="4" s="1"/>
  <c r="Q176" i="4"/>
  <c r="R176" i="4" s="1"/>
  <c r="Q217" i="4"/>
  <c r="R217" i="4" s="1"/>
  <c r="Q232" i="4"/>
  <c r="R232" i="4" s="1"/>
  <c r="Q233" i="4"/>
  <c r="R233" i="4" s="1"/>
  <c r="Q248" i="4"/>
  <c r="R248" i="4" s="1"/>
  <c r="Q168" i="4"/>
  <c r="R168" i="4" s="1"/>
  <c r="Q235" i="4"/>
  <c r="R235" i="4" s="1"/>
  <c r="Q251" i="4"/>
  <c r="R251" i="4" s="1"/>
  <c r="Q267" i="4"/>
  <c r="R267" i="4" s="1"/>
  <c r="Q180" i="4"/>
  <c r="R180" i="4" s="1"/>
  <c r="Q184" i="4"/>
  <c r="R184" i="4" s="1"/>
  <c r="Q192" i="4"/>
  <c r="R192" i="4" s="1"/>
  <c r="Q196" i="4"/>
  <c r="R196" i="4" s="1"/>
  <c r="Q200" i="4"/>
  <c r="R200" i="4" s="1"/>
  <c r="Q208" i="4"/>
  <c r="R208" i="4" s="1"/>
  <c r="Q212" i="4"/>
  <c r="R212" i="4" s="1"/>
  <c r="Q213" i="4"/>
  <c r="R213" i="4" s="1"/>
  <c r="Q223" i="4"/>
  <c r="R223" i="4" s="1"/>
  <c r="Q224" i="4"/>
  <c r="R224" i="4" s="1"/>
  <c r="Q225" i="4"/>
  <c r="R225" i="4" s="1"/>
  <c r="Q239" i="4"/>
  <c r="R239" i="4" s="1"/>
  <c r="Q240" i="4"/>
  <c r="R240" i="4" s="1"/>
  <c r="Q241" i="4"/>
  <c r="R241" i="4" s="1"/>
  <c r="Q255" i="4"/>
  <c r="R255" i="4" s="1"/>
  <c r="Q256" i="4"/>
  <c r="R256" i="4" s="1"/>
  <c r="Q257" i="4"/>
  <c r="R257" i="4" s="1"/>
  <c r="Q243" i="4"/>
  <c r="R243" i="4" s="1"/>
  <c r="Q245" i="4"/>
  <c r="R245" i="4" s="1"/>
  <c r="Q227" i="4"/>
  <c r="R227" i="4" s="1"/>
  <c r="Q229" i="4"/>
  <c r="R229" i="4" s="1"/>
  <c r="Q261" i="4"/>
  <c r="R261" i="4" s="1"/>
  <c r="Q216" i="4"/>
  <c r="R216" i="4" s="1"/>
  <c r="Q244" i="4"/>
  <c r="R244" i="4" s="1"/>
  <c r="Q260" i="4"/>
  <c r="R260" i="4" s="1"/>
  <c r="Q264" i="4"/>
  <c r="R264" i="4" s="1"/>
  <c r="Q265" i="4"/>
  <c r="R265" i="4" s="1"/>
  <c r="S265" i="4" s="1"/>
  <c r="Q228" i="4"/>
  <c r="R228" i="4" s="1"/>
  <c r="Q249" i="4"/>
  <c r="R249" i="4" s="1"/>
  <c r="Q259" i="4"/>
  <c r="R259" i="4" s="1"/>
  <c r="P24" i="4" l="1"/>
  <c r="Q24" i="4"/>
  <c r="Q25" i="4"/>
  <c r="R26" i="4"/>
  <c r="R23" i="4" l="1"/>
  <c r="S26" i="4" s="1"/>
  <c r="R22" i="4"/>
  <c r="S19" i="4"/>
  <c r="S22" i="4"/>
  <c r="S239" i="4" l="1"/>
  <c r="S250" i="4"/>
  <c r="S137" i="4"/>
  <c r="S115" i="4"/>
  <c r="S42" i="4"/>
  <c r="S56" i="4"/>
  <c r="S188" i="4"/>
  <c r="S186" i="4"/>
  <c r="S150" i="4"/>
  <c r="S128" i="4"/>
  <c r="S30" i="4"/>
  <c r="S264" i="4"/>
  <c r="S225" i="4"/>
  <c r="S267" i="4"/>
  <c r="S176" i="4"/>
  <c r="S262" i="4"/>
  <c r="S198" i="4"/>
  <c r="S105" i="4"/>
  <c r="S156" i="4"/>
  <c r="S149" i="4"/>
  <c r="S58" i="4"/>
  <c r="S124" i="4"/>
  <c r="S72" i="4"/>
  <c r="S266" i="4"/>
  <c r="S196" i="4"/>
  <c r="S178" i="4"/>
  <c r="S117" i="4"/>
  <c r="S97" i="4"/>
  <c r="S204" i="4"/>
  <c r="S223" i="4"/>
  <c r="S113" i="4"/>
  <c r="S148" i="4"/>
  <c r="S119" i="4"/>
  <c r="S64" i="4"/>
  <c r="S248" i="4"/>
  <c r="S174" i="4"/>
  <c r="S90" i="4"/>
  <c r="S87" i="4"/>
  <c r="S57" i="4"/>
  <c r="S43" i="4"/>
  <c r="S268" i="4"/>
  <c r="S170" i="4"/>
  <c r="S134" i="4"/>
  <c r="S78" i="4"/>
  <c r="S67" i="4"/>
  <c r="S40" i="4"/>
  <c r="S247" i="4"/>
  <c r="S211" i="4"/>
  <c r="S103" i="4"/>
  <c r="S95" i="4"/>
  <c r="S55" i="4"/>
  <c r="S263" i="4"/>
  <c r="S213" i="4"/>
  <c r="S237" i="4"/>
  <c r="S201" i="4"/>
  <c r="S246" i="4"/>
  <c r="S182" i="4"/>
  <c r="S207" i="4"/>
  <c r="S140" i="4"/>
  <c r="S133" i="4"/>
  <c r="S114" i="4"/>
  <c r="S111" i="4"/>
  <c r="S108" i="4"/>
  <c r="S101" i="4"/>
  <c r="S54" i="4"/>
  <c r="S36" i="4"/>
  <c r="S202" i="4"/>
  <c r="S249" i="4"/>
  <c r="S241" i="4"/>
  <c r="S180" i="4"/>
  <c r="S232" i="4"/>
  <c r="S167" i="4"/>
  <c r="S226" i="4"/>
  <c r="S159" i="4"/>
  <c r="S187" i="4"/>
  <c r="S91" i="4"/>
  <c r="S158" i="4"/>
  <c r="S88" i="4"/>
  <c r="S84" i="4"/>
  <c r="S75" i="4"/>
  <c r="S81" i="4"/>
  <c r="S47" i="4"/>
  <c r="S33" i="4"/>
  <c r="S251" i="4"/>
  <c r="S151" i="4"/>
  <c r="S229" i="4"/>
  <c r="S208" i="4"/>
  <c r="S235" i="4"/>
  <c r="S193" i="4"/>
  <c r="S254" i="4"/>
  <c r="S190" i="4"/>
  <c r="S199" i="4"/>
  <c r="S132" i="4"/>
  <c r="S109" i="4"/>
  <c r="S92" i="4"/>
  <c r="S100" i="4"/>
  <c r="S96" i="4"/>
  <c r="S93" i="4"/>
  <c r="S38" i="4"/>
  <c r="S28" i="4"/>
  <c r="S220" i="4"/>
  <c r="S195" i="4"/>
  <c r="S122" i="4"/>
  <c r="S112" i="4"/>
  <c r="S60" i="4"/>
  <c r="S216" i="4"/>
  <c r="S173" i="4"/>
  <c r="S144" i="4"/>
  <c r="S62" i="4"/>
  <c r="S70" i="4"/>
  <c r="S41" i="4"/>
  <c r="S245" i="4"/>
  <c r="S200" i="4"/>
  <c r="S172" i="4"/>
  <c r="S169" i="4"/>
  <c r="S230" i="4"/>
  <c r="S163" i="4"/>
  <c r="S191" i="4"/>
  <c r="S110" i="4"/>
  <c r="S162" i="4"/>
  <c r="S102" i="4"/>
  <c r="S98" i="4"/>
  <c r="S94" i="4"/>
  <c r="S85" i="4"/>
  <c r="S51" i="4"/>
  <c r="S37" i="4"/>
  <c r="S135" i="4"/>
  <c r="S260" i="4"/>
  <c r="S224" i="4"/>
  <c r="S253" i="4"/>
  <c r="S121" i="4"/>
  <c r="S125" i="4"/>
  <c r="S210" i="4"/>
  <c r="S143" i="4"/>
  <c r="S171" i="4"/>
  <c r="S161" i="4"/>
  <c r="S142" i="4"/>
  <c r="S73" i="4"/>
  <c r="S61" i="4"/>
  <c r="S76" i="4"/>
  <c r="S65" i="4"/>
  <c r="S31" i="4"/>
  <c r="S227" i="4"/>
  <c r="S217" i="4"/>
  <c r="S82" i="4"/>
  <c r="S257" i="4"/>
  <c r="S192" i="4"/>
  <c r="S177" i="4"/>
  <c r="S238" i="4"/>
  <c r="S183" i="4"/>
  <c r="S154" i="4"/>
  <c r="S83" i="4"/>
  <c r="S77" i="4"/>
  <c r="S29" i="4"/>
  <c r="S189" i="4"/>
  <c r="S118" i="4"/>
  <c r="S86" i="4"/>
  <c r="S53" i="4"/>
  <c r="S39" i="4"/>
  <c r="S221" i="4"/>
  <c r="S234" i="4"/>
  <c r="S153" i="4"/>
  <c r="S99" i="4"/>
  <c r="S89" i="4"/>
  <c r="S259" i="4"/>
  <c r="S255" i="4"/>
  <c r="S184" i="4"/>
  <c r="S233" i="4"/>
  <c r="S127" i="4"/>
  <c r="S214" i="4"/>
  <c r="S147" i="4"/>
  <c r="S175" i="4"/>
  <c r="S165" i="4"/>
  <c r="S146" i="4"/>
  <c r="S79" i="4"/>
  <c r="S74" i="4"/>
  <c r="S80" i="4"/>
  <c r="S66" i="4"/>
  <c r="S35" i="4"/>
  <c r="S205" i="4"/>
  <c r="S160" i="4"/>
  <c r="S261" i="4"/>
  <c r="S212" i="4"/>
  <c r="S236" i="4"/>
  <c r="S197" i="4"/>
  <c r="S258" i="4"/>
  <c r="S194" i="4"/>
  <c r="S219" i="4"/>
  <c r="S152" i="4"/>
  <c r="S145" i="4"/>
  <c r="S130" i="4"/>
  <c r="S123" i="4"/>
  <c r="S120" i="4"/>
  <c r="S49" i="4"/>
  <c r="S68" i="4"/>
  <c r="S48" i="4"/>
  <c r="S256" i="4"/>
  <c r="S164" i="4"/>
  <c r="S228" i="4"/>
  <c r="S240" i="4"/>
  <c r="S269" i="4"/>
  <c r="S231" i="4"/>
  <c r="S166" i="4"/>
  <c r="S222" i="4"/>
  <c r="S139" i="4"/>
  <c r="S126" i="4"/>
  <c r="S157" i="4"/>
  <c r="S138" i="4"/>
  <c r="S63" i="4"/>
  <c r="S59" i="4"/>
  <c r="S71" i="4"/>
  <c r="S34" i="4"/>
  <c r="S27" i="4"/>
  <c r="S131" i="4"/>
  <c r="S69" i="4"/>
  <c r="S52" i="4"/>
  <c r="S50" i="4"/>
  <c r="S243" i="4"/>
  <c r="S168" i="4"/>
  <c r="S181" i="4"/>
  <c r="S242" i="4"/>
  <c r="S203" i="4"/>
  <c r="S136" i="4"/>
  <c r="S106" i="4"/>
  <c r="S107" i="4"/>
  <c r="S104" i="4"/>
  <c r="S46" i="4"/>
  <c r="S32" i="4"/>
  <c r="S218" i="4"/>
  <c r="S244" i="4"/>
  <c r="S252" i="4"/>
  <c r="S209" i="4"/>
  <c r="S206" i="4"/>
  <c r="S215" i="4"/>
  <c r="S141" i="4"/>
  <c r="S129" i="4"/>
  <c r="S116" i="4"/>
  <c r="S45" i="4"/>
  <c r="S44" i="4"/>
  <c r="W185" i="4"/>
  <c r="X185" i="4" s="1"/>
  <c r="Z185" i="4" s="1"/>
  <c r="AB185" i="4" s="1"/>
  <c r="W265" i="4"/>
  <c r="X265" i="4" s="1"/>
  <c r="Z265" i="4" s="1"/>
  <c r="AB265" i="4" s="1"/>
  <c r="W179" i="4"/>
  <c r="X179" i="4" s="1"/>
  <c r="Z179" i="4" s="1"/>
  <c r="AB179" i="4" s="1"/>
  <c r="W155" i="4"/>
  <c r="X155" i="4" s="1"/>
  <c r="Z155" i="4" s="1"/>
  <c r="AB155" i="4" s="1"/>
  <c r="W26" i="4"/>
  <c r="W51" i="4" l="1"/>
  <c r="AC185" i="4"/>
  <c r="AC155" i="4"/>
  <c r="AC179" i="4"/>
  <c r="AC265" i="4"/>
  <c r="S23" i="4"/>
  <c r="W104" i="4"/>
  <c r="X104" i="4" s="1"/>
  <c r="Z104" i="4" s="1"/>
  <c r="AB104" i="4" s="1"/>
  <c r="W36" i="4"/>
  <c r="X36" i="4" s="1"/>
  <c r="Z36" i="4" s="1"/>
  <c r="AB36" i="4" s="1"/>
  <c r="W166" i="4"/>
  <c r="X166" i="4" s="1"/>
  <c r="Z166" i="4" s="1"/>
  <c r="AB166" i="4" s="1"/>
  <c r="W125" i="4"/>
  <c r="X125" i="4" s="1"/>
  <c r="Z125" i="4" s="1"/>
  <c r="AB125" i="4" s="1"/>
  <c r="W142" i="4"/>
  <c r="X142" i="4" s="1"/>
  <c r="Z142" i="4" s="1"/>
  <c r="AB142" i="4" s="1"/>
  <c r="W73" i="4"/>
  <c r="X73" i="4" s="1"/>
  <c r="Z73" i="4" s="1"/>
  <c r="AB73" i="4" s="1"/>
  <c r="W129" i="4"/>
  <c r="X129" i="4" s="1"/>
  <c r="Z129" i="4" s="1"/>
  <c r="AB129" i="4" s="1"/>
  <c r="W31" i="4"/>
  <c r="X31" i="4" s="1"/>
  <c r="Z31" i="4" s="1"/>
  <c r="AB31" i="4" s="1"/>
  <c r="W257" i="4"/>
  <c r="X257" i="4" s="1"/>
  <c r="Z257" i="4" s="1"/>
  <c r="AB257" i="4" s="1"/>
  <c r="W181" i="4"/>
  <c r="X181" i="4" s="1"/>
  <c r="Z181" i="4" s="1"/>
  <c r="AB181" i="4" s="1"/>
  <c r="W242" i="4"/>
  <c r="X242" i="4" s="1"/>
  <c r="Z242" i="4" s="1"/>
  <c r="AB242" i="4" s="1"/>
  <c r="W122" i="4"/>
  <c r="X122" i="4" s="1"/>
  <c r="Z122" i="4" s="1"/>
  <c r="AB122" i="4" s="1"/>
  <c r="W46" i="4"/>
  <c r="X46" i="4" s="1"/>
  <c r="Z46" i="4" s="1"/>
  <c r="AB46" i="4" s="1"/>
  <c r="W92" i="4"/>
  <c r="X92" i="4" s="1"/>
  <c r="Z92" i="4" s="1"/>
  <c r="AB92" i="4" s="1"/>
  <c r="W260" i="4"/>
  <c r="X260" i="4" s="1"/>
  <c r="Z260" i="4" s="1"/>
  <c r="AB260" i="4" s="1"/>
  <c r="W261" i="4"/>
  <c r="X261" i="4" s="1"/>
  <c r="Z261" i="4" s="1"/>
  <c r="AB261" i="4" s="1"/>
  <c r="W199" i="4"/>
  <c r="X199" i="4" s="1"/>
  <c r="Z199" i="4" s="1"/>
  <c r="AB199" i="4" s="1"/>
  <c r="W227" i="4"/>
  <c r="X227" i="4" s="1"/>
  <c r="Z227" i="4" s="1"/>
  <c r="AB227" i="4" s="1"/>
  <c r="W174" i="4"/>
  <c r="X174" i="4" s="1"/>
  <c r="Z174" i="4" s="1"/>
  <c r="AB174" i="4" s="1"/>
  <c r="W55" i="4"/>
  <c r="X55" i="4" s="1"/>
  <c r="Z55" i="4" s="1"/>
  <c r="AB55" i="4" s="1"/>
  <c r="W157" i="4"/>
  <c r="X157" i="4" s="1"/>
  <c r="Z157" i="4" s="1"/>
  <c r="AB157" i="4" s="1"/>
  <c r="W252" i="4"/>
  <c r="X252" i="4" s="1"/>
  <c r="Z252" i="4" s="1"/>
  <c r="AB252" i="4" s="1"/>
  <c r="W108" i="4"/>
  <c r="X108" i="4" s="1"/>
  <c r="Z108" i="4" s="1"/>
  <c r="AB108" i="4" s="1"/>
  <c r="W75" i="4"/>
  <c r="X75" i="4" s="1"/>
  <c r="Z75" i="4" s="1"/>
  <c r="AB75" i="4" s="1"/>
  <c r="W190" i="4"/>
  <c r="X190" i="4" s="1"/>
  <c r="Z190" i="4" s="1"/>
  <c r="AB190" i="4" s="1"/>
  <c r="W53" i="4"/>
  <c r="X53" i="4" s="1"/>
  <c r="Z53" i="4" s="1"/>
  <c r="AB53" i="4" s="1"/>
  <c r="W268" i="4"/>
  <c r="X268" i="4" s="1"/>
  <c r="Z268" i="4" s="1"/>
  <c r="AB268" i="4" s="1"/>
  <c r="W136" i="4"/>
  <c r="X136" i="4" s="1"/>
  <c r="Z136" i="4" s="1"/>
  <c r="AB136" i="4" s="1"/>
  <c r="W192" i="4"/>
  <c r="X192" i="4" s="1"/>
  <c r="Z192" i="4" s="1"/>
  <c r="AB192" i="4" s="1"/>
  <c r="W111" i="4"/>
  <c r="X111" i="4" s="1"/>
  <c r="Z111" i="4" s="1"/>
  <c r="AB111" i="4" s="1"/>
  <c r="W187" i="4"/>
  <c r="X187" i="4" s="1"/>
  <c r="Z187" i="4" s="1"/>
  <c r="AB187" i="4" s="1"/>
  <c r="W72" i="4"/>
  <c r="X72" i="4" s="1"/>
  <c r="Z72" i="4" s="1"/>
  <c r="AB72" i="4" s="1"/>
  <c r="W127" i="4"/>
  <c r="X127" i="4" s="1"/>
  <c r="Z127" i="4" s="1"/>
  <c r="AB127" i="4" s="1"/>
  <c r="W215" i="4"/>
  <c r="X215" i="4" s="1"/>
  <c r="Z215" i="4" s="1"/>
  <c r="AB215" i="4" s="1"/>
  <c r="W77" i="4"/>
  <c r="X77" i="4" s="1"/>
  <c r="Z77" i="4" s="1"/>
  <c r="AB77" i="4" s="1"/>
  <c r="W144" i="4"/>
  <c r="X144" i="4" s="1"/>
  <c r="Z144" i="4" s="1"/>
  <c r="AB144" i="4" s="1"/>
  <c r="W235" i="4"/>
  <c r="X235" i="4" s="1"/>
  <c r="Z235" i="4" s="1"/>
  <c r="AB235" i="4" s="1"/>
  <c r="W151" i="4"/>
  <c r="X151" i="4" s="1"/>
  <c r="Z151" i="4" s="1"/>
  <c r="AB151" i="4" s="1"/>
  <c r="W63" i="4"/>
  <c r="X63" i="4" s="1"/>
  <c r="Z63" i="4" s="1"/>
  <c r="AB63" i="4" s="1"/>
  <c r="W184" i="4"/>
  <c r="X184" i="4" s="1"/>
  <c r="Z184" i="4" s="1"/>
  <c r="AB184" i="4" s="1"/>
  <c r="W68" i="4"/>
  <c r="X68" i="4" s="1"/>
  <c r="Z68" i="4" s="1"/>
  <c r="AB68" i="4" s="1"/>
  <c r="W69" i="4"/>
  <c r="X69" i="4" s="1"/>
  <c r="Z69" i="4" s="1"/>
  <c r="AB69" i="4" s="1"/>
  <c r="W35" i="4"/>
  <c r="X35" i="4" s="1"/>
  <c r="Z35" i="4" s="1"/>
  <c r="AB35" i="4" s="1"/>
  <c r="W34" i="4"/>
  <c r="X34" i="4" s="1"/>
  <c r="Z34" i="4" s="1"/>
  <c r="AB34" i="4" s="1"/>
  <c r="W197" i="4"/>
  <c r="X197" i="4" s="1"/>
  <c r="Z197" i="4" s="1"/>
  <c r="AB197" i="4" s="1"/>
  <c r="W43" i="4"/>
  <c r="X43" i="4" s="1"/>
  <c r="Z43" i="4" s="1"/>
  <c r="AB43" i="4" s="1"/>
  <c r="W204" i="4"/>
  <c r="X204" i="4" s="1"/>
  <c r="Z204" i="4" s="1"/>
  <c r="AB204" i="4" s="1"/>
  <c r="W44" i="4"/>
  <c r="X44" i="4" s="1"/>
  <c r="Z44" i="4" s="1"/>
  <c r="AB44" i="4" s="1"/>
  <c r="W263" i="4"/>
  <c r="X263" i="4" s="1"/>
  <c r="Z263" i="4" s="1"/>
  <c r="AB263" i="4" s="1"/>
  <c r="W57" i="4"/>
  <c r="X57" i="4" s="1"/>
  <c r="Z57" i="4" s="1"/>
  <c r="AB57" i="4" s="1"/>
  <c r="W40" i="4"/>
  <c r="X40" i="4" s="1"/>
  <c r="Z40" i="4" s="1"/>
  <c r="AB40" i="4" s="1"/>
  <c r="W76" i="4"/>
  <c r="X76" i="4" s="1"/>
  <c r="Z76" i="4" s="1"/>
  <c r="AB76" i="4" s="1"/>
  <c r="W201" i="4"/>
  <c r="X201" i="4" s="1"/>
  <c r="Z201" i="4" s="1"/>
  <c r="AB201" i="4" s="1"/>
  <c r="W110" i="4"/>
  <c r="X110" i="4" s="1"/>
  <c r="Z110" i="4" s="1"/>
  <c r="AB110" i="4" s="1"/>
  <c r="W255" i="4"/>
  <c r="X255" i="4" s="1"/>
  <c r="Z255" i="4" s="1"/>
  <c r="AB255" i="4" s="1"/>
  <c r="W238" i="4"/>
  <c r="X238" i="4" s="1"/>
  <c r="Z238" i="4" s="1"/>
  <c r="AB238" i="4" s="1"/>
  <c r="W246" i="4"/>
  <c r="X246" i="4" s="1"/>
  <c r="Z246" i="4" s="1"/>
  <c r="AB246" i="4" s="1"/>
  <c r="W219" i="4"/>
  <c r="X219" i="4" s="1"/>
  <c r="Z219" i="4" s="1"/>
  <c r="AB219" i="4" s="1"/>
  <c r="W106" i="4"/>
  <c r="X106" i="4" s="1"/>
  <c r="Z106" i="4" s="1"/>
  <c r="AB106" i="4" s="1"/>
  <c r="W216" i="4"/>
  <c r="X216" i="4" s="1"/>
  <c r="Z216" i="4" s="1"/>
  <c r="AB216" i="4" s="1"/>
  <c r="W205" i="4"/>
  <c r="X205" i="4" s="1"/>
  <c r="Z205" i="4" s="1"/>
  <c r="AB205" i="4" s="1"/>
  <c r="W218" i="4"/>
  <c r="X218" i="4" s="1"/>
  <c r="Z218" i="4" s="1"/>
  <c r="AB218" i="4" s="1"/>
  <c r="W158" i="4"/>
  <c r="X158" i="4" s="1"/>
  <c r="Z158" i="4" s="1"/>
  <c r="AB158" i="4" s="1"/>
  <c r="W117" i="4"/>
  <c r="X117" i="4" s="1"/>
  <c r="Z117" i="4" s="1"/>
  <c r="AB117" i="4" s="1"/>
  <c r="W160" i="4"/>
  <c r="X160" i="4" s="1"/>
  <c r="Z160" i="4" s="1"/>
  <c r="AB160" i="4" s="1"/>
  <c r="W269" i="4"/>
  <c r="X269" i="4" s="1"/>
  <c r="Z269" i="4" s="1"/>
  <c r="AB269" i="4" s="1"/>
  <c r="W140" i="4"/>
  <c r="X140" i="4" s="1"/>
  <c r="Z140" i="4" s="1"/>
  <c r="AB140" i="4" s="1"/>
  <c r="W113" i="4"/>
  <c r="X113" i="4" s="1"/>
  <c r="Z113" i="4" s="1"/>
  <c r="AB113" i="4" s="1"/>
  <c r="W154" i="4"/>
  <c r="X154" i="4" s="1"/>
  <c r="Z154" i="4" s="1"/>
  <c r="AB154" i="4" s="1"/>
  <c r="W251" i="4"/>
  <c r="X251" i="4" s="1"/>
  <c r="Z251" i="4" s="1"/>
  <c r="AB251" i="4" s="1"/>
  <c r="W223" i="4"/>
  <c r="X223" i="4" s="1"/>
  <c r="Z223" i="4" s="1"/>
  <c r="AB223" i="4" s="1"/>
  <c r="W126" i="4"/>
  <c r="X126" i="4" s="1"/>
  <c r="Z126" i="4" s="1"/>
  <c r="AB126" i="4" s="1"/>
  <c r="W237" i="4"/>
  <c r="X237" i="4" s="1"/>
  <c r="Z237" i="4" s="1"/>
  <c r="AB237" i="4" s="1"/>
  <c r="W99" i="4"/>
  <c r="X99" i="4" s="1"/>
  <c r="Z99" i="4" s="1"/>
  <c r="AB99" i="4" s="1"/>
  <c r="W233" i="4"/>
  <c r="X233" i="4" s="1"/>
  <c r="Z233" i="4" s="1"/>
  <c r="AB233" i="4" s="1"/>
  <c r="W109" i="4"/>
  <c r="X109" i="4" s="1"/>
  <c r="Z109" i="4" s="1"/>
  <c r="AB109" i="4" s="1"/>
  <c r="W49" i="4"/>
  <c r="X49" i="4" s="1"/>
  <c r="Z49" i="4" s="1"/>
  <c r="AB49" i="4" s="1"/>
  <c r="X51" i="4"/>
  <c r="Z51" i="4" s="1"/>
  <c r="AB51" i="4" s="1"/>
  <c r="W234" i="4"/>
  <c r="X234" i="4" s="1"/>
  <c r="Z234" i="4" s="1"/>
  <c r="AB234" i="4" s="1"/>
  <c r="X26" i="4"/>
  <c r="W212" i="4"/>
  <c r="X212" i="4" s="1"/>
  <c r="Z212" i="4" s="1"/>
  <c r="AB212" i="4" s="1"/>
  <c r="W224" i="4"/>
  <c r="X224" i="4" s="1"/>
  <c r="Z224" i="4" s="1"/>
  <c r="AB224" i="4" s="1"/>
  <c r="W200" i="4"/>
  <c r="X200" i="4" s="1"/>
  <c r="Z200" i="4" s="1"/>
  <c r="AB200" i="4" s="1"/>
  <c r="W171" i="4"/>
  <c r="X171" i="4" s="1"/>
  <c r="Z171" i="4" s="1"/>
  <c r="AB171" i="4" s="1"/>
  <c r="W135" i="4"/>
  <c r="X135" i="4" s="1"/>
  <c r="Z135" i="4" s="1"/>
  <c r="AB135" i="4" s="1"/>
  <c r="W145" i="4"/>
  <c r="X145" i="4" s="1"/>
  <c r="Z145" i="4" s="1"/>
  <c r="AB145" i="4" s="1"/>
  <c r="W97" i="4"/>
  <c r="X97" i="4" s="1"/>
  <c r="Z97" i="4" s="1"/>
  <c r="AB97" i="4" s="1"/>
  <c r="W64" i="4"/>
  <c r="X64" i="4" s="1"/>
  <c r="Z64" i="4" s="1"/>
  <c r="AB64" i="4" s="1"/>
  <c r="W162" i="4"/>
  <c r="X162" i="4" s="1"/>
  <c r="Z162" i="4" s="1"/>
  <c r="AB162" i="4" s="1"/>
  <c r="W146" i="4"/>
  <c r="X146" i="4" s="1"/>
  <c r="Z146" i="4" s="1"/>
  <c r="AB146" i="4" s="1"/>
  <c r="W213" i="4"/>
  <c r="X213" i="4" s="1"/>
  <c r="Z213" i="4" s="1"/>
  <c r="AB213" i="4" s="1"/>
  <c r="W81" i="4"/>
  <c r="X81" i="4" s="1"/>
  <c r="Z81" i="4" s="1"/>
  <c r="AB81" i="4" s="1"/>
  <c r="W148" i="4"/>
  <c r="X148" i="4" s="1"/>
  <c r="Z148" i="4" s="1"/>
  <c r="AB148" i="4" s="1"/>
  <c r="W164" i="4"/>
  <c r="X164" i="4" s="1"/>
  <c r="Z164" i="4" s="1"/>
  <c r="AB164" i="4" s="1"/>
  <c r="W256" i="4"/>
  <c r="X256" i="4" s="1"/>
  <c r="Z256" i="4" s="1"/>
  <c r="AB256" i="4" s="1"/>
  <c r="W266" i="4"/>
  <c r="X266" i="4" s="1"/>
  <c r="Z266" i="4" s="1"/>
  <c r="AB266" i="4" s="1"/>
  <c r="W211" i="4"/>
  <c r="X211" i="4" s="1"/>
  <c r="Z211" i="4" s="1"/>
  <c r="AB211" i="4" s="1"/>
  <c r="W248" i="4"/>
  <c r="X248" i="4" s="1"/>
  <c r="Z248" i="4" s="1"/>
  <c r="AB248" i="4" s="1"/>
  <c r="W96" i="4"/>
  <c r="X96" i="4" s="1"/>
  <c r="Z96" i="4" s="1"/>
  <c r="AB96" i="4" s="1"/>
  <c r="W65" i="4"/>
  <c r="X65" i="4" s="1"/>
  <c r="Z65" i="4" s="1"/>
  <c r="AB65" i="4" s="1"/>
  <c r="W95" i="4"/>
  <c r="X95" i="4" s="1"/>
  <c r="Z95" i="4" s="1"/>
  <c r="AB95" i="4" s="1"/>
  <c r="W178" i="4"/>
  <c r="X178" i="4" s="1"/>
  <c r="Z178" i="4" s="1"/>
  <c r="AB178" i="4" s="1"/>
  <c r="W245" i="4"/>
  <c r="X245" i="4" s="1"/>
  <c r="Z245" i="4" s="1"/>
  <c r="AB245" i="4" s="1"/>
  <c r="W58" i="4"/>
  <c r="X58" i="4" s="1"/>
  <c r="Z58" i="4" s="1"/>
  <c r="AB58" i="4" s="1"/>
  <c r="W226" i="4"/>
  <c r="X226" i="4" s="1"/>
  <c r="Z226" i="4" s="1"/>
  <c r="AB226" i="4" s="1"/>
  <c r="W141" i="4"/>
  <c r="X141" i="4" s="1"/>
  <c r="Z141" i="4" s="1"/>
  <c r="AB141" i="4" s="1"/>
  <c r="W118" i="4"/>
  <c r="X118" i="4" s="1"/>
  <c r="Z118" i="4" s="1"/>
  <c r="AB118" i="4" s="1"/>
  <c r="W45" i="4"/>
  <c r="X45" i="4" s="1"/>
  <c r="Z45" i="4" s="1"/>
  <c r="AB45" i="4" s="1"/>
  <c r="W217" i="4"/>
  <c r="X217" i="4" s="1"/>
  <c r="Z217" i="4" s="1"/>
  <c r="AB217" i="4" s="1"/>
  <c r="W103" i="4"/>
  <c r="X103" i="4" s="1"/>
  <c r="Z103" i="4" s="1"/>
  <c r="AB103" i="4" s="1"/>
  <c r="W169" i="4"/>
  <c r="X169" i="4" s="1"/>
  <c r="Z169" i="4" s="1"/>
  <c r="AB169" i="4" s="1"/>
  <c r="W225" i="4"/>
  <c r="X225" i="4" s="1"/>
  <c r="Z225" i="4" s="1"/>
  <c r="AB225" i="4" s="1"/>
  <c r="W114" i="4"/>
  <c r="X114" i="4" s="1"/>
  <c r="Z114" i="4" s="1"/>
  <c r="AB114" i="4" s="1"/>
  <c r="W131" i="4"/>
  <c r="X131" i="4" s="1"/>
  <c r="Z131" i="4" s="1"/>
  <c r="AB131" i="4" s="1"/>
  <c r="W195" i="4"/>
  <c r="X195" i="4" s="1"/>
  <c r="Z195" i="4" s="1"/>
  <c r="AB195" i="4" s="1"/>
  <c r="W180" i="4"/>
  <c r="X180" i="4" s="1"/>
  <c r="Z180" i="4" s="1"/>
  <c r="AB180" i="4" s="1"/>
  <c r="W128" i="4"/>
  <c r="X128" i="4" s="1"/>
  <c r="Z128" i="4" s="1"/>
  <c r="AB128" i="4" s="1"/>
  <c r="W85" i="4"/>
  <c r="X85" i="4" s="1"/>
  <c r="Z85" i="4" s="1"/>
  <c r="AB85" i="4" s="1"/>
  <c r="W52" i="4"/>
  <c r="X52" i="4" s="1"/>
  <c r="Z52" i="4" s="1"/>
  <c r="AB52" i="4" s="1"/>
  <c r="W229" i="4"/>
  <c r="X229" i="4" s="1"/>
  <c r="Z229" i="4" s="1"/>
  <c r="AB229" i="4" s="1"/>
  <c r="W86" i="4"/>
  <c r="X86" i="4" s="1"/>
  <c r="Z86" i="4" s="1"/>
  <c r="AB86" i="4" s="1"/>
  <c r="W202" i="4"/>
  <c r="X202" i="4" s="1"/>
  <c r="Z202" i="4" s="1"/>
  <c r="AB202" i="4" s="1"/>
  <c r="W56" i="4"/>
  <c r="X56" i="4" s="1"/>
  <c r="Z56" i="4" s="1"/>
  <c r="AB56" i="4" s="1"/>
  <c r="W32" i="4"/>
  <c r="X32" i="4" s="1"/>
  <c r="Z32" i="4" s="1"/>
  <c r="AB32" i="4" s="1"/>
  <c r="W82" i="4"/>
  <c r="X82" i="4" s="1"/>
  <c r="Z82" i="4" s="1"/>
  <c r="AB82" i="4" s="1"/>
  <c r="W243" i="4"/>
  <c r="X243" i="4" s="1"/>
  <c r="Z243" i="4" s="1"/>
  <c r="AB243" i="4" s="1"/>
  <c r="W193" i="4"/>
  <c r="X193" i="4" s="1"/>
  <c r="Z193" i="4" s="1"/>
  <c r="AB193" i="4" s="1"/>
  <c r="W198" i="4"/>
  <c r="X198" i="4" s="1"/>
  <c r="Z198" i="4" s="1"/>
  <c r="AB198" i="4" s="1"/>
  <c r="W121" i="4"/>
  <c r="X121" i="4" s="1"/>
  <c r="Z121" i="4" s="1"/>
  <c r="AB121" i="4" s="1"/>
  <c r="W175" i="4"/>
  <c r="X175" i="4" s="1"/>
  <c r="Z175" i="4" s="1"/>
  <c r="AB175" i="4" s="1"/>
  <c r="W71" i="4"/>
  <c r="X71" i="4" s="1"/>
  <c r="Z71" i="4" s="1"/>
  <c r="AB71" i="4" s="1"/>
  <c r="W70" i="4"/>
  <c r="X70" i="4" s="1"/>
  <c r="Z70" i="4" s="1"/>
  <c r="AB70" i="4" s="1"/>
  <c r="W150" i="4"/>
  <c r="X150" i="4" s="1"/>
  <c r="Z150" i="4" s="1"/>
  <c r="AB150" i="4" s="1"/>
  <c r="W254" i="4"/>
  <c r="X254" i="4" s="1"/>
  <c r="Z254" i="4" s="1"/>
  <c r="AB254" i="4" s="1"/>
  <c r="W214" i="4"/>
  <c r="X214" i="4" s="1"/>
  <c r="Z214" i="4" s="1"/>
  <c r="AB214" i="4" s="1"/>
  <c r="W112" i="4"/>
  <c r="X112" i="4" s="1"/>
  <c r="Z112" i="4" s="1"/>
  <c r="AB112" i="4" s="1"/>
  <c r="W250" i="4"/>
  <c r="X250" i="4" s="1"/>
  <c r="Z250" i="4" s="1"/>
  <c r="AB250" i="4" s="1"/>
  <c r="W194" i="4"/>
  <c r="X194" i="4" s="1"/>
  <c r="Z194" i="4" s="1"/>
  <c r="AB194" i="4" s="1"/>
  <c r="W30" i="4"/>
  <c r="X30" i="4" s="1"/>
  <c r="Z30" i="4" s="1"/>
  <c r="AB30" i="4" s="1"/>
  <c r="W183" i="4"/>
  <c r="X183" i="4" s="1"/>
  <c r="Z183" i="4" s="1"/>
  <c r="AB183" i="4" s="1"/>
  <c r="W153" i="4"/>
  <c r="X153" i="4" s="1"/>
  <c r="Z153" i="4" s="1"/>
  <c r="AB153" i="4" s="1"/>
  <c r="W170" i="4"/>
  <c r="X170" i="4" s="1"/>
  <c r="Z170" i="4" s="1"/>
  <c r="AB170" i="4" s="1"/>
  <c r="W54" i="4"/>
  <c r="X54" i="4" s="1"/>
  <c r="Z54" i="4" s="1"/>
  <c r="AB54" i="4" s="1"/>
  <c r="W232" i="4"/>
  <c r="X232" i="4" s="1"/>
  <c r="Z232" i="4" s="1"/>
  <c r="AB232" i="4" s="1"/>
  <c r="W120" i="4"/>
  <c r="X120" i="4" s="1"/>
  <c r="Z120" i="4" s="1"/>
  <c r="AB120" i="4" s="1"/>
  <c r="W143" i="4"/>
  <c r="X143" i="4" s="1"/>
  <c r="Z143" i="4" s="1"/>
  <c r="AB143" i="4" s="1"/>
  <c r="W124" i="4"/>
  <c r="X124" i="4" s="1"/>
  <c r="Z124" i="4" s="1"/>
  <c r="AB124" i="4" s="1"/>
  <c r="W105" i="4"/>
  <c r="X105" i="4" s="1"/>
  <c r="Z105" i="4" s="1"/>
  <c r="AB105" i="4" s="1"/>
  <c r="W209" i="4"/>
  <c r="X209" i="4" s="1"/>
  <c r="Z209" i="4" s="1"/>
  <c r="AB209" i="4" s="1"/>
  <c r="W167" i="4"/>
  <c r="X167" i="4" s="1"/>
  <c r="Z167" i="4" s="1"/>
  <c r="AB167" i="4" s="1"/>
  <c r="W249" i="4"/>
  <c r="X249" i="4" s="1"/>
  <c r="Z249" i="4" s="1"/>
  <c r="AB249" i="4" s="1"/>
  <c r="W91" i="4"/>
  <c r="X91" i="4" s="1"/>
  <c r="Z91" i="4" s="1"/>
  <c r="AB91" i="4" s="1"/>
  <c r="W173" i="4"/>
  <c r="X173" i="4" s="1"/>
  <c r="Z173" i="4" s="1"/>
  <c r="AB173" i="4" s="1"/>
  <c r="W133" i="4"/>
  <c r="X133" i="4" s="1"/>
  <c r="Z133" i="4" s="1"/>
  <c r="AB133" i="4" s="1"/>
  <c r="W247" i="4"/>
  <c r="X247" i="4" s="1"/>
  <c r="Z247" i="4" s="1"/>
  <c r="AB247" i="4" s="1"/>
  <c r="W138" i="4"/>
  <c r="X138" i="4" s="1"/>
  <c r="Z138" i="4" s="1"/>
  <c r="AB138" i="4" s="1"/>
  <c r="W90" i="4"/>
  <c r="X90" i="4" s="1"/>
  <c r="Z90" i="4" s="1"/>
  <c r="AB90" i="4" s="1"/>
  <c r="W59" i="4"/>
  <c r="X59" i="4" s="1"/>
  <c r="Z59" i="4" s="1"/>
  <c r="AB59" i="4" s="1"/>
  <c r="W47" i="4"/>
  <c r="X47" i="4" s="1"/>
  <c r="Z47" i="4" s="1"/>
  <c r="AB47" i="4" s="1"/>
  <c r="W29" i="4"/>
  <c r="X29" i="4" s="1"/>
  <c r="Z29" i="4" s="1"/>
  <c r="AB29" i="4" s="1"/>
  <c r="W244" i="4"/>
  <c r="X244" i="4" s="1"/>
  <c r="Z244" i="4" s="1"/>
  <c r="AB244" i="4" s="1"/>
  <c r="W236" i="4"/>
  <c r="X236" i="4" s="1"/>
  <c r="Z236" i="4" s="1"/>
  <c r="AB236" i="4" s="1"/>
  <c r="W41" i="4"/>
  <c r="X41" i="4" s="1"/>
  <c r="Z41" i="4" s="1"/>
  <c r="AB41" i="4" s="1"/>
  <c r="W139" i="4"/>
  <c r="X139" i="4" s="1"/>
  <c r="Z139" i="4" s="1"/>
  <c r="AB139" i="4" s="1"/>
  <c r="W203" i="4"/>
  <c r="X203" i="4" s="1"/>
  <c r="Z203" i="4" s="1"/>
  <c r="AB203" i="4" s="1"/>
  <c r="W134" i="4"/>
  <c r="X134" i="4" s="1"/>
  <c r="Z134" i="4" s="1"/>
  <c r="AB134" i="4" s="1"/>
  <c r="W208" i="4"/>
  <c r="X208" i="4" s="1"/>
  <c r="Z208" i="4" s="1"/>
  <c r="AB208" i="4" s="1"/>
  <c r="W241" i="4"/>
  <c r="X241" i="4" s="1"/>
  <c r="Z241" i="4" s="1"/>
  <c r="AB241" i="4" s="1"/>
  <c r="W240" i="4"/>
  <c r="X240" i="4" s="1"/>
  <c r="Z240" i="4" s="1"/>
  <c r="AB240" i="4" s="1"/>
  <c r="W228" i="4"/>
  <c r="X228" i="4" s="1"/>
  <c r="Z228" i="4" s="1"/>
  <c r="AB228" i="4" s="1"/>
  <c r="W182" i="4"/>
  <c r="X182" i="4" s="1"/>
  <c r="Z182" i="4" s="1"/>
  <c r="AB182" i="4" s="1"/>
  <c r="W123" i="4"/>
  <c r="X123" i="4" s="1"/>
  <c r="Z123" i="4" s="1"/>
  <c r="AB123" i="4" s="1"/>
  <c r="W101" i="4"/>
  <c r="X101" i="4" s="1"/>
  <c r="Z101" i="4" s="1"/>
  <c r="AB101" i="4" s="1"/>
  <c r="W87" i="4"/>
  <c r="X87" i="4" s="1"/>
  <c r="Z87" i="4" s="1"/>
  <c r="AB87" i="4" s="1"/>
  <c r="W163" i="4"/>
  <c r="X163" i="4" s="1"/>
  <c r="Z163" i="4" s="1"/>
  <c r="AB163" i="4" s="1"/>
  <c r="W78" i="4"/>
  <c r="X78" i="4" s="1"/>
  <c r="Z78" i="4" s="1"/>
  <c r="AB78" i="4" s="1"/>
  <c r="W196" i="4"/>
  <c r="X196" i="4" s="1"/>
  <c r="Z196" i="4" s="1"/>
  <c r="AB196" i="4" s="1"/>
  <c r="W130" i="4"/>
  <c r="X130" i="4" s="1"/>
  <c r="Z130" i="4" s="1"/>
  <c r="AB130" i="4" s="1"/>
  <c r="W206" i="4"/>
  <c r="X206" i="4" s="1"/>
  <c r="Z206" i="4" s="1"/>
  <c r="AB206" i="4" s="1"/>
  <c r="W60" i="4"/>
  <c r="X60" i="4" s="1"/>
  <c r="Z60" i="4" s="1"/>
  <c r="AB60" i="4" s="1"/>
  <c r="W39" i="4"/>
  <c r="X39" i="4" s="1"/>
  <c r="Z39" i="4" s="1"/>
  <c r="AB39" i="4" s="1"/>
  <c r="W66" i="4"/>
  <c r="X66" i="4" s="1"/>
  <c r="Z66" i="4" s="1"/>
  <c r="AB66" i="4" s="1"/>
  <c r="W61" i="4"/>
  <c r="X61" i="4" s="1"/>
  <c r="Z61" i="4" s="1"/>
  <c r="AB61" i="4" s="1"/>
  <c r="W94" i="4"/>
  <c r="X94" i="4" s="1"/>
  <c r="Z94" i="4" s="1"/>
  <c r="AB94" i="4" s="1"/>
  <c r="W37" i="4"/>
  <c r="X37" i="4" s="1"/>
  <c r="Z37" i="4" s="1"/>
  <c r="AB37" i="4" s="1"/>
  <c r="W89" i="4"/>
  <c r="X89" i="4" s="1"/>
  <c r="Z89" i="4" s="1"/>
  <c r="AB89" i="4" s="1"/>
  <c r="W165" i="4"/>
  <c r="X165" i="4" s="1"/>
  <c r="Z165" i="4" s="1"/>
  <c r="AB165" i="4" s="1"/>
  <c r="W264" i="4"/>
  <c r="X264" i="4" s="1"/>
  <c r="Z264" i="4" s="1"/>
  <c r="AB264" i="4" s="1"/>
  <c r="W210" i="4"/>
  <c r="X210" i="4" s="1"/>
  <c r="Z210" i="4" s="1"/>
  <c r="AB210" i="4" s="1"/>
  <c r="W191" i="4"/>
  <c r="X191" i="4" s="1"/>
  <c r="Z191" i="4" s="1"/>
  <c r="AB191" i="4" s="1"/>
  <c r="W74" i="4"/>
  <c r="X74" i="4" s="1"/>
  <c r="Z74" i="4" s="1"/>
  <c r="AB74" i="4" s="1"/>
  <c r="W42" i="4"/>
  <c r="X42" i="4" s="1"/>
  <c r="Z42" i="4" s="1"/>
  <c r="AB42" i="4" s="1"/>
  <c r="W83" i="4"/>
  <c r="X83" i="4" s="1"/>
  <c r="Z83" i="4" s="1"/>
  <c r="AB83" i="4" s="1"/>
  <c r="W220" i="4"/>
  <c r="X220" i="4" s="1"/>
  <c r="Z220" i="4" s="1"/>
  <c r="AB220" i="4" s="1"/>
  <c r="W84" i="4"/>
  <c r="X84" i="4" s="1"/>
  <c r="Z84" i="4" s="1"/>
  <c r="AB84" i="4" s="1"/>
  <c r="W149" i="4"/>
  <c r="X149" i="4" s="1"/>
  <c r="Z149" i="4" s="1"/>
  <c r="AB149" i="4" s="1"/>
  <c r="W147" i="4"/>
  <c r="X147" i="4" s="1"/>
  <c r="Z147" i="4" s="1"/>
  <c r="AB147" i="4" s="1"/>
  <c r="W207" i="4"/>
  <c r="X207" i="4" s="1"/>
  <c r="Z207" i="4" s="1"/>
  <c r="AB207" i="4" s="1"/>
  <c r="W98" i="4"/>
  <c r="X98" i="4" s="1"/>
  <c r="Z98" i="4" s="1"/>
  <c r="AB98" i="4" s="1"/>
  <c r="W137" i="4"/>
  <c r="X137" i="4" s="1"/>
  <c r="Z137" i="4" s="1"/>
  <c r="AB137" i="4" s="1"/>
  <c r="W116" i="4"/>
  <c r="X116" i="4" s="1"/>
  <c r="Z116" i="4" s="1"/>
  <c r="AB116" i="4" s="1"/>
  <c r="W177" i="4"/>
  <c r="X177" i="4" s="1"/>
  <c r="Z177" i="4" s="1"/>
  <c r="AB177" i="4" s="1"/>
  <c r="W62" i="4"/>
  <c r="X62" i="4" s="1"/>
  <c r="Z62" i="4" s="1"/>
  <c r="AB62" i="4" s="1"/>
  <c r="W33" i="4"/>
  <c r="X33" i="4" s="1"/>
  <c r="Z33" i="4" s="1"/>
  <c r="AB33" i="4" s="1"/>
  <c r="W80" i="4"/>
  <c r="X80" i="4" s="1"/>
  <c r="Z80" i="4" s="1"/>
  <c r="AB80" i="4" s="1"/>
  <c r="W152" i="4"/>
  <c r="X152" i="4" s="1"/>
  <c r="Z152" i="4" s="1"/>
  <c r="AB152" i="4" s="1"/>
  <c r="W230" i="4"/>
  <c r="X230" i="4" s="1"/>
  <c r="Z230" i="4" s="1"/>
  <c r="AB230" i="4" s="1"/>
  <c r="W93" i="4"/>
  <c r="X93" i="4" s="1"/>
  <c r="Z93" i="4" s="1"/>
  <c r="AB93" i="4" s="1"/>
  <c r="W79" i="4"/>
  <c r="X79" i="4" s="1"/>
  <c r="Z79" i="4" s="1"/>
  <c r="AB79" i="4" s="1"/>
  <c r="W132" i="4"/>
  <c r="X132" i="4" s="1"/>
  <c r="Z132" i="4" s="1"/>
  <c r="AB132" i="4" s="1"/>
  <c r="W28" i="4"/>
  <c r="X28" i="4" s="1"/>
  <c r="Z28" i="4" s="1"/>
  <c r="AB28" i="4" s="1"/>
  <c r="W119" i="4"/>
  <c r="X119" i="4" s="1"/>
  <c r="Z119" i="4" s="1"/>
  <c r="AB119" i="4" s="1"/>
  <c r="W156" i="4"/>
  <c r="X156" i="4" s="1"/>
  <c r="Z156" i="4" s="1"/>
  <c r="AB156" i="4" s="1"/>
  <c r="W253" i="4"/>
  <c r="X253" i="4" s="1"/>
  <c r="Z253" i="4" s="1"/>
  <c r="AB253" i="4" s="1"/>
  <c r="W38" i="4"/>
  <c r="X38" i="4" s="1"/>
  <c r="Z38" i="4" s="1"/>
  <c r="AB38" i="4" s="1"/>
  <c r="W176" i="4"/>
  <c r="X176" i="4" s="1"/>
  <c r="Z176" i="4" s="1"/>
  <c r="AB176" i="4" s="1"/>
  <c r="W222" i="4"/>
  <c r="X222" i="4" s="1"/>
  <c r="Z222" i="4" s="1"/>
  <c r="AB222" i="4" s="1"/>
  <c r="W221" i="4"/>
  <c r="X221" i="4" s="1"/>
  <c r="Z221" i="4" s="1"/>
  <c r="AB221" i="4" s="1"/>
  <c r="W88" i="4"/>
  <c r="X88" i="4" s="1"/>
  <c r="Z88" i="4" s="1"/>
  <c r="AB88" i="4" s="1"/>
  <c r="W172" i="4"/>
  <c r="X172" i="4" s="1"/>
  <c r="Z172" i="4" s="1"/>
  <c r="AB172" i="4" s="1"/>
  <c r="W50" i="4"/>
  <c r="X50" i="4" s="1"/>
  <c r="Z50" i="4" s="1"/>
  <c r="AB50" i="4" s="1"/>
  <c r="W189" i="4"/>
  <c r="X189" i="4" s="1"/>
  <c r="Z189" i="4" s="1"/>
  <c r="AB189" i="4" s="1"/>
  <c r="W259" i="4"/>
  <c r="X259" i="4" s="1"/>
  <c r="Z259" i="4" s="1"/>
  <c r="AB259" i="4" s="1"/>
  <c r="W115" i="4"/>
  <c r="X115" i="4" s="1"/>
  <c r="Z115" i="4" s="1"/>
  <c r="AB115" i="4" s="1"/>
  <c r="W186" i="4"/>
  <c r="X186" i="4" s="1"/>
  <c r="Z186" i="4" s="1"/>
  <c r="AB186" i="4" s="1"/>
  <c r="W258" i="4"/>
  <c r="X258" i="4" s="1"/>
  <c r="Z258" i="4" s="1"/>
  <c r="AB258" i="4" s="1"/>
  <c r="W161" i="4"/>
  <c r="X161" i="4" s="1"/>
  <c r="Z161" i="4" s="1"/>
  <c r="AB161" i="4" s="1"/>
  <c r="W231" i="4"/>
  <c r="X231" i="4" s="1"/>
  <c r="Z231" i="4" s="1"/>
  <c r="AB231" i="4" s="1"/>
  <c r="W67" i="4"/>
  <c r="X67" i="4" s="1"/>
  <c r="Z67" i="4" s="1"/>
  <c r="AB67" i="4" s="1"/>
  <c r="W168" i="4"/>
  <c r="X168" i="4" s="1"/>
  <c r="Z168" i="4" s="1"/>
  <c r="AB168" i="4" s="1"/>
  <c r="W188" i="4"/>
  <c r="X188" i="4" s="1"/>
  <c r="Z188" i="4" s="1"/>
  <c r="AB188" i="4" s="1"/>
  <c r="W267" i="4"/>
  <c r="X267" i="4" s="1"/>
  <c r="Z267" i="4" s="1"/>
  <c r="AB267" i="4" s="1"/>
  <c r="W100" i="4"/>
  <c r="X100" i="4" s="1"/>
  <c r="Z100" i="4" s="1"/>
  <c r="AB100" i="4" s="1"/>
  <c r="W262" i="4"/>
  <c r="X262" i="4" s="1"/>
  <c r="Z262" i="4" s="1"/>
  <c r="AB262" i="4" s="1"/>
  <c r="W102" i="4"/>
  <c r="X102" i="4" s="1"/>
  <c r="Z102" i="4" s="1"/>
  <c r="AB102" i="4" s="1"/>
  <c r="W159" i="4"/>
  <c r="X159" i="4" s="1"/>
  <c r="Z159" i="4" s="1"/>
  <c r="AB159" i="4" s="1"/>
  <c r="W27" i="4"/>
  <c r="X27" i="4" s="1"/>
  <c r="Z27" i="4" s="1"/>
  <c r="AB27" i="4" s="1"/>
  <c r="W107" i="4"/>
  <c r="X107" i="4" s="1"/>
  <c r="Z107" i="4" s="1"/>
  <c r="AB107" i="4" s="1"/>
  <c r="W239" i="4"/>
  <c r="X239" i="4" s="1"/>
  <c r="Z239" i="4" s="1"/>
  <c r="AB239" i="4" s="1"/>
  <c r="W48" i="4"/>
  <c r="X48" i="4" s="1"/>
  <c r="Z48" i="4" s="1"/>
  <c r="AB48" i="4" s="1"/>
  <c r="S25" i="4"/>
  <c r="AC203" i="4" l="1"/>
  <c r="AF185" i="4"/>
  <c r="AG185" i="4"/>
  <c r="AC184" i="4"/>
  <c r="AC239" i="4"/>
  <c r="AC255" i="4"/>
  <c r="AC168" i="4"/>
  <c r="AC189" i="4"/>
  <c r="AC152" i="4"/>
  <c r="AG152" i="4" s="1"/>
  <c r="AC66" i="4"/>
  <c r="AC243" i="4"/>
  <c r="AH243" i="4" s="1"/>
  <c r="AC164" i="4"/>
  <c r="AC251" i="4"/>
  <c r="AH251" i="4" s="1"/>
  <c r="AC218" i="4"/>
  <c r="AE185" i="4"/>
  <c r="AC100" i="4"/>
  <c r="AC50" i="4"/>
  <c r="AC222" i="4"/>
  <c r="AH222" i="4" s="1"/>
  <c r="AC83" i="4"/>
  <c r="AC210" i="4"/>
  <c r="AC128" i="4"/>
  <c r="AF128" i="4" s="1"/>
  <c r="AC226" i="4"/>
  <c r="AH226" i="4" s="1"/>
  <c r="AC148" i="4"/>
  <c r="AC201" i="4"/>
  <c r="AC197" i="4"/>
  <c r="AC235" i="4"/>
  <c r="AC46" i="4"/>
  <c r="AC104" i="4"/>
  <c r="AH185" i="4"/>
  <c r="AC259" i="4"/>
  <c r="AC206" i="4"/>
  <c r="AC30" i="4"/>
  <c r="AC176" i="4"/>
  <c r="AC42" i="4"/>
  <c r="AF42" i="4" s="1"/>
  <c r="AC91" i="4"/>
  <c r="AC112" i="4"/>
  <c r="AC58" i="4"/>
  <c r="AE58" i="4" s="1"/>
  <c r="AC34" i="4"/>
  <c r="AC144" i="4"/>
  <c r="AC136" i="4"/>
  <c r="AH136" i="4" s="1"/>
  <c r="AC156" i="4"/>
  <c r="AC80" i="4"/>
  <c r="AC147" i="4"/>
  <c r="AC196" i="4"/>
  <c r="AC90" i="4"/>
  <c r="AC209" i="4"/>
  <c r="AC153" i="4"/>
  <c r="AC121" i="4"/>
  <c r="AC86" i="4"/>
  <c r="AC114" i="4"/>
  <c r="AC211" i="4"/>
  <c r="AC162" i="4"/>
  <c r="AC49" i="4"/>
  <c r="AC263" i="4"/>
  <c r="AC68" i="4"/>
  <c r="AC127" i="4"/>
  <c r="AC190" i="4"/>
  <c r="AC142" i="4"/>
  <c r="AH179" i="4"/>
  <c r="AG179" i="4"/>
  <c r="AE179" i="4"/>
  <c r="AF179" i="4"/>
  <c r="AC159" i="4"/>
  <c r="AC33" i="4"/>
  <c r="AC137" i="4"/>
  <c r="AC149" i="4"/>
  <c r="AC264" i="4"/>
  <c r="AC60" i="4"/>
  <c r="AC123" i="4"/>
  <c r="AC139" i="4"/>
  <c r="AC232" i="4"/>
  <c r="AC183" i="4"/>
  <c r="AC198" i="4"/>
  <c r="AC266" i="4"/>
  <c r="AC171" i="4"/>
  <c r="AC113" i="4"/>
  <c r="AC238" i="4"/>
  <c r="AC261" i="4"/>
  <c r="AC31" i="4"/>
  <c r="AC125" i="4"/>
  <c r="AC102" i="4"/>
  <c r="AC161" i="4"/>
  <c r="AC38" i="4"/>
  <c r="AC98" i="4"/>
  <c r="AC84" i="4"/>
  <c r="AC74" i="4"/>
  <c r="AC165" i="4"/>
  <c r="AC61" i="4"/>
  <c r="AC163" i="4"/>
  <c r="AC182" i="4"/>
  <c r="AC208" i="4"/>
  <c r="AC41" i="4"/>
  <c r="AC47" i="4"/>
  <c r="AC247" i="4"/>
  <c r="AC249" i="4"/>
  <c r="AC124" i="4"/>
  <c r="AC54" i="4"/>
  <c r="AC214" i="4"/>
  <c r="AC71" i="4"/>
  <c r="AC193" i="4"/>
  <c r="AC56" i="4"/>
  <c r="AC52" i="4"/>
  <c r="AC195" i="4"/>
  <c r="AC169" i="4"/>
  <c r="AC118" i="4"/>
  <c r="AC245" i="4"/>
  <c r="AC96" i="4"/>
  <c r="AC256" i="4"/>
  <c r="AC213" i="4"/>
  <c r="AC97" i="4"/>
  <c r="AC200" i="4"/>
  <c r="AC234" i="4"/>
  <c r="AC233" i="4"/>
  <c r="AC223" i="4"/>
  <c r="AC140" i="4"/>
  <c r="AC158" i="4"/>
  <c r="AC106" i="4"/>
  <c r="AC40" i="4"/>
  <c r="AC204" i="4"/>
  <c r="AC35" i="4"/>
  <c r="AC63" i="4"/>
  <c r="AC77" i="4"/>
  <c r="AC187" i="4"/>
  <c r="AC268" i="4"/>
  <c r="AC108" i="4"/>
  <c r="AC174" i="4"/>
  <c r="AC260" i="4"/>
  <c r="AC242" i="4"/>
  <c r="AC129" i="4"/>
  <c r="AC166" i="4"/>
  <c r="AG265" i="4"/>
  <c r="AF265" i="4"/>
  <c r="AE265" i="4"/>
  <c r="AH265" i="4"/>
  <c r="AE155" i="4"/>
  <c r="AF155" i="4"/>
  <c r="AG155" i="4"/>
  <c r="AH155" i="4"/>
  <c r="AC27" i="4"/>
  <c r="AC67" i="4"/>
  <c r="AC186" i="4"/>
  <c r="AC37" i="4"/>
  <c r="AC39" i="4"/>
  <c r="AC101" i="4"/>
  <c r="AC240" i="4"/>
  <c r="AC244" i="4"/>
  <c r="AC173" i="4"/>
  <c r="AC250" i="4"/>
  <c r="AC150" i="4"/>
  <c r="AC82" i="4"/>
  <c r="AC217" i="4"/>
  <c r="AC135" i="4"/>
  <c r="AC212" i="4"/>
  <c r="AC237" i="4"/>
  <c r="AC154" i="4"/>
  <c r="AC205" i="4"/>
  <c r="AC246" i="4"/>
  <c r="AC192" i="4"/>
  <c r="AC157" i="4"/>
  <c r="AC199" i="4"/>
  <c r="AC257" i="4"/>
  <c r="AC48" i="4"/>
  <c r="AC267" i="4"/>
  <c r="AC231" i="4"/>
  <c r="AC115" i="4"/>
  <c r="AC172" i="4"/>
  <c r="AC119" i="4"/>
  <c r="AC93" i="4"/>
  <c r="AC94" i="4"/>
  <c r="AC78" i="4"/>
  <c r="AC241" i="4"/>
  <c r="AC29" i="4"/>
  <c r="AC138" i="4"/>
  <c r="AC105" i="4"/>
  <c r="AC70" i="4"/>
  <c r="AC32" i="4"/>
  <c r="AC229" i="4"/>
  <c r="AC225" i="4"/>
  <c r="AC45" i="4"/>
  <c r="AC65" i="4"/>
  <c r="AC81" i="4"/>
  <c r="AC64" i="4"/>
  <c r="AC109" i="4"/>
  <c r="AC126" i="4"/>
  <c r="AC117" i="4"/>
  <c r="AC216" i="4"/>
  <c r="AC76" i="4"/>
  <c r="AC44" i="4"/>
  <c r="AC72" i="4"/>
  <c r="AC55" i="4"/>
  <c r="AC122" i="4"/>
  <c r="AC188" i="4"/>
  <c r="AC88" i="4"/>
  <c r="AC28" i="4"/>
  <c r="AC230" i="4"/>
  <c r="AC107" i="4"/>
  <c r="AC262" i="4"/>
  <c r="AC258" i="4"/>
  <c r="AC221" i="4"/>
  <c r="AC253" i="4"/>
  <c r="AC177" i="4"/>
  <c r="AC207" i="4"/>
  <c r="AC220" i="4"/>
  <c r="AC191" i="4"/>
  <c r="AC89" i="4"/>
  <c r="AC130" i="4"/>
  <c r="AC87" i="4"/>
  <c r="AC228" i="4"/>
  <c r="AC134" i="4"/>
  <c r="AC236" i="4"/>
  <c r="AC59" i="4"/>
  <c r="AC133" i="4"/>
  <c r="AC167" i="4"/>
  <c r="AC143" i="4"/>
  <c r="AC170" i="4"/>
  <c r="AC194" i="4"/>
  <c r="AC254" i="4"/>
  <c r="AC175" i="4"/>
  <c r="AC202" i="4"/>
  <c r="AC85" i="4"/>
  <c r="AC131" i="4"/>
  <c r="AC103" i="4"/>
  <c r="AC141" i="4"/>
  <c r="AC178" i="4"/>
  <c r="AC248" i="4"/>
  <c r="AC146" i="4"/>
  <c r="AC145" i="4"/>
  <c r="AC224" i="4"/>
  <c r="AC51" i="4"/>
  <c r="AC99" i="4"/>
  <c r="AC269" i="4"/>
  <c r="AC219" i="4"/>
  <c r="AC110" i="4"/>
  <c r="AC57" i="4"/>
  <c r="AC43" i="4"/>
  <c r="AC69" i="4"/>
  <c r="AC151" i="4"/>
  <c r="AC215" i="4"/>
  <c r="AC111" i="4"/>
  <c r="AC53" i="4"/>
  <c r="AC252" i="4"/>
  <c r="AC227" i="4"/>
  <c r="AC92" i="4"/>
  <c r="AC181" i="4"/>
  <c r="AC73" i="4"/>
  <c r="AC36" i="4"/>
  <c r="W23" i="4"/>
  <c r="X23" i="4"/>
  <c r="Z26" i="4"/>
  <c r="Z25" i="4" l="1"/>
  <c r="AB26" i="4"/>
  <c r="AF189" i="4"/>
  <c r="AH189" i="4"/>
  <c r="AE189" i="4"/>
  <c r="AF255" i="4"/>
  <c r="AG255" i="4"/>
  <c r="AE203" i="4"/>
  <c r="AH203" i="4"/>
  <c r="AG203" i="4"/>
  <c r="AF203" i="4"/>
  <c r="AE104" i="4"/>
  <c r="AH104" i="4"/>
  <c r="AC116" i="4"/>
  <c r="AE116" i="4" s="1"/>
  <c r="AC62" i="4"/>
  <c r="AF62" i="4" s="1"/>
  <c r="AG189" i="4"/>
  <c r="AG136" i="4"/>
  <c r="AE243" i="4"/>
  <c r="AC75" i="4"/>
  <c r="AH75" i="4" s="1"/>
  <c r="AC160" i="4"/>
  <c r="AH160" i="4" s="1"/>
  <c r="AC120" i="4"/>
  <c r="AG120" i="4" s="1"/>
  <c r="AC132" i="4"/>
  <c r="AG132" i="4" s="1"/>
  <c r="AE144" i="4"/>
  <c r="AE112" i="4"/>
  <c r="AF197" i="4"/>
  <c r="AG210" i="4"/>
  <c r="AE222" i="4"/>
  <c r="AC95" i="4"/>
  <c r="AG95" i="4" s="1"/>
  <c r="AC79" i="4"/>
  <c r="AE79" i="4" s="1"/>
  <c r="AE42" i="4"/>
  <c r="AE46" i="4"/>
  <c r="AG128" i="4"/>
  <c r="AG100" i="4"/>
  <c r="AF91" i="4"/>
  <c r="AH206" i="4"/>
  <c r="AG104" i="4"/>
  <c r="AE201" i="4"/>
  <c r="AH50" i="4"/>
  <c r="AE251" i="4"/>
  <c r="AE152" i="4"/>
  <c r="AC180" i="4"/>
  <c r="AH180" i="4" s="1"/>
  <c r="AG42" i="4"/>
  <c r="AH42" i="4"/>
  <c r="AG184" i="4"/>
  <c r="AE184" i="4"/>
  <c r="AF184" i="4"/>
  <c r="AH184" i="4"/>
  <c r="AF104" i="4"/>
  <c r="AH239" i="4"/>
  <c r="AF239" i="4"/>
  <c r="AG239" i="4"/>
  <c r="AE239" i="4"/>
  <c r="AE176" i="4"/>
  <c r="AH176" i="4"/>
  <c r="AF168" i="4"/>
  <c r="AH168" i="4"/>
  <c r="AG168" i="4"/>
  <c r="AE168" i="4"/>
  <c r="AG251" i="4"/>
  <c r="AH152" i="4"/>
  <c r="AF79" i="4"/>
  <c r="AF152" i="4"/>
  <c r="AF251" i="4"/>
  <c r="AH164" i="4"/>
  <c r="AG164" i="4"/>
  <c r="AF164" i="4"/>
  <c r="AE164" i="4"/>
  <c r="AF83" i="4"/>
  <c r="AE83" i="4"/>
  <c r="AE148" i="4"/>
  <c r="AG148" i="4"/>
  <c r="AF148" i="4"/>
  <c r="AH148" i="4"/>
  <c r="AH112" i="4"/>
  <c r="AF176" i="4"/>
  <c r="AG176" i="4"/>
  <c r="AG34" i="4"/>
  <c r="AF34" i="4"/>
  <c r="AH34" i="4"/>
  <c r="AE34" i="4"/>
  <c r="AG30" i="4"/>
  <c r="AF30" i="4"/>
  <c r="AE30" i="4"/>
  <c r="AH30" i="4"/>
  <c r="AH218" i="4"/>
  <c r="AF218" i="4"/>
  <c r="AG218" i="4"/>
  <c r="AE218" i="4"/>
  <c r="AE66" i="4"/>
  <c r="AH66" i="4"/>
  <c r="AF66" i="4"/>
  <c r="AG66" i="4"/>
  <c r="AH259" i="4"/>
  <c r="AG259" i="4"/>
  <c r="AF259" i="4"/>
  <c r="AE259" i="4"/>
  <c r="AG235" i="4"/>
  <c r="AF235" i="4"/>
  <c r="AH235" i="4"/>
  <c r="AE235" i="4"/>
  <c r="AG243" i="4"/>
  <c r="AG112" i="4"/>
  <c r="AE197" i="4"/>
  <c r="AH83" i="4"/>
  <c r="AF243" i="4"/>
  <c r="AE132" i="4"/>
  <c r="AF112" i="4"/>
  <c r="AG83" i="4"/>
  <c r="AF136" i="4"/>
  <c r="AH197" i="4"/>
  <c r="AF144" i="4"/>
  <c r="AH144" i="4"/>
  <c r="AG144" i="4"/>
  <c r="AH58" i="4"/>
  <c r="AG58" i="4"/>
  <c r="AF58" i="4"/>
  <c r="AG201" i="4"/>
  <c r="AF201" i="4"/>
  <c r="AH201" i="4"/>
  <c r="AE226" i="4"/>
  <c r="AG226" i="4"/>
  <c r="AF226" i="4"/>
  <c r="AH210" i="4"/>
  <c r="AE210" i="4"/>
  <c r="AF210" i="4"/>
  <c r="AG222" i="4"/>
  <c r="AF222" i="4"/>
  <c r="AG197" i="4"/>
  <c r="AE91" i="4"/>
  <c r="AG91" i="4"/>
  <c r="AH91" i="4"/>
  <c r="AG50" i="4"/>
  <c r="AF50" i="4"/>
  <c r="AE50" i="4"/>
  <c r="AE136" i="4"/>
  <c r="AF206" i="4"/>
  <c r="AG206" i="4"/>
  <c r="AE206" i="4"/>
  <c r="AH46" i="4"/>
  <c r="AF46" i="4"/>
  <c r="AG46" i="4"/>
  <c r="AH128" i="4"/>
  <c r="AE128" i="4"/>
  <c r="AF100" i="4"/>
  <c r="AH100" i="4"/>
  <c r="AE100" i="4"/>
  <c r="AH255" i="4"/>
  <c r="AE255" i="4"/>
  <c r="AH65" i="4"/>
  <c r="AF65" i="4"/>
  <c r="AG65" i="4"/>
  <c r="AE65" i="4"/>
  <c r="AF154" i="4"/>
  <c r="AH154" i="4"/>
  <c r="AG154" i="4"/>
  <c r="AE154" i="4"/>
  <c r="AE37" i="4"/>
  <c r="AH37" i="4"/>
  <c r="AG37" i="4"/>
  <c r="AF37" i="4"/>
  <c r="AE234" i="4"/>
  <c r="AG234" i="4"/>
  <c r="AH234" i="4"/>
  <c r="AF234" i="4"/>
  <c r="AH71" i="4"/>
  <c r="AF71" i="4"/>
  <c r="AG71" i="4"/>
  <c r="AE71" i="4"/>
  <c r="AF33" i="4"/>
  <c r="AG33" i="4"/>
  <c r="AE33" i="4"/>
  <c r="AH33" i="4"/>
  <c r="AF49" i="4"/>
  <c r="AG49" i="4"/>
  <c r="AH49" i="4"/>
  <c r="AE49" i="4"/>
  <c r="AF28" i="4"/>
  <c r="AH28" i="4"/>
  <c r="AE28" i="4"/>
  <c r="AG28" i="4"/>
  <c r="AE70" i="4"/>
  <c r="AH70" i="4"/>
  <c r="AF70" i="4"/>
  <c r="AG70" i="4"/>
  <c r="AE94" i="4"/>
  <c r="AH94" i="4"/>
  <c r="AF94" i="4"/>
  <c r="AG94" i="4"/>
  <c r="AH242" i="4"/>
  <c r="AE242" i="4"/>
  <c r="AG242" i="4"/>
  <c r="AF242" i="4"/>
  <c r="AG124" i="4"/>
  <c r="AE124" i="4"/>
  <c r="AF124" i="4"/>
  <c r="AH124" i="4"/>
  <c r="AG167" i="4"/>
  <c r="AH167" i="4"/>
  <c r="AE167" i="4"/>
  <c r="AF167" i="4"/>
  <c r="AF122" i="4"/>
  <c r="AH122" i="4"/>
  <c r="AG122" i="4"/>
  <c r="AE122" i="4"/>
  <c r="AE175" i="4"/>
  <c r="AG175" i="4"/>
  <c r="AF175" i="4"/>
  <c r="AH175" i="4"/>
  <c r="AE170" i="4"/>
  <c r="AH170" i="4"/>
  <c r="AG170" i="4"/>
  <c r="AF170" i="4"/>
  <c r="AG44" i="4"/>
  <c r="AF44" i="4"/>
  <c r="AH44" i="4"/>
  <c r="AE44" i="4"/>
  <c r="AH45" i="4"/>
  <c r="AF45" i="4"/>
  <c r="AG45" i="4"/>
  <c r="AE45" i="4"/>
  <c r="AG267" i="4"/>
  <c r="AH267" i="4"/>
  <c r="AE267" i="4"/>
  <c r="AF267" i="4"/>
  <c r="AH250" i="4"/>
  <c r="AE250" i="4"/>
  <c r="AF250" i="4"/>
  <c r="AG250" i="4"/>
  <c r="AF200" i="4"/>
  <c r="AG200" i="4"/>
  <c r="AH200" i="4"/>
  <c r="AE200" i="4"/>
  <c r="AE214" i="4"/>
  <c r="AF214" i="4"/>
  <c r="AG214" i="4"/>
  <c r="AH214" i="4"/>
  <c r="AE74" i="4"/>
  <c r="AH74" i="4"/>
  <c r="AG74" i="4"/>
  <c r="AF74" i="4"/>
  <c r="AE238" i="4"/>
  <c r="AG238" i="4"/>
  <c r="AH238" i="4"/>
  <c r="AF238" i="4"/>
  <c r="AE60" i="4"/>
  <c r="AG60" i="4"/>
  <c r="AF60" i="4"/>
  <c r="AH60" i="4"/>
  <c r="AF159" i="4"/>
  <c r="AH159" i="4"/>
  <c r="AE159" i="4"/>
  <c r="AG159" i="4"/>
  <c r="AG209" i="4"/>
  <c r="AE209" i="4"/>
  <c r="AH209" i="4"/>
  <c r="AF209" i="4"/>
  <c r="AG103" i="4"/>
  <c r="AE103" i="4"/>
  <c r="AH103" i="4"/>
  <c r="AF103" i="4"/>
  <c r="AE87" i="4"/>
  <c r="AH87" i="4"/>
  <c r="AF87" i="4"/>
  <c r="AG87" i="4"/>
  <c r="AH29" i="4"/>
  <c r="AF29" i="4"/>
  <c r="AG29" i="4"/>
  <c r="AE29" i="4"/>
  <c r="AE106" i="4"/>
  <c r="AG106" i="4"/>
  <c r="AF106" i="4"/>
  <c r="AH106" i="4"/>
  <c r="AH258" i="4"/>
  <c r="AE258" i="4"/>
  <c r="AG258" i="4"/>
  <c r="AF258" i="4"/>
  <c r="AH111" i="4"/>
  <c r="AF111" i="4"/>
  <c r="AG111" i="4"/>
  <c r="AE111" i="4"/>
  <c r="AE85" i="4"/>
  <c r="AF85" i="4"/>
  <c r="AG85" i="4"/>
  <c r="AH85" i="4"/>
  <c r="AH254" i="4"/>
  <c r="AE254" i="4"/>
  <c r="AF254" i="4"/>
  <c r="AG254" i="4"/>
  <c r="AH225" i="4"/>
  <c r="AE225" i="4"/>
  <c r="AF225" i="4"/>
  <c r="AG225" i="4"/>
  <c r="AF138" i="4"/>
  <c r="AH138" i="4"/>
  <c r="AG138" i="4"/>
  <c r="AE138" i="4"/>
  <c r="AE78" i="4"/>
  <c r="AH78" i="4"/>
  <c r="AF78" i="4"/>
  <c r="AG78" i="4"/>
  <c r="AF119" i="4"/>
  <c r="AE119" i="4"/>
  <c r="AG119" i="4"/>
  <c r="AH119" i="4"/>
  <c r="AH77" i="4"/>
  <c r="AF77" i="4"/>
  <c r="AG77" i="4"/>
  <c r="AE77" i="4"/>
  <c r="AE54" i="4"/>
  <c r="AH54" i="4"/>
  <c r="AF54" i="4"/>
  <c r="AG54" i="4"/>
  <c r="AE61" i="4"/>
  <c r="AH61" i="4"/>
  <c r="AF61" i="4"/>
  <c r="AG61" i="4"/>
  <c r="AE38" i="4"/>
  <c r="AH38" i="4"/>
  <c r="AF38" i="4"/>
  <c r="AG38" i="4"/>
  <c r="AE183" i="4"/>
  <c r="AF183" i="4"/>
  <c r="AH183" i="4"/>
  <c r="AG183" i="4"/>
  <c r="AE90" i="4"/>
  <c r="AH90" i="4"/>
  <c r="AG90" i="4"/>
  <c r="AF90" i="4"/>
  <c r="AG36" i="4"/>
  <c r="AF36" i="4"/>
  <c r="AH36" i="4"/>
  <c r="AE36" i="4"/>
  <c r="AE227" i="4"/>
  <c r="AG227" i="4"/>
  <c r="AF227" i="4"/>
  <c r="AH227" i="4"/>
  <c r="AF215" i="4"/>
  <c r="AH215" i="4"/>
  <c r="AE215" i="4"/>
  <c r="AG215" i="4"/>
  <c r="AH57" i="4"/>
  <c r="AF57" i="4"/>
  <c r="AG57" i="4"/>
  <c r="AE57" i="4"/>
  <c r="AG99" i="4"/>
  <c r="AE99" i="4"/>
  <c r="AH99" i="4"/>
  <c r="AF99" i="4"/>
  <c r="AE194" i="4"/>
  <c r="AF194" i="4"/>
  <c r="AG194" i="4"/>
  <c r="AH194" i="4"/>
  <c r="AF133" i="4"/>
  <c r="AH133" i="4"/>
  <c r="AE133" i="4"/>
  <c r="AG133" i="4"/>
  <c r="AH228" i="4"/>
  <c r="AE228" i="4"/>
  <c r="AF228" i="4"/>
  <c r="AG228" i="4"/>
  <c r="AH207" i="4"/>
  <c r="AG207" i="4"/>
  <c r="AF207" i="4"/>
  <c r="AE207" i="4"/>
  <c r="AF126" i="4"/>
  <c r="AH126" i="4"/>
  <c r="AE126" i="4"/>
  <c r="AG126" i="4"/>
  <c r="AF32" i="4"/>
  <c r="AH32" i="4"/>
  <c r="AG32" i="4"/>
  <c r="AE32" i="4"/>
  <c r="AG48" i="4"/>
  <c r="AE48" i="4"/>
  <c r="AF48" i="4"/>
  <c r="AH48" i="4"/>
  <c r="AF181" i="4"/>
  <c r="AG181" i="4"/>
  <c r="AH181" i="4"/>
  <c r="AE181" i="4"/>
  <c r="AE53" i="4"/>
  <c r="AH53" i="4"/>
  <c r="AF53" i="4"/>
  <c r="AG53" i="4"/>
  <c r="AE69" i="4"/>
  <c r="AF69" i="4"/>
  <c r="AG69" i="4"/>
  <c r="AH69" i="4"/>
  <c r="AE219" i="4"/>
  <c r="AG219" i="4"/>
  <c r="AF219" i="4"/>
  <c r="AH219" i="4"/>
  <c r="AE224" i="4"/>
  <c r="AF224" i="4"/>
  <c r="AG224" i="4"/>
  <c r="AH224" i="4"/>
  <c r="AF146" i="4"/>
  <c r="AH146" i="4"/>
  <c r="AE146" i="4"/>
  <c r="AG146" i="4"/>
  <c r="AE178" i="4"/>
  <c r="AF178" i="4"/>
  <c r="AG178" i="4"/>
  <c r="AH178" i="4"/>
  <c r="AG143" i="4"/>
  <c r="AF143" i="4"/>
  <c r="AH143" i="4"/>
  <c r="AE143" i="4"/>
  <c r="AF236" i="4"/>
  <c r="AG236" i="4"/>
  <c r="AH236" i="4"/>
  <c r="AE236" i="4"/>
  <c r="AF130" i="4"/>
  <c r="AH130" i="4"/>
  <c r="AE130" i="4"/>
  <c r="AG130" i="4"/>
  <c r="AF191" i="4"/>
  <c r="AE191" i="4"/>
  <c r="AG191" i="4"/>
  <c r="AH191" i="4"/>
  <c r="AG253" i="4"/>
  <c r="AF253" i="4"/>
  <c r="AE253" i="4"/>
  <c r="AH253" i="4"/>
  <c r="AH107" i="4"/>
  <c r="AF107" i="4"/>
  <c r="AG107" i="4"/>
  <c r="AE107" i="4"/>
  <c r="AG188" i="4"/>
  <c r="AH188" i="4"/>
  <c r="AE188" i="4"/>
  <c r="AF188" i="4"/>
  <c r="AF55" i="4"/>
  <c r="AG55" i="4"/>
  <c r="AE55" i="4"/>
  <c r="AH55" i="4"/>
  <c r="AH216" i="4"/>
  <c r="AE216" i="4"/>
  <c r="AF216" i="4"/>
  <c r="AG216" i="4"/>
  <c r="AH64" i="4"/>
  <c r="AE64" i="4"/>
  <c r="AF64" i="4"/>
  <c r="AG64" i="4"/>
  <c r="AG105" i="4"/>
  <c r="AH105" i="4"/>
  <c r="AF105" i="4"/>
  <c r="AE105" i="4"/>
  <c r="AE93" i="4"/>
  <c r="AH93" i="4"/>
  <c r="AF93" i="4"/>
  <c r="AG93" i="4"/>
  <c r="AE172" i="4"/>
  <c r="AF172" i="4"/>
  <c r="AG172" i="4"/>
  <c r="AH172" i="4"/>
  <c r="AE231" i="4"/>
  <c r="AG231" i="4"/>
  <c r="AH231" i="4"/>
  <c r="AF231" i="4"/>
  <c r="AG199" i="4"/>
  <c r="AF199" i="4"/>
  <c r="AE199" i="4"/>
  <c r="AH199" i="4"/>
  <c r="AG192" i="4"/>
  <c r="AE192" i="4"/>
  <c r="AH192" i="4"/>
  <c r="AF192" i="4"/>
  <c r="AH205" i="4"/>
  <c r="AG205" i="4"/>
  <c r="AE205" i="4"/>
  <c r="AF205" i="4"/>
  <c r="AF237" i="4"/>
  <c r="AH237" i="4"/>
  <c r="AE237" i="4"/>
  <c r="AG237" i="4"/>
  <c r="AG135" i="4"/>
  <c r="AE135" i="4"/>
  <c r="AH135" i="4"/>
  <c r="AF135" i="4"/>
  <c r="AE82" i="4"/>
  <c r="AH82" i="4"/>
  <c r="AF82" i="4"/>
  <c r="AG82" i="4"/>
  <c r="AF244" i="4"/>
  <c r="AE244" i="4"/>
  <c r="AG244" i="4"/>
  <c r="AH244" i="4"/>
  <c r="AG101" i="4"/>
  <c r="AH101" i="4"/>
  <c r="AF101" i="4"/>
  <c r="AE101" i="4"/>
  <c r="AE67" i="4"/>
  <c r="AF67" i="4"/>
  <c r="AG67" i="4"/>
  <c r="AH67" i="4"/>
  <c r="AF166" i="4"/>
  <c r="AH166" i="4"/>
  <c r="AG166" i="4"/>
  <c r="AE166" i="4"/>
  <c r="AE174" i="4"/>
  <c r="AF174" i="4"/>
  <c r="AH174" i="4"/>
  <c r="AG174" i="4"/>
  <c r="AG268" i="4"/>
  <c r="AE268" i="4"/>
  <c r="AF268" i="4"/>
  <c r="AH268" i="4"/>
  <c r="AH35" i="4"/>
  <c r="AE35" i="4"/>
  <c r="AF35" i="4"/>
  <c r="AG35" i="4"/>
  <c r="AG40" i="4"/>
  <c r="AF40" i="4"/>
  <c r="AH40" i="4"/>
  <c r="AE40" i="4"/>
  <c r="AF158" i="4"/>
  <c r="AH158" i="4"/>
  <c r="AE158" i="4"/>
  <c r="AG158" i="4"/>
  <c r="AE223" i="4"/>
  <c r="AG223" i="4"/>
  <c r="AH223" i="4"/>
  <c r="AF223" i="4"/>
  <c r="AE97" i="4"/>
  <c r="AH97" i="4"/>
  <c r="AF97" i="4"/>
  <c r="AG97" i="4"/>
  <c r="AG256" i="4"/>
  <c r="AE256" i="4"/>
  <c r="AF256" i="4"/>
  <c r="AH256" i="4"/>
  <c r="AH245" i="4"/>
  <c r="AE245" i="4"/>
  <c r="AF245" i="4"/>
  <c r="AG245" i="4"/>
  <c r="AF169" i="4"/>
  <c r="AH169" i="4"/>
  <c r="AG169" i="4"/>
  <c r="AE169" i="4"/>
  <c r="AE52" i="4"/>
  <c r="AG52" i="4"/>
  <c r="AF52" i="4"/>
  <c r="AH52" i="4"/>
  <c r="AG193" i="4"/>
  <c r="AE193" i="4"/>
  <c r="AH193" i="4"/>
  <c r="AF193" i="4"/>
  <c r="AG247" i="4"/>
  <c r="AF247" i="4"/>
  <c r="AE247" i="4"/>
  <c r="AH247" i="4"/>
  <c r="AE41" i="4"/>
  <c r="AH41" i="4"/>
  <c r="AF41" i="4"/>
  <c r="AG41" i="4"/>
  <c r="AE182" i="4"/>
  <c r="AF182" i="4"/>
  <c r="AG182" i="4"/>
  <c r="AH182" i="4"/>
  <c r="AE98" i="4"/>
  <c r="AG98" i="4"/>
  <c r="AF98" i="4"/>
  <c r="AH98" i="4"/>
  <c r="AF161" i="4"/>
  <c r="AH161" i="4"/>
  <c r="AG161" i="4"/>
  <c r="AE161" i="4"/>
  <c r="AF125" i="4"/>
  <c r="AH125" i="4"/>
  <c r="AG125" i="4"/>
  <c r="AE125" i="4"/>
  <c r="AG261" i="4"/>
  <c r="AE261" i="4"/>
  <c r="AF261" i="4"/>
  <c r="AH261" i="4"/>
  <c r="AF113" i="4"/>
  <c r="AH113" i="4"/>
  <c r="AG113" i="4"/>
  <c r="AE113" i="4"/>
  <c r="AE266" i="4"/>
  <c r="AH266" i="4"/>
  <c r="AF266" i="4"/>
  <c r="AG266" i="4"/>
  <c r="AG139" i="4"/>
  <c r="AH139" i="4"/>
  <c r="AE139" i="4"/>
  <c r="AF139" i="4"/>
  <c r="AF149" i="4"/>
  <c r="AH149" i="4"/>
  <c r="AG149" i="4"/>
  <c r="AE149" i="4"/>
  <c r="AF142" i="4"/>
  <c r="AH142" i="4"/>
  <c r="AE142" i="4"/>
  <c r="AG142" i="4"/>
  <c r="AF127" i="4"/>
  <c r="AH127" i="4"/>
  <c r="AG127" i="4"/>
  <c r="AE127" i="4"/>
  <c r="AG263" i="4"/>
  <c r="AF263" i="4"/>
  <c r="AE263" i="4"/>
  <c r="AH263" i="4"/>
  <c r="AF162" i="4"/>
  <c r="AH162" i="4"/>
  <c r="AE162" i="4"/>
  <c r="AG162" i="4"/>
  <c r="AF114" i="4"/>
  <c r="AH114" i="4"/>
  <c r="AE114" i="4"/>
  <c r="AG114" i="4"/>
  <c r="AF121" i="4"/>
  <c r="AH121" i="4"/>
  <c r="AG121" i="4"/>
  <c r="AE121" i="4"/>
  <c r="AF196" i="4"/>
  <c r="AG196" i="4"/>
  <c r="AH196" i="4"/>
  <c r="AE196" i="4"/>
  <c r="AF80" i="4"/>
  <c r="AH80" i="4"/>
  <c r="AE80" i="4"/>
  <c r="AG80" i="4"/>
  <c r="AE73" i="4"/>
  <c r="AH73" i="4"/>
  <c r="AG73" i="4"/>
  <c r="AF73" i="4"/>
  <c r="AF92" i="4"/>
  <c r="AH92" i="4"/>
  <c r="AE92" i="4"/>
  <c r="AG92" i="4"/>
  <c r="AG252" i="4"/>
  <c r="AE252" i="4"/>
  <c r="AF252" i="4"/>
  <c r="AH252" i="4"/>
  <c r="AF151" i="4"/>
  <c r="AE151" i="4"/>
  <c r="AG151" i="4"/>
  <c r="AH151" i="4"/>
  <c r="AE43" i="4"/>
  <c r="AF43" i="4"/>
  <c r="AG43" i="4"/>
  <c r="AH43" i="4"/>
  <c r="AE110" i="4"/>
  <c r="AG110" i="4"/>
  <c r="AH110" i="4"/>
  <c r="AF110" i="4"/>
  <c r="AG269" i="4"/>
  <c r="AE269" i="4"/>
  <c r="AF269" i="4"/>
  <c r="AH269" i="4"/>
  <c r="AF51" i="4"/>
  <c r="AG51" i="4"/>
  <c r="AH51" i="4"/>
  <c r="AE51" i="4"/>
  <c r="AF145" i="4"/>
  <c r="AH145" i="4"/>
  <c r="AG145" i="4"/>
  <c r="AE145" i="4"/>
  <c r="AG248" i="4"/>
  <c r="AE248" i="4"/>
  <c r="AH248" i="4"/>
  <c r="AF248" i="4"/>
  <c r="AF141" i="4"/>
  <c r="AH141" i="4"/>
  <c r="AG141" i="4"/>
  <c r="AE141" i="4"/>
  <c r="AH131" i="4"/>
  <c r="AG131" i="4"/>
  <c r="AE131" i="4"/>
  <c r="AF131" i="4"/>
  <c r="AE202" i="4"/>
  <c r="AF202" i="4"/>
  <c r="AH202" i="4"/>
  <c r="AG202" i="4"/>
  <c r="AF59" i="4"/>
  <c r="AG59" i="4"/>
  <c r="AH59" i="4"/>
  <c r="AE59" i="4"/>
  <c r="AF134" i="4"/>
  <c r="AH134" i="4"/>
  <c r="AG134" i="4"/>
  <c r="AE134" i="4"/>
  <c r="AE89" i="4"/>
  <c r="AH89" i="4"/>
  <c r="AF89" i="4"/>
  <c r="AG89" i="4"/>
  <c r="AF220" i="4"/>
  <c r="AG220" i="4"/>
  <c r="AH220" i="4"/>
  <c r="AE220" i="4"/>
  <c r="AF177" i="4"/>
  <c r="AH177" i="4"/>
  <c r="AG177" i="4"/>
  <c r="AE177" i="4"/>
  <c r="AF221" i="4"/>
  <c r="AH221" i="4"/>
  <c r="AE221" i="4"/>
  <c r="AG221" i="4"/>
  <c r="AH262" i="4"/>
  <c r="AE262" i="4"/>
  <c r="AG262" i="4"/>
  <c r="AF262" i="4"/>
  <c r="AE230" i="4"/>
  <c r="AG230" i="4"/>
  <c r="AF230" i="4"/>
  <c r="AH230" i="4"/>
  <c r="AF88" i="4"/>
  <c r="AH88" i="4"/>
  <c r="AE88" i="4"/>
  <c r="AG88" i="4"/>
  <c r="AH72" i="4"/>
  <c r="AE72" i="4"/>
  <c r="AG72" i="4"/>
  <c r="AF72" i="4"/>
  <c r="AH76" i="4"/>
  <c r="AE76" i="4"/>
  <c r="AF76" i="4"/>
  <c r="AG76" i="4"/>
  <c r="AF117" i="4"/>
  <c r="AH117" i="4"/>
  <c r="AG117" i="4"/>
  <c r="AE117" i="4"/>
  <c r="AE109" i="4"/>
  <c r="AG109" i="4"/>
  <c r="AF109" i="4"/>
  <c r="AH109" i="4"/>
  <c r="AE81" i="4"/>
  <c r="AH81" i="4"/>
  <c r="AF81" i="4"/>
  <c r="AG81" i="4"/>
  <c r="AE229" i="4"/>
  <c r="AF229" i="4"/>
  <c r="AH229" i="4"/>
  <c r="AG229" i="4"/>
  <c r="AH241" i="4"/>
  <c r="AE241" i="4"/>
  <c r="AG241" i="4"/>
  <c r="AF241" i="4"/>
  <c r="AF115" i="4"/>
  <c r="AH115" i="4"/>
  <c r="AE115" i="4"/>
  <c r="AG115" i="4"/>
  <c r="AG257" i="4"/>
  <c r="AE257" i="4"/>
  <c r="AH257" i="4"/>
  <c r="AF257" i="4"/>
  <c r="AF157" i="4"/>
  <c r="AH157" i="4"/>
  <c r="AG157" i="4"/>
  <c r="AE157" i="4"/>
  <c r="AE246" i="4"/>
  <c r="AF246" i="4"/>
  <c r="AG246" i="4"/>
  <c r="AH246" i="4"/>
  <c r="AH212" i="4"/>
  <c r="AE212" i="4"/>
  <c r="AG212" i="4"/>
  <c r="AF212" i="4"/>
  <c r="AE217" i="4"/>
  <c r="AH217" i="4"/>
  <c r="AG217" i="4"/>
  <c r="AF217" i="4"/>
  <c r="AF150" i="4"/>
  <c r="AH150" i="4"/>
  <c r="AG150" i="4"/>
  <c r="AE150" i="4"/>
  <c r="AH173" i="4"/>
  <c r="AE173" i="4"/>
  <c r="AF173" i="4"/>
  <c r="AG173" i="4"/>
  <c r="AE240" i="4"/>
  <c r="AF240" i="4"/>
  <c r="AG240" i="4"/>
  <c r="AH240" i="4"/>
  <c r="AE39" i="4"/>
  <c r="AH39" i="4"/>
  <c r="AF39" i="4"/>
  <c r="AG39" i="4"/>
  <c r="AE186" i="4"/>
  <c r="AF186" i="4"/>
  <c r="AH186" i="4"/>
  <c r="AG186" i="4"/>
  <c r="AE27" i="4"/>
  <c r="AH27" i="4"/>
  <c r="AF27" i="4"/>
  <c r="AG27" i="4"/>
  <c r="AF129" i="4"/>
  <c r="AH129" i="4"/>
  <c r="AG129" i="4"/>
  <c r="AE129" i="4"/>
  <c r="AG260" i="4"/>
  <c r="AE260" i="4"/>
  <c r="AH260" i="4"/>
  <c r="AF260" i="4"/>
  <c r="AH108" i="4"/>
  <c r="AE108" i="4"/>
  <c r="AG108" i="4"/>
  <c r="AF108" i="4"/>
  <c r="AF187" i="4"/>
  <c r="AE187" i="4"/>
  <c r="AH187" i="4"/>
  <c r="AG187" i="4"/>
  <c r="AH63" i="4"/>
  <c r="AF63" i="4"/>
  <c r="AG63" i="4"/>
  <c r="AE63" i="4"/>
  <c r="AF204" i="4"/>
  <c r="AE204" i="4"/>
  <c r="AG204" i="4"/>
  <c r="AH204" i="4"/>
  <c r="AH140" i="4"/>
  <c r="AE140" i="4"/>
  <c r="AF140" i="4"/>
  <c r="AG140" i="4"/>
  <c r="AG233" i="4"/>
  <c r="AE233" i="4"/>
  <c r="AH233" i="4"/>
  <c r="AF233" i="4"/>
  <c r="AG213" i="4"/>
  <c r="AH213" i="4"/>
  <c r="AE213" i="4"/>
  <c r="AF213" i="4"/>
  <c r="AF96" i="4"/>
  <c r="AH96" i="4"/>
  <c r="AE96" i="4"/>
  <c r="AG96" i="4"/>
  <c r="AF118" i="4"/>
  <c r="AH118" i="4"/>
  <c r="AG118" i="4"/>
  <c r="AE118" i="4"/>
  <c r="AH195" i="4"/>
  <c r="AG195" i="4"/>
  <c r="AF195" i="4"/>
  <c r="AE195" i="4"/>
  <c r="AE56" i="4"/>
  <c r="AG56" i="4"/>
  <c r="AF56" i="4"/>
  <c r="AH56" i="4"/>
  <c r="AG249" i="4"/>
  <c r="AF249" i="4"/>
  <c r="AE249" i="4"/>
  <c r="AH249" i="4"/>
  <c r="AF47" i="4"/>
  <c r="AG47" i="4"/>
  <c r="AE47" i="4"/>
  <c r="AH47" i="4"/>
  <c r="AH208" i="4"/>
  <c r="AF208" i="4"/>
  <c r="AE208" i="4"/>
  <c r="AG208" i="4"/>
  <c r="AH163" i="4"/>
  <c r="AE163" i="4"/>
  <c r="AG163" i="4"/>
  <c r="AF163" i="4"/>
  <c r="AF165" i="4"/>
  <c r="AH165" i="4"/>
  <c r="AG165" i="4"/>
  <c r="AE165" i="4"/>
  <c r="AF84" i="4"/>
  <c r="AH84" i="4"/>
  <c r="AE84" i="4"/>
  <c r="AG84" i="4"/>
  <c r="AE102" i="4"/>
  <c r="AH102" i="4"/>
  <c r="AG102" i="4"/>
  <c r="AF102" i="4"/>
  <c r="AE31" i="4"/>
  <c r="AH31" i="4"/>
  <c r="AF31" i="4"/>
  <c r="AG31" i="4"/>
  <c r="AE171" i="4"/>
  <c r="AG171" i="4"/>
  <c r="AF171" i="4"/>
  <c r="AH171" i="4"/>
  <c r="AE198" i="4"/>
  <c r="AF198" i="4"/>
  <c r="AG198" i="4"/>
  <c r="AH198" i="4"/>
  <c r="AG232" i="4"/>
  <c r="AH232" i="4"/>
  <c r="AF232" i="4"/>
  <c r="AE232" i="4"/>
  <c r="AE123" i="4"/>
  <c r="AF123" i="4"/>
  <c r="AG123" i="4"/>
  <c r="AH123" i="4"/>
  <c r="AG264" i="4"/>
  <c r="AE264" i="4"/>
  <c r="AH264" i="4"/>
  <c r="AF264" i="4"/>
  <c r="AF137" i="4"/>
  <c r="AH137" i="4"/>
  <c r="AG137" i="4"/>
  <c r="AE137" i="4"/>
  <c r="AE190" i="4"/>
  <c r="AH190" i="4"/>
  <c r="AF190" i="4"/>
  <c r="AG190" i="4"/>
  <c r="AH68" i="4"/>
  <c r="AE68" i="4"/>
  <c r="AF68" i="4"/>
  <c r="AG68" i="4"/>
  <c r="AH211" i="4"/>
  <c r="AE211" i="4"/>
  <c r="AG211" i="4"/>
  <c r="AF211" i="4"/>
  <c r="AE86" i="4"/>
  <c r="AH86" i="4"/>
  <c r="AG86" i="4"/>
  <c r="AF86" i="4"/>
  <c r="AF153" i="4"/>
  <c r="AH153" i="4"/>
  <c r="AG153" i="4"/>
  <c r="AE153" i="4"/>
  <c r="AF147" i="4"/>
  <c r="AG147" i="4"/>
  <c r="AH147" i="4"/>
  <c r="AE147" i="4"/>
  <c r="AG156" i="4"/>
  <c r="AE156" i="4"/>
  <c r="AH156" i="4"/>
  <c r="AF156" i="4"/>
  <c r="AB24" i="4"/>
  <c r="Z24" i="4"/>
  <c r="Q3" i="4" s="1"/>
  <c r="AE160" i="4" l="1"/>
  <c r="AH95" i="4"/>
  <c r="AF95" i="4"/>
  <c r="AG180" i="4"/>
  <c r="AH79" i="4"/>
  <c r="AH120" i="4"/>
  <c r="AH62" i="4"/>
  <c r="AF75" i="4"/>
  <c r="AE180" i="4"/>
  <c r="AG62" i="4"/>
  <c r="AG75" i="4"/>
  <c r="AE120" i="4"/>
  <c r="AG79" i="4"/>
  <c r="AF180" i="4"/>
  <c r="AE75" i="4"/>
  <c r="AE62" i="4"/>
  <c r="AF120" i="4"/>
  <c r="AH116" i="4"/>
  <c r="AG160" i="4"/>
  <c r="AE95" i="4"/>
  <c r="AF132" i="4"/>
  <c r="AF160" i="4"/>
  <c r="AF116" i="4"/>
  <c r="AH132" i="4"/>
  <c r="AG116" i="4"/>
  <c r="AC26" i="4"/>
  <c r="AC24" i="4" s="1"/>
  <c r="Q9" i="4"/>
  <c r="Q7" i="4"/>
  <c r="Q8" i="4" s="1"/>
  <c r="AB23" i="4"/>
  <c r="Q10" i="4" l="1"/>
  <c r="AG26" i="4"/>
  <c r="AG24" i="4" s="1"/>
  <c r="AH26" i="4"/>
  <c r="AH24" i="4" s="1"/>
  <c r="AF26" i="4"/>
  <c r="AF24" i="4" s="1"/>
  <c r="AE26" i="4"/>
  <c r="AE24" i="4" s="1"/>
  <c r="Q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  <author>Author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  <comment ref="E5" authorId="1" shapeId="0" xr:uid="{00000000-0006-0000-0100-000002000000}">
      <text>
        <r>
          <rPr>
            <sz val="9"/>
            <color indexed="81"/>
            <rFont val="Tahoma"/>
            <family val="2"/>
          </rPr>
          <t>from: 2015 Datalockdown "Tonnes tab"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4" authorId="0" shapeId="0" xr:uid="{00000000-0006-0000-0200-000001000000}">
      <text>
        <r>
          <rPr>
            <sz val="9"/>
            <color indexed="81"/>
            <rFont val="Tahoma"/>
            <family val="2"/>
          </rPr>
          <t>use to over-ride reported tonnes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Caitlin Oliver</author>
  </authors>
  <commentList>
    <comment ref="E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  <comment ref="H1" authorId="1" shapeId="0" xr:uid="{00000000-0006-0000-0300-000002000000}">
      <text>
        <r>
          <rPr>
            <sz val="9"/>
            <color indexed="81"/>
            <rFont val="Tahoma"/>
            <family val="2"/>
          </rPr>
          <t>Average of values below Maximum value in F1</t>
        </r>
      </text>
    </comment>
    <comment ref="H2" authorId="1" shapeId="0" xr:uid="{00000000-0006-0000-0300-000003000000}">
      <text>
        <r>
          <rPr>
            <sz val="9"/>
            <color indexed="81"/>
            <rFont val="Tahoma"/>
            <family val="2"/>
          </rPr>
          <t>Standard Deviation of values below Maximum value in F1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Caitlin Oliver</author>
  </authors>
  <commentList>
    <comment ref="L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Copied from the posted 2016 MFAM. Late penalties are 10% off final funding (towards CIF)</t>
        </r>
      </text>
    </comment>
    <comment ref="N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Column Y in the posted 2016 MFAM </t>
        </r>
      </text>
    </comment>
    <comment ref="O4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2016 Clerical PYA input into column U of the '2017 Funding' tab </t>
        </r>
      </text>
    </comment>
    <comment ref="G12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Index Matched from the "2015 Funding (2013 PYAs)" tab, and then hard copied numbers to avoid numbers being skewed.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29" authorId="0" shapeId="0" xr:uid="{00000000-0006-0000-0500-000001000000}">
      <text>
        <r>
          <rPr>
            <sz val="9"/>
            <color indexed="81"/>
            <rFont val="Tahoma"/>
            <family val="2"/>
          </rPr>
          <t>Repayment is to CIF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5" authorId="0" shapeId="0" xr:uid="{00000000-0006-0000-0600-000001000000}">
      <text>
        <r>
          <rPr>
            <sz val="9"/>
            <color indexed="81"/>
            <rFont val="Tahoma"/>
            <family val="2"/>
          </rPr>
          <t>from: 2016-02-02 - Tonnages - Costs - Revenues - Residuals used in draft MFAM.xlsb (Tab: Tonnes)</t>
        </r>
      </text>
    </comment>
  </commentList>
</comments>
</file>

<file path=xl/sharedStrings.xml><?xml version="1.0" encoding="utf-8"?>
<sst xmlns="http://schemas.openxmlformats.org/spreadsheetml/2006/main" count="2295" uniqueCount="398">
  <si>
    <t>Minaki Recycling Corporation</t>
  </si>
  <si>
    <t>Allowable Net Cost per Tonne</t>
  </si>
  <si>
    <t>Max. Net Cost per Tonne</t>
  </si>
  <si>
    <t>Min. Net Cost per Tonne</t>
  </si>
  <si>
    <t>Wt. Std. Deviation Net Cost/T</t>
  </si>
  <si>
    <t>(xi - xw)²</t>
  </si>
  <si>
    <t>N</t>
  </si>
  <si>
    <t>Weighted Average Group Cost</t>
  </si>
  <si>
    <t>Reported Net Cost per Tonne</t>
  </si>
  <si>
    <t>Program</t>
  </si>
  <si>
    <t>Group</t>
  </si>
  <si>
    <t>PC</t>
  </si>
  <si>
    <t>∑ Adj. Net Costs</t>
  </si>
  <si>
    <t>Use Minimum?</t>
  </si>
  <si>
    <t>Calculation of Weighted Averages and Allowable Net Costs</t>
  </si>
  <si>
    <t>min</t>
  </si>
  <si>
    <t>2015 Reported Tonnes and Revenue</t>
  </si>
  <si>
    <t>max</t>
  </si>
  <si>
    <t>Curbside</t>
  </si>
  <si>
    <t>Depot</t>
  </si>
  <si>
    <t>Marketed</t>
  </si>
  <si>
    <t>Revenue</t>
  </si>
  <si>
    <t>Stream</t>
  </si>
  <si>
    <t>Model?</t>
  </si>
  <si>
    <t>Calc. Residue</t>
  </si>
  <si>
    <t>Residue Used</t>
  </si>
  <si>
    <t>Force Fit Value</t>
  </si>
  <si>
    <t>Calc. Tonnes</t>
  </si>
  <si>
    <t>Other Revenue</t>
  </si>
  <si>
    <t>Total Revenue</t>
  </si>
  <si>
    <t>Maximum:</t>
  </si>
  <si>
    <t>Straight Avg.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</si>
  <si>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</si>
  <si>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</si>
  <si>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</si>
  <si>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</si>
  <si>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</si>
  <si>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</si>
  <si>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Wahnapitae First Nation</t>
  </si>
  <si>
    <t>Alderville First Nation</t>
  </si>
  <si>
    <t>Cutoff Percent:</t>
  </si>
  <si>
    <t>Marketed Tonnes</t>
  </si>
  <si>
    <t>Weighted Average Net Cost/Tonne</t>
  </si>
  <si>
    <t>Maximum Allowable Net Cost/Tonne</t>
  </si>
  <si>
    <t>2017 Funding Summary</t>
  </si>
  <si>
    <t>Cash Funding</t>
  </si>
  <si>
    <t>Calculation of 2017  Steward Cash Obligation</t>
  </si>
  <si>
    <t>CIF Deduction</t>
  </si>
  <si>
    <t>Total Cash</t>
  </si>
  <si>
    <t>Steward Municipal Obligation</t>
  </si>
  <si>
    <t>CNA/OCNA</t>
  </si>
  <si>
    <t>Late Penalty</t>
  </si>
  <si>
    <t>CNA/OCNA In-Kind non cash deduction Balance</t>
  </si>
  <si>
    <t>Obligation</t>
  </si>
  <si>
    <t>CIF Total Allocation</t>
  </si>
  <si>
    <t>CIF Total</t>
  </si>
  <si>
    <t>Cash Obligation Net of CIF Allocation.</t>
  </si>
  <si>
    <t>Total Recovered Tonnes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</si>
  <si>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</si>
  <si>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</si>
  <si>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</si>
  <si>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</si>
  <si>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</si>
  <si>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</si>
  <si>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>Late Penalty?</t>
  </si>
  <si>
    <t>Late Penalty Assessed</t>
  </si>
  <si>
    <t>Final Payment Incl. Late Penalty</t>
  </si>
  <si>
    <t>June 2017 Payment</t>
  </si>
  <si>
    <t>Sept. 2017
Payment</t>
  </si>
  <si>
    <t>Dec. 2017
Payment</t>
  </si>
  <si>
    <t>Mar. 2018
Payment</t>
  </si>
  <si>
    <t xml:space="preserve">2015 Steward Cash Obligation </t>
  </si>
  <si>
    <t>2017 Municipal Funding</t>
  </si>
  <si>
    <t>2015 Steward Cash Obligation</t>
  </si>
  <si>
    <t>Best Practices Portion of  Obligation</t>
  </si>
  <si>
    <t>Recovered Tonnage Portion of  Obligation</t>
  </si>
  <si>
    <t>Net Cost Portion of  Obligation</t>
  </si>
  <si>
    <t>2014 PYA</t>
  </si>
  <si>
    <t>2016 Clerical PYA</t>
  </si>
  <si>
    <t>Missing Program Adjustment</t>
  </si>
  <si>
    <t>Final PYA</t>
  </si>
  <si>
    <t>2016 MFAM Funding Posted</t>
  </si>
  <si>
    <t>Corrected Cost Bands for 2014 (90/10)</t>
  </si>
  <si>
    <t>2016 MFAM Funding (with revised cost bands)</t>
  </si>
  <si>
    <t xml:space="preserve">Corrected 2013 PYA's </t>
  </si>
  <si>
    <t>Missing Programs PYA</t>
  </si>
  <si>
    <t>Carry Forward from 2014 (Petrolia)</t>
  </si>
  <si>
    <t>Carry forward Repayment Adjustment (Petrolia)</t>
  </si>
  <si>
    <t>2016 MFAM Funding Revised (with adjustments)</t>
  </si>
  <si>
    <t xml:space="preserve">Late Penalty </t>
  </si>
  <si>
    <t>Final revised 2016 funding (with late penalty)</t>
  </si>
  <si>
    <t>2016 MFAM Funding Posted (payments)</t>
  </si>
  <si>
    <t>Difference ($)</t>
  </si>
  <si>
    <t>Difference (%)</t>
  </si>
  <si>
    <t>Accounting for Prior Year Adjustments</t>
  </si>
  <si>
    <t>2017 Steward Cash Obligation to Municipalities Based on:</t>
  </si>
  <si>
    <t>2017-06-05 - FINAL 2016 MFAM - following RPRA direction on Steward Obligation &amp; CIF Amount</t>
  </si>
  <si>
    <r>
      <t xml:space="preserve">2016  Municipal Funding
</t>
    </r>
    <r>
      <rPr>
        <b/>
        <sz val="11"/>
        <color theme="1"/>
        <rFont val="Calibri"/>
        <family val="2"/>
      </rPr>
      <t>As Posted - with Cost Band Limitation at 90%</t>
    </r>
  </si>
  <si>
    <t>Calculation of 2016  Steward Cash Obligation</t>
  </si>
  <si>
    <t>2014 Interim Steward Cash Obligation</t>
  </si>
  <si>
    <t>2016 Interim Steward Cash Obligation to Municipalities Based on:</t>
  </si>
  <si>
    <t>Net Cost Portion of Interim Obligation</t>
  </si>
  <si>
    <t>Recovered Tonnage Portion of Interim Obligation</t>
  </si>
  <si>
    <t>Best Practices Portion of Interim Obligation</t>
  </si>
  <si>
    <t xml:space="preserve">2014 Steward Cash Obligation </t>
  </si>
  <si>
    <t>Difference</t>
  </si>
  <si>
    <t>CNA/OCNA Spent in 2014</t>
  </si>
  <si>
    <r>
      <rPr>
        <b/>
        <sz val="11"/>
        <color rgb="FFFF0000"/>
        <rFont val="Calibri"/>
        <family val="2"/>
      </rPr>
      <t>(CIF Deduction)</t>
    </r>
    <r>
      <rPr>
        <b/>
        <sz val="11"/>
        <color rgb="FF000000"/>
        <rFont val="Calibri"/>
        <family val="2"/>
      </rPr>
      <t xml:space="preserve">
or
BP Bonus</t>
    </r>
  </si>
  <si>
    <t>Total Adj. Payment w PYA</t>
  </si>
  <si>
    <t>Posted 2016 MFAM (w Clerical Adjustment)</t>
  </si>
  <si>
    <t>2015 PYA</t>
  </si>
  <si>
    <t>2015 Program Year - Best Practices Scores</t>
  </si>
  <si>
    <t>Program Name</t>
  </si>
  <si>
    <t>Obj. 4 (a)</t>
  </si>
  <si>
    <t>Obj. 4 (b)</t>
  </si>
  <si>
    <t>Number used in MFAM</t>
  </si>
  <si>
    <t/>
  </si>
  <si>
    <t xml:space="preserve">2015 Reported &amp; Calculated Gross Costs </t>
  </si>
  <si>
    <t xml:space="preserve">2015 BP Scores </t>
  </si>
  <si>
    <t>Revised 2016 MFAM Payments- January 2017</t>
  </si>
  <si>
    <t>2014
Marketed Tonnes
881,260 T</t>
  </si>
  <si>
    <t>2014 Reported Gross Cost
$337,190,599</t>
  </si>
  <si>
    <t>2014 Reported Revenue
$91,596,173</t>
  </si>
  <si>
    <t>2014 Reported Net Cost
$245,594,426</t>
  </si>
  <si>
    <t>Adjusted Net Cost
$243,178,591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</si>
  <si>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</si>
  <si>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</si>
  <si>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</si>
  <si>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</si>
  <si>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</si>
  <si>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</si>
  <si>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</si>
  <si>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</si>
  <si>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</si>
  <si>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</si>
  <si>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</si>
  <si>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</si>
  <si>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</si>
  <si>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</si>
  <si>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</si>
  <si>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</si>
  <si>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</si>
  <si>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</si>
  <si>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</si>
  <si>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</si>
  <si>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</si>
  <si>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</si>
  <si>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</si>
  <si>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</si>
  <si>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</si>
  <si>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</si>
  <si>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</si>
  <si>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</si>
  <si>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</si>
  <si>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</si>
  <si>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</si>
  <si>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</si>
  <si>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</si>
  <si>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</si>
  <si>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</si>
  <si>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</si>
  <si>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</si>
  <si>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</si>
  <si>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</si>
  <si>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</si>
  <si>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</si>
  <si>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 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</si>
  <si>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</si>
  <si>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</si>
  <si>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</si>
  <si>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</si>
  <si>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</si>
  <si>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</si>
  <si>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</si>
  <si>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</si>
  <si>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</si>
  <si>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</si>
  <si>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</si>
  <si>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</si>
  <si>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</si>
  <si>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</si>
  <si>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</si>
  <si>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</si>
  <si>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</si>
  <si>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</si>
  <si>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</si>
  <si>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</si>
  <si>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</si>
  <si>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</si>
  <si>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</si>
  <si>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</si>
  <si>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</si>
  <si>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</si>
  <si>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Sault North Waste Management Council</t>
  </si>
  <si>
    <t>Atikokan, Township Of</t>
  </si>
  <si>
    <t>Black River-Matheson,  Township Of</t>
  </si>
  <si>
    <t>Cobalt, Town Of</t>
  </si>
  <si>
    <t>Coleman, Town Of</t>
  </si>
  <si>
    <t>Dryden, City Of</t>
  </si>
  <si>
    <t>Englehart, Town Of</t>
  </si>
  <si>
    <t>Evanturel, Township Of</t>
  </si>
  <si>
    <t>Fort Frances, Town Of</t>
  </si>
  <si>
    <t>Head, Clara &amp; Maria,  Township Of</t>
  </si>
  <si>
    <t>James,  Township Of</t>
  </si>
  <si>
    <t>Kenora, City Of</t>
  </si>
  <si>
    <t>Larder Lake, Township Of</t>
  </si>
  <si>
    <t>Latchford,  Town Of</t>
  </si>
  <si>
    <t>Marathon,  Town Of</t>
  </si>
  <si>
    <t>Matachewan, Township Of</t>
  </si>
  <si>
    <t>Mcgarry, Township Of</t>
  </si>
  <si>
    <t>Tri-Neighbours</t>
  </si>
  <si>
    <t>Papineau-Cameron, Township Of</t>
  </si>
  <si>
    <t>Powassan, Municipality Of</t>
  </si>
  <si>
    <t>Spanish, Town Of</t>
  </si>
  <si>
    <t>Sioux Lookout, The Corporation Of The Municipality Of</t>
  </si>
  <si>
    <t>St. Charles, Municipality Of</t>
  </si>
  <si>
    <t>Chisholm, Township Of</t>
  </si>
  <si>
    <t>East Ferris, Township Of</t>
  </si>
  <si>
    <t>Rainy River First Nations</t>
  </si>
  <si>
    <t>Callander, Municipality Of</t>
  </si>
  <si>
    <t>Atikameksheng Anishnawbek First Nation</t>
  </si>
  <si>
    <t>Batchewana First Nations Ojibways</t>
  </si>
  <si>
    <t>Nippising First Nation</t>
  </si>
  <si>
    <t>Cochrane,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</si>
  <si>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</si>
  <si>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</si>
  <si>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</si>
  <si>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</si>
  <si>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</si>
  <si>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</si>
  <si>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</si>
  <si>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</si>
  <si>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</si>
  <si>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</si>
  <si>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</si>
  <si>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Township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</si>
  <si>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</si>
  <si>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</si>
  <si>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</si>
  <si>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</si>
  <si>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</si>
  <si>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</si>
  <si>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</si>
  <si>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</si>
  <si>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</si>
  <si>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</si>
  <si>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</si>
  <si>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</si>
  <si>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</si>
  <si>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</si>
  <si>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</si>
  <si>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</si>
  <si>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</si>
  <si>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</si>
  <si>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</si>
  <si>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</si>
  <si>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</si>
  <si>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</si>
  <si>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</si>
  <si>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</si>
  <si>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</si>
  <si>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</si>
  <si>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</si>
  <si>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</si>
  <si>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</si>
  <si>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&amp; Plantagenet, Township Of</t>
  </si>
  <si>
    <t>West Grey, Township Of</t>
  </si>
  <si>
    <t>Southgate, Township Of</t>
  </si>
  <si>
    <t xml:space="preserve">Akwesasne, Mohawk Council Of 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</si>
  <si>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</si>
  <si>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</si>
  <si>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</si>
  <si>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</si>
  <si>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</si>
  <si>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</si>
  <si>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</si>
  <si>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</si>
  <si>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</si>
  <si>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</si>
  <si>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</si>
  <si>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</si>
  <si>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</si>
  <si>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</si>
  <si>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Chippewas Of Georgina Island</t>
  </si>
  <si>
    <t>Chippewas Of Rama First Nation</t>
  </si>
  <si>
    <t>Curve Lake First Nations</t>
  </si>
  <si>
    <t>Armour, Township Of</t>
  </si>
  <si>
    <t>Whitestone, Municipality Of</t>
  </si>
  <si>
    <t>The Archipelago, Township Of</t>
  </si>
  <si>
    <t>Carling, Township Of</t>
  </si>
  <si>
    <t>Mcdougall, Township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</si>
  <si>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</si>
  <si>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</si>
  <si>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</si>
  <si>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</si>
  <si>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</si>
  <si>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</si>
  <si>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</si>
  <si>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Township Of</t>
  </si>
  <si>
    <t>Perry, Township Of</t>
  </si>
  <si>
    <t>Northeast Recycling Association</t>
  </si>
  <si>
    <t>Armstrong, Township Of</t>
  </si>
  <si>
    <t>Assiginack,  Township Of</t>
  </si>
  <si>
    <t>Billings,  Township Of</t>
  </si>
  <si>
    <t>Conmee,  Township Of</t>
  </si>
  <si>
    <t>Emo, Township Of</t>
  </si>
  <si>
    <t>French River,  Municipality Of</t>
  </si>
  <si>
    <t>Harley,  Township Of</t>
  </si>
  <si>
    <t>Hilliard,  Township Of</t>
  </si>
  <si>
    <t>Hilton Beach,  Village Of</t>
  </si>
  <si>
    <t>Huron Shores,  Municipality Of</t>
  </si>
  <si>
    <t>Kearney, Town Of</t>
  </si>
  <si>
    <t>Killarney,  Municipality Of</t>
  </si>
  <si>
    <t>Laird, Township Of</t>
  </si>
  <si>
    <t>Macdonald, Meredith &amp; Aberdeen,  Township Of</t>
  </si>
  <si>
    <t>Machar, Township Of</t>
  </si>
  <si>
    <t>Magnetawan, Municipality Of</t>
  </si>
  <si>
    <t>Mcmurrich/Monteith, Township Of</t>
  </si>
  <si>
    <t>Nipissing,  Township Of</t>
  </si>
  <si>
    <t>Oconnor,  Township Of</t>
  </si>
  <si>
    <t>Oliver Paipoonge,  Municipality Of</t>
  </si>
  <si>
    <t>Rainy River, Town Of</t>
  </si>
  <si>
    <t>Red Lake, Municipality Of</t>
  </si>
  <si>
    <t>Shuniah,  Township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</si>
  <si>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</si>
  <si>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</si>
  <si>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</si>
  <si>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</si>
  <si>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</si>
  <si>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</si>
  <si>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</si>
  <si>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</si>
  <si>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</si>
  <si>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</si>
  <si>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</si>
  <si>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</si>
  <si>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 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</si>
  <si>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</si>
  <si>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</si>
  <si>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</si>
  <si>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</si>
  <si>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</si>
  <si>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</si>
  <si>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</si>
  <si>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</si>
  <si>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</si>
  <si>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</si>
  <si>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</si>
  <si>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</si>
  <si>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</si>
  <si>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</si>
  <si>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</si>
  <si>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</si>
  <si>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</si>
  <si>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</si>
  <si>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</si>
  <si>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</si>
  <si>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</si>
  <si>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</si>
  <si>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</si>
  <si>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</si>
  <si>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</si>
  <si>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</si>
  <si>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</si>
  <si>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</si>
  <si>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</si>
  <si>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Dufferin, County Of</t>
  </si>
  <si>
    <t>Prescott,Town Of</t>
  </si>
  <si>
    <t>Coleman,  Township Of</t>
  </si>
  <si>
    <t>Head, Clara And Maria, Townships Of</t>
  </si>
  <si>
    <t>James, Township Of</t>
  </si>
  <si>
    <t>Larder Lake,  Township Of</t>
  </si>
  <si>
    <t>Latchford, Town Of</t>
  </si>
  <si>
    <t>Matachewan, The Corporation Of The Township Of</t>
  </si>
  <si>
    <t>East Ferris, Municipality Of</t>
  </si>
  <si>
    <t>Cochrane, Corporation Of The Town Of</t>
  </si>
  <si>
    <t>North Grenville, Municipality Of</t>
  </si>
  <si>
    <t>Alfred And Plantagenet, Township Of</t>
  </si>
  <si>
    <t>West Grey, Municipality Of</t>
  </si>
  <si>
    <t>Newbury,  Village Of</t>
  </si>
  <si>
    <t>Curve Lake First Nation</t>
  </si>
  <si>
    <t>Mcdougall, Municipality Of</t>
  </si>
  <si>
    <t>Calvin, Municipality Of</t>
  </si>
  <si>
    <t>Billings, Township Of</t>
  </si>
  <si>
    <t>French River, Municipality Of</t>
  </si>
  <si>
    <t>Harley, Township Of</t>
  </si>
  <si>
    <t>Killarney, Municipality Of</t>
  </si>
  <si>
    <t>Macdonald, Meredith &amp; Aberdeen Additional, Township Of</t>
  </si>
  <si>
    <t>Nipissing, Township Of</t>
  </si>
  <si>
    <t>Shuniah, Municipality Of</t>
  </si>
  <si>
    <t>Algonquin Highlands,Township Of</t>
  </si>
  <si>
    <t>Cochrane Temiskaming Waste Management Board</t>
  </si>
  <si>
    <t>Akwesasne, Mohawk Council Of</t>
  </si>
  <si>
    <t>-</t>
  </si>
  <si>
    <t>2017-06-16- FINAL 2017 MFAM - following RPRA direction on Steward Obligation &amp; CIF Amount</t>
  </si>
  <si>
    <t>2014
Adjusted Marketed Tonnes
881,260 T</t>
  </si>
  <si>
    <t>2014 Adjusted Reported Gross Cost
$337,190,599</t>
  </si>
  <si>
    <t>2014 Adjusted Reported Revenue
$91,596,173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</si>
</sst>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&quot;/T&quot;;[Red]\(&quot;$&quot;#,##0.00&quot;/T&quot;\);\-"/>
    <numFmt numFmtId="165" formatCode="[=1]&quot;X&quot;;\-"/>
    <numFmt numFmtId="166" formatCode="&quot;$&quot;#,##0;[Red]\(&quot;$&quot;#,##0\);\-"/>
    <numFmt numFmtId="167" formatCode="&quot;$&quot;#,##0.00\ &quot;/T&quot;;[Red]\(&quot;$&quot;#,##0.00\ &quot;/T&quot;\);\-"/>
    <numFmt numFmtId="168" formatCode="&quot;$&quot;#,##0;[Red]&quot;$&quot;#,##0"/>
    <numFmt numFmtId="169" formatCode="#,##0\ &quot;T&quot;;[Red]\(#,##0\ &quot;T&quot;\);\-"/>
    <numFmt numFmtId="170" formatCode="[=1]&quot;yes&quot;;[=0]&quot;no&quot;;&quot;error&quot;"/>
    <numFmt numFmtId="171" formatCode="#,##0&quot; T&quot;;[Red]\(#,##0&quot; T&quot;\);\-"/>
    <numFmt numFmtId="172" formatCode="[=1]&quot;Single St.&quot;;[=0]&quot;2 Stream&quot;;&quot;error&quot;"/>
    <numFmt numFmtId="173" formatCode="[=1]&quot;SS&quot;;;"/>
    <numFmt numFmtId="174" formatCode="[=1]&quot;yes&quot;;;"/>
    <numFmt numFmtId="175" formatCode="0.0%"/>
    <numFmt numFmtId="176" formatCode=";;"/>
    <numFmt numFmtId="177" formatCode="\$#,##0.00;\-\$#,##0.00"/>
    <numFmt numFmtId="178" formatCode="#,##0\ &quot;T&quot;"/>
    <numFmt numFmtId="179" formatCode="&quot;Group&quot;\ 0"/>
    <numFmt numFmtId="180" formatCode="_-&quot;$&quot;* #,##0_-;\-&quot;$&quot;* #,##0_-;_-&quot;$&quot;* &quot;-&quot;??_-;_-@_-"/>
    <numFmt numFmtId="181" formatCode="#,##0.0%&quot; up&quot;;[Red]\(#,##0.0%\)&quot; down&quot;;\-"/>
    <numFmt numFmtId="182" formatCode="#,##0.00%;[Red]\(#,##0.00%\);\-"/>
    <numFmt numFmtId="183" formatCode="&quot;$&quot;#,##0.00"/>
    <numFmt numFmtId="184" formatCode="[=1]&quot;yes&quot;;[=0]\-;&quot;error&quot;"/>
    <numFmt numFmtId="185" formatCode="&quot;$&quot;#,##0.00;[Red]\(&quot;$&quot;#,##0.00\);\-"/>
    <numFmt numFmtId="186" formatCode="&quot;$&quot;#,##0.00;[Red]&quot;$&quot;#,##0.00"/>
    <numFmt numFmtId="187" formatCode="&quot;Obj. &quot;0"/>
    <numFmt numFmtId="188" formatCode=";;;"/>
    <numFmt numFmtId="189" formatCode="0.0%;[Red]\(0.0%\);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0"/>
      <name val="MS Sans Serif"/>
      <family val="2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rgb="FFD0D7E5"/>
      </right>
      <top style="medium">
        <color auto="1"/>
      </top>
      <bottom/>
      <diagonal/>
    </border>
    <border>
      <left style="thin">
        <color rgb="FFD0D7E5"/>
      </left>
      <right style="thin">
        <color rgb="FFD0D7E5"/>
      </right>
      <top style="medium">
        <color auto="1"/>
      </top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/>
      <bottom style="thin">
        <color rgb="FFD0D7E5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/>
    <xf numFmtId="168" fontId="3" fillId="0" borderId="1" xfId="0" applyNumberFormat="1" applyFont="1" applyFill="1" applyBorder="1" applyAlignment="1" applyProtection="1">
      <alignment vertical="center" wrapText="1"/>
    </xf>
    <xf numFmtId="169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6" fontId="0" fillId="0" borderId="0" xfId="0" applyNumberFormat="1" applyBorder="1"/>
    <xf numFmtId="169" fontId="0" fillId="0" borderId="0" xfId="0" applyNumberFormat="1"/>
    <xf numFmtId="0" fontId="0" fillId="0" borderId="0" xfId="0" applyBorder="1"/>
    <xf numFmtId="169" fontId="0" fillId="0" borderId="0" xfId="0" applyNumberFormat="1" applyBorder="1"/>
    <xf numFmtId="170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quotePrefix="1" applyBorder="1" applyAlignment="1">
      <alignment horizontal="left"/>
    </xf>
    <xf numFmtId="171" fontId="0" fillId="0" borderId="0" xfId="0" applyNumberFormat="1"/>
    <xf numFmtId="172" fontId="0" fillId="0" borderId="0" xfId="0" applyNumberFormat="1" applyFill="1"/>
    <xf numFmtId="10" fontId="0" fillId="0" borderId="0" xfId="0" applyNumberFormat="1" applyFill="1"/>
    <xf numFmtId="0" fontId="9" fillId="0" borderId="0" xfId="0" applyFont="1" applyBorder="1"/>
    <xf numFmtId="0" fontId="0" fillId="0" borderId="0" xfId="0" applyBorder="1" applyAlignment="1">
      <alignment horizontal="left"/>
    </xf>
    <xf numFmtId="166" fontId="0" fillId="0" borderId="0" xfId="0" applyNumberFormat="1"/>
    <xf numFmtId="0" fontId="0" fillId="0" borderId="0" xfId="0" applyFill="1"/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71" fontId="0" fillId="0" borderId="0" xfId="0" applyNumberFormat="1" applyFill="1" applyBorder="1"/>
    <xf numFmtId="166" fontId="0" fillId="0" borderId="0" xfId="0" applyNumberFormat="1" applyFill="1" applyBorder="1"/>
    <xf numFmtId="173" fontId="0" fillId="0" borderId="0" xfId="0" applyNumberForma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175" fontId="0" fillId="0" borderId="0" xfId="2" applyNumberFormat="1" applyFont="1" applyFill="1" applyBorder="1"/>
    <xf numFmtId="171" fontId="0" fillId="0" borderId="0" xfId="2" applyNumberFormat="1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171" fontId="2" fillId="3" borderId="0" xfId="2" applyNumberFormat="1" applyFont="1" applyFill="1" applyBorder="1" applyAlignment="1">
      <alignment horizontal="center"/>
    </xf>
    <xf numFmtId="0" fontId="10" fillId="0" borderId="4" xfId="0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171" fontId="0" fillId="0" borderId="5" xfId="0" applyNumberFormat="1" applyFill="1" applyBorder="1"/>
    <xf numFmtId="166" fontId="0" fillId="0" borderId="5" xfId="0" applyNumberFormat="1" applyFill="1" applyBorder="1"/>
    <xf numFmtId="173" fontId="0" fillId="0" borderId="5" xfId="0" applyNumberFormat="1" applyFill="1" applyBorder="1" applyAlignment="1">
      <alignment horizontal="center"/>
    </xf>
    <xf numFmtId="174" fontId="0" fillId="0" borderId="5" xfId="0" applyNumberFormat="1" applyFill="1" applyBorder="1" applyAlignment="1">
      <alignment horizontal="center"/>
    </xf>
    <xf numFmtId="175" fontId="0" fillId="0" borderId="5" xfId="2" applyNumberFormat="1" applyFont="1" applyFill="1" applyBorder="1"/>
    <xf numFmtId="171" fontId="0" fillId="0" borderId="5" xfId="2" applyNumberFormat="1" applyFont="1" applyFill="1" applyBorder="1" applyAlignment="1">
      <alignment horizontal="center"/>
    </xf>
    <xf numFmtId="0" fontId="10" fillId="0" borderId="6" xfId="0" applyFont="1" applyFill="1" applyBorder="1" applyAlignment="1" applyProtection="1">
      <alignment horizontal="righ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171" fontId="0" fillId="0" borderId="7" xfId="0" applyNumberFormat="1" applyFill="1" applyBorder="1"/>
    <xf numFmtId="166" fontId="0" fillId="0" borderId="7" xfId="0" applyNumberFormat="1" applyFill="1" applyBorder="1"/>
    <xf numFmtId="173" fontId="0" fillId="0" borderId="7" xfId="0" applyNumberFormat="1" applyFill="1" applyBorder="1" applyAlignment="1">
      <alignment horizontal="center"/>
    </xf>
    <xf numFmtId="174" fontId="0" fillId="0" borderId="7" xfId="0" applyNumberFormat="1" applyFill="1" applyBorder="1" applyAlignment="1">
      <alignment horizontal="center"/>
    </xf>
    <xf numFmtId="175" fontId="0" fillId="0" borderId="7" xfId="2" applyNumberFormat="1" applyFont="1" applyFill="1" applyBorder="1"/>
    <xf numFmtId="171" fontId="0" fillId="0" borderId="7" xfId="2" applyNumberFormat="1" applyFont="1" applyFill="1" applyBorder="1" applyAlignment="1">
      <alignment horizontal="center"/>
    </xf>
    <xf numFmtId="174" fontId="1" fillId="3" borderId="0" xfId="3" applyNumberFormat="1" applyFill="1" applyAlignment="1">
      <alignment horizontal="center"/>
    </xf>
    <xf numFmtId="174" fontId="1" fillId="3" borderId="0" xfId="4" applyNumberFormat="1" applyFill="1" applyAlignment="1">
      <alignment horizontal="center"/>
    </xf>
    <xf numFmtId="174" fontId="1" fillId="3" borderId="0" xfId="5" applyNumberFormat="1" applyFill="1" applyAlignment="1">
      <alignment horizontal="center"/>
    </xf>
    <xf numFmtId="171" fontId="0" fillId="0" borderId="0" xfId="0" applyNumberFormat="1" applyFill="1"/>
    <xf numFmtId="166" fontId="0" fillId="0" borderId="0" xfId="0" applyNumberFormat="1" applyFill="1"/>
    <xf numFmtId="173" fontId="0" fillId="0" borderId="0" xfId="0" applyNumberFormat="1" applyFill="1" applyAlignment="1">
      <alignment horizontal="center"/>
    </xf>
    <xf numFmtId="174" fontId="0" fillId="0" borderId="0" xfId="0" applyNumberFormat="1" applyFill="1" applyAlignment="1">
      <alignment horizontal="center"/>
    </xf>
    <xf numFmtId="175" fontId="0" fillId="0" borderId="0" xfId="2" applyNumberFormat="1" applyFont="1" applyFill="1"/>
    <xf numFmtId="171" fontId="0" fillId="0" borderId="0" xfId="2" applyNumberFormat="1" applyFont="1" applyFill="1" applyAlignment="1">
      <alignment horizontal="center"/>
    </xf>
    <xf numFmtId="171" fontId="2" fillId="3" borderId="0" xfId="6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0" xfId="0" applyFont="1"/>
    <xf numFmtId="7" fontId="11" fillId="0" borderId="0" xfId="0" applyNumberFormat="1" applyFont="1" applyFill="1" applyBorder="1"/>
    <xf numFmtId="0" fontId="12" fillId="0" borderId="0" xfId="0" applyFont="1"/>
    <xf numFmtId="175" fontId="11" fillId="0" borderId="0" xfId="2" applyNumberFormat="1" applyFont="1"/>
    <xf numFmtId="166" fontId="11" fillId="0" borderId="0" xfId="0" applyNumberFormat="1" applyFont="1"/>
    <xf numFmtId="169" fontId="11" fillId="0" borderId="0" xfId="0" applyNumberFormat="1" applyFont="1"/>
    <xf numFmtId="0" fontId="13" fillId="2" borderId="3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/>
    <xf numFmtId="0" fontId="10" fillId="0" borderId="2" xfId="0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7" fontId="10" fillId="0" borderId="0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Border="1"/>
    <xf numFmtId="176" fontId="11" fillId="0" borderId="0" xfId="0" applyNumberFormat="1" applyFont="1"/>
    <xf numFmtId="0" fontId="10" fillId="0" borderId="0" xfId="0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4" fillId="0" borderId="0" xfId="0" applyFont="1"/>
    <xf numFmtId="166" fontId="0" fillId="0" borderId="0" xfId="0" applyNumberFormat="1" applyBorder="1"/>
    <xf numFmtId="0" fontId="1" fillId="0" borderId="0" xfId="0" applyFont="1" applyBorder="1"/>
    <xf numFmtId="0" fontId="6" fillId="0" borderId="0" xfId="0" applyFont="1"/>
    <xf numFmtId="179" fontId="0" fillId="0" borderId="11" xfId="0" applyNumberFormat="1" applyBorder="1" applyAlignment="1">
      <alignment horizontal="center"/>
    </xf>
    <xf numFmtId="169" fontId="0" fillId="0" borderId="12" xfId="0" applyNumberFormat="1" applyBorder="1"/>
    <xf numFmtId="167" fontId="0" fillId="0" borderId="12" xfId="0" applyNumberFormat="1" applyBorder="1"/>
    <xf numFmtId="0" fontId="0" fillId="0" borderId="14" xfId="0" applyBorder="1"/>
    <xf numFmtId="166" fontId="0" fillId="0" borderId="15" xfId="0" applyNumberFormat="1" applyBorder="1"/>
    <xf numFmtId="0" fontId="7" fillId="0" borderId="11" xfId="0" applyFont="1" applyBorder="1" applyAlignment="1">
      <alignment horizontal="centerContinuous" vertical="center"/>
    </xf>
    <xf numFmtId="166" fontId="7" fillId="0" borderId="12" xfId="0" applyNumberFormat="1" applyFont="1" applyBorder="1" applyAlignment="1">
      <alignment horizontal="centerContinuous" vertical="center"/>
    </xf>
    <xf numFmtId="166" fontId="7" fillId="0" borderId="13" xfId="0" applyNumberFormat="1" applyFont="1" applyBorder="1" applyAlignment="1">
      <alignment horizontal="centerContinuous" vertical="center"/>
    </xf>
    <xf numFmtId="179" fontId="0" fillId="0" borderId="14" xfId="0" applyNumberFormat="1" applyBorder="1" applyAlignment="1">
      <alignment horizontal="center"/>
    </xf>
    <xf numFmtId="167" fontId="0" fillId="0" borderId="0" xfId="0" applyNumberFormat="1" applyBorder="1"/>
    <xf numFmtId="167" fontId="0" fillId="0" borderId="15" xfId="0" applyNumberFormat="1" applyBorder="1"/>
    <xf numFmtId="0" fontId="7" fillId="0" borderId="14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15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166" fontId="0" fillId="0" borderId="16" xfId="0" applyNumberFormat="1" applyBorder="1"/>
    <xf numFmtId="0" fontId="0" fillId="0" borderId="14" xfId="0" applyBorder="1" applyAlignment="1">
      <alignment horizontal="left" indent="1"/>
    </xf>
    <xf numFmtId="166" fontId="0" fillId="0" borderId="0" xfId="0" applyNumberFormat="1" applyFill="1" applyBorder="1" applyProtection="1">
      <protection locked="0"/>
    </xf>
    <xf numFmtId="6" fontId="2" fillId="0" borderId="17" xfId="0" applyNumberFormat="1" applyFont="1" applyFill="1" applyBorder="1" applyProtection="1">
      <protection locked="0"/>
    </xf>
    <xf numFmtId="0" fontId="0" fillId="0" borderId="14" xfId="0" applyFill="1" applyBorder="1" applyAlignment="1">
      <alignment horizontal="left" indent="1"/>
    </xf>
    <xf numFmtId="0" fontId="0" fillId="0" borderId="15" xfId="0" applyBorder="1"/>
    <xf numFmtId="0" fontId="0" fillId="0" borderId="18" xfId="0" applyFill="1" applyBorder="1"/>
    <xf numFmtId="166" fontId="0" fillId="0" borderId="19" xfId="0" applyNumberFormat="1" applyBorder="1"/>
    <xf numFmtId="180" fontId="0" fillId="0" borderId="20" xfId="0" applyNumberFormat="1" applyBorder="1"/>
    <xf numFmtId="0" fontId="0" fillId="0" borderId="0" xfId="0" applyNumberFormat="1" applyFont="1" applyFill="1" applyBorder="1"/>
    <xf numFmtId="0" fontId="0" fillId="0" borderId="0" xfId="0" applyBorder="1" applyAlignment="1">
      <alignment horizontal="left" indent="1"/>
    </xf>
    <xf numFmtId="179" fontId="0" fillId="0" borderId="18" xfId="0" applyNumberFormat="1" applyBorder="1" applyAlignment="1">
      <alignment horizontal="center"/>
    </xf>
    <xf numFmtId="169" fontId="0" fillId="0" borderId="21" xfId="0" applyNumberFormat="1" applyBorder="1"/>
    <xf numFmtId="167" fontId="0" fillId="0" borderId="21" xfId="0" applyNumberFormat="1" applyBorder="1"/>
    <xf numFmtId="167" fontId="0" fillId="0" borderId="19" xfId="0" applyNumberFormat="1" applyBorder="1"/>
    <xf numFmtId="0" fontId="1" fillId="0" borderId="0" xfId="0" applyNumberFormat="1" applyFont="1" applyFill="1" applyBorder="1" applyProtection="1">
      <protection locked="0"/>
    </xf>
    <xf numFmtId="6" fontId="0" fillId="0" borderId="0" xfId="0" applyNumberFormat="1" applyFont="1" applyFill="1" applyBorder="1"/>
    <xf numFmtId="10" fontId="0" fillId="0" borderId="15" xfId="0" applyNumberFormat="1" applyBorder="1" applyAlignment="1" applyProtection="1">
      <alignment horizontal="center"/>
      <protection locked="0"/>
    </xf>
    <xf numFmtId="164" fontId="0" fillId="0" borderId="0" xfId="0" applyNumberFormat="1" applyBorder="1"/>
    <xf numFmtId="6" fontId="0" fillId="0" borderId="5" xfId="0" applyNumberFormat="1" applyBorder="1"/>
    <xf numFmtId="181" fontId="1" fillId="0" borderId="0" xfId="0" applyNumberFormat="1" applyFont="1" applyBorder="1" applyAlignment="1">
      <alignment horizontal="center"/>
    </xf>
    <xf numFmtId="6" fontId="0" fillId="0" borderId="22" xfId="0" applyNumberFormat="1" applyBorder="1"/>
    <xf numFmtId="6" fontId="0" fillId="0" borderId="15" xfId="0" applyNumberFormat="1" applyBorder="1"/>
    <xf numFmtId="0" fontId="6" fillId="0" borderId="0" xfId="0" applyFont="1" applyFill="1" applyBorder="1" applyAlignment="1">
      <alignment horizontal="centerContinuous"/>
    </xf>
    <xf numFmtId="0" fontId="0" fillId="0" borderId="18" xfId="0" applyBorder="1" applyAlignment="1">
      <alignment horizontal="left" indent="1"/>
    </xf>
    <xf numFmtId="169" fontId="0" fillId="0" borderId="19" xfId="0" applyNumberFormat="1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76" fontId="0" fillId="0" borderId="0" xfId="0" applyNumberFormat="1" applyBorder="1"/>
    <xf numFmtId="176" fontId="0" fillId="0" borderId="0" xfId="0" applyNumberFormat="1"/>
    <xf numFmtId="6" fontId="0" fillId="0" borderId="0" xfId="0" applyNumberFormat="1"/>
    <xf numFmtId="166" fontId="0" fillId="6" borderId="18" xfId="0" applyNumberFormat="1" applyFill="1" applyBorder="1"/>
    <xf numFmtId="166" fontId="0" fillId="6" borderId="21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169" fontId="3" fillId="0" borderId="1" xfId="0" applyNumberFormat="1" applyFont="1" applyFill="1" applyBorder="1" applyAlignment="1" applyProtection="1">
      <alignment vertical="center" wrapText="1"/>
      <protection locked="0"/>
    </xf>
    <xf numFmtId="166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0" xfId="0" applyNumberFormat="1" applyAlignment="1">
      <alignment horizontal="right"/>
    </xf>
    <xf numFmtId="183" fontId="0" fillId="0" borderId="0" xfId="0" applyNumberFormat="1"/>
    <xf numFmtId="166" fontId="3" fillId="0" borderId="0" xfId="0" applyNumberFormat="1" applyFont="1" applyFill="1" applyBorder="1" applyAlignment="1" applyProtection="1">
      <alignment horizontal="right" vertical="center" wrapText="1"/>
    </xf>
    <xf numFmtId="166" fontId="3" fillId="0" borderId="23" xfId="0" applyNumberFormat="1" applyFont="1" applyFill="1" applyBorder="1" applyAlignment="1" applyProtection="1">
      <alignment horizontal="right" vertical="center" wrapText="1"/>
    </xf>
    <xf numFmtId="184" fontId="3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164" fontId="0" fillId="0" borderId="13" xfId="0" applyNumberFormat="1" applyBorder="1"/>
    <xf numFmtId="169" fontId="1" fillId="0" borderId="0" xfId="0" applyNumberFormat="1" applyFont="1" applyBorder="1"/>
    <xf numFmtId="9" fontId="0" fillId="0" borderId="0" xfId="2" applyFont="1"/>
    <xf numFmtId="43" fontId="0" fillId="0" borderId="0" xfId="9" applyFont="1"/>
    <xf numFmtId="0" fontId="5" fillId="2" borderId="8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6" fillId="5" borderId="3" xfId="2" applyFont="1" applyFill="1" applyBorder="1" applyAlignment="1">
      <alignment horizontal="center" vertical="center"/>
    </xf>
    <xf numFmtId="185" fontId="0" fillId="0" borderId="0" xfId="0" applyNumberFormat="1"/>
    <xf numFmtId="186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182" fontId="3" fillId="0" borderId="23" xfId="0" applyNumberFormat="1" applyFont="1" applyFill="1" applyBorder="1" applyAlignment="1" applyProtection="1">
      <alignment horizontal="right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180" fontId="16" fillId="0" borderId="0" xfId="1" applyNumberFormat="1" applyFont="1" applyFill="1"/>
    <xf numFmtId="0" fontId="5" fillId="2" borderId="24" xfId="0" applyFont="1" applyFill="1" applyBorder="1" applyAlignment="1" applyProtection="1">
      <alignment horizontal="center" vertical="center" wrapText="1"/>
    </xf>
    <xf numFmtId="167" fontId="0" fillId="0" borderId="13" xfId="0" applyNumberFormat="1" applyBorder="1"/>
    <xf numFmtId="166" fontId="7" fillId="0" borderId="0" xfId="0" applyNumberFormat="1" applyFont="1" applyBorder="1" applyAlignment="1">
      <alignment horizontal="centerContinuous" vertical="center"/>
    </xf>
    <xf numFmtId="180" fontId="0" fillId="0" borderId="0" xfId="0" applyNumberFormat="1" applyBorder="1"/>
    <xf numFmtId="10" fontId="0" fillId="0" borderId="0" xfId="0" applyNumberFormat="1" applyBorder="1" applyAlignment="1" applyProtection="1">
      <alignment horizontal="center"/>
      <protection locked="0"/>
    </xf>
    <xf numFmtId="0" fontId="6" fillId="4" borderId="8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169" fontId="0" fillId="3" borderId="0" xfId="0" applyNumberFormat="1" applyFill="1"/>
    <xf numFmtId="6" fontId="0" fillId="3" borderId="0" xfId="0" applyNumberFormat="1" applyFill="1" applyBorder="1"/>
    <xf numFmtId="166" fontId="0" fillId="9" borderId="14" xfId="0" applyNumberFormat="1" applyFill="1" applyBorder="1"/>
    <xf numFmtId="166" fontId="0" fillId="9" borderId="21" xfId="0" applyNumberFormat="1" applyFill="1" applyBorder="1"/>
    <xf numFmtId="166" fontId="0" fillId="9" borderId="0" xfId="0" applyNumberFormat="1" applyFill="1" applyBorder="1"/>
    <xf numFmtId="0" fontId="6" fillId="4" borderId="10" xfId="0" applyFont="1" applyFill="1" applyBorder="1" applyAlignment="1">
      <alignment horizontal="centerContinuous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Protection="1">
      <protection locked="0"/>
    </xf>
    <xf numFmtId="166" fontId="3" fillId="0" borderId="25" xfId="0" applyNumberFormat="1" applyFont="1" applyFill="1" applyBorder="1" applyAlignment="1" applyProtection="1">
      <alignment horizontal="right" vertical="center" wrapText="1"/>
    </xf>
    <xf numFmtId="166" fontId="3" fillId="0" borderId="26" xfId="0" applyNumberFormat="1" applyFont="1" applyFill="1" applyBorder="1" applyAlignment="1" applyProtection="1">
      <alignment horizontal="right" vertical="center" wrapText="1"/>
    </xf>
    <xf numFmtId="182" fontId="3" fillId="0" borderId="26" xfId="0" applyNumberFormat="1" applyFont="1" applyFill="1" applyBorder="1" applyAlignment="1" applyProtection="1">
      <alignment horizontal="right" vertical="center" wrapText="1"/>
    </xf>
    <xf numFmtId="166" fontId="3" fillId="0" borderId="27" xfId="0" applyNumberFormat="1" applyFont="1" applyFill="1" applyBorder="1" applyAlignment="1" applyProtection="1">
      <alignment horizontal="right" vertical="center" wrapText="1"/>
    </xf>
    <xf numFmtId="182" fontId="3" fillId="0" borderId="27" xfId="0" applyNumberFormat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169" fontId="3" fillId="3" borderId="1" xfId="0" applyNumberFormat="1" applyFont="1" applyFill="1" applyBorder="1" applyAlignment="1" applyProtection="1">
      <alignment vertical="center" wrapText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/>
    </xf>
    <xf numFmtId="167" fontId="0" fillId="3" borderId="0" xfId="0" applyNumberFormat="1" applyFill="1"/>
    <xf numFmtId="166" fontId="3" fillId="0" borderId="28" xfId="0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left"/>
    </xf>
    <xf numFmtId="10" fontId="2" fillId="3" borderId="0" xfId="0" applyNumberFormat="1" applyFont="1" applyFill="1"/>
    <xf numFmtId="187" fontId="2" fillId="13" borderId="3" xfId="0" applyNumberFormat="1" applyFont="1" applyFill="1" applyBorder="1" applyAlignment="1">
      <alignment horizontal="center" vertical="center" wrapText="1"/>
    </xf>
    <xf numFmtId="187" fontId="2" fillId="4" borderId="3" xfId="0" applyNumberFormat="1" applyFont="1" applyFill="1" applyBorder="1" applyAlignment="1">
      <alignment horizontal="center" vertical="center" wrapText="1"/>
    </xf>
    <xf numFmtId="164" fontId="0" fillId="7" borderId="0" xfId="0" applyNumberFormat="1" applyFill="1"/>
    <xf numFmtId="0" fontId="0" fillId="0" borderId="0" xfId="0" applyFill="1" applyBorder="1" applyAlignment="1">
      <alignment horizontal="centerContinuous"/>
    </xf>
    <xf numFmtId="0" fontId="2" fillId="8" borderId="24" xfId="0" applyFont="1" applyFill="1" applyBorder="1" applyAlignment="1">
      <alignment horizontal="center" vertical="center" wrapText="1"/>
    </xf>
    <xf numFmtId="164" fontId="0" fillId="0" borderId="15" xfId="0" applyNumberFormat="1" applyBorder="1"/>
    <xf numFmtId="164" fontId="0" fillId="0" borderId="19" xfId="0" applyNumberFormat="1" applyBorder="1"/>
    <xf numFmtId="188" fontId="0" fillId="0" borderId="0" xfId="0" applyNumberFormat="1" applyFill="1" applyBorder="1"/>
    <xf numFmtId="188" fontId="0" fillId="0" borderId="0" xfId="0" applyNumberFormat="1" applyBorder="1"/>
    <xf numFmtId="188" fontId="3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6" fontId="2" fillId="0" borderId="0" xfId="0" applyNumberFormat="1" applyFont="1" applyFill="1" applyBorder="1" applyProtection="1">
      <protection locked="0"/>
    </xf>
    <xf numFmtId="166" fontId="6" fillId="0" borderId="0" xfId="0" applyNumberFormat="1" applyFont="1" applyFill="1" applyBorder="1" applyAlignment="1">
      <alignment horizontal="centerContinuous" vertical="center"/>
    </xf>
    <xf numFmtId="188" fontId="0" fillId="9" borderId="11" xfId="0" applyNumberFormat="1" applyFill="1" applyBorder="1"/>
    <xf numFmtId="188" fontId="0" fillId="9" borderId="0" xfId="0" applyNumberFormat="1" applyFill="1"/>
    <xf numFmtId="188" fontId="0" fillId="9" borderId="0" xfId="2" applyNumberFormat="1" applyFont="1" applyFill="1" applyAlignment="1">
      <alignment horizontal="right"/>
    </xf>
    <xf numFmtId="188" fontId="0" fillId="9" borderId="15" xfId="0" applyNumberFormat="1" applyFill="1" applyBorder="1"/>
    <xf numFmtId="188" fontId="0" fillId="9" borderId="14" xfId="0" applyNumberFormat="1" applyFill="1" applyBorder="1"/>
    <xf numFmtId="188" fontId="0" fillId="9" borderId="0" xfId="0" applyNumberFormat="1" applyFill="1" applyBorder="1"/>
    <xf numFmtId="188" fontId="0" fillId="9" borderId="0" xfId="0" applyNumberFormat="1" applyFont="1" applyFill="1" applyAlignment="1">
      <alignment horizontal="left"/>
    </xf>
    <xf numFmtId="188" fontId="0" fillId="9" borderId="15" xfId="0" applyNumberFormat="1" applyFont="1" applyFill="1" applyBorder="1"/>
    <xf numFmtId="188" fontId="0" fillId="9" borderId="0" xfId="0" applyNumberFormat="1" applyFill="1" applyAlignment="1">
      <alignment horizontal="left"/>
    </xf>
    <xf numFmtId="188" fontId="0" fillId="9" borderId="19" xfId="9" applyNumberFormat="1" applyFont="1" applyFill="1" applyBorder="1"/>
    <xf numFmtId="188" fontId="0" fillId="0" borderId="0" xfId="0" applyNumberFormat="1"/>
    <xf numFmtId="0" fontId="2" fillId="14" borderId="3" xfId="0" applyFont="1" applyFill="1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0" xfId="2" applyNumberFormat="1" applyFont="1" applyAlignment="1">
      <alignment horizontal="center"/>
    </xf>
    <xf numFmtId="189" fontId="0" fillId="0" borderId="0" xfId="0" applyNumberFormat="1" applyFill="1" applyAlignment="1">
      <alignment horizontal="center"/>
    </xf>
    <xf numFmtId="189" fontId="0" fillId="0" borderId="0" xfId="2" applyNumberFormat="1" applyFont="1" applyFill="1" applyAlignment="1">
      <alignment horizontal="center"/>
    </xf>
    <xf numFmtId="188" fontId="0" fillId="6" borderId="11" xfId="1" applyNumberFormat="1" applyFont="1" applyFill="1" applyBorder="1" applyAlignment="1"/>
    <xf numFmtId="188" fontId="0" fillId="6" borderId="12" xfId="1" applyNumberFormat="1" applyFont="1" applyFill="1" applyBorder="1" applyAlignment="1"/>
    <xf numFmtId="188" fontId="0" fillId="6" borderId="12" xfId="2" applyNumberFormat="1" applyFont="1" applyFill="1" applyBorder="1" applyAlignment="1"/>
    <xf numFmtId="188" fontId="0" fillId="6" borderId="0" xfId="0" applyNumberFormat="1" applyFill="1" applyBorder="1" applyAlignment="1"/>
    <xf numFmtId="188" fontId="0" fillId="6" borderId="14" xfId="0" applyNumberFormat="1" applyFill="1" applyBorder="1" applyAlignment="1"/>
    <xf numFmtId="188" fontId="0" fillId="6" borderId="0" xfId="0" applyNumberFormat="1" applyFont="1" applyFill="1" applyBorder="1" applyAlignment="1"/>
    <xf numFmtId="188" fontId="0" fillId="6" borderId="0" xfId="1" applyNumberFormat="1" applyFont="1" applyFill="1" applyBorder="1" applyAlignment="1"/>
    <xf numFmtId="188" fontId="0" fillId="6" borderId="15" xfId="0" applyNumberFormat="1" applyFill="1" applyBorder="1" applyAlignment="1"/>
    <xf numFmtId="180" fontId="16" fillId="0" borderId="0" xfId="1" applyNumberFormat="1" applyFont="1" applyFill="1" applyBorder="1"/>
    <xf numFmtId="180" fontId="16" fillId="0" borderId="15" xfId="1" applyNumberFormat="1" applyFont="1" applyFill="1" applyBorder="1"/>
    <xf numFmtId="166" fontId="0" fillId="0" borderId="15" xfId="0" applyNumberFormat="1" applyFill="1" applyBorder="1" applyProtection="1">
      <protection locked="0"/>
    </xf>
    <xf numFmtId="180" fontId="0" fillId="0" borderId="15" xfId="0" applyNumberFormat="1" applyBorder="1"/>
    <xf numFmtId="166" fontId="7" fillId="0" borderId="12" xfId="0" applyNumberFormat="1" applyFont="1" applyBorder="1" applyAlignment="1">
      <alignment horizontal="left" vertical="center"/>
    </xf>
    <xf numFmtId="8" fontId="0" fillId="0" borderId="0" xfId="0" applyNumberFormat="1" applyBorder="1"/>
    <xf numFmtId="0" fontId="1" fillId="0" borderId="0" xfId="0" applyFont="1" applyFill="1" applyBorder="1"/>
    <xf numFmtId="166" fontId="7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/>
    </xf>
    <xf numFmtId="167" fontId="0" fillId="0" borderId="0" xfId="0" applyNumberFormat="1" applyFill="1"/>
    <xf numFmtId="0" fontId="2" fillId="8" borderId="3" xfId="0" applyFont="1" applyFill="1" applyBorder="1" applyAlignment="1" applyProtection="1">
      <alignment horizontal="center" vertical="center" wrapText="1"/>
    </xf>
    <xf numFmtId="9" fontId="0" fillId="0" borderId="0" xfId="2" applyNumberFormat="1" applyFont="1" applyProtection="1"/>
    <xf numFmtId="9" fontId="0" fillId="0" borderId="0" xfId="2" applyNumberFormat="1" applyFont="1" applyFill="1" applyAlignment="1" applyProtection="1">
      <alignment horizontal="right"/>
    </xf>
    <xf numFmtId="185" fontId="0" fillId="0" borderId="0" xfId="0" applyNumberFormat="1" applyBorder="1"/>
    <xf numFmtId="185" fontId="0" fillId="0" borderId="0" xfId="0" applyNumberFormat="1" applyFont="1" applyFill="1" applyBorder="1"/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1">
    <cellStyle name="Comma" xfId="9" builtinId="3"/>
    <cellStyle name="Comma 2" xfId="10" xr:uid="{00000000-0005-0000-0000-000001000000}"/>
    <cellStyle name="Currency" xfId="1" builtinId="4"/>
    <cellStyle name="Normal" xfId="0" builtinId="0"/>
    <cellStyle name="Normal 16" xfId="3" xr:uid="{00000000-0005-0000-0000-000004000000}"/>
    <cellStyle name="Normal 18" xfId="4" xr:uid="{00000000-0005-0000-0000-000005000000}"/>
    <cellStyle name="Normal 19" xfId="5" xr:uid="{00000000-0005-0000-0000-000006000000}"/>
    <cellStyle name="Normal 2" xfId="7" xr:uid="{00000000-0005-0000-0000-000007000000}"/>
    <cellStyle name="Normal 3" xfId="8" xr:uid="{00000000-0005-0000-0000-000008000000}"/>
    <cellStyle name="Percent" xfId="2" builtinId="5"/>
    <cellStyle name="Percent 2" xfId="6" xr:uid="{00000000-0005-0000-0000-00000A000000}"/>
  </cellStyles>
  <dxfs count="23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99FF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4465-5986-494C-8FFA-169A8C3F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269"/>
  <sheetViews>
    <sheetView tabSelected="1" zoomScaleNormal="100" workbookViewId="0">
      <selection activeCell="H21" sqref="H21"/>
    </sheetView>
  </sheetViews>
  <sheetFormatPr defaultRowHeight="15" x14ac:dyDescent="0.25"/>
  <cols>
    <col min="1" max="1" width="5.5703125" customWidth="1"/>
    <col min="2" max="2" width="11.42578125" style="1" customWidth="1"/>
    <col min="3" max="3" width="13.85546875" style="1" customWidth="1"/>
    <col min="4" max="4" width="55.42578125" customWidth="1"/>
    <col min="5" max="5" width="16.42578125" customWidth="1"/>
    <col min="6" max="16" width="14.5703125" customWidth="1"/>
    <col min="17" max="17" width="17.42578125" customWidth="1"/>
    <col min="18" max="18" width="20.5703125" customWidth="1"/>
    <col min="19" max="19" width="22.85546875" customWidth="1"/>
    <col min="20" max="20" width="5.5703125" style="71" customWidth="1"/>
    <col min="21" max="24" width="14.5703125" style="71" customWidth="1"/>
    <col min="25" max="25" width="5.5703125" style="71" customWidth="1"/>
    <col min="26" max="29" width="12.5703125" customWidth="1"/>
    <col min="30" max="30" width="5.5703125" customWidth="1"/>
    <col min="31" max="35" width="12.5703125" customWidth="1"/>
    <col min="36" max="36" width="8.5703125" customWidth="1"/>
    <col min="37" max="38" width="12.5703125" customWidth="1"/>
    <col min="39" max="39" width="4.5703125" customWidth="1"/>
    <col min="40" max="43" width="12.5703125" customWidth="1"/>
  </cols>
  <sheetData>
    <row r="1" spans="2:34" ht="58.5" customHeight="1" thickBot="1" x14ac:dyDescent="0.3">
      <c r="D1" s="95" t="s">
        <v>394</v>
      </c>
      <c r="AD1" s="96"/>
    </row>
    <row r="2" spans="2:34" ht="45.75" thickBot="1" x14ac:dyDescent="0.3">
      <c r="B2" s="263" t="s">
        <v>72</v>
      </c>
      <c r="C2" s="264"/>
      <c r="D2" s="264"/>
      <c r="E2" s="264"/>
      <c r="F2" s="264"/>
      <c r="G2" s="265"/>
      <c r="H2" s="97"/>
      <c r="J2" s="98" t="s">
        <v>40</v>
      </c>
      <c r="K2" s="15">
        <v>0.9</v>
      </c>
      <c r="L2" s="215" t="s">
        <v>41</v>
      </c>
      <c r="M2" s="215" t="s">
        <v>42</v>
      </c>
      <c r="N2" s="215" t="s">
        <v>43</v>
      </c>
      <c r="O2" s="96"/>
      <c r="P2" s="266" t="s">
        <v>44</v>
      </c>
      <c r="Q2" s="267"/>
      <c r="AD2" s="96"/>
    </row>
    <row r="3" spans="2:34" ht="15.75" thickBot="1" x14ac:dyDescent="0.3">
      <c r="B3" s="23"/>
      <c r="H3" s="97"/>
      <c r="K3" s="99">
        <v>1</v>
      </c>
      <c r="L3" s="100">
        <f t="shared" ref="L3:L11" si="0">SUMPRODUCT(--($C$26:$C$307=$K3),$E$26:$E$307)</f>
        <v>398843.10000000009</v>
      </c>
      <c r="M3" s="101">
        <f>INDEX('Cost Bands for 2017 MFAM'!M6:M248,MATCH('2017 Funding'!K3,'Cost Bands for 2017 MFAM'!$C$6:$C$248,0))</f>
        <v>321.30652870765465</v>
      </c>
      <c r="N3" s="158">
        <f>INDEX('Cost Bands for 2017 MFAM'!R6:R248,MATCH('2017 Funding'!K3,'Cost Bands for 2017 MFAM'!$C$6:$C$248,0))</f>
        <v>433.17502664312281</v>
      </c>
      <c r="O3" s="261"/>
      <c r="P3" s="102" t="s">
        <v>45</v>
      </c>
      <c r="Q3" s="103">
        <f>Z24</f>
        <v>116732177.99999993</v>
      </c>
      <c r="AD3" s="96"/>
    </row>
    <row r="4" spans="2:34" x14ac:dyDescent="0.25">
      <c r="D4" s="104" t="s">
        <v>46</v>
      </c>
      <c r="E4" s="105"/>
      <c r="F4" s="105"/>
      <c r="G4" s="106"/>
      <c r="H4" s="97"/>
      <c r="K4" s="107">
        <v>2</v>
      </c>
      <c r="L4" s="20">
        <f t="shared" si="0"/>
        <v>222214.64499999999</v>
      </c>
      <c r="M4" s="108">
        <f>INDEX('Cost Bands for 2017 MFAM'!M7:M249,MATCH('2017 Funding'!K4,'Cost Bands for 2017 MFAM'!$C$6:$C$248,0))</f>
        <v>219.09782147796781</v>
      </c>
      <c r="N4" s="216">
        <f>INDEX('Cost Bands for 2017 MFAM'!R7:R249,MATCH('2017 Funding'!K4,'Cost Bands for 2017 MFAM'!$C$6:$C$248,0))</f>
        <v>286.56696244505764</v>
      </c>
      <c r="O4" s="261"/>
      <c r="P4" s="102" t="s">
        <v>47</v>
      </c>
      <c r="Q4" s="103">
        <f>-E9</f>
        <v>0</v>
      </c>
      <c r="AD4" s="96"/>
    </row>
    <row r="5" spans="2:34" x14ac:dyDescent="0.25">
      <c r="D5" s="110"/>
      <c r="E5" s="111"/>
      <c r="F5" s="111"/>
      <c r="G5" s="112"/>
      <c r="H5" s="113"/>
      <c r="I5" s="114"/>
      <c r="K5" s="107">
        <v>3</v>
      </c>
      <c r="L5" s="20">
        <f t="shared" si="0"/>
        <v>50010.340000000011</v>
      </c>
      <c r="M5" s="108">
        <f>INDEX('Cost Bands for 2017 MFAM'!M8:M250,MATCH('2017 Funding'!K5,'Cost Bands for 2017 MFAM'!$C$6:$C$248,0))</f>
        <v>202.66997564903573</v>
      </c>
      <c r="N5" s="216">
        <f>INDEX('Cost Bands for 2017 MFAM'!R8:R250,MATCH('2017 Funding'!K5,'Cost Bands for 2017 MFAM'!$C$6:$C$248,0))</f>
        <v>297.48983617479831</v>
      </c>
      <c r="O5" s="261"/>
      <c r="P5" s="102" t="s">
        <v>48</v>
      </c>
      <c r="Q5" s="115">
        <f>AC24</f>
        <v>116719227.19437014</v>
      </c>
      <c r="AD5" s="96"/>
    </row>
    <row r="6" spans="2:34" x14ac:dyDescent="0.25">
      <c r="D6" s="116" t="s">
        <v>49</v>
      </c>
      <c r="E6" s="177">
        <f>123669745</f>
        <v>123669745</v>
      </c>
      <c r="F6" s="96"/>
      <c r="G6" s="103"/>
      <c r="H6" s="113"/>
      <c r="I6" s="114"/>
      <c r="K6" s="107">
        <v>4</v>
      </c>
      <c r="L6" s="20">
        <f t="shared" si="0"/>
        <v>99841.615170553574</v>
      </c>
      <c r="M6" s="108">
        <f>INDEX('Cost Bands for 2017 MFAM'!M9:M251,MATCH('2017 Funding'!K6,'Cost Bands for 2017 MFAM'!$C$6:$C$248,0))</f>
        <v>350.13305203730488</v>
      </c>
      <c r="N6" s="216">
        <f>INDEX('Cost Bands for 2017 MFAM'!R9:R251,MATCH('2017 Funding'!K6,'Cost Bands for 2017 MFAM'!$C$6:$C$248,0))</f>
        <v>474.60800294848934</v>
      </c>
      <c r="O6" s="261"/>
      <c r="P6" s="102" t="s">
        <v>50</v>
      </c>
      <c r="Q6" s="103">
        <f>-E8</f>
        <v>6937567</v>
      </c>
      <c r="AD6" s="96"/>
    </row>
    <row r="7" spans="2:34" ht="15.75" thickBot="1" x14ac:dyDescent="0.3">
      <c r="D7" s="116"/>
      <c r="E7" s="96"/>
      <c r="F7" s="96"/>
      <c r="G7" s="103"/>
      <c r="H7" s="113"/>
      <c r="I7" s="114"/>
      <c r="K7" s="107">
        <v>5</v>
      </c>
      <c r="L7" s="20">
        <f t="shared" si="0"/>
        <v>18911.686043768961</v>
      </c>
      <c r="M7" s="108">
        <f>INDEX('Cost Bands for 2017 MFAM'!M10:M252,MATCH('2017 Funding'!K7,'Cost Bands for 2017 MFAM'!$C$6:$C$248,0))</f>
        <v>267.33287863911858</v>
      </c>
      <c r="N7" s="216">
        <f>INDEX('Cost Bands for 2017 MFAM'!R10:R252,MATCH('2017 Funding'!K7,'Cost Bands for 2017 MFAM'!$C$6:$C$248,0))</f>
        <v>419.89016626080786</v>
      </c>
      <c r="O7" s="261"/>
      <c r="P7" s="102" t="s">
        <v>51</v>
      </c>
      <c r="Q7" s="103">
        <f>AB24</f>
        <v>-12950.80562980363</v>
      </c>
      <c r="AD7" s="96"/>
    </row>
    <row r="8" spans="2:34" ht="15.75" thickTop="1" x14ac:dyDescent="0.25">
      <c r="D8" s="116" t="s">
        <v>52</v>
      </c>
      <c r="E8" s="117">
        <v>-6937567</v>
      </c>
      <c r="F8" s="117"/>
      <c r="G8" s="103"/>
      <c r="H8" s="113"/>
      <c r="I8" s="114"/>
      <c r="K8" s="107">
        <v>6</v>
      </c>
      <c r="L8" s="20">
        <f t="shared" si="0"/>
        <v>10485.945033956796</v>
      </c>
      <c r="M8" s="108">
        <f>INDEX('Cost Bands for 2017 MFAM'!M11:M253,MATCH('2017 Funding'!K8,'Cost Bands for 2017 MFAM'!$C$6:$C$248,0))</f>
        <v>605.76522091524942</v>
      </c>
      <c r="N8" s="216">
        <f>INDEX('Cost Bands for 2017 MFAM'!R11:R253,MATCH('2017 Funding'!K8,'Cost Bands for 2017 MFAM'!$C$6:$C$248,0))</f>
        <v>940.2492921721589</v>
      </c>
      <c r="O8" s="261"/>
      <c r="P8" s="102" t="s">
        <v>53</v>
      </c>
      <c r="Q8" s="118">
        <f>Q3+Q6+Q7</f>
        <v>123656794.19437012</v>
      </c>
      <c r="AD8" s="96"/>
    </row>
    <row r="9" spans="2:34" ht="15.75" thickBot="1" x14ac:dyDescent="0.3">
      <c r="D9" s="119" t="s">
        <v>54</v>
      </c>
      <c r="E9" s="117">
        <v>0</v>
      </c>
      <c r="G9" s="120"/>
      <c r="H9" s="113"/>
      <c r="I9" s="114"/>
      <c r="K9" s="107">
        <v>7</v>
      </c>
      <c r="L9" s="20">
        <f t="shared" si="0"/>
        <v>38652.429196623722</v>
      </c>
      <c r="M9" s="108">
        <f>INDEX('Cost Bands for 2017 MFAM'!M12:M254,MATCH('2017 Funding'!K9,'Cost Bands for 2017 MFAM'!$C$6:$C$248,0))</f>
        <v>427.24485894517835</v>
      </c>
      <c r="N9" s="216">
        <f>INDEX('Cost Bands for 2017 MFAM'!R12:R254,MATCH('2017 Funding'!K9,'Cost Bands for 2017 MFAM'!$C$6:$C$248,0))</f>
        <v>669.57752759227765</v>
      </c>
      <c r="O9" s="261"/>
      <c r="P9" s="121" t="s">
        <v>55</v>
      </c>
      <c r="Q9" s="122">
        <f>-E9-AB24</f>
        <v>12950.80562980363</v>
      </c>
      <c r="AD9" s="96"/>
    </row>
    <row r="10" spans="2:34" ht="15.75" thickBot="1" x14ac:dyDescent="0.3">
      <c r="D10" s="116" t="s">
        <v>73</v>
      </c>
      <c r="E10" s="123">
        <f>E6+E8+E9</f>
        <v>116732178</v>
      </c>
      <c r="F10" s="96"/>
      <c r="G10" s="103"/>
      <c r="H10" s="113"/>
      <c r="I10" s="114"/>
      <c r="K10" s="107">
        <v>8</v>
      </c>
      <c r="L10" s="20">
        <f t="shared" si="0"/>
        <v>5064.1860048005583</v>
      </c>
      <c r="M10" s="108">
        <f>INDEX('Cost Bands for 2017 MFAM'!M13:M255,MATCH('2017 Funding'!K10,'Cost Bands for 2017 MFAM'!$C$6:$C$248,0))</f>
        <v>707.3327454016121</v>
      </c>
      <c r="N10" s="216">
        <f>INDEX('Cost Bands for 2017 MFAM'!R13:R255,MATCH('2017 Funding'!K10,'Cost Bands for 2017 MFAM'!$C$6:$C$248,0))</f>
        <v>1523.8797267844407</v>
      </c>
      <c r="O10" s="262"/>
      <c r="P10" s="124"/>
      <c r="Q10" s="131">
        <f>Q8+Q9</f>
        <v>123669744.99999993</v>
      </c>
      <c r="R10" s="124"/>
      <c r="AD10" s="96"/>
    </row>
    <row r="11" spans="2:34" ht="16.5" thickTop="1" thickBot="1" x14ac:dyDescent="0.3">
      <c r="D11" s="116" t="s">
        <v>56</v>
      </c>
      <c r="E11" s="96">
        <f>E10-E9</f>
        <v>116732178</v>
      </c>
      <c r="F11" s="125"/>
      <c r="G11" s="103"/>
      <c r="H11" s="113"/>
      <c r="I11" s="114"/>
      <c r="K11" s="126">
        <v>9</v>
      </c>
      <c r="L11" s="127">
        <f t="shared" si="0"/>
        <v>8413.1169012801347</v>
      </c>
      <c r="M11" s="128">
        <f>INDEX('Cost Bands for 2017 MFAM'!M14:M256,MATCH('2017 Funding'!K11,'Cost Bands for 2017 MFAM'!$C$6:$C$248,0))</f>
        <v>506.63352595890353</v>
      </c>
      <c r="N11" s="217">
        <f>INDEX('Cost Bands for 2017 MFAM'!R14:R256,MATCH('2017 Funding'!K11,'Cost Bands for 2017 MFAM'!$C$6:$C$248,0))</f>
        <v>1044.6474423565719</v>
      </c>
      <c r="O11" s="262"/>
      <c r="P11" s="124"/>
      <c r="Q11" s="124"/>
      <c r="R11" s="124"/>
      <c r="AD11" s="96"/>
    </row>
    <row r="12" spans="2:34" x14ac:dyDescent="0.25">
      <c r="D12" s="102"/>
      <c r="E12" s="19"/>
      <c r="F12" s="19"/>
      <c r="G12" s="120"/>
      <c r="H12" s="114"/>
      <c r="I12" s="114"/>
      <c r="J12" s="114"/>
      <c r="K12" s="97"/>
      <c r="L12" s="97"/>
      <c r="O12" s="124"/>
      <c r="P12" s="124"/>
      <c r="Q12" s="130"/>
      <c r="R12" s="124"/>
      <c r="Z12" s="96"/>
      <c r="AA12" s="96"/>
      <c r="AB12" s="96"/>
      <c r="AC12" s="96"/>
      <c r="AD12" s="96"/>
      <c r="AE12" s="96"/>
      <c r="AF12" s="96"/>
      <c r="AG12" s="96"/>
      <c r="AH12" s="96"/>
    </row>
    <row r="13" spans="2:34" x14ac:dyDescent="0.25">
      <c r="D13" s="110" t="s">
        <v>95</v>
      </c>
      <c r="E13" s="111"/>
      <c r="F13" s="111"/>
      <c r="G13" s="112"/>
      <c r="H13" s="113"/>
      <c r="I13" s="114"/>
      <c r="J13" s="131"/>
      <c r="K13" s="97"/>
      <c r="L13" s="159"/>
      <c r="M13" s="97"/>
      <c r="O13" s="124"/>
      <c r="P13" s="124"/>
      <c r="Q13" s="124"/>
      <c r="R13" s="124"/>
      <c r="AD13" s="96"/>
    </row>
    <row r="14" spans="2:34" x14ac:dyDescent="0.25">
      <c r="D14" s="116" t="s">
        <v>76</v>
      </c>
      <c r="E14" s="17">
        <f>$E$11*G14</f>
        <v>58366089</v>
      </c>
      <c r="F14" s="17"/>
      <c r="G14" s="132">
        <v>0.5</v>
      </c>
      <c r="H14" s="97"/>
      <c r="I14" s="97"/>
      <c r="J14" s="97"/>
      <c r="K14" s="97"/>
      <c r="O14" s="124"/>
      <c r="P14" s="124"/>
      <c r="Q14" s="124"/>
      <c r="R14" s="124"/>
      <c r="AD14" s="96"/>
    </row>
    <row r="15" spans="2:34" x14ac:dyDescent="0.25">
      <c r="D15" s="116" t="s">
        <v>75</v>
      </c>
      <c r="E15" s="17">
        <f>$E$11*G15</f>
        <v>40856262.299999997</v>
      </c>
      <c r="F15" s="133">
        <f>E15/E19</f>
        <v>47.928772758180465</v>
      </c>
      <c r="G15" s="132">
        <v>0.35</v>
      </c>
      <c r="H15" s="97"/>
      <c r="I15" s="97"/>
      <c r="J15" s="97"/>
      <c r="K15" s="97"/>
      <c r="L15" s="97"/>
      <c r="Z15" s="30"/>
      <c r="AA15" s="30"/>
      <c r="AB15" s="30"/>
      <c r="AC15" s="30"/>
      <c r="AD15" s="96"/>
    </row>
    <row r="16" spans="2:34" x14ac:dyDescent="0.25">
      <c r="D16" s="116" t="s">
        <v>74</v>
      </c>
      <c r="E16" s="134">
        <f>$E$11*G16</f>
        <v>17509826.699999999</v>
      </c>
      <c r="F16" s="17"/>
      <c r="G16" s="132">
        <v>0.15</v>
      </c>
      <c r="H16" s="97"/>
      <c r="I16" s="97"/>
      <c r="J16" s="97"/>
      <c r="K16" s="97"/>
      <c r="L16" s="135"/>
      <c r="Z16" s="30"/>
      <c r="AA16" s="30"/>
      <c r="AB16" s="30"/>
      <c r="AC16" s="30"/>
    </row>
    <row r="17" spans="2:35" ht="15.75" thickBot="1" x14ac:dyDescent="0.3">
      <c r="D17" s="116" t="s">
        <v>71</v>
      </c>
      <c r="E17" s="136">
        <f>E14+E15+E16</f>
        <v>116732178</v>
      </c>
      <c r="F17" s="17"/>
      <c r="G17" s="137"/>
      <c r="H17" s="97"/>
      <c r="I17" s="97"/>
      <c r="J17" s="97"/>
      <c r="K17" s="97"/>
      <c r="M17" s="15">
        <v>0.5</v>
      </c>
      <c r="N17" s="15">
        <v>0.35</v>
      </c>
      <c r="O17" s="15">
        <v>0.15</v>
      </c>
      <c r="P17" s="15"/>
      <c r="Z17" s="30"/>
      <c r="AA17" s="30"/>
      <c r="AB17" s="30"/>
      <c r="AC17" s="30"/>
    </row>
    <row r="18" spans="2:35" ht="16.5" thickTop="1" thickBot="1" x14ac:dyDescent="0.3">
      <c r="D18" s="102"/>
      <c r="E18" s="17"/>
      <c r="F18" s="17"/>
      <c r="G18" s="137"/>
      <c r="H18" s="96"/>
      <c r="L18" s="97"/>
      <c r="M18" s="273" t="str">
        <f>"Model Funding Distribution Basis:   "&amp;TEXT(M17,"#,##0%")&amp;" Adjusted Net Costs, "&amp;TEXT(N17,"#,##0%")&amp;" Recovered Tonnage, "&amp;TEXT(O17,"#,##0%")&amp;" BP"</f>
        <v>Model Funding Distribution Basis:   50% Adjusted Net Costs, 35% Recovered Tonnage, 15% BP</v>
      </c>
      <c r="N18" s="274"/>
      <c r="O18" s="274"/>
      <c r="P18" s="274"/>
      <c r="Q18" s="274"/>
      <c r="R18" s="274"/>
      <c r="S18" s="275"/>
      <c r="T18" s="138"/>
      <c r="U18" s="138"/>
      <c r="V18" s="138"/>
      <c r="W18" s="138"/>
      <c r="X18" s="138"/>
      <c r="Y18" s="138"/>
      <c r="Z18" s="30"/>
      <c r="AA18" s="30"/>
      <c r="AB18" s="30"/>
      <c r="AC18" s="30"/>
    </row>
    <row r="19" spans="2:35" ht="15.75" thickBot="1" x14ac:dyDescent="0.3">
      <c r="D19" s="139" t="s">
        <v>57</v>
      </c>
      <c r="E19" s="127">
        <f>E24</f>
        <v>852437.06335098401</v>
      </c>
      <c r="F19" s="127"/>
      <c r="G19" s="140"/>
      <c r="H19" s="96"/>
      <c r="L19" s="97"/>
      <c r="M19" s="240"/>
      <c r="N19" s="241"/>
      <c r="O19" s="241"/>
      <c r="P19" s="241"/>
      <c r="Q19" s="241"/>
      <c r="R19" s="242">
        <f>75%</f>
        <v>0.75</v>
      </c>
      <c r="S19" s="247">
        <f>SUMPRODUCT(--(R$26:R$307&lt;R$19-0.5%),Q$26:Q$307)</f>
        <v>116625872.55018306</v>
      </c>
      <c r="T19" s="141"/>
      <c r="U19" s="141"/>
      <c r="V19" s="141"/>
      <c r="W19" s="141"/>
      <c r="X19" s="141"/>
      <c r="Y19" s="141"/>
      <c r="Z19" s="30"/>
      <c r="AA19" s="30"/>
      <c r="AB19" s="30"/>
      <c r="AC19" s="30"/>
    </row>
    <row r="20" spans="2:35" x14ac:dyDescent="0.25">
      <c r="H20" s="96"/>
      <c r="M20" s="244"/>
      <c r="N20" s="243"/>
      <c r="O20" s="243"/>
      <c r="P20" s="243"/>
      <c r="Q20" s="243"/>
      <c r="R20" s="245"/>
      <c r="S20" s="247"/>
      <c r="T20" s="142"/>
      <c r="U20" s="142"/>
      <c r="V20" s="142"/>
      <c r="W20" s="142"/>
      <c r="X20" s="142"/>
      <c r="Y20" s="142"/>
      <c r="Z20" s="30"/>
      <c r="AA20" s="30"/>
      <c r="AB20" s="30"/>
      <c r="AC20" s="30"/>
    </row>
    <row r="21" spans="2:35" x14ac:dyDescent="0.25">
      <c r="H21" s="96"/>
      <c r="M21" s="244"/>
      <c r="N21" s="243"/>
      <c r="O21" s="243"/>
      <c r="P21" s="243"/>
      <c r="Q21" s="243"/>
      <c r="R21" s="243"/>
      <c r="S21" s="247"/>
      <c r="T21" s="141"/>
      <c r="U21" s="141"/>
      <c r="V21" s="141"/>
      <c r="W21" s="141"/>
      <c r="X21" s="141"/>
      <c r="Y21" s="141"/>
      <c r="Z21" s="30"/>
      <c r="AA21" s="30"/>
      <c r="AB21" s="30"/>
      <c r="AC21" s="30"/>
    </row>
    <row r="22" spans="2:35" x14ac:dyDescent="0.25">
      <c r="H22" s="96"/>
      <c r="M22" s="244"/>
      <c r="N22" s="243"/>
      <c r="O22" s="246"/>
      <c r="P22" s="246"/>
      <c r="Q22" s="246"/>
      <c r="R22" s="243">
        <f>SUMPRODUCT(--($R$26:$R$269&lt;R19),Q26:Q269)</f>
        <v>116625872.55018306</v>
      </c>
      <c r="S22" s="247">
        <f>SUMPRODUCT(--(R$26:R$307&gt;R$19),Q$26:Q$307)-SUMPRODUCT(--(R$26:R$307&gt;R$19),$K$26:$K$307)*R$19</f>
        <v>2962.6498169230908</v>
      </c>
      <c r="T22" s="141"/>
      <c r="U22" s="218"/>
      <c r="V22" s="219">
        <f>U23+V23</f>
        <v>6629.9773461826298</v>
      </c>
      <c r="W22" s="218"/>
      <c r="X22" s="218"/>
      <c r="Y22" s="141"/>
      <c r="Z22" s="30"/>
      <c r="AA22" s="30"/>
      <c r="AB22" s="30"/>
      <c r="AC22" s="30"/>
    </row>
    <row r="23" spans="2:35" ht="15.75" thickBot="1" x14ac:dyDescent="0.3">
      <c r="D23" s="19"/>
      <c r="E23" s="20"/>
      <c r="F23" s="20"/>
      <c r="G23" s="20"/>
      <c r="H23" s="17"/>
      <c r="K23" s="143">
        <v>244990724.68231803</v>
      </c>
      <c r="M23" s="244"/>
      <c r="N23" s="243"/>
      <c r="O23" s="243">
        <f>E16-O24</f>
        <v>4299056.4368853234</v>
      </c>
      <c r="P23" s="246"/>
      <c r="Q23" s="246"/>
      <c r="R23" s="243">
        <f>SUMPRODUCT(--($R$26:$R$269&gt;$R$19),$Q$26:$Q$269)-$R$19*SUMPRODUCT(--($R$26:$R$269&gt;$R$19),$K$26:$K$269)</f>
        <v>2962.6498169230908</v>
      </c>
      <c r="S23" s="247">
        <f>SUM(S26:S307)</f>
        <v>116732177.9999999</v>
      </c>
      <c r="T23" s="141"/>
      <c r="U23" s="219">
        <f>SUM(U26:U269)</f>
        <v>8078.9312806673479</v>
      </c>
      <c r="V23" s="220">
        <f>SUM(V26:V269)</f>
        <v>-1448.953934484718</v>
      </c>
      <c r="W23" s="220">
        <f>SUM(W26:W269)</f>
        <v>-6629.9773461826344</v>
      </c>
      <c r="X23" s="218">
        <f>SUM(X26:X269)</f>
        <v>-7.2191141953226179E-12</v>
      </c>
      <c r="Y23" s="141"/>
      <c r="Z23" s="30"/>
      <c r="AA23" s="30"/>
      <c r="AB23" s="144">
        <f>-AB24</f>
        <v>12950.80562980363</v>
      </c>
      <c r="AC23" s="30"/>
      <c r="AE23" s="30"/>
    </row>
    <row r="24" spans="2:35" ht="15.75" thickBot="1" x14ac:dyDescent="0.3">
      <c r="E24" s="18">
        <f>SUM(E26:E307)</f>
        <v>852437.06335098401</v>
      </c>
      <c r="F24" s="17">
        <f>SUM(F26:F307)</f>
        <v>343490141.01999986</v>
      </c>
      <c r="G24" s="17">
        <f>SUM(G26:G307)</f>
        <v>85792840.999999985</v>
      </c>
      <c r="H24" s="17">
        <f>SUM(H26:H307)</f>
        <v>257697300.02000007</v>
      </c>
      <c r="J24" t="s">
        <v>12</v>
      </c>
      <c r="K24" s="17">
        <f>SUM(K26:K307)</f>
        <v>254734078.78706068</v>
      </c>
      <c r="L24" s="145"/>
      <c r="M24" s="146">
        <f>SUM(M26:M307)</f>
        <v>58366088.99999997</v>
      </c>
      <c r="N24" s="147">
        <f>SUM(N26:N307)</f>
        <v>40856262.300000012</v>
      </c>
      <c r="O24" s="147">
        <f>IFERROR(SUM(O26:O307),0)</f>
        <v>13210770.263114676</v>
      </c>
      <c r="P24" s="147">
        <f>SUM(P26:P307)</f>
        <v>4299056.4368853243</v>
      </c>
      <c r="Q24" s="147">
        <f>SUM(Q26:Q307)</f>
        <v>116732177.99999999</v>
      </c>
      <c r="R24" s="268" t="str">
        <f xml:space="preserve"> "Limit: "&amp;TEXT(R19,"#,##0.0%")&amp;" of Filtered Net Cost"</f>
        <v>Limit: 75.0% of Filtered Net Cost</v>
      </c>
      <c r="S24" s="269"/>
      <c r="T24" s="138"/>
      <c r="U24" s="270" t="s">
        <v>94</v>
      </c>
      <c r="V24" s="271"/>
      <c r="W24" s="271"/>
      <c r="X24" s="272"/>
      <c r="Y24" s="138"/>
      <c r="Z24" s="96">
        <f>SUM(Z26:Z269)</f>
        <v>116732177.99999993</v>
      </c>
      <c r="AA24" s="148">
        <v>0.1</v>
      </c>
      <c r="AB24" s="96">
        <f>SUM(AB26:AB269)</f>
        <v>-12950.80562980363</v>
      </c>
      <c r="AC24" s="96">
        <f>SUM(AC26:AC269)</f>
        <v>116719227.19437014</v>
      </c>
      <c r="AE24" s="96">
        <f>SUM(AE26:AE269)</f>
        <v>29179806.798592534</v>
      </c>
      <c r="AF24" s="96">
        <f>SUM(AF26:AF269)</f>
        <v>29179806.798592534</v>
      </c>
      <c r="AG24" s="96">
        <f>SUM(AG26:AG269)</f>
        <v>29179806.798592534</v>
      </c>
      <c r="AH24" s="96">
        <f>SUM(AH26:AH269)</f>
        <v>29179806.798592534</v>
      </c>
      <c r="AI24" s="30"/>
    </row>
    <row r="25" spans="2:35" ht="60.75" thickBot="1" x14ac:dyDescent="0.3">
      <c r="B25" s="174" t="s">
        <v>11</v>
      </c>
      <c r="C25" s="174" t="s">
        <v>10</v>
      </c>
      <c r="D25" s="174" t="s">
        <v>9</v>
      </c>
      <c r="E25" s="258" t="str">
        <f>"2015"&amp;CHAR(10)&amp;"Marketed Tonnes"&amp;CHAR(10)&amp;TEXT(SUM(E26:E307),"#,##0")&amp;" T"</f>
        <v>2015
Marketed Tonnes
852,437 T</v>
      </c>
      <c r="F25" s="258" t="str">
        <f>"2015 Reported Gross Cost"&amp;CHAR(10)&amp;TEXT(SUM(F26:F307),"$#,##0")</f>
        <v>2015 Reported Gross Cost
$343,490,141</v>
      </c>
      <c r="G25" s="258" t="str">
        <f>"2015 Reported Revenue"&amp;CHAR(10)&amp;TEXT(SUM(G26:G307),"$#,##0")</f>
        <v>2015 Reported Revenue
$85,792,841</v>
      </c>
      <c r="H25" s="175" t="str">
        <f>"2015 Reported Net Cost"&amp;CHAR(10)&amp;TEXT(SUM(H26:H307),"$#,##0")</f>
        <v>2015 Reported Net Cost
$257,697,300</v>
      </c>
      <c r="I25" s="175" t="s">
        <v>8</v>
      </c>
      <c r="J25" s="175" t="s">
        <v>1</v>
      </c>
      <c r="K25" s="175" t="str">
        <f>"Adjusted Net Cost"&amp;CHAR(10)&amp;TEXT(SUM(K26:K307),"$#,##0")</f>
        <v>Adjusted Net Cost
$254,734,079</v>
      </c>
      <c r="L25" s="258" t="s">
        <v>58</v>
      </c>
      <c r="M25" s="175" t="s">
        <v>59</v>
      </c>
      <c r="N25" s="175" t="s">
        <v>60</v>
      </c>
      <c r="O25" s="176" t="s">
        <v>61</v>
      </c>
      <c r="P25" s="175" t="s">
        <v>62</v>
      </c>
      <c r="Q25" s="175" t="str">
        <f>"Subtotal Funding Net of CIF"&amp;CHAR(10)&amp;TEXT(SUM(Q26:Q307),"$#,##0")</f>
        <v>Subtotal Funding Net of CIF
$116,732,178</v>
      </c>
      <c r="R25" s="176" t="s">
        <v>63</v>
      </c>
      <c r="S25" s="175" t="str">
        <f>"Total Payment"&amp;CHAR(10)&amp;TEXT(SUM($S$26:$S$307),"$#,##0;(-$#,##0)")</f>
        <v>Total Payment
$116,732,178</v>
      </c>
      <c r="T25" s="149"/>
      <c r="U25" s="175" t="s">
        <v>78</v>
      </c>
      <c r="V25" s="175" t="s">
        <v>77</v>
      </c>
      <c r="W25" s="175" t="s">
        <v>79</v>
      </c>
      <c r="X25" s="175" t="s">
        <v>80</v>
      </c>
      <c r="Y25" s="149"/>
      <c r="Z25" s="175" t="str">
        <f>"Final Payment"&amp;CHAR(10)&amp;TEXT(SUM(Z26:Z269),"$#,##0")</f>
        <v>Final Payment
$116,732,178</v>
      </c>
      <c r="AA25" s="175" t="s">
        <v>64</v>
      </c>
      <c r="AB25" s="175" t="s">
        <v>65</v>
      </c>
      <c r="AC25" s="175" t="s">
        <v>66</v>
      </c>
      <c r="AE25" s="175" t="s">
        <v>67</v>
      </c>
      <c r="AF25" s="175" t="s">
        <v>68</v>
      </c>
      <c r="AG25" s="175" t="s">
        <v>69</v>
      </c>
      <c r="AH25" s="175" t="s">
        <v>70</v>
      </c>
    </row>
    <row r="26" spans="2:35" x14ac:dyDescent="0.25">
      <c r="B26" s="12">
        <v>1</v>
      </c>
      <c r="C26" s="12">
        <v>1</v>
      </c>
      <c r="D26" s="11" t="s">
        <v>125</v>
      </c>
      <c r="E26" s="8">
        <v>43108.04</v>
      </c>
      <c r="F26" s="5">
        <v>8761281.5399999991</v>
      </c>
      <c r="G26" s="5">
        <v>1291701.44</v>
      </c>
      <c r="H26" s="5">
        <f>F26-G26</f>
        <v>7469580.0999999996</v>
      </c>
      <c r="I26" s="152">
        <f>IFERROR(H26/E26,"n.a.")</f>
        <v>173.27579959562067</v>
      </c>
      <c r="J26" s="6">
        <f t="shared" ref="J26:J89" si="1">MIN(I26,INDEX($N$3:$N$11,MATCH(C26,$K$3:$K$11,0)))</f>
        <v>173.27579959562067</v>
      </c>
      <c r="K26" s="5">
        <f>E26*J26</f>
        <v>7469580.0999999996</v>
      </c>
      <c r="L26" s="259">
        <v>0.97950892857142846</v>
      </c>
      <c r="M26" s="154">
        <f t="shared" ref="M26" si="2">$E$14*(K26/$K$24)</f>
        <v>1711471.7394120968</v>
      </c>
      <c r="N26" s="154">
        <f t="shared" ref="N26" si="3">$E$15*(E26/$E$24)</f>
        <v>2066115.4532105539</v>
      </c>
      <c r="O26" s="154">
        <f t="shared" ref="O26" si="4">IFERROR(L26*$E$16*(K26/$K$24),0)</f>
        <v>502920.55492554657</v>
      </c>
      <c r="P26" s="154">
        <f>($O$23+$E$9)*(K26/$K$24)</f>
        <v>126061.446362577</v>
      </c>
      <c r="Q26" s="154">
        <f t="shared" ref="Q26:Q89" si="5">M26+N26+O26+P26</f>
        <v>4406569.1939107748</v>
      </c>
      <c r="R26" s="173">
        <f t="shared" ref="R26:R89" si="6">IFERROR((Q26/K26),0)</f>
        <v>0.58993532901679102</v>
      </c>
      <c r="S26" s="153">
        <f t="shared" ref="S26:S89" si="7">IF(R26&gt;$R$19,$R$19*K26,Q26+($R$23*Q26/$R$22))</f>
        <v>4406681.1340929158</v>
      </c>
      <c r="T26" s="154"/>
      <c r="U26" s="154">
        <f>IFERROR(INDEX('2016 Clerical PYA'!$O$5:$O$241,MATCH('2017 Funding'!B26,'2016 Clerical PYA'!$A$5:$A$241,0)),0)</f>
        <v>-118137.56467843894</v>
      </c>
      <c r="V26" s="154">
        <f>IFERROR(INDEX('Revised 2016 MFAM (2014 PYAs)'!$AD$26:$AD$262,MATCH('2017 Funding'!B26,'Revised 2016 MFAM (2014 PYAs)'!$B$26:$B$262,0)),0)</f>
        <v>23823.69948768802</v>
      </c>
      <c r="W26" s="154">
        <f t="shared" ref="W26:W89" si="8">-$V$22*(S26/$E$17)</f>
        <v>-250.28399702168161</v>
      </c>
      <c r="X26" s="154">
        <f>SUM(U26:W26)</f>
        <v>-94564.149187772608</v>
      </c>
      <c r="Y26" s="154"/>
      <c r="Z26" s="155">
        <f t="shared" ref="Z26:Z89" si="9">S26+X26</f>
        <v>4312116.9849051433</v>
      </c>
      <c r="AA26" s="156">
        <v>0</v>
      </c>
      <c r="AB26" s="157">
        <f>-$AA$24*AA26*Z26</f>
        <v>0</v>
      </c>
      <c r="AC26" s="154">
        <f>Z26+AB26</f>
        <v>4312116.9849051433</v>
      </c>
      <c r="AD26" s="160"/>
      <c r="AE26" s="154">
        <f t="shared" ref="AE26:AH45" si="10">$AC26/4</f>
        <v>1078029.2462262858</v>
      </c>
      <c r="AF26" s="154">
        <f t="shared" si="10"/>
        <v>1078029.2462262858</v>
      </c>
      <c r="AG26" s="154">
        <f t="shared" si="10"/>
        <v>1078029.2462262858</v>
      </c>
      <c r="AH26" s="154">
        <f t="shared" si="10"/>
        <v>1078029.2462262858</v>
      </c>
    </row>
    <row r="27" spans="2:35" x14ac:dyDescent="0.25">
      <c r="B27" s="10">
        <v>20</v>
      </c>
      <c r="C27" s="10">
        <v>1</v>
      </c>
      <c r="D27" s="9" t="s">
        <v>126</v>
      </c>
      <c r="E27" s="8">
        <v>136458.23000000004</v>
      </c>
      <c r="F27" s="5">
        <v>70036332.519999996</v>
      </c>
      <c r="G27" s="5">
        <v>17293469.969999999</v>
      </c>
      <c r="H27" s="5">
        <f t="shared" ref="H27:H90" si="11">F27-G27</f>
        <v>52742862.549999997</v>
      </c>
      <c r="I27" s="152">
        <f t="shared" ref="I27:I90" si="12">IFERROR(H27/E27,"n.a.")</f>
        <v>386.51287320669468</v>
      </c>
      <c r="J27" s="6">
        <f t="shared" si="1"/>
        <v>386.51287320669468</v>
      </c>
      <c r="K27" s="5">
        <f t="shared" ref="K27:K90" si="13">E27*J27</f>
        <v>52742862.549999997</v>
      </c>
      <c r="L27" s="259">
        <v>0.75066071428571413</v>
      </c>
      <c r="M27" s="154">
        <f t="shared" ref="M27:M90" si="14">$E$14*(K27/$K$24)</f>
        <v>12084738.030993422</v>
      </c>
      <c r="N27" s="154">
        <f t="shared" ref="N27:N90" si="15">$E$15*(E27/$E$24)</f>
        <v>6540275.4966535261</v>
      </c>
      <c r="O27" s="154">
        <f t="shared" ref="O27:O90" si="16">IFERROR(L27*$E$16*(K27/$K$24),0)</f>
        <v>2721461.424690377</v>
      </c>
      <c r="P27" s="154">
        <f t="shared" ref="P27:P90" si="17">($O$23+$E$9)*(K27/$K$24)</f>
        <v>890122.53022838559</v>
      </c>
      <c r="Q27" s="154">
        <f t="shared" si="5"/>
        <v>22236597.482565708</v>
      </c>
      <c r="R27" s="173">
        <f t="shared" si="6"/>
        <v>0.42160391771465788</v>
      </c>
      <c r="S27" s="153">
        <f t="shared" si="7"/>
        <v>22237162.359380949</v>
      </c>
      <c r="T27" s="154"/>
      <c r="U27" s="154">
        <f>IFERROR(INDEX('2016 Clerical PYA'!$O$5:$O$241,MATCH('2017 Funding'!B27,'2016 Clerical PYA'!$A$5:$A$241,0)),0)</f>
        <v>246696.11484394968</v>
      </c>
      <c r="V27" s="154">
        <f>IFERROR(INDEX('Revised 2016 MFAM (2014 PYAs)'!$AD$26:$AD$262,MATCH('2017 Funding'!B27,'Revised 2016 MFAM (2014 PYAs)'!$B$26:$B$262,0)),0)</f>
        <v>133315.20622030273</v>
      </c>
      <c r="W27" s="154">
        <f t="shared" si="8"/>
        <v>-1262.9926487457535</v>
      </c>
      <c r="X27" s="154">
        <f t="shared" ref="X27:X90" si="18">SUM(U27:W27)</f>
        <v>378748.32841550664</v>
      </c>
      <c r="Y27" s="154"/>
      <c r="Z27" s="155">
        <f t="shared" si="9"/>
        <v>22615910.687796455</v>
      </c>
      <c r="AA27" s="156">
        <v>0</v>
      </c>
      <c r="AB27" s="157">
        <f t="shared" ref="AB27:AB90" si="19">-$AA$24*AA27*Z27</f>
        <v>0</v>
      </c>
      <c r="AC27" s="154">
        <f t="shared" ref="AC27:AC90" si="20">Z27+AB27</f>
        <v>22615910.687796455</v>
      </c>
      <c r="AD27" s="160"/>
      <c r="AE27" s="154">
        <f t="shared" si="10"/>
        <v>5653977.6719491137</v>
      </c>
      <c r="AF27" s="154">
        <f t="shared" si="10"/>
        <v>5653977.6719491137</v>
      </c>
      <c r="AG27" s="154">
        <f t="shared" si="10"/>
        <v>5653977.6719491137</v>
      </c>
      <c r="AH27" s="154">
        <f t="shared" si="10"/>
        <v>5653977.6719491137</v>
      </c>
    </row>
    <row r="28" spans="2:35" x14ac:dyDescent="0.25">
      <c r="B28" s="10">
        <v>50</v>
      </c>
      <c r="C28" s="10">
        <v>1</v>
      </c>
      <c r="D28" s="9" t="s">
        <v>127</v>
      </c>
      <c r="E28" s="8">
        <v>23338.46</v>
      </c>
      <c r="F28" s="5">
        <v>9682901.0099999998</v>
      </c>
      <c r="G28" s="5">
        <v>3089888.33</v>
      </c>
      <c r="H28" s="5">
        <f t="shared" si="11"/>
        <v>6593012.6799999997</v>
      </c>
      <c r="I28" s="152">
        <f t="shared" si="12"/>
        <v>282.49561796279619</v>
      </c>
      <c r="J28" s="6">
        <f t="shared" si="1"/>
        <v>282.49561796279619</v>
      </c>
      <c r="K28" s="5">
        <f t="shared" si="13"/>
        <v>6593012.6799999997</v>
      </c>
      <c r="L28" s="259">
        <v>0.82007738095238081</v>
      </c>
      <c r="M28" s="154">
        <f t="shared" si="14"/>
        <v>1510627.7365451388</v>
      </c>
      <c r="N28" s="154">
        <f t="shared" si="15"/>
        <v>1118583.7458658845</v>
      </c>
      <c r="O28" s="154">
        <f t="shared" si="16"/>
        <v>371649.49133398815</v>
      </c>
      <c r="P28" s="154">
        <f t="shared" si="17"/>
        <v>111267.92981677914</v>
      </c>
      <c r="Q28" s="154">
        <f t="shared" si="5"/>
        <v>3112128.9035617905</v>
      </c>
      <c r="R28" s="173">
        <f t="shared" si="6"/>
        <v>0.47203441804419383</v>
      </c>
      <c r="S28" s="153">
        <f t="shared" si="7"/>
        <v>3112207.9610464186</v>
      </c>
      <c r="T28" s="154"/>
      <c r="U28" s="154">
        <f>IFERROR(INDEX('2016 Clerical PYA'!$O$5:$O$241,MATCH('2017 Funding'!B28,'2016 Clerical PYA'!$A$5:$A$241,0)),0)</f>
        <v>-90257.10722317826</v>
      </c>
      <c r="V28" s="154">
        <f>IFERROR(INDEX('Revised 2016 MFAM (2014 PYAs)'!$AD$26:$AD$262,MATCH('2017 Funding'!B28,'Revised 2016 MFAM (2014 PYAs)'!$B$26:$B$262,0)),0)</f>
        <v>36123.103131823242</v>
      </c>
      <c r="W28" s="154">
        <f t="shared" si="8"/>
        <v>-176.76247142709002</v>
      </c>
      <c r="X28" s="154">
        <f t="shared" si="18"/>
        <v>-54310.766562782112</v>
      </c>
      <c r="Y28" s="154"/>
      <c r="Z28" s="155">
        <f t="shared" si="9"/>
        <v>3057897.1944836364</v>
      </c>
      <c r="AA28" s="156">
        <v>0</v>
      </c>
      <c r="AB28" s="157">
        <f t="shared" si="19"/>
        <v>0</v>
      </c>
      <c r="AC28" s="154">
        <f t="shared" si="20"/>
        <v>3057897.1944836364</v>
      </c>
      <c r="AD28" s="160"/>
      <c r="AE28" s="154">
        <f t="shared" si="10"/>
        <v>764474.2986209091</v>
      </c>
      <c r="AF28" s="154">
        <f t="shared" si="10"/>
        <v>764474.2986209091</v>
      </c>
      <c r="AG28" s="154">
        <f t="shared" si="10"/>
        <v>764474.2986209091</v>
      </c>
      <c r="AH28" s="154">
        <f t="shared" si="10"/>
        <v>764474.2986209091</v>
      </c>
    </row>
    <row r="29" spans="2:35" x14ac:dyDescent="0.25">
      <c r="B29" s="10">
        <v>97</v>
      </c>
      <c r="C29" s="10">
        <v>1</v>
      </c>
      <c r="D29" s="9" t="s">
        <v>128</v>
      </c>
      <c r="E29" s="8">
        <v>72832.329999999987</v>
      </c>
      <c r="F29" s="5">
        <v>24993003.41</v>
      </c>
      <c r="G29" s="5">
        <v>7535896.7399999993</v>
      </c>
      <c r="H29" s="5">
        <f t="shared" si="11"/>
        <v>17457106.670000002</v>
      </c>
      <c r="I29" s="152">
        <f t="shared" si="12"/>
        <v>239.68897699689143</v>
      </c>
      <c r="J29" s="6">
        <f t="shared" si="1"/>
        <v>239.68897699689143</v>
      </c>
      <c r="K29" s="5">
        <f t="shared" si="13"/>
        <v>17457106.670000002</v>
      </c>
      <c r="L29" s="259">
        <v>0.85123065476190463</v>
      </c>
      <c r="M29" s="154">
        <f t="shared" si="14"/>
        <v>3999869.3792181737</v>
      </c>
      <c r="N29" s="154">
        <f t="shared" si="15"/>
        <v>3490764.1940188091</v>
      </c>
      <c r="O29" s="154">
        <f t="shared" si="16"/>
        <v>1021443.4291901937</v>
      </c>
      <c r="P29" s="154">
        <f t="shared" si="17"/>
        <v>294617.3796470823</v>
      </c>
      <c r="Q29" s="154">
        <f t="shared" si="5"/>
        <v>8806694.3820742592</v>
      </c>
      <c r="R29" s="173">
        <f t="shared" si="6"/>
        <v>0.50447617400474176</v>
      </c>
      <c r="S29" s="153">
        <f t="shared" si="7"/>
        <v>8806918.0987413097</v>
      </c>
      <c r="T29" s="154"/>
      <c r="U29" s="154">
        <f>IFERROR(INDEX('2016 Clerical PYA'!$O$5:$O$241,MATCH('2017 Funding'!B29,'2016 Clerical PYA'!$A$5:$A$241,0)),0)</f>
        <v>-270593.40852960572</v>
      </c>
      <c r="V29" s="154">
        <f>IFERROR(INDEX('Revised 2016 MFAM (2014 PYAs)'!$AD$26:$AD$262,MATCH('2017 Funding'!B29,'Revised 2016 MFAM (2014 PYAs)'!$B$26:$B$262,0)),0)</f>
        <v>37823.465847669169</v>
      </c>
      <c r="W29" s="154">
        <f t="shared" si="8"/>
        <v>-500.20198787296403</v>
      </c>
      <c r="X29" s="154">
        <f t="shared" si="18"/>
        <v>-233270.14466980952</v>
      </c>
      <c r="Y29" s="154"/>
      <c r="Z29" s="155">
        <f t="shared" si="9"/>
        <v>8573647.9540714994</v>
      </c>
      <c r="AA29" s="156">
        <v>0</v>
      </c>
      <c r="AB29" s="157">
        <f t="shared" si="19"/>
        <v>0</v>
      </c>
      <c r="AC29" s="154">
        <f t="shared" si="20"/>
        <v>8573647.9540714994</v>
      </c>
      <c r="AD29" s="160"/>
      <c r="AE29" s="154">
        <f t="shared" si="10"/>
        <v>2143411.9885178749</v>
      </c>
      <c r="AF29" s="154">
        <f t="shared" si="10"/>
        <v>2143411.9885178749</v>
      </c>
      <c r="AG29" s="154">
        <f t="shared" si="10"/>
        <v>2143411.9885178749</v>
      </c>
      <c r="AH29" s="154">
        <f t="shared" si="10"/>
        <v>2143411.9885178749</v>
      </c>
    </row>
    <row r="30" spans="2:35" x14ac:dyDescent="0.25">
      <c r="B30" s="10">
        <v>172</v>
      </c>
      <c r="C30" s="10">
        <v>1</v>
      </c>
      <c r="D30" s="9" t="s">
        <v>129</v>
      </c>
      <c r="E30" s="8">
        <v>38132.259999999995</v>
      </c>
      <c r="F30" s="5">
        <v>14680885.050000001</v>
      </c>
      <c r="G30" s="5">
        <v>4055316.6399999997</v>
      </c>
      <c r="H30" s="5">
        <f t="shared" si="11"/>
        <v>10625568.41</v>
      </c>
      <c r="I30" s="152">
        <f t="shared" si="12"/>
        <v>278.65037136534789</v>
      </c>
      <c r="J30" s="6">
        <f t="shared" si="1"/>
        <v>278.65037136534789</v>
      </c>
      <c r="K30" s="5">
        <f t="shared" si="13"/>
        <v>10625568.41</v>
      </c>
      <c r="L30" s="259">
        <v>0.86552232142857133</v>
      </c>
      <c r="M30" s="154">
        <f t="shared" si="14"/>
        <v>2434589.3350691735</v>
      </c>
      <c r="N30" s="154">
        <f t="shared" si="15"/>
        <v>1827632.4242958545</v>
      </c>
      <c r="O30" s="154">
        <f t="shared" si="16"/>
        <v>632157.42390429392</v>
      </c>
      <c r="P30" s="154">
        <f t="shared" si="17"/>
        <v>179323.93846196358</v>
      </c>
      <c r="Q30" s="154">
        <f t="shared" si="5"/>
        <v>5073703.1217312859</v>
      </c>
      <c r="R30" s="173">
        <f t="shared" si="6"/>
        <v>0.4774994547074104</v>
      </c>
      <c r="S30" s="153">
        <f t="shared" si="7"/>
        <v>5073832.0091324775</v>
      </c>
      <c r="T30" s="154"/>
      <c r="U30" s="154">
        <f>IFERROR(INDEX('2016 Clerical PYA'!$O$5:$O$241,MATCH('2017 Funding'!B30,'2016 Clerical PYA'!$A$5:$A$241,0)),0)</f>
        <v>-143321.00323353615</v>
      </c>
      <c r="V30" s="154">
        <f>IFERROR(INDEX('Revised 2016 MFAM (2014 PYAs)'!$AD$26:$AD$262,MATCH('2017 Funding'!B30,'Revised 2016 MFAM (2014 PYAs)'!$B$26:$B$262,0)),0)</f>
        <v>27865.195837051608</v>
      </c>
      <c r="W30" s="154">
        <f t="shared" si="8"/>
        <v>-288.17582139934564</v>
      </c>
      <c r="X30" s="154">
        <f t="shared" si="18"/>
        <v>-115743.98321788388</v>
      </c>
      <c r="Y30" s="154"/>
      <c r="Z30" s="155">
        <f t="shared" si="9"/>
        <v>4958088.0259145936</v>
      </c>
      <c r="AA30" s="156">
        <v>0</v>
      </c>
      <c r="AB30" s="157">
        <f t="shared" si="19"/>
        <v>0</v>
      </c>
      <c r="AC30" s="154">
        <f t="shared" si="20"/>
        <v>4958088.0259145936</v>
      </c>
      <c r="AD30" s="160"/>
      <c r="AE30" s="154">
        <f t="shared" si="10"/>
        <v>1239522.0064786484</v>
      </c>
      <c r="AF30" s="154">
        <f t="shared" si="10"/>
        <v>1239522.0064786484</v>
      </c>
      <c r="AG30" s="154">
        <f t="shared" si="10"/>
        <v>1239522.0064786484</v>
      </c>
      <c r="AH30" s="154">
        <f t="shared" si="10"/>
        <v>1239522.0064786484</v>
      </c>
    </row>
    <row r="31" spans="2:35" x14ac:dyDescent="0.25">
      <c r="B31" s="10">
        <v>270</v>
      </c>
      <c r="C31" s="10">
        <v>1</v>
      </c>
      <c r="D31" s="9" t="s">
        <v>130</v>
      </c>
      <c r="E31" s="8">
        <v>84973.780000000013</v>
      </c>
      <c r="F31" s="5">
        <v>42659563.340000004</v>
      </c>
      <c r="G31" s="5">
        <v>9396801.7899999991</v>
      </c>
      <c r="H31" s="5">
        <f t="shared" si="11"/>
        <v>33262761.550000004</v>
      </c>
      <c r="I31" s="152">
        <f t="shared" si="12"/>
        <v>391.44735646690071</v>
      </c>
      <c r="J31" s="6">
        <f t="shared" si="1"/>
        <v>391.44735646690071</v>
      </c>
      <c r="K31" s="5">
        <f t="shared" si="13"/>
        <v>33262761.550000004</v>
      </c>
      <c r="L31" s="259">
        <v>0.78193303571428563</v>
      </c>
      <c r="M31" s="154">
        <f t="shared" si="14"/>
        <v>7621348.9386944696</v>
      </c>
      <c r="N31" s="154">
        <f t="shared" si="15"/>
        <v>4072688.9920236208</v>
      </c>
      <c r="O31" s="154">
        <f t="shared" si="16"/>
        <v>1787815.3535613648</v>
      </c>
      <c r="P31" s="154">
        <f t="shared" si="17"/>
        <v>561363.79486800265</v>
      </c>
      <c r="Q31" s="154">
        <f t="shared" si="5"/>
        <v>14043217.079147458</v>
      </c>
      <c r="R31" s="173">
        <f t="shared" si="6"/>
        <v>0.42219035416040063</v>
      </c>
      <c r="S31" s="153">
        <f t="shared" si="7"/>
        <v>14043573.81932525</v>
      </c>
      <c r="T31" s="154"/>
      <c r="U31" s="154">
        <f>IFERROR(INDEX('2016 Clerical PYA'!$O$5:$O$241,MATCH('2017 Funding'!B31,'2016 Clerical PYA'!$A$5:$A$241,0)),0)</f>
        <v>89572.995971260592</v>
      </c>
      <c r="V31" s="154">
        <f>IFERROR(INDEX('Revised 2016 MFAM (2014 PYAs)'!$AD$26:$AD$262,MATCH('2017 Funding'!B31,'Revised 2016 MFAM (2014 PYAs)'!$B$26:$B$262,0)),0)</f>
        <v>132074.31636236608</v>
      </c>
      <c r="W31" s="154">
        <f t="shared" si="8"/>
        <v>-797.62562368681142</v>
      </c>
      <c r="X31" s="154">
        <f t="shared" si="18"/>
        <v>220849.68670993985</v>
      </c>
      <c r="Y31" s="154"/>
      <c r="Z31" s="155">
        <f t="shared" si="9"/>
        <v>14264423.50603519</v>
      </c>
      <c r="AA31" s="156">
        <v>0</v>
      </c>
      <c r="AB31" s="157">
        <f t="shared" si="19"/>
        <v>0</v>
      </c>
      <c r="AC31" s="154">
        <f t="shared" si="20"/>
        <v>14264423.50603519</v>
      </c>
      <c r="AD31" s="160"/>
      <c r="AE31" s="154">
        <f t="shared" si="10"/>
        <v>3566105.8765087975</v>
      </c>
      <c r="AF31" s="154">
        <f t="shared" si="10"/>
        <v>3566105.8765087975</v>
      </c>
      <c r="AG31" s="154">
        <f t="shared" si="10"/>
        <v>3566105.8765087975</v>
      </c>
      <c r="AH31" s="154">
        <f t="shared" si="10"/>
        <v>3566105.8765087975</v>
      </c>
    </row>
    <row r="32" spans="2:35" x14ac:dyDescent="0.25">
      <c r="B32" s="10">
        <v>6</v>
      </c>
      <c r="C32" s="10">
        <v>2</v>
      </c>
      <c r="D32" s="9" t="s">
        <v>131</v>
      </c>
      <c r="E32" s="8">
        <v>44091</v>
      </c>
      <c r="F32" s="5">
        <v>18360462.57</v>
      </c>
      <c r="G32" s="5">
        <v>4976633.7300000004</v>
      </c>
      <c r="H32" s="5">
        <f t="shared" si="11"/>
        <v>13383828.84</v>
      </c>
      <c r="I32" s="152">
        <f t="shared" si="12"/>
        <v>303.55013131931685</v>
      </c>
      <c r="J32" s="6">
        <f t="shared" si="1"/>
        <v>286.56696244505764</v>
      </c>
      <c r="K32" s="5">
        <f t="shared" si="13"/>
        <v>12635023.941165036</v>
      </c>
      <c r="L32" s="259">
        <v>0.77165178571428561</v>
      </c>
      <c r="M32" s="154">
        <f t="shared" si="14"/>
        <v>2895006.9632561021</v>
      </c>
      <c r="N32" s="154">
        <f t="shared" si="15"/>
        <v>2113227.519680935</v>
      </c>
      <c r="O32" s="154">
        <f t="shared" si="16"/>
        <v>670181.1878555587</v>
      </c>
      <c r="P32" s="154">
        <f t="shared" si="17"/>
        <v>213236.80468317791</v>
      </c>
      <c r="Q32" s="154">
        <f t="shared" si="5"/>
        <v>5891652.4754757732</v>
      </c>
      <c r="R32" s="173">
        <f t="shared" si="6"/>
        <v>0.46629531553800307</v>
      </c>
      <c r="S32" s="153">
        <f t="shared" si="7"/>
        <v>5891802.1412638715</v>
      </c>
      <c r="T32" s="154"/>
      <c r="U32" s="154">
        <f>IFERROR(INDEX('2016 Clerical PYA'!$O$5:$O$241,MATCH('2017 Funding'!B32,'2016 Clerical PYA'!$A$5:$A$241,0)),0)</f>
        <v>410434.7391964253</v>
      </c>
      <c r="V32" s="154">
        <f>IFERROR(INDEX('Revised 2016 MFAM (2014 PYAs)'!$AD$26:$AD$262,MATCH('2017 Funding'!B32,'Revised 2016 MFAM (2014 PYAs)'!$B$26:$B$262,0)),0)</f>
        <v>9033.4077705638483</v>
      </c>
      <c r="W32" s="154">
        <f t="shared" si="8"/>
        <v>-334.63364938474615</v>
      </c>
      <c r="X32" s="154">
        <f t="shared" si="18"/>
        <v>419133.51331760443</v>
      </c>
      <c r="Y32" s="154"/>
      <c r="Z32" s="155">
        <f t="shared" si="9"/>
        <v>6310935.654581476</v>
      </c>
      <c r="AA32" s="156">
        <v>0</v>
      </c>
      <c r="AB32" s="157">
        <f t="shared" si="19"/>
        <v>0</v>
      </c>
      <c r="AC32" s="154">
        <f t="shared" si="20"/>
        <v>6310935.654581476</v>
      </c>
      <c r="AD32" s="160"/>
      <c r="AE32" s="154">
        <f t="shared" si="10"/>
        <v>1577733.913645369</v>
      </c>
      <c r="AF32" s="154">
        <f t="shared" si="10"/>
        <v>1577733.913645369</v>
      </c>
      <c r="AG32" s="154">
        <f t="shared" si="10"/>
        <v>1577733.913645369</v>
      </c>
      <c r="AH32" s="154">
        <f t="shared" si="10"/>
        <v>1577733.913645369</v>
      </c>
    </row>
    <row r="33" spans="2:34" x14ac:dyDescent="0.25">
      <c r="B33" s="10">
        <v>18</v>
      </c>
      <c r="C33" s="10">
        <v>2</v>
      </c>
      <c r="D33" s="9" t="s">
        <v>132</v>
      </c>
      <c r="E33" s="8">
        <v>23715.48</v>
      </c>
      <c r="F33" s="5">
        <v>7426551.8700000001</v>
      </c>
      <c r="G33" s="5">
        <v>3042927.1600000006</v>
      </c>
      <c r="H33" s="5">
        <f t="shared" si="11"/>
        <v>4383624.709999999</v>
      </c>
      <c r="I33" s="152">
        <f t="shared" si="12"/>
        <v>184.84233547033412</v>
      </c>
      <c r="J33" s="6">
        <f t="shared" si="1"/>
        <v>184.84233547033412</v>
      </c>
      <c r="K33" s="5">
        <f t="shared" si="13"/>
        <v>4383624.709999999</v>
      </c>
      <c r="L33" s="259">
        <v>0.80294196428571418</v>
      </c>
      <c r="M33" s="154">
        <f>$E$14*(K33/$K$24)</f>
        <v>1004400.4759187934</v>
      </c>
      <c r="N33" s="154">
        <f t="shared" si="15"/>
        <v>1136653.8517711735</v>
      </c>
      <c r="O33" s="154">
        <f t="shared" si="16"/>
        <v>241942.58731912263</v>
      </c>
      <c r="P33" s="154">
        <f t="shared" si="17"/>
        <v>73980.874942800627</v>
      </c>
      <c r="Q33" s="154">
        <f t="shared" si="5"/>
        <v>2456977.7899518902</v>
      </c>
      <c r="R33" s="173">
        <f t="shared" si="6"/>
        <v>0.56048999458073834</v>
      </c>
      <c r="S33" s="153">
        <f t="shared" si="7"/>
        <v>2457040.2046171823</v>
      </c>
      <c r="T33" s="154"/>
      <c r="U33" s="154">
        <f>IFERROR(INDEX('2016 Clerical PYA'!$O$5:$O$241,MATCH('2017 Funding'!B33,'2016 Clerical PYA'!$A$5:$A$241,0)),0)</f>
        <v>-61166.954982965253</v>
      </c>
      <c r="V33" s="154">
        <f>IFERROR(INDEX('Revised 2016 MFAM (2014 PYAs)'!$AD$26:$AD$262,MATCH('2017 Funding'!B33,'Revised 2016 MFAM (2014 PYAs)'!$B$26:$B$262,0)),0)</f>
        <v>13122.072304677684</v>
      </c>
      <c r="W33" s="154">
        <f t="shared" si="8"/>
        <v>-139.55124606063507</v>
      </c>
      <c r="X33" s="154">
        <f t="shared" si="18"/>
        <v>-48184.433924348203</v>
      </c>
      <c r="Y33" s="154"/>
      <c r="Z33" s="155">
        <f t="shared" si="9"/>
        <v>2408855.7706928342</v>
      </c>
      <c r="AA33" s="156">
        <v>0</v>
      </c>
      <c r="AB33" s="157">
        <f t="shared" si="19"/>
        <v>0</v>
      </c>
      <c r="AC33" s="154">
        <f t="shared" si="20"/>
        <v>2408855.7706928342</v>
      </c>
      <c r="AD33" s="160"/>
      <c r="AE33" s="154">
        <f t="shared" si="10"/>
        <v>602213.94267320854</v>
      </c>
      <c r="AF33" s="154">
        <f t="shared" si="10"/>
        <v>602213.94267320854</v>
      </c>
      <c r="AG33" s="154">
        <f t="shared" si="10"/>
        <v>602213.94267320854</v>
      </c>
      <c r="AH33" s="154">
        <f t="shared" si="10"/>
        <v>602213.94267320854</v>
      </c>
    </row>
    <row r="34" spans="2:34" x14ac:dyDescent="0.25">
      <c r="B34" s="10">
        <v>53</v>
      </c>
      <c r="C34" s="10">
        <v>2</v>
      </c>
      <c r="D34" s="9" t="s">
        <v>133</v>
      </c>
      <c r="E34" s="8">
        <v>33158.055</v>
      </c>
      <c r="F34" s="5">
        <v>10938241.77</v>
      </c>
      <c r="G34" s="5">
        <v>3629057.59</v>
      </c>
      <c r="H34" s="5">
        <f t="shared" si="11"/>
        <v>7309184.1799999997</v>
      </c>
      <c r="I34" s="152">
        <f t="shared" si="12"/>
        <v>220.43464793094768</v>
      </c>
      <c r="J34" s="6">
        <f t="shared" si="1"/>
        <v>220.43464793094768</v>
      </c>
      <c r="K34" s="5">
        <f t="shared" si="13"/>
        <v>7309184.1799999997</v>
      </c>
      <c r="L34" s="259">
        <v>0.754797619047619</v>
      </c>
      <c r="M34" s="154">
        <f t="shared" si="14"/>
        <v>1674720.9340760643</v>
      </c>
      <c r="N34" s="154">
        <f t="shared" si="15"/>
        <v>1589224.8831982496</v>
      </c>
      <c r="O34" s="154">
        <f t="shared" si="16"/>
        <v>379222.61208294536</v>
      </c>
      <c r="P34" s="154">
        <f t="shared" si="17"/>
        <v>123354.50147475711</v>
      </c>
      <c r="Q34" s="154">
        <f t="shared" si="5"/>
        <v>3766522.9308320163</v>
      </c>
      <c r="R34" s="173">
        <f t="shared" si="6"/>
        <v>0.51531372559174127</v>
      </c>
      <c r="S34" s="153">
        <f t="shared" si="7"/>
        <v>3766618.6119036986</v>
      </c>
      <c r="T34" s="154"/>
      <c r="U34" s="154">
        <f>IFERROR(INDEX('2016 Clerical PYA'!$O$5:$O$241,MATCH('2017 Funding'!B34,'2016 Clerical PYA'!$A$5:$A$241,0)),0)</f>
        <v>-100620.80770140607</v>
      </c>
      <c r="V34" s="154">
        <f>IFERROR(INDEX('Revised 2016 MFAM (2014 PYAs)'!$AD$26:$AD$262,MATCH('2017 Funding'!B34,'Revised 2016 MFAM (2014 PYAs)'!$B$26:$B$262,0)),0)</f>
        <v>20714.226059111767</v>
      </c>
      <c r="W34" s="154">
        <f t="shared" si="8"/>
        <v>-213.93069585861224</v>
      </c>
      <c r="X34" s="154">
        <f t="shared" si="18"/>
        <v>-80120.512338152912</v>
      </c>
      <c r="Y34" s="154"/>
      <c r="Z34" s="155">
        <f t="shared" si="9"/>
        <v>3686498.0995655456</v>
      </c>
      <c r="AA34" s="156">
        <v>0</v>
      </c>
      <c r="AB34" s="157">
        <f t="shared" si="19"/>
        <v>0</v>
      </c>
      <c r="AC34" s="154">
        <f t="shared" si="20"/>
        <v>3686498.0995655456</v>
      </c>
      <c r="AD34" s="160"/>
      <c r="AE34" s="154">
        <f t="shared" si="10"/>
        <v>921624.52489138639</v>
      </c>
      <c r="AF34" s="154">
        <f t="shared" si="10"/>
        <v>921624.52489138639</v>
      </c>
      <c r="AG34" s="154">
        <f t="shared" si="10"/>
        <v>921624.52489138639</v>
      </c>
      <c r="AH34" s="154">
        <f t="shared" si="10"/>
        <v>921624.52489138639</v>
      </c>
    </row>
    <row r="35" spans="2:34" x14ac:dyDescent="0.25">
      <c r="B35" s="10">
        <v>335</v>
      </c>
      <c r="C35" s="10">
        <v>2</v>
      </c>
      <c r="D35" s="9" t="s">
        <v>134</v>
      </c>
      <c r="E35" s="8">
        <v>24977.67</v>
      </c>
      <c r="F35" s="5">
        <v>9073517.4499999993</v>
      </c>
      <c r="G35" s="5">
        <v>3011298.2499999995</v>
      </c>
      <c r="H35" s="5">
        <f t="shared" si="11"/>
        <v>6062219.1999999993</v>
      </c>
      <c r="I35" s="152">
        <f t="shared" si="12"/>
        <v>242.70555259958192</v>
      </c>
      <c r="J35" s="6">
        <f t="shared" si="1"/>
        <v>242.70555259958192</v>
      </c>
      <c r="K35" s="5">
        <f t="shared" si="13"/>
        <v>6062219.1999999993</v>
      </c>
      <c r="L35" s="259">
        <v>0.84094940476190472</v>
      </c>
      <c r="M35" s="154">
        <f t="shared" si="14"/>
        <v>1389009.3820563501</v>
      </c>
      <c r="N35" s="154">
        <f t="shared" si="15"/>
        <v>1197149.0694588213</v>
      </c>
      <c r="O35" s="154">
        <f t="shared" si="16"/>
        <v>350425.98391469655</v>
      </c>
      <c r="P35" s="154">
        <f t="shared" si="17"/>
        <v>102309.91706200251</v>
      </c>
      <c r="Q35" s="154">
        <f t="shared" si="5"/>
        <v>3038894.352491871</v>
      </c>
      <c r="R35" s="173">
        <f t="shared" si="6"/>
        <v>0.50128414236355412</v>
      </c>
      <c r="S35" s="153">
        <f t="shared" si="7"/>
        <v>3038971.5495974547</v>
      </c>
      <c r="T35" s="154"/>
      <c r="U35" s="154">
        <f>IFERROR(INDEX('2016 Clerical PYA'!$O$5:$O$241,MATCH('2017 Funding'!B35,'2016 Clerical PYA'!$A$5:$A$241,0)),0)</f>
        <v>-106.78054848592728</v>
      </c>
      <c r="V35" s="154">
        <f>IFERROR(INDEX('Revised 2016 MFAM (2014 PYAs)'!$AD$26:$AD$262,MATCH('2017 Funding'!B35,'Revised 2016 MFAM (2014 PYAs)'!$B$26:$B$262,0)),0)</f>
        <v>16611.994325217325</v>
      </c>
      <c r="W35" s="154">
        <f t="shared" si="8"/>
        <v>-172.60290071452832</v>
      </c>
      <c r="X35" s="154">
        <f t="shared" si="18"/>
        <v>16332.61087601687</v>
      </c>
      <c r="Y35" s="154"/>
      <c r="Z35" s="155">
        <f t="shared" si="9"/>
        <v>3055304.1604734715</v>
      </c>
      <c r="AA35" s="156">
        <v>0</v>
      </c>
      <c r="AB35" s="157">
        <f t="shared" si="19"/>
        <v>0</v>
      </c>
      <c r="AC35" s="154">
        <f t="shared" si="20"/>
        <v>3055304.1604734715</v>
      </c>
      <c r="AD35" s="160"/>
      <c r="AE35" s="154">
        <f t="shared" si="10"/>
        <v>763826.04011836788</v>
      </c>
      <c r="AF35" s="154">
        <f t="shared" si="10"/>
        <v>763826.04011836788</v>
      </c>
      <c r="AG35" s="154">
        <f t="shared" si="10"/>
        <v>763826.04011836788</v>
      </c>
      <c r="AH35" s="154">
        <f t="shared" si="10"/>
        <v>763826.04011836788</v>
      </c>
    </row>
    <row r="36" spans="2:34" x14ac:dyDescent="0.25">
      <c r="B36" s="10">
        <v>357</v>
      </c>
      <c r="C36" s="10">
        <v>2</v>
      </c>
      <c r="D36" s="9" t="s">
        <v>135</v>
      </c>
      <c r="E36" s="8">
        <v>37374.909999999996</v>
      </c>
      <c r="F36" s="5">
        <v>11830375.369999999</v>
      </c>
      <c r="G36" s="5">
        <v>4240599.0500000007</v>
      </c>
      <c r="H36" s="5">
        <f t="shared" si="11"/>
        <v>7589776.3199999984</v>
      </c>
      <c r="I36" s="152">
        <f t="shared" si="12"/>
        <v>203.07142732918953</v>
      </c>
      <c r="J36" s="6">
        <f t="shared" si="1"/>
        <v>203.07142732918953</v>
      </c>
      <c r="K36" s="5">
        <f t="shared" si="13"/>
        <v>7589776.3199999984</v>
      </c>
      <c r="L36" s="259">
        <v>0.91692857142857132</v>
      </c>
      <c r="M36" s="154">
        <f t="shared" si="14"/>
        <v>1739011.7658875016</v>
      </c>
      <c r="N36" s="154">
        <f t="shared" si="15"/>
        <v>1791333.5682474463</v>
      </c>
      <c r="O36" s="154">
        <f t="shared" si="16"/>
        <v>478364.87225781119</v>
      </c>
      <c r="P36" s="154">
        <f t="shared" si="17"/>
        <v>128089.95521282876</v>
      </c>
      <c r="Q36" s="154">
        <f t="shared" si="5"/>
        <v>4136800.1616055877</v>
      </c>
      <c r="R36" s="173">
        <f t="shared" si="6"/>
        <v>0.54504902215689921</v>
      </c>
      <c r="S36" s="153">
        <f t="shared" si="7"/>
        <v>4136905.2488385784</v>
      </c>
      <c r="T36" s="154"/>
      <c r="U36" s="154">
        <f>IFERROR(INDEX('2016 Clerical PYA'!$O$5:$O$241,MATCH('2017 Funding'!B36,'2016 Clerical PYA'!$A$5:$A$241,0)),0)</f>
        <v>-113914.94424444344</v>
      </c>
      <c r="V36" s="154">
        <f>IFERROR(INDEX('Revised 2016 MFAM (2014 PYAs)'!$AD$26:$AD$262,MATCH('2017 Funding'!B36,'Revised 2016 MFAM (2014 PYAs)'!$B$26:$B$262,0)),0)</f>
        <v>-97042.462875930592</v>
      </c>
      <c r="W36" s="154">
        <f t="shared" si="8"/>
        <v>-234.96167511843896</v>
      </c>
      <c r="X36" s="154">
        <f t="shared" si="18"/>
        <v>-211192.36879549248</v>
      </c>
      <c r="Y36" s="154"/>
      <c r="Z36" s="155">
        <f t="shared" si="9"/>
        <v>3925712.8800430857</v>
      </c>
      <c r="AA36" s="156">
        <v>0</v>
      </c>
      <c r="AB36" s="157">
        <f t="shared" si="19"/>
        <v>0</v>
      </c>
      <c r="AC36" s="154">
        <f t="shared" si="20"/>
        <v>3925712.8800430857</v>
      </c>
      <c r="AD36" s="160"/>
      <c r="AE36" s="154">
        <f t="shared" si="10"/>
        <v>981428.22001077142</v>
      </c>
      <c r="AF36" s="154">
        <f t="shared" si="10"/>
        <v>981428.22001077142</v>
      </c>
      <c r="AG36" s="154">
        <f t="shared" si="10"/>
        <v>981428.22001077142</v>
      </c>
      <c r="AH36" s="154">
        <f t="shared" si="10"/>
        <v>981428.22001077142</v>
      </c>
    </row>
    <row r="37" spans="2:34" x14ac:dyDescent="0.25">
      <c r="B37" s="10">
        <v>441</v>
      </c>
      <c r="C37" s="10">
        <v>2</v>
      </c>
      <c r="D37" s="9" t="s">
        <v>136</v>
      </c>
      <c r="E37" s="8">
        <v>58897.530000000006</v>
      </c>
      <c r="F37" s="5">
        <v>17288203.829999998</v>
      </c>
      <c r="G37" s="5">
        <v>7330092.459999999</v>
      </c>
      <c r="H37" s="5">
        <f t="shared" si="11"/>
        <v>9958111.3699999992</v>
      </c>
      <c r="I37" s="152">
        <f t="shared" si="12"/>
        <v>169.07519500393306</v>
      </c>
      <c r="J37" s="6">
        <f t="shared" si="1"/>
        <v>169.07519500393306</v>
      </c>
      <c r="K37" s="5">
        <f t="shared" si="13"/>
        <v>9958111.3699999992</v>
      </c>
      <c r="L37" s="259">
        <v>0.69940922619047619</v>
      </c>
      <c r="M37" s="154">
        <f t="shared" si="14"/>
        <v>2281657.865570419</v>
      </c>
      <c r="N37" s="154">
        <f t="shared" si="15"/>
        <v>2822886.3313881173</v>
      </c>
      <c r="O37" s="154">
        <f t="shared" si="16"/>
        <v>478743.76865700609</v>
      </c>
      <c r="P37" s="154">
        <f t="shared" si="17"/>
        <v>168059.5034173103</v>
      </c>
      <c r="Q37" s="154">
        <f t="shared" si="5"/>
        <v>5751347.4690328529</v>
      </c>
      <c r="R37" s="173">
        <f t="shared" si="6"/>
        <v>0.57755404165889068</v>
      </c>
      <c r="S37" s="153">
        <f t="shared" si="7"/>
        <v>5751493.5706495317</v>
      </c>
      <c r="T37" s="154"/>
      <c r="U37" s="154">
        <f>IFERROR(INDEX('2016 Clerical PYA'!$O$5:$O$241,MATCH('2017 Funding'!B37,'2016 Clerical PYA'!$A$5:$A$241,0)),0)</f>
        <v>-135608.76064174902</v>
      </c>
      <c r="V37" s="154">
        <f>IFERROR(INDEX('Revised 2016 MFAM (2014 PYAs)'!$AD$26:$AD$262,MATCH('2017 Funding'!B37,'Revised 2016 MFAM (2014 PYAs)'!$B$26:$B$262,0)),0)</f>
        <v>30562.35304692667</v>
      </c>
      <c r="W37" s="154">
        <f t="shared" si="8"/>
        <v>-326.66461581931111</v>
      </c>
      <c r="X37" s="154">
        <f t="shared" si="18"/>
        <v>-105373.07221064167</v>
      </c>
      <c r="Y37" s="154"/>
      <c r="Z37" s="155">
        <f t="shared" si="9"/>
        <v>5646120.4984388901</v>
      </c>
      <c r="AA37" s="156">
        <v>0</v>
      </c>
      <c r="AB37" s="157">
        <f t="shared" si="19"/>
        <v>0</v>
      </c>
      <c r="AC37" s="154">
        <f t="shared" si="20"/>
        <v>5646120.4984388901</v>
      </c>
      <c r="AD37" s="160"/>
      <c r="AE37" s="154">
        <f t="shared" si="10"/>
        <v>1411530.1246097225</v>
      </c>
      <c r="AF37" s="154">
        <f t="shared" si="10"/>
        <v>1411530.1246097225</v>
      </c>
      <c r="AG37" s="154">
        <f t="shared" si="10"/>
        <v>1411530.1246097225</v>
      </c>
      <c r="AH37" s="154">
        <f t="shared" si="10"/>
        <v>1411530.1246097225</v>
      </c>
    </row>
    <row r="38" spans="2:34" x14ac:dyDescent="0.25">
      <c r="B38" s="10">
        <v>14</v>
      </c>
      <c r="C38" s="10">
        <v>3</v>
      </c>
      <c r="D38" s="9" t="s">
        <v>137</v>
      </c>
      <c r="E38" s="8">
        <v>11973.29</v>
      </c>
      <c r="F38" s="5">
        <v>2475549.2200000002</v>
      </c>
      <c r="G38" s="5">
        <v>233073.87</v>
      </c>
      <c r="H38" s="5">
        <f t="shared" si="11"/>
        <v>2242475.35</v>
      </c>
      <c r="I38" s="152">
        <f t="shared" si="12"/>
        <v>187.28982176160437</v>
      </c>
      <c r="J38" s="6">
        <f t="shared" si="1"/>
        <v>187.28982176160437</v>
      </c>
      <c r="K38" s="5">
        <f t="shared" si="13"/>
        <v>2242475.35</v>
      </c>
      <c r="L38" s="259">
        <v>0.84108630952380947</v>
      </c>
      <c r="M38" s="154">
        <f t="shared" si="14"/>
        <v>513808.42516880581</v>
      </c>
      <c r="N38" s="154">
        <f t="shared" si="15"/>
        <v>573865.09557779459</v>
      </c>
      <c r="O38" s="154">
        <f t="shared" si="16"/>
        <v>129647.16963824139</v>
      </c>
      <c r="P38" s="154">
        <f t="shared" si="17"/>
        <v>37845.45881681169</v>
      </c>
      <c r="Q38" s="154">
        <f t="shared" si="5"/>
        <v>1255166.1492016534</v>
      </c>
      <c r="R38" s="173">
        <f t="shared" si="6"/>
        <v>0.55972349894577589</v>
      </c>
      <c r="S38" s="153">
        <f t="shared" si="7"/>
        <v>1255198.0342172235</v>
      </c>
      <c r="T38" s="154"/>
      <c r="U38" s="154">
        <f>IFERROR(INDEX('2016 Clerical PYA'!$O$5:$O$241,MATCH('2017 Funding'!B38,'2016 Clerical PYA'!$A$5:$A$241,0)),0)</f>
        <v>-31033.075224298751</v>
      </c>
      <c r="V38" s="154">
        <f>IFERROR(INDEX('Revised 2016 MFAM (2014 PYAs)'!$AD$26:$AD$262,MATCH('2017 Funding'!B38,'Revised 2016 MFAM (2014 PYAs)'!$B$26:$B$262,0)),0)</f>
        <v>6557.0033114552498</v>
      </c>
      <c r="W38" s="154">
        <f t="shared" si="8"/>
        <v>-71.290835778230417</v>
      </c>
      <c r="X38" s="154">
        <f t="shared" si="18"/>
        <v>-24547.36274862173</v>
      </c>
      <c r="Y38" s="154"/>
      <c r="Z38" s="155">
        <f t="shared" si="9"/>
        <v>1230650.6714686018</v>
      </c>
      <c r="AA38" s="156">
        <v>0</v>
      </c>
      <c r="AB38" s="157">
        <f t="shared" si="19"/>
        <v>0</v>
      </c>
      <c r="AC38" s="154">
        <f t="shared" si="20"/>
        <v>1230650.6714686018</v>
      </c>
      <c r="AD38" s="160"/>
      <c r="AE38" s="154">
        <f t="shared" si="10"/>
        <v>307662.66786715045</v>
      </c>
      <c r="AF38" s="154">
        <f t="shared" si="10"/>
        <v>307662.66786715045</v>
      </c>
      <c r="AG38" s="154">
        <f t="shared" si="10"/>
        <v>307662.66786715045</v>
      </c>
      <c r="AH38" s="154">
        <f t="shared" si="10"/>
        <v>307662.66786715045</v>
      </c>
    </row>
    <row r="39" spans="2:34" x14ac:dyDescent="0.25">
      <c r="B39" s="10">
        <v>36</v>
      </c>
      <c r="C39" s="10">
        <v>3</v>
      </c>
      <c r="D39" s="9" t="s">
        <v>138</v>
      </c>
      <c r="E39" s="8">
        <v>7185.76</v>
      </c>
      <c r="F39" s="5">
        <v>3554918.99</v>
      </c>
      <c r="G39" s="5">
        <v>1096757.4100000001</v>
      </c>
      <c r="H39" s="5">
        <f t="shared" si="11"/>
        <v>2458161.58</v>
      </c>
      <c r="I39" s="152">
        <f t="shared" si="12"/>
        <v>342.08790441094607</v>
      </c>
      <c r="J39" s="6">
        <f t="shared" si="1"/>
        <v>297.48983617479831</v>
      </c>
      <c r="K39" s="5">
        <f t="shared" si="13"/>
        <v>2137690.5651914189</v>
      </c>
      <c r="L39" s="259">
        <v>0.64394642857142859</v>
      </c>
      <c r="M39" s="154">
        <f t="shared" si="14"/>
        <v>489799.55244512158</v>
      </c>
      <c r="N39" s="154">
        <f t="shared" si="15"/>
        <v>344404.65813482285</v>
      </c>
      <c r="O39" s="154">
        <f t="shared" si="16"/>
        <v>94621.401753876053</v>
      </c>
      <c r="P39" s="154">
        <f t="shared" si="17"/>
        <v>36077.043276323529</v>
      </c>
      <c r="Q39" s="154">
        <f t="shared" si="5"/>
        <v>964902.65561014391</v>
      </c>
      <c r="R39" s="173">
        <f t="shared" si="6"/>
        <v>0.45137620538814605</v>
      </c>
      <c r="S39" s="153">
        <f t="shared" si="7"/>
        <v>964927.16705527599</v>
      </c>
      <c r="T39" s="154"/>
      <c r="U39" s="154">
        <f>IFERROR(INDEX('2016 Clerical PYA'!$O$5:$O$241,MATCH('2017 Funding'!B39,'2016 Clerical PYA'!$A$5:$A$241,0)),0)</f>
        <v>111835.81382863107</v>
      </c>
      <c r="V39" s="154">
        <f>IFERROR(INDEX('Revised 2016 MFAM (2014 PYAs)'!$AD$26:$AD$262,MATCH('2017 Funding'!B39,'Revised 2016 MFAM (2014 PYAs)'!$B$26:$B$262,0)),0)</f>
        <v>15115.120818038937</v>
      </c>
      <c r="W39" s="154">
        <f t="shared" si="8"/>
        <v>-54.804470951382932</v>
      </c>
      <c r="X39" s="154">
        <f t="shared" si="18"/>
        <v>126896.13017571863</v>
      </c>
      <c r="Y39" s="154"/>
      <c r="Z39" s="155">
        <f t="shared" si="9"/>
        <v>1091823.2972309946</v>
      </c>
      <c r="AA39" s="156">
        <v>0</v>
      </c>
      <c r="AB39" s="157">
        <f t="shared" si="19"/>
        <v>0</v>
      </c>
      <c r="AC39" s="154">
        <f t="shared" si="20"/>
        <v>1091823.2972309946</v>
      </c>
      <c r="AD39" s="160"/>
      <c r="AE39" s="154">
        <f t="shared" si="10"/>
        <v>272955.82430774864</v>
      </c>
      <c r="AF39" s="154">
        <f t="shared" si="10"/>
        <v>272955.82430774864</v>
      </c>
      <c r="AG39" s="154">
        <f t="shared" si="10"/>
        <v>272955.82430774864</v>
      </c>
      <c r="AH39" s="154">
        <f t="shared" si="10"/>
        <v>272955.82430774864</v>
      </c>
    </row>
    <row r="40" spans="2:34" x14ac:dyDescent="0.25">
      <c r="B40" s="10">
        <v>55</v>
      </c>
      <c r="C40" s="10">
        <v>3</v>
      </c>
      <c r="D40" s="9" t="s">
        <v>139</v>
      </c>
      <c r="E40" s="8">
        <v>5599.76</v>
      </c>
      <c r="F40" s="5">
        <v>1572127.35</v>
      </c>
      <c r="G40" s="5">
        <v>200211.81000000003</v>
      </c>
      <c r="H40" s="5">
        <f t="shared" si="11"/>
        <v>1371915.54</v>
      </c>
      <c r="I40" s="152">
        <f t="shared" si="12"/>
        <v>244.99541766075689</v>
      </c>
      <c r="J40" s="6">
        <f t="shared" si="1"/>
        <v>244.99541766075689</v>
      </c>
      <c r="K40" s="5">
        <f t="shared" si="13"/>
        <v>1371915.54</v>
      </c>
      <c r="L40" s="259">
        <v>0.27438095238095239</v>
      </c>
      <c r="M40" s="154">
        <f t="shared" si="14"/>
        <v>314340.91932025558</v>
      </c>
      <c r="N40" s="154">
        <f t="shared" si="15"/>
        <v>268389.62454034865</v>
      </c>
      <c r="O40" s="154">
        <f t="shared" si="16"/>
        <v>25874.748244618753</v>
      </c>
      <c r="P40" s="154">
        <f t="shared" si="17"/>
        <v>23153.330568032317</v>
      </c>
      <c r="Q40" s="154">
        <f t="shared" si="5"/>
        <v>631758.62267325539</v>
      </c>
      <c r="R40" s="173">
        <f t="shared" si="6"/>
        <v>0.46049381631266845</v>
      </c>
      <c r="S40" s="153">
        <f t="shared" si="7"/>
        <v>631774.67125258758</v>
      </c>
      <c r="T40" s="154"/>
      <c r="U40" s="154">
        <f>IFERROR(INDEX('2016 Clerical PYA'!$O$5:$O$241,MATCH('2017 Funding'!B40,'2016 Clerical PYA'!$A$5:$A$241,0)),0)</f>
        <v>-5504.0313364352332</v>
      </c>
      <c r="V40" s="154">
        <f>IFERROR(INDEX('Revised 2016 MFAM (2014 PYAs)'!$AD$26:$AD$262,MATCH('2017 Funding'!B40,'Revised 2016 MFAM (2014 PYAs)'!$B$26:$B$262,0)),0)</f>
        <v>5975.3899381207302</v>
      </c>
      <c r="W40" s="154">
        <f t="shared" si="8"/>
        <v>-35.882580365258278</v>
      </c>
      <c r="X40" s="154">
        <f t="shared" si="18"/>
        <v>435.47602132023871</v>
      </c>
      <c r="Y40" s="154"/>
      <c r="Z40" s="155">
        <f t="shared" si="9"/>
        <v>632210.14727390779</v>
      </c>
      <c r="AA40" s="156">
        <v>0</v>
      </c>
      <c r="AB40" s="157">
        <f t="shared" si="19"/>
        <v>0</v>
      </c>
      <c r="AC40" s="154">
        <f t="shared" si="20"/>
        <v>632210.14727390779</v>
      </c>
      <c r="AD40" s="160"/>
      <c r="AE40" s="154">
        <f t="shared" si="10"/>
        <v>158052.53681847695</v>
      </c>
      <c r="AF40" s="154">
        <f t="shared" si="10"/>
        <v>158052.53681847695</v>
      </c>
      <c r="AG40" s="154">
        <f t="shared" si="10"/>
        <v>158052.53681847695</v>
      </c>
      <c r="AH40" s="154">
        <f t="shared" si="10"/>
        <v>158052.53681847695</v>
      </c>
    </row>
    <row r="41" spans="2:34" x14ac:dyDescent="0.25">
      <c r="B41" s="10">
        <v>103</v>
      </c>
      <c r="C41" s="10">
        <v>3</v>
      </c>
      <c r="D41" s="9" t="s">
        <v>140</v>
      </c>
      <c r="E41" s="8">
        <v>4420.41</v>
      </c>
      <c r="F41" s="5">
        <v>1440290.07</v>
      </c>
      <c r="G41" s="5">
        <v>693780.46</v>
      </c>
      <c r="H41" s="5">
        <f t="shared" si="11"/>
        <v>746509.6100000001</v>
      </c>
      <c r="I41" s="152">
        <f t="shared" si="12"/>
        <v>168.87791177741434</v>
      </c>
      <c r="J41" s="6">
        <f t="shared" si="1"/>
        <v>168.87791177741434</v>
      </c>
      <c r="K41" s="5">
        <f t="shared" si="13"/>
        <v>746509.6100000001</v>
      </c>
      <c r="L41" s="259">
        <v>0.63951636904761899</v>
      </c>
      <c r="M41" s="154">
        <f t="shared" si="14"/>
        <v>171044.43403914315</v>
      </c>
      <c r="N41" s="154">
        <f t="shared" si="15"/>
        <v>211864.82638798852</v>
      </c>
      <c r="O41" s="154">
        <f t="shared" si="16"/>
        <v>32815.714620755338</v>
      </c>
      <c r="P41" s="154">
        <f t="shared" si="17"/>
        <v>12598.577148956914</v>
      </c>
      <c r="Q41" s="154">
        <f t="shared" si="5"/>
        <v>428323.5521968439</v>
      </c>
      <c r="R41" s="173">
        <f t="shared" si="6"/>
        <v>0.57376830312585503</v>
      </c>
      <c r="S41" s="153">
        <f t="shared" si="7"/>
        <v>428334.43291023752</v>
      </c>
      <c r="T41" s="154"/>
      <c r="U41" s="154">
        <f>IFERROR(INDEX('2016 Clerical PYA'!$O$5:$O$241,MATCH('2017 Funding'!B41,'2016 Clerical PYA'!$A$5:$A$241,0)),0)</f>
        <v>-9408.8497331379331</v>
      </c>
      <c r="V41" s="154">
        <f>IFERROR(INDEX('Revised 2016 MFAM (2014 PYAs)'!$AD$26:$AD$262,MATCH('2017 Funding'!B41,'Revised 2016 MFAM (2014 PYAs)'!$B$26:$B$262,0)),0)</f>
        <v>2176.4927886625519</v>
      </c>
      <c r="W41" s="154">
        <f t="shared" si="8"/>
        <v>-24.327890008056375</v>
      </c>
      <c r="X41" s="154">
        <f t="shared" si="18"/>
        <v>-7256.684834483438</v>
      </c>
      <c r="Y41" s="154"/>
      <c r="Z41" s="155">
        <f t="shared" si="9"/>
        <v>421077.74807575409</v>
      </c>
      <c r="AA41" s="156">
        <v>0</v>
      </c>
      <c r="AB41" s="157">
        <f t="shared" si="19"/>
        <v>0</v>
      </c>
      <c r="AC41" s="154">
        <f t="shared" si="20"/>
        <v>421077.74807575409</v>
      </c>
      <c r="AD41" s="160"/>
      <c r="AE41" s="154">
        <f t="shared" si="10"/>
        <v>105269.43701893852</v>
      </c>
      <c r="AF41" s="154">
        <f t="shared" si="10"/>
        <v>105269.43701893852</v>
      </c>
      <c r="AG41" s="154">
        <f t="shared" si="10"/>
        <v>105269.43701893852</v>
      </c>
      <c r="AH41" s="154">
        <f t="shared" si="10"/>
        <v>105269.43701893852</v>
      </c>
    </row>
    <row r="42" spans="2:34" x14ac:dyDescent="0.25">
      <c r="B42" s="10">
        <v>123</v>
      </c>
      <c r="C42" s="10">
        <v>3</v>
      </c>
      <c r="D42" s="9" t="s">
        <v>141</v>
      </c>
      <c r="E42" s="8">
        <v>5930.89</v>
      </c>
      <c r="F42" s="5">
        <v>857326.11</v>
      </c>
      <c r="G42" s="5">
        <v>3</v>
      </c>
      <c r="H42" s="5">
        <f t="shared" si="11"/>
        <v>857323.11</v>
      </c>
      <c r="I42" s="152">
        <f t="shared" si="12"/>
        <v>144.5521852538152</v>
      </c>
      <c r="J42" s="6">
        <f t="shared" si="1"/>
        <v>144.5521852538152</v>
      </c>
      <c r="K42" s="5">
        <f t="shared" si="13"/>
        <v>857323.1100000001</v>
      </c>
      <c r="L42" s="259">
        <v>0.70524553571428561</v>
      </c>
      <c r="M42" s="154">
        <f t="shared" si="14"/>
        <v>196434.63952008344</v>
      </c>
      <c r="N42" s="154">
        <f t="shared" si="15"/>
        <v>284260.27906376496</v>
      </c>
      <c r="O42" s="154">
        <f t="shared" si="16"/>
        <v>41560.395774355144</v>
      </c>
      <c r="P42" s="154">
        <f t="shared" si="17"/>
        <v>14468.73717127188</v>
      </c>
      <c r="Q42" s="154">
        <f t="shared" si="5"/>
        <v>536724.05152947549</v>
      </c>
      <c r="R42" s="173">
        <f t="shared" si="6"/>
        <v>0.62604640568883696</v>
      </c>
      <c r="S42" s="153">
        <f t="shared" si="7"/>
        <v>536737.68594333436</v>
      </c>
      <c r="T42" s="154"/>
      <c r="U42" s="154">
        <f>IFERROR(INDEX('2016 Clerical PYA'!$O$5:$O$241,MATCH('2017 Funding'!B42,'2016 Clerical PYA'!$A$5:$A$241,0)),0)</f>
        <v>-12216.713103038783</v>
      </c>
      <c r="V42" s="154">
        <f>IFERROR(INDEX('Revised 2016 MFAM (2014 PYAs)'!$AD$26:$AD$262,MATCH('2017 Funding'!B42,'Revised 2016 MFAM (2014 PYAs)'!$B$26:$B$262,0)),0)</f>
        <v>2804.5852323581348</v>
      </c>
      <c r="W42" s="154">
        <f t="shared" si="8"/>
        <v>-30.484813695901344</v>
      </c>
      <c r="X42" s="154">
        <f t="shared" si="18"/>
        <v>-9442.6126843765487</v>
      </c>
      <c r="Y42" s="154"/>
      <c r="Z42" s="155">
        <f t="shared" si="9"/>
        <v>527295.07325895783</v>
      </c>
      <c r="AA42" s="156">
        <v>0</v>
      </c>
      <c r="AB42" s="157">
        <f t="shared" si="19"/>
        <v>0</v>
      </c>
      <c r="AC42" s="154">
        <f t="shared" si="20"/>
        <v>527295.07325895783</v>
      </c>
      <c r="AD42" s="160"/>
      <c r="AE42" s="154">
        <f t="shared" si="10"/>
        <v>131823.76831473946</v>
      </c>
      <c r="AF42" s="154">
        <f t="shared" si="10"/>
        <v>131823.76831473946</v>
      </c>
      <c r="AG42" s="154">
        <f t="shared" si="10"/>
        <v>131823.76831473946</v>
      </c>
      <c r="AH42" s="154">
        <f t="shared" si="10"/>
        <v>131823.76831473946</v>
      </c>
    </row>
    <row r="43" spans="2:34" x14ac:dyDescent="0.25">
      <c r="B43" s="10">
        <v>179</v>
      </c>
      <c r="C43" s="10">
        <v>3</v>
      </c>
      <c r="D43" s="9" t="s">
        <v>142</v>
      </c>
      <c r="E43" s="8">
        <v>6705.9000000000005</v>
      </c>
      <c r="F43" s="5">
        <v>2222318.2200000002</v>
      </c>
      <c r="G43" s="5">
        <v>751425.40000000014</v>
      </c>
      <c r="H43" s="5">
        <f t="shared" si="11"/>
        <v>1470892.82</v>
      </c>
      <c r="I43" s="152">
        <f t="shared" si="12"/>
        <v>219.34308892169582</v>
      </c>
      <c r="J43" s="6">
        <f t="shared" si="1"/>
        <v>219.34308892169582</v>
      </c>
      <c r="K43" s="5">
        <f t="shared" si="13"/>
        <v>1470892.82</v>
      </c>
      <c r="L43" s="259">
        <v>0.67241071428571431</v>
      </c>
      <c r="M43" s="154">
        <f t="shared" si="14"/>
        <v>337019.14424000419</v>
      </c>
      <c r="N43" s="154">
        <f t="shared" si="15"/>
        <v>321405.55723908241</v>
      </c>
      <c r="O43" s="154">
        <f t="shared" si="16"/>
        <v>67984.585051914415</v>
      </c>
      <c r="P43" s="154">
        <f t="shared" si="17"/>
        <v>24823.734915638655</v>
      </c>
      <c r="Q43" s="154">
        <f t="shared" si="5"/>
        <v>751233.02144663979</v>
      </c>
      <c r="R43" s="173">
        <f t="shared" si="6"/>
        <v>0.51073267285827106</v>
      </c>
      <c r="S43" s="153">
        <f t="shared" si="7"/>
        <v>751252.10503696837</v>
      </c>
      <c r="T43" s="154"/>
      <c r="U43" s="154">
        <f>IFERROR(INDEX('2016 Clerical PYA'!$O$5:$O$241,MATCH('2017 Funding'!B43,'2016 Clerical PYA'!$A$5:$A$241,0)),0)</f>
        <v>-19267.313493610127</v>
      </c>
      <c r="V43" s="154">
        <f>IFERROR(INDEX('Revised 2016 MFAM (2014 PYAs)'!$AD$26:$AD$262,MATCH('2017 Funding'!B43,'Revised 2016 MFAM (2014 PYAs)'!$B$26:$B$262,0)),0)</f>
        <v>17200.649894838338</v>
      </c>
      <c r="W43" s="154">
        <f t="shared" si="8"/>
        <v>-42.668478589229387</v>
      </c>
      <c r="X43" s="154">
        <f t="shared" si="18"/>
        <v>-2109.3320773610185</v>
      </c>
      <c r="Y43" s="154"/>
      <c r="Z43" s="155">
        <f t="shared" si="9"/>
        <v>749142.7729596073</v>
      </c>
      <c r="AA43" s="156">
        <v>0</v>
      </c>
      <c r="AB43" s="157">
        <f t="shared" si="19"/>
        <v>0</v>
      </c>
      <c r="AC43" s="154">
        <f t="shared" si="20"/>
        <v>749142.7729596073</v>
      </c>
      <c r="AD43" s="160"/>
      <c r="AE43" s="154">
        <f t="shared" si="10"/>
        <v>187285.69323990183</v>
      </c>
      <c r="AF43" s="154">
        <f t="shared" si="10"/>
        <v>187285.69323990183</v>
      </c>
      <c r="AG43" s="154">
        <f t="shared" si="10"/>
        <v>187285.69323990183</v>
      </c>
      <c r="AH43" s="154">
        <f t="shared" si="10"/>
        <v>187285.69323990183</v>
      </c>
    </row>
    <row r="44" spans="2:34" x14ac:dyDescent="0.25">
      <c r="B44" s="10">
        <v>293</v>
      </c>
      <c r="C44" s="10">
        <v>3</v>
      </c>
      <c r="D44" s="9" t="s">
        <v>143</v>
      </c>
      <c r="E44" s="8">
        <v>8194.33</v>
      </c>
      <c r="F44" s="5">
        <v>1888483.23</v>
      </c>
      <c r="G44" s="5">
        <v>900166.85</v>
      </c>
      <c r="H44" s="5">
        <f t="shared" si="11"/>
        <v>988316.38</v>
      </c>
      <c r="I44" s="152">
        <f t="shared" si="12"/>
        <v>120.60978505869302</v>
      </c>
      <c r="J44" s="6">
        <f t="shared" si="1"/>
        <v>120.60978505869302</v>
      </c>
      <c r="K44" s="5">
        <f t="shared" si="13"/>
        <v>988316.38</v>
      </c>
      <c r="L44" s="259">
        <v>0.95849999999999991</v>
      </c>
      <c r="M44" s="154">
        <f t="shared" si="14"/>
        <v>226448.54614626424</v>
      </c>
      <c r="N44" s="154">
        <f t="shared" si="15"/>
        <v>392744.18047554092</v>
      </c>
      <c r="O44" s="154">
        <f t="shared" si="16"/>
        <v>65115.279444358268</v>
      </c>
      <c r="P44" s="154">
        <f t="shared" si="17"/>
        <v>16679.463993782767</v>
      </c>
      <c r="Q44" s="154">
        <f t="shared" si="5"/>
        <v>700987.4700599463</v>
      </c>
      <c r="R44" s="173">
        <f t="shared" si="6"/>
        <v>0.70927436218343998</v>
      </c>
      <c r="S44" s="153">
        <f t="shared" si="7"/>
        <v>701005.2772613368</v>
      </c>
      <c r="T44" s="154"/>
      <c r="U44" s="154">
        <f>IFERROR(INDEX('2016 Clerical PYA'!$O$5:$O$241,MATCH('2017 Funding'!B44,'2016 Clerical PYA'!$A$5:$A$241,0)),0)</f>
        <v>-18344.693659014185</v>
      </c>
      <c r="V44" s="154">
        <f>IFERROR(INDEX('Revised 2016 MFAM (2014 PYAs)'!$AD$26:$AD$262,MATCH('2017 Funding'!B44,'Revised 2016 MFAM (2014 PYAs)'!$B$26:$B$262,0)),0)</f>
        <v>-70333.94755823561</v>
      </c>
      <c r="W44" s="154">
        <f t="shared" si="8"/>
        <v>-39.814635410958722</v>
      </c>
      <c r="X44" s="154">
        <f t="shared" si="18"/>
        <v>-88718.455852660758</v>
      </c>
      <c r="Y44" s="154"/>
      <c r="Z44" s="155">
        <f t="shared" si="9"/>
        <v>612286.82140867598</v>
      </c>
      <c r="AA44" s="156">
        <v>0</v>
      </c>
      <c r="AB44" s="157">
        <f t="shared" si="19"/>
        <v>0</v>
      </c>
      <c r="AC44" s="154">
        <f t="shared" si="20"/>
        <v>612286.82140867598</v>
      </c>
      <c r="AD44" s="160"/>
      <c r="AE44" s="154">
        <f t="shared" si="10"/>
        <v>153071.705352169</v>
      </c>
      <c r="AF44" s="154">
        <f t="shared" si="10"/>
        <v>153071.705352169</v>
      </c>
      <c r="AG44" s="154">
        <f t="shared" si="10"/>
        <v>153071.705352169</v>
      </c>
      <c r="AH44" s="154">
        <f t="shared" si="10"/>
        <v>153071.705352169</v>
      </c>
    </row>
    <row r="45" spans="2:34" x14ac:dyDescent="0.25">
      <c r="B45" s="10">
        <v>12</v>
      </c>
      <c r="C45" s="10">
        <v>4</v>
      </c>
      <c r="D45" s="9" t="s">
        <v>144</v>
      </c>
      <c r="E45" s="8">
        <v>5579.48</v>
      </c>
      <c r="F45" s="5">
        <v>3032437.8</v>
      </c>
      <c r="G45" s="5">
        <v>527106.92000000004</v>
      </c>
      <c r="H45" s="5">
        <f t="shared" si="11"/>
        <v>2505330.88</v>
      </c>
      <c r="I45" s="152">
        <f t="shared" si="12"/>
        <v>449.02587337888122</v>
      </c>
      <c r="J45" s="6">
        <f t="shared" si="1"/>
        <v>449.02587337888122</v>
      </c>
      <c r="K45" s="5">
        <f t="shared" si="13"/>
        <v>2505330.88</v>
      </c>
      <c r="L45" s="259">
        <v>0.75064285714285706</v>
      </c>
      <c r="M45" s="154">
        <f t="shared" si="14"/>
        <v>574035.34624341724</v>
      </c>
      <c r="N45" s="154">
        <f t="shared" si="15"/>
        <v>267417.62902881275</v>
      </c>
      <c r="O45" s="154">
        <f t="shared" si="16"/>
        <v>129268.65972154438</v>
      </c>
      <c r="P45" s="154">
        <f t="shared" si="17"/>
        <v>42281.578096957266</v>
      </c>
      <c r="Q45" s="154">
        <f t="shared" si="5"/>
        <v>1013003.2130907316</v>
      </c>
      <c r="R45" s="173">
        <f t="shared" si="6"/>
        <v>0.40433909196486323</v>
      </c>
      <c r="S45" s="153">
        <f t="shared" si="7"/>
        <v>1013028.9464354705</v>
      </c>
      <c r="T45" s="154"/>
      <c r="U45" s="154">
        <f>IFERROR(INDEX('2016 Clerical PYA'!$O$5:$O$241,MATCH('2017 Funding'!B45,'2016 Clerical PYA'!$A$5:$A$241,0)),0)</f>
        <v>59329.971908521955</v>
      </c>
      <c r="V45" s="154">
        <f>IFERROR(INDEX('Revised 2016 MFAM (2014 PYAs)'!$AD$26:$AD$262,MATCH('2017 Funding'!B45,'Revised 2016 MFAM (2014 PYAs)'!$B$26:$B$262,0)),0)</f>
        <v>6279.6341284507653</v>
      </c>
      <c r="W45" s="154">
        <f t="shared" si="8"/>
        <v>-57.536482921567917</v>
      </c>
      <c r="X45" s="154">
        <f t="shared" si="18"/>
        <v>65552.069554051151</v>
      </c>
      <c r="Y45" s="154"/>
      <c r="Z45" s="155">
        <f t="shared" si="9"/>
        <v>1078581.0159895215</v>
      </c>
      <c r="AA45" s="156">
        <v>0</v>
      </c>
      <c r="AB45" s="157">
        <f t="shared" si="19"/>
        <v>0</v>
      </c>
      <c r="AC45" s="154">
        <f t="shared" si="20"/>
        <v>1078581.0159895215</v>
      </c>
      <c r="AD45" s="160"/>
      <c r="AE45" s="154">
        <f t="shared" si="10"/>
        <v>269645.25399738038</v>
      </c>
      <c r="AF45" s="154">
        <f t="shared" si="10"/>
        <v>269645.25399738038</v>
      </c>
      <c r="AG45" s="154">
        <f t="shared" si="10"/>
        <v>269645.25399738038</v>
      </c>
      <c r="AH45" s="154">
        <f t="shared" si="10"/>
        <v>269645.25399738038</v>
      </c>
    </row>
    <row r="46" spans="2:34" x14ac:dyDescent="0.25">
      <c r="B46" s="10">
        <v>21</v>
      </c>
      <c r="C46" s="10">
        <v>4</v>
      </c>
      <c r="D46" s="9" t="s">
        <v>145</v>
      </c>
      <c r="E46" s="8">
        <v>4620.2</v>
      </c>
      <c r="F46" s="5">
        <v>2170997.58</v>
      </c>
      <c r="G46" s="5">
        <v>658540.66999999981</v>
      </c>
      <c r="H46" s="5">
        <f t="shared" si="11"/>
        <v>1512456.9100000001</v>
      </c>
      <c r="I46" s="152">
        <f t="shared" si="12"/>
        <v>327.35745422276096</v>
      </c>
      <c r="J46" s="6">
        <f t="shared" si="1"/>
        <v>327.35745422276096</v>
      </c>
      <c r="K46" s="5">
        <f t="shared" si="13"/>
        <v>1512456.9100000001</v>
      </c>
      <c r="L46" s="259">
        <v>0.74036160714285704</v>
      </c>
      <c r="M46" s="154">
        <f t="shared" si="14"/>
        <v>346542.53972636902</v>
      </c>
      <c r="N46" s="154">
        <f t="shared" si="15"/>
        <v>221440.51589734538</v>
      </c>
      <c r="O46" s="154">
        <f t="shared" si="16"/>
        <v>76970.037496554578</v>
      </c>
      <c r="P46" s="154">
        <f t="shared" si="17"/>
        <v>25525.197277913117</v>
      </c>
      <c r="Q46" s="154">
        <f t="shared" si="5"/>
        <v>670478.290398182</v>
      </c>
      <c r="R46" s="173">
        <f t="shared" si="6"/>
        <v>0.44330406107118908</v>
      </c>
      <c r="S46" s="153">
        <f t="shared" si="7"/>
        <v>670495.32257415517</v>
      </c>
      <c r="T46" s="154"/>
      <c r="U46" s="154">
        <f>IFERROR(INDEX('2016 Clerical PYA'!$O$5:$O$241,MATCH('2017 Funding'!B46,'2016 Clerical PYA'!$A$5:$A$241,0)),0)</f>
        <v>-20173.723975111381</v>
      </c>
      <c r="V46" s="154">
        <f>IFERROR(INDEX('Revised 2016 MFAM (2014 PYAs)'!$AD$26:$AD$262,MATCH('2017 Funding'!B46,'Revised 2016 MFAM (2014 PYAs)'!$B$26:$B$262,0)),0)</f>
        <v>3840.8083649917971</v>
      </c>
      <c r="W46" s="154">
        <f t="shared" si="8"/>
        <v>-38.081777240445767</v>
      </c>
      <c r="X46" s="154">
        <f t="shared" si="18"/>
        <v>-16370.99738736003</v>
      </c>
      <c r="Y46" s="154"/>
      <c r="Z46" s="155">
        <f t="shared" si="9"/>
        <v>654124.32518679509</v>
      </c>
      <c r="AA46" s="156">
        <v>0</v>
      </c>
      <c r="AB46" s="157">
        <f t="shared" si="19"/>
        <v>0</v>
      </c>
      <c r="AC46" s="154">
        <f t="shared" si="20"/>
        <v>654124.32518679509</v>
      </c>
      <c r="AD46" s="160"/>
      <c r="AE46" s="154">
        <f t="shared" ref="AE46:AH109" si="21">$AC46/4</f>
        <v>163531.08129669877</v>
      </c>
      <c r="AF46" s="154">
        <f t="shared" si="21"/>
        <v>163531.08129669877</v>
      </c>
      <c r="AG46" s="154">
        <f t="shared" si="21"/>
        <v>163531.08129669877</v>
      </c>
      <c r="AH46" s="154">
        <f t="shared" si="21"/>
        <v>163531.08129669877</v>
      </c>
    </row>
    <row r="47" spans="2:34" x14ac:dyDescent="0.25">
      <c r="B47" s="10">
        <v>34</v>
      </c>
      <c r="C47" s="10">
        <v>4</v>
      </c>
      <c r="D47" s="9" t="s">
        <v>146</v>
      </c>
      <c r="E47" s="8">
        <v>4914.88</v>
      </c>
      <c r="F47" s="5">
        <v>2506601.4900000002</v>
      </c>
      <c r="G47" s="5">
        <v>468753.65</v>
      </c>
      <c r="H47" s="5">
        <f t="shared" si="11"/>
        <v>2037847.8400000003</v>
      </c>
      <c r="I47" s="152">
        <f t="shared" si="12"/>
        <v>414.62819845042003</v>
      </c>
      <c r="J47" s="6">
        <f t="shared" si="1"/>
        <v>414.62819845042003</v>
      </c>
      <c r="K47" s="5">
        <f t="shared" si="13"/>
        <v>2037847.8400000005</v>
      </c>
      <c r="L47" s="259">
        <v>0.57929613095238097</v>
      </c>
      <c r="M47" s="154">
        <f t="shared" si="14"/>
        <v>466923.03190938209</v>
      </c>
      <c r="N47" s="154">
        <f t="shared" si="15"/>
        <v>235564.16665372602</v>
      </c>
      <c r="O47" s="154">
        <f t="shared" si="16"/>
        <v>81146.011751298051</v>
      </c>
      <c r="P47" s="154">
        <f t="shared" si="17"/>
        <v>34392.033118066902</v>
      </c>
      <c r="Q47" s="154">
        <f t="shared" si="5"/>
        <v>818025.24343247316</v>
      </c>
      <c r="R47" s="173">
        <f t="shared" si="6"/>
        <v>0.40141625266412084</v>
      </c>
      <c r="S47" s="153">
        <f t="shared" si="7"/>
        <v>818046.0237472069</v>
      </c>
      <c r="T47" s="154"/>
      <c r="U47" s="154">
        <f>IFERROR(INDEX('2016 Clerical PYA'!$O$5:$O$241,MATCH('2017 Funding'!B47,'2016 Clerical PYA'!$A$5:$A$241,0)),0)</f>
        <v>90474.082392048091</v>
      </c>
      <c r="V47" s="154">
        <f>IFERROR(INDEX('Revised 2016 MFAM (2014 PYAs)'!$AD$26:$AD$262,MATCH('2017 Funding'!B47,'Revised 2016 MFAM (2014 PYAs)'!$B$26:$B$262,0)),0)</f>
        <v>-111997.12282703677</v>
      </c>
      <c r="W47" s="154">
        <f t="shared" si="8"/>
        <v>-46.46213836238676</v>
      </c>
      <c r="X47" s="154">
        <f t="shared" si="18"/>
        <v>-21569.502573351067</v>
      </c>
      <c r="Y47" s="154"/>
      <c r="Z47" s="155">
        <f t="shared" si="9"/>
        <v>796476.52117385587</v>
      </c>
      <c r="AA47" s="156">
        <v>0</v>
      </c>
      <c r="AB47" s="157">
        <f t="shared" si="19"/>
        <v>0</v>
      </c>
      <c r="AC47" s="154">
        <f t="shared" si="20"/>
        <v>796476.52117385587</v>
      </c>
      <c r="AD47" s="160"/>
      <c r="AE47" s="154">
        <f t="shared" si="21"/>
        <v>199119.13029346397</v>
      </c>
      <c r="AF47" s="154">
        <f t="shared" si="21"/>
        <v>199119.13029346397</v>
      </c>
      <c r="AG47" s="154">
        <f t="shared" si="21"/>
        <v>199119.13029346397</v>
      </c>
      <c r="AH47" s="154">
        <f t="shared" si="21"/>
        <v>199119.13029346397</v>
      </c>
    </row>
    <row r="48" spans="2:34" x14ac:dyDescent="0.25">
      <c r="B48" s="10">
        <v>87</v>
      </c>
      <c r="C48" s="10">
        <v>4</v>
      </c>
      <c r="D48" s="9" t="s">
        <v>147</v>
      </c>
      <c r="E48" s="8">
        <v>12026.400000000001</v>
      </c>
      <c r="F48" s="5">
        <v>4866732.33</v>
      </c>
      <c r="G48" s="5">
        <v>1343901.0299999998</v>
      </c>
      <c r="H48" s="5">
        <f t="shared" si="11"/>
        <v>3522831.3000000003</v>
      </c>
      <c r="I48" s="152">
        <f t="shared" si="12"/>
        <v>292.92484035122726</v>
      </c>
      <c r="J48" s="6">
        <f t="shared" si="1"/>
        <v>292.92484035122726</v>
      </c>
      <c r="K48" s="5">
        <f t="shared" si="13"/>
        <v>3522831.3</v>
      </c>
      <c r="L48" s="259">
        <v>0.87580357142857135</v>
      </c>
      <c r="M48" s="154">
        <f t="shared" si="14"/>
        <v>807170.70196039241</v>
      </c>
      <c r="N48" s="154">
        <f t="shared" si="15"/>
        <v>576410.59269898152</v>
      </c>
      <c r="O48" s="154">
        <f t="shared" si="16"/>
        <v>212076.89505882558</v>
      </c>
      <c r="P48" s="154">
        <f t="shared" si="17"/>
        <v>59453.570752840234</v>
      </c>
      <c r="Q48" s="154">
        <f t="shared" si="5"/>
        <v>1655111.7604710397</v>
      </c>
      <c r="R48" s="173">
        <f t="shared" si="6"/>
        <v>0.46982430310274576</v>
      </c>
      <c r="S48" s="153">
        <f t="shared" si="7"/>
        <v>1655153.8053144945</v>
      </c>
      <c r="T48" s="154"/>
      <c r="U48" s="154">
        <f>IFERROR(INDEX('2016 Clerical PYA'!$O$5:$O$241,MATCH('2017 Funding'!B48,'2016 Clerical PYA'!$A$5:$A$241,0)),0)</f>
        <v>-49681.683090311708</v>
      </c>
      <c r="V48" s="154">
        <f>IFERROR(INDEX('Revised 2016 MFAM (2014 PYAs)'!$AD$26:$AD$262,MATCH('2017 Funding'!B48,'Revised 2016 MFAM (2014 PYAs)'!$B$26:$B$262,0)),0)</f>
        <v>10642.635509119602</v>
      </c>
      <c r="W48" s="154">
        <f t="shared" si="8"/>
        <v>-94.006917558610738</v>
      </c>
      <c r="X48" s="154">
        <f t="shared" si="18"/>
        <v>-39133.054498750716</v>
      </c>
      <c r="Y48" s="154"/>
      <c r="Z48" s="155">
        <f t="shared" si="9"/>
        <v>1616020.7508157438</v>
      </c>
      <c r="AA48" s="156">
        <v>0</v>
      </c>
      <c r="AB48" s="157">
        <f t="shared" si="19"/>
        <v>0</v>
      </c>
      <c r="AC48" s="154">
        <f t="shared" si="20"/>
        <v>1616020.7508157438</v>
      </c>
      <c r="AD48" s="160"/>
      <c r="AE48" s="154">
        <f t="shared" si="21"/>
        <v>404005.18770393595</v>
      </c>
      <c r="AF48" s="154">
        <f t="shared" si="21"/>
        <v>404005.18770393595</v>
      </c>
      <c r="AG48" s="154">
        <f t="shared" si="21"/>
        <v>404005.18770393595</v>
      </c>
      <c r="AH48" s="154">
        <f t="shared" si="21"/>
        <v>404005.18770393595</v>
      </c>
    </row>
    <row r="49" spans="2:34" x14ac:dyDescent="0.25">
      <c r="B49" s="10">
        <v>88</v>
      </c>
      <c r="C49" s="10">
        <v>4</v>
      </c>
      <c r="D49" s="9" t="s">
        <v>148</v>
      </c>
      <c r="E49" s="8">
        <v>5057.1000000000004</v>
      </c>
      <c r="F49" s="5">
        <v>2005124.97</v>
      </c>
      <c r="G49" s="5">
        <v>613335.13</v>
      </c>
      <c r="H49" s="5">
        <f t="shared" si="11"/>
        <v>1391789.8399999999</v>
      </c>
      <c r="I49" s="152">
        <f t="shared" si="12"/>
        <v>275.21501255660354</v>
      </c>
      <c r="J49" s="6">
        <f t="shared" si="1"/>
        <v>275.21501255660354</v>
      </c>
      <c r="K49" s="5">
        <f t="shared" si="13"/>
        <v>1391789.8399999999</v>
      </c>
      <c r="L49" s="259">
        <v>0.95737351190476172</v>
      </c>
      <c r="M49" s="154">
        <f t="shared" si="14"/>
        <v>318894.62948002713</v>
      </c>
      <c r="N49" s="154">
        <f t="shared" si="15"/>
        <v>242380.59671539447</v>
      </c>
      <c r="O49" s="154">
        <f t="shared" si="16"/>
        <v>91590.381405858396</v>
      </c>
      <c r="P49" s="154">
        <f t="shared" si="17"/>
        <v>23488.742059696186</v>
      </c>
      <c r="Q49" s="154">
        <f t="shared" si="5"/>
        <v>676354.34966097621</v>
      </c>
      <c r="R49" s="173">
        <f t="shared" si="6"/>
        <v>0.48596011425185881</v>
      </c>
      <c r="S49" s="153">
        <f t="shared" si="7"/>
        <v>676371.53110662277</v>
      </c>
      <c r="T49" s="154"/>
      <c r="U49" s="154">
        <f>IFERROR(INDEX('2016 Clerical PYA'!$O$5:$O$241,MATCH('2017 Funding'!B49,'2016 Clerical PYA'!$A$5:$A$241,0)),0)</f>
        <v>-19049.290341352927</v>
      </c>
      <c r="V49" s="154">
        <f>IFERROR(INDEX('Revised 2016 MFAM (2014 PYAs)'!$AD$26:$AD$262,MATCH('2017 Funding'!B49,'Revised 2016 MFAM (2014 PYAs)'!$B$26:$B$262,0)),0)</f>
        <v>3852.8049405913334</v>
      </c>
      <c r="W49" s="154">
        <f t="shared" si="8"/>
        <v>-38.415525227669178</v>
      </c>
      <c r="X49" s="154">
        <f t="shared" si="18"/>
        <v>-15234.900925989263</v>
      </c>
      <c r="Y49" s="154"/>
      <c r="Z49" s="155">
        <f t="shared" si="9"/>
        <v>661136.63018063351</v>
      </c>
      <c r="AA49" s="156">
        <v>0</v>
      </c>
      <c r="AB49" s="157">
        <f t="shared" si="19"/>
        <v>0</v>
      </c>
      <c r="AC49" s="154">
        <f t="shared" si="20"/>
        <v>661136.63018063351</v>
      </c>
      <c r="AD49" s="160"/>
      <c r="AE49" s="154">
        <f t="shared" si="21"/>
        <v>165284.15754515838</v>
      </c>
      <c r="AF49" s="154">
        <f t="shared" si="21"/>
        <v>165284.15754515838</v>
      </c>
      <c r="AG49" s="154">
        <f t="shared" si="21"/>
        <v>165284.15754515838</v>
      </c>
      <c r="AH49" s="154">
        <f t="shared" si="21"/>
        <v>165284.15754515838</v>
      </c>
    </row>
    <row r="50" spans="2:34" x14ac:dyDescent="0.25">
      <c r="B50" s="10">
        <v>89</v>
      </c>
      <c r="C50" s="10">
        <v>4</v>
      </c>
      <c r="D50" s="9" t="s">
        <v>149</v>
      </c>
      <c r="E50" s="8">
        <v>5659.9800000000005</v>
      </c>
      <c r="F50" s="5">
        <v>3584803.82</v>
      </c>
      <c r="G50" s="5">
        <v>462428.63000000006</v>
      </c>
      <c r="H50" s="5">
        <f t="shared" si="11"/>
        <v>3122375.19</v>
      </c>
      <c r="I50" s="152">
        <f t="shared" si="12"/>
        <v>551.65834331570068</v>
      </c>
      <c r="J50" s="6">
        <f t="shared" si="1"/>
        <v>474.60800294848934</v>
      </c>
      <c r="K50" s="5">
        <f t="shared" si="13"/>
        <v>2686271.804528391</v>
      </c>
      <c r="L50" s="259">
        <v>0.69982738095238084</v>
      </c>
      <c r="M50" s="154">
        <f t="shared" si="14"/>
        <v>615493.53729132342</v>
      </c>
      <c r="N50" s="154">
        <f t="shared" si="15"/>
        <v>271275.89523584628</v>
      </c>
      <c r="O50" s="154">
        <f t="shared" si="16"/>
        <v>129221.76905871103</v>
      </c>
      <c r="P50" s="154">
        <f t="shared" si="17"/>
        <v>45335.2537181921</v>
      </c>
      <c r="Q50" s="154">
        <f t="shared" si="5"/>
        <v>1061326.4553040727</v>
      </c>
      <c r="R50" s="173">
        <f t="shared" si="6"/>
        <v>0.39509272796406469</v>
      </c>
      <c r="S50" s="153">
        <f t="shared" si="7"/>
        <v>1061353.416205284</v>
      </c>
      <c r="T50" s="154"/>
      <c r="U50" s="154">
        <f>IFERROR(INDEX('2016 Clerical PYA'!$O$5:$O$241,MATCH('2017 Funding'!B50,'2016 Clerical PYA'!$A$5:$A$241,0)),0)</f>
        <v>120799.61641631066</v>
      </c>
      <c r="V50" s="154">
        <f>IFERROR(INDEX('Revised 2016 MFAM (2014 PYAs)'!$AD$26:$AD$262,MATCH('2017 Funding'!B50,'Revised 2016 MFAM (2014 PYAs)'!$B$26:$B$262,0)),0)</f>
        <v>-22737.072681941092</v>
      </c>
      <c r="W50" s="154">
        <f t="shared" si="8"/>
        <v>-60.281142923029989</v>
      </c>
      <c r="X50" s="154">
        <f t="shared" si="18"/>
        <v>98002.262591446532</v>
      </c>
      <c r="Y50" s="154"/>
      <c r="Z50" s="155">
        <f t="shared" si="9"/>
        <v>1159355.6787967305</v>
      </c>
      <c r="AA50" s="156">
        <v>0</v>
      </c>
      <c r="AB50" s="157">
        <f t="shared" si="19"/>
        <v>0</v>
      </c>
      <c r="AC50" s="154">
        <f t="shared" si="20"/>
        <v>1159355.6787967305</v>
      </c>
      <c r="AD50" s="160"/>
      <c r="AE50" s="154">
        <f t="shared" si="21"/>
        <v>289838.91969918262</v>
      </c>
      <c r="AF50" s="154">
        <f t="shared" si="21"/>
        <v>289838.91969918262</v>
      </c>
      <c r="AG50" s="154">
        <f t="shared" si="21"/>
        <v>289838.91969918262</v>
      </c>
      <c r="AH50" s="154">
        <f t="shared" si="21"/>
        <v>289838.91969918262</v>
      </c>
    </row>
    <row r="51" spans="2:34" x14ac:dyDescent="0.25">
      <c r="B51" s="10">
        <v>143</v>
      </c>
      <c r="C51" s="10">
        <v>4</v>
      </c>
      <c r="D51" s="9" t="s">
        <v>150</v>
      </c>
      <c r="E51" s="8">
        <v>3083.89</v>
      </c>
      <c r="F51" s="5">
        <v>948628.87</v>
      </c>
      <c r="G51" s="5">
        <v>322597.75</v>
      </c>
      <c r="H51" s="5">
        <f t="shared" si="11"/>
        <v>626031.12</v>
      </c>
      <c r="I51" s="152">
        <f t="shared" si="12"/>
        <v>203.00047018538277</v>
      </c>
      <c r="J51" s="6">
        <f t="shared" si="1"/>
        <v>203.00047018538277</v>
      </c>
      <c r="K51" s="5">
        <f t="shared" si="13"/>
        <v>626031.12</v>
      </c>
      <c r="L51" s="259">
        <v>0.7928154761904761</v>
      </c>
      <c r="M51" s="154">
        <f t="shared" si="14"/>
        <v>143439.73229131091</v>
      </c>
      <c r="N51" s="154">
        <f t="shared" si="15"/>
        <v>147807.06302122516</v>
      </c>
      <c r="O51" s="154">
        <f t="shared" si="16"/>
        <v>34116.371898351019</v>
      </c>
      <c r="P51" s="154">
        <f t="shared" si="17"/>
        <v>10565.304528320677</v>
      </c>
      <c r="Q51" s="154">
        <f t="shared" si="5"/>
        <v>335928.47173920774</v>
      </c>
      <c r="R51" s="173">
        <f t="shared" si="6"/>
        <v>0.53660027594028836</v>
      </c>
      <c r="S51" s="153">
        <f t="shared" si="7"/>
        <v>335937.00533817284</v>
      </c>
      <c r="T51" s="154"/>
      <c r="U51" s="154">
        <f>IFERROR(INDEX('2016 Clerical PYA'!$O$5:$O$241,MATCH('2017 Funding'!B51,'2016 Clerical PYA'!$A$5:$A$241,0)),0)</f>
        <v>-9371.652214883361</v>
      </c>
      <c r="V51" s="154">
        <f>IFERROR(INDEX('Revised 2016 MFAM (2014 PYAs)'!$AD$26:$AD$262,MATCH('2017 Funding'!B51,'Revised 2016 MFAM (2014 PYAs)'!$B$26:$B$262,0)),0)</f>
        <v>-13152.46129007556</v>
      </c>
      <c r="W51" s="154">
        <f t="shared" si="8"/>
        <v>-19.080040938981874</v>
      </c>
      <c r="X51" s="154">
        <f t="shared" si="18"/>
        <v>-22543.193545897902</v>
      </c>
      <c r="Y51" s="154"/>
      <c r="Z51" s="155">
        <f t="shared" si="9"/>
        <v>313393.81179227494</v>
      </c>
      <c r="AA51" s="156">
        <v>0</v>
      </c>
      <c r="AB51" s="157">
        <f t="shared" si="19"/>
        <v>0</v>
      </c>
      <c r="AC51" s="154">
        <f t="shared" si="20"/>
        <v>313393.81179227494</v>
      </c>
      <c r="AD51" s="160"/>
      <c r="AE51" s="154">
        <f t="shared" si="21"/>
        <v>78348.452948068734</v>
      </c>
      <c r="AF51" s="154">
        <f t="shared" si="21"/>
        <v>78348.452948068734</v>
      </c>
      <c r="AG51" s="154">
        <f t="shared" si="21"/>
        <v>78348.452948068734</v>
      </c>
      <c r="AH51" s="154">
        <f t="shared" si="21"/>
        <v>78348.452948068734</v>
      </c>
    </row>
    <row r="52" spans="2:34" x14ac:dyDescent="0.25">
      <c r="B52" s="10">
        <v>183</v>
      </c>
      <c r="C52" s="10">
        <v>4</v>
      </c>
      <c r="D52" s="9" t="s">
        <v>151</v>
      </c>
      <c r="E52" s="8">
        <v>12702.630000000001</v>
      </c>
      <c r="F52" s="5">
        <v>5504591.5700000003</v>
      </c>
      <c r="G52" s="5">
        <v>700215.74000000011</v>
      </c>
      <c r="H52" s="5">
        <f t="shared" si="11"/>
        <v>4804375.83</v>
      </c>
      <c r="I52" s="152">
        <f t="shared" si="12"/>
        <v>378.21898535972468</v>
      </c>
      <c r="J52" s="6">
        <f t="shared" si="1"/>
        <v>378.21898535972468</v>
      </c>
      <c r="K52" s="5">
        <f t="shared" si="13"/>
        <v>4804375.83</v>
      </c>
      <c r="L52" s="259">
        <v>0.87535714285714272</v>
      </c>
      <c r="M52" s="154">
        <f t="shared" si="14"/>
        <v>1100805.3128126357</v>
      </c>
      <c r="N52" s="154">
        <f t="shared" si="15"/>
        <v>608821.46670124587</v>
      </c>
      <c r="O52" s="154">
        <f t="shared" si="16"/>
        <v>289079.33803968958</v>
      </c>
      <c r="P52" s="154">
        <f t="shared" si="17"/>
        <v>81081.741930742064</v>
      </c>
      <c r="Q52" s="154">
        <f t="shared" si="5"/>
        <v>2079787.8594843133</v>
      </c>
      <c r="R52" s="173">
        <f t="shared" si="6"/>
        <v>0.43289449724092738</v>
      </c>
      <c r="S52" s="153">
        <f t="shared" si="7"/>
        <v>2079840.6923848216</v>
      </c>
      <c r="T52" s="154"/>
      <c r="U52" s="154">
        <f>IFERROR(INDEX('2016 Clerical PYA'!$O$5:$O$241,MATCH('2017 Funding'!B52,'2016 Clerical PYA'!$A$5:$A$241,0)),0)</f>
        <v>-64890.611629593652</v>
      </c>
      <c r="V52" s="154">
        <f>IFERROR(INDEX('Revised 2016 MFAM (2014 PYAs)'!$AD$26:$AD$262,MATCH('2017 Funding'!B52,'Revised 2016 MFAM (2014 PYAs)'!$B$26:$B$262,0)),0)</f>
        <v>11959.22830289579</v>
      </c>
      <c r="W52" s="154">
        <f t="shared" si="8"/>
        <v>-118.12763978566529</v>
      </c>
      <c r="X52" s="154">
        <f t="shared" si="18"/>
        <v>-53049.510966483525</v>
      </c>
      <c r="Y52" s="154"/>
      <c r="Z52" s="155">
        <f t="shared" si="9"/>
        <v>2026791.1814183381</v>
      </c>
      <c r="AA52" s="156">
        <v>0</v>
      </c>
      <c r="AB52" s="157">
        <f t="shared" si="19"/>
        <v>0</v>
      </c>
      <c r="AC52" s="154">
        <f t="shared" si="20"/>
        <v>2026791.1814183381</v>
      </c>
      <c r="AD52" s="160"/>
      <c r="AE52" s="154">
        <f t="shared" si="21"/>
        <v>506697.79535458452</v>
      </c>
      <c r="AF52" s="154">
        <f t="shared" si="21"/>
        <v>506697.79535458452</v>
      </c>
      <c r="AG52" s="154">
        <f t="shared" si="21"/>
        <v>506697.79535458452</v>
      </c>
      <c r="AH52" s="154">
        <f t="shared" si="21"/>
        <v>506697.79535458452</v>
      </c>
    </row>
    <row r="53" spans="2:34" x14ac:dyDescent="0.25">
      <c r="B53" s="10">
        <v>186</v>
      </c>
      <c r="C53" s="10">
        <v>4</v>
      </c>
      <c r="D53" s="9" t="s">
        <v>152</v>
      </c>
      <c r="E53" s="8">
        <v>12278.68</v>
      </c>
      <c r="F53" s="5">
        <v>6268228.2599999998</v>
      </c>
      <c r="G53" s="5">
        <v>1009484.7500000001</v>
      </c>
      <c r="H53" s="5">
        <f t="shared" si="11"/>
        <v>5258743.51</v>
      </c>
      <c r="I53" s="152">
        <f t="shared" si="12"/>
        <v>428.28247906126717</v>
      </c>
      <c r="J53" s="6">
        <f t="shared" si="1"/>
        <v>428.28247906126717</v>
      </c>
      <c r="K53" s="5">
        <f t="shared" si="13"/>
        <v>5258743.51</v>
      </c>
      <c r="L53" s="259">
        <v>0.77580654761904755</v>
      </c>
      <c r="M53" s="154">
        <f t="shared" si="14"/>
        <v>1204912.5629139147</v>
      </c>
      <c r="N53" s="154">
        <f t="shared" si="15"/>
        <v>588502.06349041534</v>
      </c>
      <c r="O53" s="154">
        <f t="shared" si="16"/>
        <v>280433.71668511879</v>
      </c>
      <c r="P53" s="154">
        <f t="shared" si="17"/>
        <v>88749.943644143394</v>
      </c>
      <c r="Q53" s="154">
        <f t="shared" si="5"/>
        <v>2162598.2867335924</v>
      </c>
      <c r="R53" s="173">
        <f t="shared" si="6"/>
        <v>0.41123859390008405</v>
      </c>
      <c r="S53" s="153">
        <f t="shared" si="7"/>
        <v>2162653.2232693555</v>
      </c>
      <c r="T53" s="154"/>
      <c r="U53" s="154">
        <f>IFERROR(INDEX('2016 Clerical PYA'!$O$5:$O$241,MATCH('2017 Funding'!B53,'2016 Clerical PYA'!$A$5:$A$241,0)),0)</f>
        <v>57372.742498450913</v>
      </c>
      <c r="V53" s="154">
        <f>IFERROR(INDEX('Revised 2016 MFAM (2014 PYAs)'!$AD$26:$AD$262,MATCH('2017 Funding'!B53,'Revised 2016 MFAM (2014 PYAs)'!$B$26:$B$262,0)),0)</f>
        <v>11906.447042622603</v>
      </c>
      <c r="W53" s="154">
        <f t="shared" si="8"/>
        <v>-122.83110041795562</v>
      </c>
      <c r="X53" s="154">
        <f t="shared" si="18"/>
        <v>69156.35844065556</v>
      </c>
      <c r="Y53" s="154"/>
      <c r="Z53" s="155">
        <f t="shared" si="9"/>
        <v>2231809.5817100112</v>
      </c>
      <c r="AA53" s="156">
        <v>0</v>
      </c>
      <c r="AB53" s="157">
        <f t="shared" si="19"/>
        <v>0</v>
      </c>
      <c r="AC53" s="154">
        <f t="shared" si="20"/>
        <v>2231809.5817100112</v>
      </c>
      <c r="AD53" s="160"/>
      <c r="AE53" s="154">
        <f t="shared" si="21"/>
        <v>557952.39542750281</v>
      </c>
      <c r="AF53" s="154">
        <f t="shared" si="21"/>
        <v>557952.39542750281</v>
      </c>
      <c r="AG53" s="154">
        <f t="shared" si="21"/>
        <v>557952.39542750281</v>
      </c>
      <c r="AH53" s="154">
        <f t="shared" si="21"/>
        <v>557952.39542750281</v>
      </c>
    </row>
    <row r="54" spans="2:34" x14ac:dyDescent="0.25">
      <c r="B54" s="10">
        <v>190</v>
      </c>
      <c r="C54" s="10">
        <v>4</v>
      </c>
      <c r="D54" s="9" t="s">
        <v>153</v>
      </c>
      <c r="E54" s="8">
        <v>3470.1099999999992</v>
      </c>
      <c r="F54" s="5">
        <v>1856742.77</v>
      </c>
      <c r="G54" s="5">
        <v>529858.61</v>
      </c>
      <c r="H54" s="5">
        <f t="shared" si="11"/>
        <v>1326884.1600000001</v>
      </c>
      <c r="I54" s="152">
        <f t="shared" si="12"/>
        <v>382.37524458878841</v>
      </c>
      <c r="J54" s="6">
        <f t="shared" si="1"/>
        <v>382.37524458878841</v>
      </c>
      <c r="K54" s="5">
        <f t="shared" si="13"/>
        <v>1326884.1600000001</v>
      </c>
      <c r="L54" s="259">
        <v>0.59956845238095235</v>
      </c>
      <c r="M54" s="154">
        <f t="shared" si="14"/>
        <v>304023.07906351518</v>
      </c>
      <c r="N54" s="154">
        <f t="shared" si="15"/>
        <v>166318.11363588957</v>
      </c>
      <c r="O54" s="154">
        <f t="shared" si="16"/>
        <v>54684.794100661114</v>
      </c>
      <c r="P54" s="154">
        <f t="shared" si="17"/>
        <v>22393.351985768662</v>
      </c>
      <c r="Q54" s="154">
        <f t="shared" si="5"/>
        <v>547419.33878583449</v>
      </c>
      <c r="R54" s="173">
        <f t="shared" si="6"/>
        <v>0.41256000733766723</v>
      </c>
      <c r="S54" s="153">
        <f t="shared" si="7"/>
        <v>547433.24489233014</v>
      </c>
      <c r="T54" s="154"/>
      <c r="U54" s="154">
        <f>IFERROR(INDEX('2016 Clerical PYA'!$O$5:$O$241,MATCH('2017 Funding'!B54,'2016 Clerical PYA'!$A$5:$A$241,0)),0)</f>
        <v>-15100.93584516726</v>
      </c>
      <c r="V54" s="154">
        <f>IFERROR(INDEX('Revised 2016 MFAM (2014 PYAs)'!$AD$26:$AD$262,MATCH('2017 Funding'!B54,'Revised 2016 MFAM (2014 PYAs)'!$B$26:$B$262,0)),0)</f>
        <v>2832.3247878705733</v>
      </c>
      <c r="W54" s="154">
        <f t="shared" si="8"/>
        <v>-31.092283844677315</v>
      </c>
      <c r="X54" s="154">
        <f t="shared" si="18"/>
        <v>-12299.703341141363</v>
      </c>
      <c r="Y54" s="154"/>
      <c r="Z54" s="155">
        <f t="shared" si="9"/>
        <v>535133.5415511888</v>
      </c>
      <c r="AA54" s="156">
        <v>0</v>
      </c>
      <c r="AB54" s="157">
        <f t="shared" si="19"/>
        <v>0</v>
      </c>
      <c r="AC54" s="154">
        <f t="shared" si="20"/>
        <v>535133.5415511888</v>
      </c>
      <c r="AD54" s="160"/>
      <c r="AE54" s="154">
        <f t="shared" si="21"/>
        <v>133783.3853877972</v>
      </c>
      <c r="AF54" s="154">
        <f t="shared" si="21"/>
        <v>133783.3853877972</v>
      </c>
      <c r="AG54" s="154">
        <f t="shared" si="21"/>
        <v>133783.3853877972</v>
      </c>
      <c r="AH54" s="154">
        <f t="shared" si="21"/>
        <v>133783.3853877972</v>
      </c>
    </row>
    <row r="55" spans="2:34" x14ac:dyDescent="0.25">
      <c r="B55" s="10">
        <v>324</v>
      </c>
      <c r="C55" s="10">
        <v>4</v>
      </c>
      <c r="D55" s="9" t="s">
        <v>154</v>
      </c>
      <c r="E55" s="8">
        <v>8435.36</v>
      </c>
      <c r="F55" s="5">
        <v>3854312.14</v>
      </c>
      <c r="G55" s="5">
        <v>1038953.11</v>
      </c>
      <c r="H55" s="5">
        <f t="shared" si="11"/>
        <v>2815359.0300000003</v>
      </c>
      <c r="I55" s="152">
        <f t="shared" si="12"/>
        <v>333.75683195500847</v>
      </c>
      <c r="J55" s="6">
        <f t="shared" si="1"/>
        <v>333.75683195500847</v>
      </c>
      <c r="K55" s="5">
        <f t="shared" si="13"/>
        <v>2815359.0300000003</v>
      </c>
      <c r="L55" s="259">
        <v>0.80294196428571418</v>
      </c>
      <c r="M55" s="154">
        <f t="shared" si="14"/>
        <v>645070.72039346024</v>
      </c>
      <c r="N55" s="154">
        <f t="shared" si="15"/>
        <v>404296.45257344522</v>
      </c>
      <c r="O55" s="154">
        <f t="shared" si="16"/>
        <v>155386.30540077767</v>
      </c>
      <c r="P55" s="154">
        <f t="shared" si="17"/>
        <v>47513.812905191538</v>
      </c>
      <c r="Q55" s="154">
        <f t="shared" si="5"/>
        <v>1252267.2912728745</v>
      </c>
      <c r="R55" s="173">
        <f t="shared" si="6"/>
        <v>0.44479843527199242</v>
      </c>
      <c r="S55" s="153">
        <f t="shared" si="7"/>
        <v>1252299.1026486875</v>
      </c>
      <c r="T55" s="154"/>
      <c r="U55" s="154">
        <f>IFERROR(INDEX('2016 Clerical PYA'!$O$5:$O$241,MATCH('2017 Funding'!B55,'2016 Clerical PYA'!$A$5:$A$241,0)),0)</f>
        <v>-39261.136242110282</v>
      </c>
      <c r="V55" s="154">
        <f>IFERROR(INDEX('Revised 2016 MFAM (2014 PYAs)'!$AD$26:$AD$262,MATCH('2017 Funding'!B55,'Revised 2016 MFAM (2014 PYAs)'!$B$26:$B$262,0)),0)</f>
        <v>7296.7252161111683</v>
      </c>
      <c r="W55" s="154">
        <f t="shared" si="8"/>
        <v>-71.126186656138927</v>
      </c>
      <c r="X55" s="154">
        <f t="shared" si="18"/>
        <v>-32035.537212655254</v>
      </c>
      <c r="Y55" s="154"/>
      <c r="Z55" s="155">
        <f t="shared" si="9"/>
        <v>1220263.5654360324</v>
      </c>
      <c r="AA55" s="156">
        <v>0</v>
      </c>
      <c r="AB55" s="157">
        <f t="shared" si="19"/>
        <v>0</v>
      </c>
      <c r="AC55" s="154">
        <f t="shared" si="20"/>
        <v>1220263.5654360324</v>
      </c>
      <c r="AD55" s="160"/>
      <c r="AE55" s="154">
        <f t="shared" si="21"/>
        <v>305065.89135900809</v>
      </c>
      <c r="AF55" s="154">
        <f t="shared" si="21"/>
        <v>305065.89135900809</v>
      </c>
      <c r="AG55" s="154">
        <f t="shared" si="21"/>
        <v>305065.89135900809</v>
      </c>
      <c r="AH55" s="154">
        <f t="shared" si="21"/>
        <v>305065.89135900809</v>
      </c>
    </row>
    <row r="56" spans="2:34" x14ac:dyDescent="0.25">
      <c r="B56" s="10">
        <v>429</v>
      </c>
      <c r="C56" s="10">
        <v>4</v>
      </c>
      <c r="D56" s="9" t="s">
        <v>155</v>
      </c>
      <c r="E56" s="8">
        <v>4185.235170553553</v>
      </c>
      <c r="F56" s="5">
        <v>1676238.46</v>
      </c>
      <c r="G56" s="5">
        <v>410710.27</v>
      </c>
      <c r="H56" s="5">
        <f t="shared" si="11"/>
        <v>1265528.19</v>
      </c>
      <c r="I56" s="152">
        <f t="shared" si="12"/>
        <v>302.37923042031042</v>
      </c>
      <c r="J56" s="6">
        <f t="shared" si="1"/>
        <v>302.37923042031042</v>
      </c>
      <c r="K56" s="5">
        <f t="shared" si="13"/>
        <v>1265528.19</v>
      </c>
      <c r="L56" s="259">
        <v>0.67375595238095232</v>
      </c>
      <c r="M56" s="154">
        <f t="shared" si="14"/>
        <v>289964.85794621077</v>
      </c>
      <c r="N56" s="154">
        <f t="shared" si="15"/>
        <v>200593.18542900588</v>
      </c>
      <c r="O56" s="154">
        <f t="shared" si="16"/>
        <v>58609.664706767027</v>
      </c>
      <c r="P56" s="154">
        <f t="shared" si="17"/>
        <v>21357.869104852918</v>
      </c>
      <c r="Q56" s="154">
        <f t="shared" si="5"/>
        <v>570525.57718683663</v>
      </c>
      <c r="R56" s="173">
        <f t="shared" si="6"/>
        <v>0.45082012530028009</v>
      </c>
      <c r="S56" s="153">
        <f t="shared" si="7"/>
        <v>570540.07026165654</v>
      </c>
      <c r="T56" s="154"/>
      <c r="U56" s="154">
        <f>IFERROR(INDEX('2016 Clerical PYA'!$O$5:$O$241,MATCH('2017 Funding'!B56,'2016 Clerical PYA'!$A$5:$A$241,0)),0)</f>
        <v>-16172.131695381599</v>
      </c>
      <c r="V56" s="154">
        <f>IFERROR(INDEX('Revised 2016 MFAM (2014 PYAs)'!$AD$26:$AD$262,MATCH('2017 Funding'!B56,'Revised 2016 MFAM (2014 PYAs)'!$B$26:$B$262,0)),0)</f>
        <v>3139.1337962190155</v>
      </c>
      <c r="W56" s="154">
        <f t="shared" si="8"/>
        <v>-32.404670295145429</v>
      </c>
      <c r="X56" s="154">
        <f t="shared" si="18"/>
        <v>-13065.402569457729</v>
      </c>
      <c r="Y56" s="154"/>
      <c r="Z56" s="155">
        <f t="shared" si="9"/>
        <v>557474.66769219877</v>
      </c>
      <c r="AA56" s="156">
        <v>0</v>
      </c>
      <c r="AB56" s="157">
        <f t="shared" si="19"/>
        <v>0</v>
      </c>
      <c r="AC56" s="154">
        <f t="shared" si="20"/>
        <v>557474.66769219877</v>
      </c>
      <c r="AD56" s="160"/>
      <c r="AE56" s="154">
        <f t="shared" si="21"/>
        <v>139368.66692304969</v>
      </c>
      <c r="AF56" s="154">
        <f t="shared" si="21"/>
        <v>139368.66692304969</v>
      </c>
      <c r="AG56" s="154">
        <f t="shared" si="21"/>
        <v>139368.66692304969</v>
      </c>
      <c r="AH56" s="154">
        <f t="shared" si="21"/>
        <v>139368.66692304969</v>
      </c>
    </row>
    <row r="57" spans="2:34" x14ac:dyDescent="0.25">
      <c r="B57" s="10">
        <v>601</v>
      </c>
      <c r="C57" s="10">
        <v>4</v>
      </c>
      <c r="D57" s="9" t="s">
        <v>156</v>
      </c>
      <c r="E57" s="8">
        <v>5590.9599999999982</v>
      </c>
      <c r="F57" s="5">
        <v>2604638.9</v>
      </c>
      <c r="G57" s="5">
        <v>334681.01</v>
      </c>
      <c r="H57" s="5">
        <f t="shared" si="11"/>
        <v>2269957.8899999997</v>
      </c>
      <c r="I57" s="152">
        <f t="shared" si="12"/>
        <v>406.00503133630008</v>
      </c>
      <c r="J57" s="6">
        <f t="shared" si="1"/>
        <v>406.00503133630008</v>
      </c>
      <c r="K57" s="5">
        <f t="shared" si="13"/>
        <v>2269957.8899999997</v>
      </c>
      <c r="L57" s="259">
        <v>0.70524553571428561</v>
      </c>
      <c r="M57" s="154">
        <f t="shared" si="14"/>
        <v>520105.37759552413</v>
      </c>
      <c r="N57" s="154">
        <f t="shared" si="15"/>
        <v>267967.85134007654</v>
      </c>
      <c r="O57" s="154">
        <f t="shared" si="16"/>
        <v>110040.59869507086</v>
      </c>
      <c r="P57" s="154">
        <f t="shared" si="17"/>
        <v>38309.271868648073</v>
      </c>
      <c r="Q57" s="154">
        <f t="shared" si="5"/>
        <v>936423.09949931968</v>
      </c>
      <c r="R57" s="173">
        <f t="shared" si="6"/>
        <v>0.41252884188936201</v>
      </c>
      <c r="S57" s="153">
        <f t="shared" si="7"/>
        <v>936446.88747760979</v>
      </c>
      <c r="T57" s="154"/>
      <c r="U57" s="154">
        <f>IFERROR(INDEX('2016 Clerical PYA'!$O$5:$O$241,MATCH('2017 Funding'!B57,'2016 Clerical PYA'!$A$5:$A$241,0)),0)</f>
        <v>25315.141990948468</v>
      </c>
      <c r="V57" s="154">
        <f>IFERROR(INDEX('Revised 2016 MFAM (2014 PYAs)'!$AD$26:$AD$262,MATCH('2017 Funding'!B57,'Revised 2016 MFAM (2014 PYAs)'!$B$26:$B$262,0)),0)</f>
        <v>5989.0784780035028</v>
      </c>
      <c r="W57" s="154">
        <f t="shared" si="8"/>
        <v>-53.186891191902433</v>
      </c>
      <c r="X57" s="154">
        <f t="shared" si="18"/>
        <v>31251.03357776007</v>
      </c>
      <c r="Y57" s="154"/>
      <c r="Z57" s="155">
        <f t="shared" si="9"/>
        <v>967697.92105536989</v>
      </c>
      <c r="AA57" s="156">
        <v>0</v>
      </c>
      <c r="AB57" s="157">
        <f t="shared" si="19"/>
        <v>0</v>
      </c>
      <c r="AC57" s="154">
        <f t="shared" si="20"/>
        <v>967697.92105536989</v>
      </c>
      <c r="AD57" s="160"/>
      <c r="AE57" s="154">
        <f t="shared" si="21"/>
        <v>241924.48026384247</v>
      </c>
      <c r="AF57" s="154">
        <f t="shared" si="21"/>
        <v>241924.48026384247</v>
      </c>
      <c r="AG57" s="154">
        <f t="shared" si="21"/>
        <v>241924.48026384247</v>
      </c>
      <c r="AH57" s="154">
        <f t="shared" si="21"/>
        <v>241924.48026384247</v>
      </c>
    </row>
    <row r="58" spans="2:34" x14ac:dyDescent="0.25">
      <c r="B58" s="10">
        <v>760</v>
      </c>
      <c r="C58" s="10">
        <v>4</v>
      </c>
      <c r="D58" s="9" t="s">
        <v>157</v>
      </c>
      <c r="E58" s="8">
        <v>5125.9099999999989</v>
      </c>
      <c r="F58" s="5">
        <v>1409267.45</v>
      </c>
      <c r="G58" s="5">
        <v>780999.8600000001</v>
      </c>
      <c r="H58" s="5">
        <f t="shared" si="11"/>
        <v>628267.58999999985</v>
      </c>
      <c r="I58" s="152">
        <f t="shared" si="12"/>
        <v>122.56703492648134</v>
      </c>
      <c r="J58" s="6">
        <f t="shared" si="1"/>
        <v>122.56703492648134</v>
      </c>
      <c r="K58" s="5">
        <f t="shared" si="13"/>
        <v>628267.58999999985</v>
      </c>
      <c r="L58" s="259">
        <v>0.88265773809523806</v>
      </c>
      <c r="M58" s="154">
        <f t="shared" si="14"/>
        <v>143952.16473728503</v>
      </c>
      <c r="N58" s="154">
        <f t="shared" si="15"/>
        <v>245678.57556888479</v>
      </c>
      <c r="O58" s="154">
        <f t="shared" si="16"/>
        <v>38118.147636277528</v>
      </c>
      <c r="P58" s="154">
        <f t="shared" si="17"/>
        <v>10603.048636981684</v>
      </c>
      <c r="Q58" s="154">
        <f t="shared" si="5"/>
        <v>438351.93657942908</v>
      </c>
      <c r="R58" s="173">
        <f t="shared" si="6"/>
        <v>0.69771534224681109</v>
      </c>
      <c r="S58" s="153">
        <f t="shared" si="7"/>
        <v>438363.07204410993</v>
      </c>
      <c r="T58" s="154"/>
      <c r="U58" s="154">
        <f>IFERROR(INDEX('2016 Clerical PYA'!$O$5:$O$241,MATCH('2017 Funding'!B58,'2016 Clerical PYA'!$A$5:$A$241,0)),0)</f>
        <v>-199.54406377393752</v>
      </c>
      <c r="V58" s="154">
        <f>IFERROR(INDEX('Revised 2016 MFAM (2014 PYAs)'!$AD$26:$AD$262,MATCH('2017 Funding'!B58,'Revised 2016 MFAM (2014 PYAs)'!$B$26:$B$262,0)),0)</f>
        <v>-1399.4549999998999</v>
      </c>
      <c r="W58" s="154">
        <f t="shared" si="8"/>
        <v>-24.897481455845647</v>
      </c>
      <c r="X58" s="154">
        <f t="shared" si="18"/>
        <v>-1623.8965452296829</v>
      </c>
      <c r="Y58" s="154"/>
      <c r="Z58" s="155">
        <f t="shared" si="9"/>
        <v>436739.17549888027</v>
      </c>
      <c r="AA58" s="156">
        <v>0</v>
      </c>
      <c r="AB58" s="157">
        <f t="shared" si="19"/>
        <v>0</v>
      </c>
      <c r="AC58" s="154">
        <f t="shared" si="20"/>
        <v>436739.17549888027</v>
      </c>
      <c r="AD58" s="160"/>
      <c r="AE58" s="154">
        <f t="shared" si="21"/>
        <v>109184.79387472007</v>
      </c>
      <c r="AF58" s="154">
        <f t="shared" si="21"/>
        <v>109184.79387472007</v>
      </c>
      <c r="AG58" s="154">
        <f t="shared" si="21"/>
        <v>109184.79387472007</v>
      </c>
      <c r="AH58" s="154">
        <f t="shared" si="21"/>
        <v>109184.79387472007</v>
      </c>
    </row>
    <row r="59" spans="2:34" x14ac:dyDescent="0.25">
      <c r="B59" s="10">
        <v>878</v>
      </c>
      <c r="C59" s="10">
        <v>4</v>
      </c>
      <c r="D59" s="9" t="s">
        <v>158</v>
      </c>
      <c r="E59" s="8">
        <v>7110.8</v>
      </c>
      <c r="F59" s="5">
        <v>2671507.41</v>
      </c>
      <c r="G59" s="5">
        <v>801437.25000000012</v>
      </c>
      <c r="H59" s="5">
        <f t="shared" si="11"/>
        <v>1870070.1600000001</v>
      </c>
      <c r="I59" s="152">
        <f t="shared" si="12"/>
        <v>262.9901220678405</v>
      </c>
      <c r="J59" s="6">
        <f t="shared" si="1"/>
        <v>262.9901220678405</v>
      </c>
      <c r="K59" s="5">
        <f t="shared" si="13"/>
        <v>1870070.1600000004</v>
      </c>
      <c r="L59" s="259">
        <v>0.84372440476190469</v>
      </c>
      <c r="M59" s="154">
        <f t="shared" si="14"/>
        <v>428480.87666371762</v>
      </c>
      <c r="N59" s="154">
        <f t="shared" si="15"/>
        <v>340811.91732886969</v>
      </c>
      <c r="O59" s="154">
        <f t="shared" si="16"/>
        <v>108455.93178448627</v>
      </c>
      <c r="P59" s="154">
        <f t="shared" si="17"/>
        <v>31560.508892473874</v>
      </c>
      <c r="Q59" s="154">
        <f t="shared" si="5"/>
        <v>909309.23466954753</v>
      </c>
      <c r="R59" s="173">
        <f t="shared" si="6"/>
        <v>0.48624337959039321</v>
      </c>
      <c r="S59" s="153">
        <f t="shared" si="7"/>
        <v>909332.33387368394</v>
      </c>
      <c r="T59" s="154"/>
      <c r="U59" s="154">
        <f>IFERROR(INDEX('2016 Clerical PYA'!$O$5:$O$241,MATCH('2017 Funding'!B59,'2016 Clerical PYA'!$A$5:$A$241,0)),0)</f>
        <v>-12319.493170353817</v>
      </c>
      <c r="V59" s="154">
        <f>IFERROR(INDEX('Revised 2016 MFAM (2014 PYAs)'!$AD$26:$AD$262,MATCH('2017 Funding'!B59,'Revised 2016 MFAM (2014 PYAs)'!$B$26:$B$262,0)),0)</f>
        <v>-204291.98870764149</v>
      </c>
      <c r="W59" s="154">
        <f t="shared" si="8"/>
        <v>-51.646879866611449</v>
      </c>
      <c r="X59" s="154">
        <f t="shared" si="18"/>
        <v>-216663.12875786191</v>
      </c>
      <c r="Y59" s="154"/>
      <c r="Z59" s="155">
        <f t="shared" si="9"/>
        <v>692669.20511582203</v>
      </c>
      <c r="AA59" s="156">
        <v>0</v>
      </c>
      <c r="AB59" s="157">
        <f t="shared" si="19"/>
        <v>0</v>
      </c>
      <c r="AC59" s="154">
        <f t="shared" si="20"/>
        <v>692669.20511582203</v>
      </c>
      <c r="AD59" s="160"/>
      <c r="AE59" s="154">
        <f t="shared" si="21"/>
        <v>173167.30127895551</v>
      </c>
      <c r="AF59" s="154">
        <f t="shared" si="21"/>
        <v>173167.30127895551</v>
      </c>
      <c r="AG59" s="154">
        <f t="shared" si="21"/>
        <v>173167.30127895551</v>
      </c>
      <c r="AH59" s="154">
        <f t="shared" si="21"/>
        <v>173167.30127895551</v>
      </c>
    </row>
    <row r="60" spans="2:34" x14ac:dyDescent="0.25">
      <c r="B60" s="10">
        <v>8</v>
      </c>
      <c r="C60" s="10">
        <v>5</v>
      </c>
      <c r="D60" s="9" t="s">
        <v>159</v>
      </c>
      <c r="E60" s="8">
        <v>2138.94</v>
      </c>
      <c r="F60" s="5">
        <v>586397.65</v>
      </c>
      <c r="G60" s="5">
        <v>19313.48</v>
      </c>
      <c r="H60" s="5">
        <f t="shared" si="11"/>
        <v>567084.17000000004</v>
      </c>
      <c r="I60" s="152">
        <f t="shared" si="12"/>
        <v>265.12392586982338</v>
      </c>
      <c r="J60" s="6">
        <f t="shared" si="1"/>
        <v>265.12392586982338</v>
      </c>
      <c r="K60" s="5">
        <f t="shared" si="13"/>
        <v>567084.17000000004</v>
      </c>
      <c r="L60" s="259">
        <v>0.56185863095238098</v>
      </c>
      <c r="M60" s="154">
        <f t="shared" si="14"/>
        <v>129933.4792357291</v>
      </c>
      <c r="N60" s="154">
        <f t="shared" si="15"/>
        <v>102516.76920338253</v>
      </c>
      <c r="O60" s="154">
        <f t="shared" si="16"/>
        <v>21901.274027479911</v>
      </c>
      <c r="P60" s="154">
        <f t="shared" si="17"/>
        <v>9570.4778210386303</v>
      </c>
      <c r="Q60" s="154">
        <f t="shared" si="5"/>
        <v>263922.00028763019</v>
      </c>
      <c r="R60" s="173">
        <f t="shared" si="6"/>
        <v>0.46540181202312553</v>
      </c>
      <c r="S60" s="153">
        <f t="shared" si="7"/>
        <v>263928.70470448671</v>
      </c>
      <c r="T60" s="154"/>
      <c r="U60" s="154">
        <f>IFERROR(INDEX('2016 Clerical PYA'!$O$5:$O$241,MATCH('2017 Funding'!B60,'2016 Clerical PYA'!$A$5:$A$241,0)),0)</f>
        <v>-6621.7112002388167</v>
      </c>
      <c r="V60" s="154">
        <f>IFERROR(INDEX('Revised 2016 MFAM (2014 PYAs)'!$AD$26:$AD$262,MATCH('2017 Funding'!B60,'Revised 2016 MFAM (2014 PYAs)'!$B$26:$B$262,0)),0)</f>
        <v>1353.0899764462956</v>
      </c>
      <c r="W60" s="154">
        <f t="shared" si="8"/>
        <v>-14.990222603385948</v>
      </c>
      <c r="X60" s="154">
        <f t="shared" si="18"/>
        <v>-5283.6114463959066</v>
      </c>
      <c r="Y60" s="154"/>
      <c r="Z60" s="155">
        <f t="shared" si="9"/>
        <v>258645.09325809081</v>
      </c>
      <c r="AA60" s="156">
        <v>0</v>
      </c>
      <c r="AB60" s="157">
        <f t="shared" si="19"/>
        <v>0</v>
      </c>
      <c r="AC60" s="154">
        <f t="shared" si="20"/>
        <v>258645.09325809081</v>
      </c>
      <c r="AD60" s="160"/>
      <c r="AE60" s="154">
        <f t="shared" si="21"/>
        <v>64661.273314522703</v>
      </c>
      <c r="AF60" s="154">
        <f t="shared" si="21"/>
        <v>64661.273314522703</v>
      </c>
      <c r="AG60" s="154">
        <f t="shared" si="21"/>
        <v>64661.273314522703</v>
      </c>
      <c r="AH60" s="154">
        <f t="shared" si="21"/>
        <v>64661.273314522703</v>
      </c>
    </row>
    <row r="61" spans="2:34" x14ac:dyDescent="0.25">
      <c r="B61" s="10">
        <v>41</v>
      </c>
      <c r="C61" s="10">
        <v>5</v>
      </c>
      <c r="D61" s="9" t="s">
        <v>160</v>
      </c>
      <c r="E61" s="8">
        <v>1798.58</v>
      </c>
      <c r="F61" s="5">
        <v>508491.99</v>
      </c>
      <c r="G61" s="5">
        <v>193941.84</v>
      </c>
      <c r="H61" s="5">
        <f t="shared" si="11"/>
        <v>314550.15000000002</v>
      </c>
      <c r="I61" s="152">
        <f t="shared" si="12"/>
        <v>174.88805057323</v>
      </c>
      <c r="J61" s="6">
        <f t="shared" si="1"/>
        <v>174.88805057323</v>
      </c>
      <c r="K61" s="5">
        <f t="shared" si="13"/>
        <v>314550.15000000002</v>
      </c>
      <c r="L61" s="259">
        <v>0.41638690476190476</v>
      </c>
      <c r="M61" s="154">
        <f t="shared" si="14"/>
        <v>72071.479942070117</v>
      </c>
      <c r="N61" s="154">
        <f t="shared" si="15"/>
        <v>86203.732107408228</v>
      </c>
      <c r="O61" s="154">
        <f t="shared" si="16"/>
        <v>9002.8861364064833</v>
      </c>
      <c r="P61" s="154">
        <f t="shared" si="17"/>
        <v>5308.5509937252773</v>
      </c>
      <c r="Q61" s="154">
        <f t="shared" si="5"/>
        <v>172586.6491796101</v>
      </c>
      <c r="R61" s="173">
        <f t="shared" si="6"/>
        <v>0.54867768837373021</v>
      </c>
      <c r="S61" s="153">
        <f t="shared" si="7"/>
        <v>172591.03340236802</v>
      </c>
      <c r="T61" s="154"/>
      <c r="U61" s="154">
        <f>IFERROR(INDEX('2016 Clerical PYA'!$O$5:$O$241,MATCH('2017 Funding'!B61,'2016 Clerical PYA'!$A$5:$A$241,0)),0)</f>
        <v>-4088.7799072222551</v>
      </c>
      <c r="V61" s="154">
        <f>IFERROR(INDEX('Revised 2016 MFAM (2014 PYAs)'!$AD$26:$AD$262,MATCH('2017 Funding'!B61,'Revised 2016 MFAM (2014 PYAs)'!$B$26:$B$262,0)),0)</f>
        <v>916.79315785371</v>
      </c>
      <c r="W61" s="154">
        <f t="shared" si="8"/>
        <v>-9.8025639649416085</v>
      </c>
      <c r="X61" s="154">
        <f t="shared" si="18"/>
        <v>-3181.7893133334869</v>
      </c>
      <c r="Y61" s="154"/>
      <c r="Z61" s="155">
        <f t="shared" si="9"/>
        <v>169409.24408903453</v>
      </c>
      <c r="AA61" s="156">
        <v>0</v>
      </c>
      <c r="AB61" s="157">
        <f t="shared" si="19"/>
        <v>0</v>
      </c>
      <c r="AC61" s="154">
        <f t="shared" si="20"/>
        <v>169409.24408903453</v>
      </c>
      <c r="AD61" s="160"/>
      <c r="AE61" s="154">
        <f t="shared" si="21"/>
        <v>42352.311022258633</v>
      </c>
      <c r="AF61" s="154">
        <f t="shared" si="21"/>
        <v>42352.311022258633</v>
      </c>
      <c r="AG61" s="154">
        <f t="shared" si="21"/>
        <v>42352.311022258633</v>
      </c>
      <c r="AH61" s="154">
        <f t="shared" si="21"/>
        <v>42352.311022258633</v>
      </c>
    </row>
    <row r="62" spans="2:34" x14ac:dyDescent="0.25">
      <c r="B62" s="10">
        <v>56</v>
      </c>
      <c r="C62" s="10">
        <v>5</v>
      </c>
      <c r="D62" s="9" t="s">
        <v>161</v>
      </c>
      <c r="E62" s="8">
        <v>2998.76</v>
      </c>
      <c r="F62" s="5">
        <v>475980.56</v>
      </c>
      <c r="G62" s="5">
        <v>1913.22</v>
      </c>
      <c r="H62" s="5">
        <f t="shared" si="11"/>
        <v>474067.34</v>
      </c>
      <c r="I62" s="152">
        <f t="shared" si="12"/>
        <v>158.08778961970947</v>
      </c>
      <c r="J62" s="6">
        <f t="shared" si="1"/>
        <v>158.08778961970947</v>
      </c>
      <c r="K62" s="5">
        <f t="shared" si="13"/>
        <v>474067.34</v>
      </c>
      <c r="L62" s="259">
        <v>0.87595833333333317</v>
      </c>
      <c r="M62" s="154">
        <f t="shared" si="14"/>
        <v>108620.94577287765</v>
      </c>
      <c r="N62" s="154">
        <f t="shared" si="15"/>
        <v>143726.88659632127</v>
      </c>
      <c r="O62" s="154">
        <f t="shared" si="16"/>
        <v>28544.226787290077</v>
      </c>
      <c r="P62" s="154">
        <f t="shared" si="17"/>
        <v>8000.6658679059565</v>
      </c>
      <c r="Q62" s="154">
        <f t="shared" si="5"/>
        <v>288892.72502439492</v>
      </c>
      <c r="R62" s="173">
        <f t="shared" si="6"/>
        <v>0.60939174806767937</v>
      </c>
      <c r="S62" s="153">
        <f t="shared" si="7"/>
        <v>288900.06377316645</v>
      </c>
      <c r="T62" s="154"/>
      <c r="U62" s="154">
        <f>IFERROR(INDEX('2016 Clerical PYA'!$O$5:$O$241,MATCH('2017 Funding'!B62,'2016 Clerical PYA'!$A$5:$A$241,0)),0)</f>
        <v>-6880.4529197081574</v>
      </c>
      <c r="V62" s="154">
        <f>IFERROR(INDEX('Revised 2016 MFAM (2014 PYAs)'!$AD$26:$AD$262,MATCH('2017 Funding'!B62,'Revised 2016 MFAM (2014 PYAs)'!$B$26:$B$262,0)),0)</f>
        <v>1538.7787323761731</v>
      </c>
      <c r="W62" s="154">
        <f t="shared" si="8"/>
        <v>-16.40850801333297</v>
      </c>
      <c r="X62" s="154">
        <f t="shared" si="18"/>
        <v>-5358.082695345317</v>
      </c>
      <c r="Y62" s="154"/>
      <c r="Z62" s="155">
        <f t="shared" si="9"/>
        <v>283541.98107782111</v>
      </c>
      <c r="AA62" s="156">
        <v>0</v>
      </c>
      <c r="AB62" s="157">
        <f t="shared" si="19"/>
        <v>0</v>
      </c>
      <c r="AC62" s="154">
        <f t="shared" si="20"/>
        <v>283541.98107782111</v>
      </c>
      <c r="AD62" s="160"/>
      <c r="AE62" s="154">
        <f t="shared" si="21"/>
        <v>70885.495269455278</v>
      </c>
      <c r="AF62" s="154">
        <f t="shared" si="21"/>
        <v>70885.495269455278</v>
      </c>
      <c r="AG62" s="154">
        <f t="shared" si="21"/>
        <v>70885.495269455278</v>
      </c>
      <c r="AH62" s="154">
        <f t="shared" si="21"/>
        <v>70885.495269455278</v>
      </c>
    </row>
    <row r="63" spans="2:34" x14ac:dyDescent="0.25">
      <c r="B63" s="10">
        <v>67</v>
      </c>
      <c r="C63" s="10">
        <v>5</v>
      </c>
      <c r="D63" s="9" t="s">
        <v>162</v>
      </c>
      <c r="E63" s="8">
        <v>1410.48373847878</v>
      </c>
      <c r="F63" s="5">
        <v>193582.3</v>
      </c>
      <c r="G63" s="5">
        <v>0</v>
      </c>
      <c r="H63" s="5">
        <f t="shared" si="11"/>
        <v>193582.3</v>
      </c>
      <c r="I63" s="152">
        <f t="shared" si="12"/>
        <v>137.2453256418116</v>
      </c>
      <c r="J63" s="6">
        <f t="shared" si="1"/>
        <v>137.2453256418116</v>
      </c>
      <c r="K63" s="5">
        <f t="shared" si="13"/>
        <v>193582.3</v>
      </c>
      <c r="L63" s="259">
        <v>0.671702380952381</v>
      </c>
      <c r="M63" s="154">
        <f t="shared" si="14"/>
        <v>44354.653309145768</v>
      </c>
      <c r="N63" s="154">
        <f t="shared" si="15"/>
        <v>67602.754580658293</v>
      </c>
      <c r="O63" s="154">
        <f t="shared" si="16"/>
        <v>8937.9378702211834</v>
      </c>
      <c r="P63" s="154">
        <f t="shared" si="17"/>
        <v>3267.0196184380288</v>
      </c>
      <c r="Q63" s="154">
        <f t="shared" si="5"/>
        <v>124162.36537846328</v>
      </c>
      <c r="R63" s="173">
        <f t="shared" si="6"/>
        <v>0.64139317168182874</v>
      </c>
      <c r="S63" s="153">
        <f t="shared" si="7"/>
        <v>124165.51947798693</v>
      </c>
      <c r="T63" s="154"/>
      <c r="U63" s="154">
        <f>IFERROR(INDEX('2016 Clerical PYA'!$O$5:$O$241,MATCH('2017 Funding'!B63,'2016 Clerical PYA'!$A$5:$A$241,0)),0)</f>
        <v>-2741.5302354081214</v>
      </c>
      <c r="V63" s="154">
        <f>IFERROR(INDEX('Revised 2016 MFAM (2014 PYAs)'!$AD$26:$AD$262,MATCH('2017 Funding'!B63,'Revised 2016 MFAM (2014 PYAs)'!$B$26:$B$262,0)),0)</f>
        <v>650.93171845788311</v>
      </c>
      <c r="W63" s="154">
        <f t="shared" si="8"/>
        <v>-7.0521650107141101</v>
      </c>
      <c r="X63" s="154">
        <f t="shared" si="18"/>
        <v>-2097.6506819609522</v>
      </c>
      <c r="Y63" s="154"/>
      <c r="Z63" s="155">
        <f t="shared" si="9"/>
        <v>122067.86879602598</v>
      </c>
      <c r="AA63" s="156">
        <v>0</v>
      </c>
      <c r="AB63" s="157">
        <f t="shared" si="19"/>
        <v>0</v>
      </c>
      <c r="AC63" s="154">
        <f t="shared" si="20"/>
        <v>122067.86879602598</v>
      </c>
      <c r="AD63" s="160"/>
      <c r="AE63" s="154">
        <f t="shared" si="21"/>
        <v>30516.967199006496</v>
      </c>
      <c r="AF63" s="154">
        <f t="shared" si="21"/>
        <v>30516.967199006496</v>
      </c>
      <c r="AG63" s="154">
        <f t="shared" si="21"/>
        <v>30516.967199006496</v>
      </c>
      <c r="AH63" s="154">
        <f t="shared" si="21"/>
        <v>30516.967199006496</v>
      </c>
    </row>
    <row r="64" spans="2:34" x14ac:dyDescent="0.25">
      <c r="B64" s="10">
        <v>157</v>
      </c>
      <c r="C64" s="10">
        <v>5</v>
      </c>
      <c r="D64" s="9" t="s">
        <v>163</v>
      </c>
      <c r="E64" s="8">
        <v>499.84704079407811</v>
      </c>
      <c r="F64" s="5">
        <v>149003.76</v>
      </c>
      <c r="G64" s="5">
        <v>140</v>
      </c>
      <c r="H64" s="5">
        <f t="shared" si="11"/>
        <v>148863.76</v>
      </c>
      <c r="I64" s="152">
        <f t="shared" si="12"/>
        <v>297.81862820175701</v>
      </c>
      <c r="J64" s="6">
        <f t="shared" si="1"/>
        <v>297.81862820175701</v>
      </c>
      <c r="K64" s="5">
        <f t="shared" si="13"/>
        <v>148863.76</v>
      </c>
      <c r="L64" s="259">
        <v>0.5838065476190476</v>
      </c>
      <c r="M64" s="154">
        <f t="shared" si="14"/>
        <v>34108.492693267319</v>
      </c>
      <c r="N64" s="154">
        <f t="shared" si="15"/>
        <v>23957.055232068331</v>
      </c>
      <c r="O64" s="154">
        <f t="shared" si="16"/>
        <v>5973.8284091237701</v>
      </c>
      <c r="P64" s="154">
        <f t="shared" si="17"/>
        <v>2512.3207255748603</v>
      </c>
      <c r="Q64" s="154">
        <f t="shared" si="5"/>
        <v>66551.697060034276</v>
      </c>
      <c r="R64" s="173">
        <f t="shared" si="6"/>
        <v>0.4470644639100495</v>
      </c>
      <c r="S64" s="153">
        <f t="shared" si="7"/>
        <v>66553.387674379104</v>
      </c>
      <c r="T64" s="154"/>
      <c r="U64" s="154">
        <f>IFERROR(INDEX('2016 Clerical PYA'!$O$5:$O$241,MATCH('2017 Funding'!B64,'2016 Clerical PYA'!$A$5:$A$241,0)),0)</f>
        <v>-1848.0544314251601</v>
      </c>
      <c r="V64" s="154">
        <f>IFERROR(INDEX('Revised 2016 MFAM (2014 PYAs)'!$AD$26:$AD$262,MATCH('2017 Funding'!B64,'Revised 2016 MFAM (2014 PYAs)'!$B$26:$B$262,0)),0)</f>
        <v>367.04960475677217</v>
      </c>
      <c r="W64" s="154">
        <f t="shared" si="8"/>
        <v>-3.7799984558914317</v>
      </c>
      <c r="X64" s="154">
        <f t="shared" si="18"/>
        <v>-1484.7848251242795</v>
      </c>
      <c r="Y64" s="154"/>
      <c r="Z64" s="155">
        <f t="shared" si="9"/>
        <v>65068.602849254821</v>
      </c>
      <c r="AA64" s="156">
        <v>0</v>
      </c>
      <c r="AB64" s="157">
        <f t="shared" si="19"/>
        <v>0</v>
      </c>
      <c r="AC64" s="154">
        <f t="shared" si="20"/>
        <v>65068.602849254821</v>
      </c>
      <c r="AD64" s="160"/>
      <c r="AE64" s="154">
        <f t="shared" si="21"/>
        <v>16267.150712313705</v>
      </c>
      <c r="AF64" s="154">
        <f t="shared" si="21"/>
        <v>16267.150712313705</v>
      </c>
      <c r="AG64" s="154">
        <f t="shared" si="21"/>
        <v>16267.150712313705</v>
      </c>
      <c r="AH64" s="154">
        <f t="shared" si="21"/>
        <v>16267.150712313705</v>
      </c>
    </row>
    <row r="65" spans="2:34" x14ac:dyDescent="0.25">
      <c r="B65" s="10">
        <v>214</v>
      </c>
      <c r="C65" s="10">
        <v>5</v>
      </c>
      <c r="D65" s="9" t="s">
        <v>164</v>
      </c>
      <c r="E65" s="8">
        <v>2891.9099999999994</v>
      </c>
      <c r="F65" s="5">
        <v>1537766.99</v>
      </c>
      <c r="G65" s="5">
        <v>311344.71000000002</v>
      </c>
      <c r="H65" s="5">
        <f t="shared" si="11"/>
        <v>1226422.28</v>
      </c>
      <c r="I65" s="152">
        <f t="shared" si="12"/>
        <v>424.08729178985527</v>
      </c>
      <c r="J65" s="6">
        <f t="shared" si="1"/>
        <v>419.89016626080786</v>
      </c>
      <c r="K65" s="5">
        <f t="shared" si="13"/>
        <v>1214284.5707112926</v>
      </c>
      <c r="L65" s="259">
        <v>0.47401785714285716</v>
      </c>
      <c r="M65" s="154">
        <f t="shared" si="14"/>
        <v>278223.6348702556</v>
      </c>
      <c r="N65" s="154">
        <f t="shared" si="15"/>
        <v>138605.69722710963</v>
      </c>
      <c r="O65" s="154">
        <f t="shared" si="16"/>
        <v>39564.891362308575</v>
      </c>
      <c r="P65" s="154">
        <f t="shared" si="17"/>
        <v>20493.048769853402</v>
      </c>
      <c r="Q65" s="154">
        <f t="shared" si="5"/>
        <v>476887.27222952724</v>
      </c>
      <c r="R65" s="173">
        <f t="shared" si="6"/>
        <v>0.3927310646384814</v>
      </c>
      <c r="S65" s="153">
        <f t="shared" si="7"/>
        <v>476899.38660825702</v>
      </c>
      <c r="T65" s="154"/>
      <c r="U65" s="154">
        <f>IFERROR(INDEX('2016 Clerical PYA'!$O$5:$O$241,MATCH('2017 Funding'!B65,'2016 Clerical PYA'!$A$5:$A$241,0)),0)</f>
        <v>70572.833424771961</v>
      </c>
      <c r="V65" s="154">
        <f>IFERROR(INDEX('Revised 2016 MFAM (2014 PYAs)'!$AD$26:$AD$262,MATCH('2017 Funding'!B65,'Revised 2016 MFAM (2014 PYAs)'!$B$26:$B$262,0)),0)</f>
        <v>940.75387465913082</v>
      </c>
      <c r="W65" s="154">
        <f t="shared" si="8"/>
        <v>-27.086208651235275</v>
      </c>
      <c r="X65" s="154">
        <f t="shared" si="18"/>
        <v>71486.501090779857</v>
      </c>
      <c r="Y65" s="154"/>
      <c r="Z65" s="155">
        <f t="shared" si="9"/>
        <v>548385.88769903686</v>
      </c>
      <c r="AA65" s="156">
        <v>0</v>
      </c>
      <c r="AB65" s="157">
        <f t="shared" si="19"/>
        <v>0</v>
      </c>
      <c r="AC65" s="154">
        <f t="shared" si="20"/>
        <v>548385.88769903686</v>
      </c>
      <c r="AD65" s="160"/>
      <c r="AE65" s="154">
        <f t="shared" si="21"/>
        <v>137096.47192475921</v>
      </c>
      <c r="AF65" s="154">
        <f t="shared" si="21"/>
        <v>137096.47192475921</v>
      </c>
      <c r="AG65" s="154">
        <f t="shared" si="21"/>
        <v>137096.47192475921</v>
      </c>
      <c r="AH65" s="154">
        <f t="shared" si="21"/>
        <v>137096.47192475921</v>
      </c>
    </row>
    <row r="66" spans="2:34" x14ac:dyDescent="0.25">
      <c r="B66" s="10">
        <v>223</v>
      </c>
      <c r="C66" s="10">
        <v>5</v>
      </c>
      <c r="D66" s="9" t="s">
        <v>165</v>
      </c>
      <c r="E66" s="8">
        <v>337.05</v>
      </c>
      <c r="F66" s="5">
        <v>210970.04</v>
      </c>
      <c r="G66" s="5">
        <v>3068.98</v>
      </c>
      <c r="H66" s="5">
        <f t="shared" si="11"/>
        <v>207901.06</v>
      </c>
      <c r="I66" s="152">
        <f t="shared" si="12"/>
        <v>616.82557484052813</v>
      </c>
      <c r="J66" s="6">
        <f t="shared" si="1"/>
        <v>419.89016626080786</v>
      </c>
      <c r="K66" s="5">
        <f t="shared" si="13"/>
        <v>141523.9805382053</v>
      </c>
      <c r="L66" s="259">
        <v>0.30648809523809523</v>
      </c>
      <c r="M66" s="154">
        <f t="shared" si="14"/>
        <v>32426.761598051002</v>
      </c>
      <c r="N66" s="154">
        <f t="shared" si="15"/>
        <v>16154.392858144725</v>
      </c>
      <c r="O66" s="154">
        <f t="shared" si="16"/>
        <v>2981.5249190779396</v>
      </c>
      <c r="P66" s="154">
        <f t="shared" si="17"/>
        <v>2388.4498784122229</v>
      </c>
      <c r="Q66" s="154">
        <f t="shared" si="5"/>
        <v>53951.129253685896</v>
      </c>
      <c r="R66" s="173">
        <f t="shared" si="6"/>
        <v>0.38121545937666335</v>
      </c>
      <c r="S66" s="153">
        <f t="shared" si="7"/>
        <v>53952.499775506752</v>
      </c>
      <c r="T66" s="154"/>
      <c r="U66" s="154">
        <f>IFERROR(INDEX('2016 Clerical PYA'!$O$5:$O$241,MATCH('2017 Funding'!B66,'2016 Clerical PYA'!$A$5:$A$241,0)),0)</f>
        <v>7110.1581335300434</v>
      </c>
      <c r="V66" s="154">
        <f>IFERROR(INDEX('Revised 2016 MFAM (2014 PYAs)'!$AD$26:$AD$262,MATCH('2017 Funding'!B66,'Revised 2016 MFAM (2014 PYAs)'!$B$26:$B$262,0)),0)</f>
        <v>-504.63242855445424</v>
      </c>
      <c r="W66" s="154">
        <f t="shared" si="8"/>
        <v>-3.0643123208198273</v>
      </c>
      <c r="X66" s="154">
        <f t="shared" si="18"/>
        <v>6602.461392654769</v>
      </c>
      <c r="Y66" s="154"/>
      <c r="Z66" s="155">
        <f t="shared" si="9"/>
        <v>60554.961168161521</v>
      </c>
      <c r="AA66" s="156">
        <v>0</v>
      </c>
      <c r="AB66" s="157">
        <f t="shared" si="19"/>
        <v>0</v>
      </c>
      <c r="AC66" s="154">
        <f t="shared" si="20"/>
        <v>60554.961168161521</v>
      </c>
      <c r="AD66" s="160"/>
      <c r="AE66" s="154">
        <f t="shared" si="21"/>
        <v>15138.74029204038</v>
      </c>
      <c r="AF66" s="154">
        <f t="shared" si="21"/>
        <v>15138.74029204038</v>
      </c>
      <c r="AG66" s="154">
        <f t="shared" si="21"/>
        <v>15138.74029204038</v>
      </c>
      <c r="AH66" s="154">
        <f t="shared" si="21"/>
        <v>15138.74029204038</v>
      </c>
    </row>
    <row r="67" spans="2:34" x14ac:dyDescent="0.25">
      <c r="B67" s="10">
        <v>224</v>
      </c>
      <c r="C67" s="10">
        <v>5</v>
      </c>
      <c r="D67" s="9" t="s">
        <v>166</v>
      </c>
      <c r="E67" s="8">
        <v>252.28256943989149</v>
      </c>
      <c r="F67" s="5">
        <v>83041.2</v>
      </c>
      <c r="G67" s="5">
        <v>0</v>
      </c>
      <c r="H67" s="5">
        <f t="shared" si="11"/>
        <v>83041.2</v>
      </c>
      <c r="I67" s="152">
        <f t="shared" si="12"/>
        <v>329.15948249760191</v>
      </c>
      <c r="J67" s="6">
        <f t="shared" si="1"/>
        <v>329.15948249760191</v>
      </c>
      <c r="K67" s="5">
        <f t="shared" si="13"/>
        <v>83041.2</v>
      </c>
      <c r="L67" s="259">
        <v>0.29208928571428572</v>
      </c>
      <c r="M67" s="154">
        <f t="shared" si="14"/>
        <v>19026.861631334246</v>
      </c>
      <c r="N67" s="154">
        <f t="shared" si="15"/>
        <v>12091.593941534442</v>
      </c>
      <c r="O67" s="154">
        <f t="shared" si="16"/>
        <v>1667.2627269842908</v>
      </c>
      <c r="P67" s="154">
        <f t="shared" si="17"/>
        <v>1401.4567940283591</v>
      </c>
      <c r="Q67" s="154">
        <f t="shared" si="5"/>
        <v>34187.175093881342</v>
      </c>
      <c r="R67" s="173">
        <f t="shared" si="6"/>
        <v>0.41168931920397756</v>
      </c>
      <c r="S67" s="153">
        <f t="shared" si="7"/>
        <v>34188.043551504154</v>
      </c>
      <c r="T67" s="154"/>
      <c r="U67" s="154">
        <f>IFERROR(INDEX('2016 Clerical PYA'!$O$5:$O$241,MATCH('2017 Funding'!B67,'2016 Clerical PYA'!$A$5:$A$241,0)),0)</f>
        <v>-1011.9699717055773</v>
      </c>
      <c r="V67" s="154">
        <f>IFERROR(INDEX('Revised 2016 MFAM (2014 PYAs)'!$AD$26:$AD$262,MATCH('2017 Funding'!B67,'Revised 2016 MFAM (2014 PYAs)'!$B$26:$B$262,0)),0)</f>
        <v>196.85328166968247</v>
      </c>
      <c r="W67" s="154">
        <f t="shared" si="8"/>
        <v>-1.9417606879294045</v>
      </c>
      <c r="X67" s="154">
        <f t="shared" si="18"/>
        <v>-817.05845072382431</v>
      </c>
      <c r="Y67" s="154"/>
      <c r="Z67" s="155">
        <f t="shared" si="9"/>
        <v>33370.98510078033</v>
      </c>
      <c r="AA67" s="156">
        <v>1</v>
      </c>
      <c r="AB67" s="157">
        <f t="shared" si="19"/>
        <v>-3337.0985100780331</v>
      </c>
      <c r="AC67" s="154">
        <f t="shared" si="20"/>
        <v>30033.886590702296</v>
      </c>
      <c r="AD67" s="160"/>
      <c r="AE67" s="154">
        <f t="shared" si="21"/>
        <v>7508.4716476755739</v>
      </c>
      <c r="AF67" s="154">
        <f t="shared" si="21"/>
        <v>7508.4716476755739</v>
      </c>
      <c r="AG67" s="154">
        <f t="shared" si="21"/>
        <v>7508.4716476755739</v>
      </c>
      <c r="AH67" s="154">
        <f t="shared" si="21"/>
        <v>7508.4716476755739</v>
      </c>
    </row>
    <row r="68" spans="2:34" x14ac:dyDescent="0.25">
      <c r="B68" s="10">
        <v>233</v>
      </c>
      <c r="C68" s="10">
        <v>5</v>
      </c>
      <c r="D68" s="9" t="s">
        <v>167</v>
      </c>
      <c r="E68" s="8">
        <v>1996.99</v>
      </c>
      <c r="F68" s="5">
        <v>593473.82999999996</v>
      </c>
      <c r="G68" s="5">
        <v>233631.95</v>
      </c>
      <c r="H68" s="5">
        <f t="shared" si="11"/>
        <v>359841.87999999995</v>
      </c>
      <c r="I68" s="152">
        <f t="shared" si="12"/>
        <v>180.19212915437731</v>
      </c>
      <c r="J68" s="6">
        <f t="shared" si="1"/>
        <v>180.19212915437731</v>
      </c>
      <c r="K68" s="5">
        <f t="shared" si="13"/>
        <v>359841.87999999995</v>
      </c>
      <c r="L68" s="259">
        <v>0.50843303571428577</v>
      </c>
      <c r="M68" s="154">
        <f t="shared" si="14"/>
        <v>82448.973038915399</v>
      </c>
      <c r="N68" s="154">
        <f t="shared" si="15"/>
        <v>95713.279910358804</v>
      </c>
      <c r="O68" s="154">
        <f t="shared" si="16"/>
        <v>12575.934496110316</v>
      </c>
      <c r="P68" s="154">
        <f t="shared" si="17"/>
        <v>6072.9234103305043</v>
      </c>
      <c r="Q68" s="154">
        <f t="shared" si="5"/>
        <v>196811.110855715</v>
      </c>
      <c r="R68" s="173">
        <f t="shared" si="6"/>
        <v>0.54693775737197414</v>
      </c>
      <c r="S68" s="153">
        <f t="shared" si="7"/>
        <v>196816.11045304959</v>
      </c>
      <c r="T68" s="154"/>
      <c r="U68" s="154">
        <f>IFERROR(INDEX('2016 Clerical PYA'!$O$5:$O$241,MATCH('2017 Funding'!B68,'2016 Clerical PYA'!$A$5:$A$241,0)),0)</f>
        <v>-4661.9994888064393</v>
      </c>
      <c r="V68" s="154">
        <f>IFERROR(INDEX('Revised 2016 MFAM (2014 PYAs)'!$AD$26:$AD$262,MATCH('2017 Funding'!B68,'Revised 2016 MFAM (2014 PYAs)'!$B$26:$B$262,0)),0)</f>
        <v>1037.5417134127347</v>
      </c>
      <c r="W68" s="154">
        <f t="shared" si="8"/>
        <v>-11.178463179771194</v>
      </c>
      <c r="X68" s="154">
        <f t="shared" si="18"/>
        <v>-3635.636238573476</v>
      </c>
      <c r="Y68" s="154"/>
      <c r="Z68" s="155">
        <f t="shared" si="9"/>
        <v>193180.47421447613</v>
      </c>
      <c r="AA68" s="156">
        <v>0</v>
      </c>
      <c r="AB68" s="157">
        <f t="shared" si="19"/>
        <v>0</v>
      </c>
      <c r="AC68" s="154">
        <f t="shared" si="20"/>
        <v>193180.47421447613</v>
      </c>
      <c r="AD68" s="160"/>
      <c r="AE68" s="154">
        <f t="shared" si="21"/>
        <v>48295.118553619031</v>
      </c>
      <c r="AF68" s="154">
        <f t="shared" si="21"/>
        <v>48295.118553619031</v>
      </c>
      <c r="AG68" s="154">
        <f t="shared" si="21"/>
        <v>48295.118553619031</v>
      </c>
      <c r="AH68" s="154">
        <f t="shared" si="21"/>
        <v>48295.118553619031</v>
      </c>
    </row>
    <row r="69" spans="2:34" x14ac:dyDescent="0.25">
      <c r="B69" s="10">
        <v>272</v>
      </c>
      <c r="C69" s="10">
        <v>5</v>
      </c>
      <c r="D69" s="83" t="s">
        <v>168</v>
      </c>
      <c r="E69" s="8">
        <v>440.78368261105675</v>
      </c>
      <c r="F69" s="5">
        <v>90539.03</v>
      </c>
      <c r="G69" s="5">
        <v>0</v>
      </c>
      <c r="H69" s="5">
        <f t="shared" si="11"/>
        <v>90539.03</v>
      </c>
      <c r="I69" s="152">
        <f t="shared" si="12"/>
        <v>205.40467710527923</v>
      </c>
      <c r="J69" s="6">
        <f t="shared" si="1"/>
        <v>205.40467710527923</v>
      </c>
      <c r="K69" s="5">
        <f t="shared" si="13"/>
        <v>90539.03</v>
      </c>
      <c r="L69" s="259">
        <v>0.67920357142857135</v>
      </c>
      <c r="M69" s="154">
        <f t="shared" si="14"/>
        <v>20744.806144964434</v>
      </c>
      <c r="N69" s="154">
        <f t="shared" si="15"/>
        <v>21126.220959379283</v>
      </c>
      <c r="O69" s="154">
        <f t="shared" si="16"/>
        <v>4226.9839266759645</v>
      </c>
      <c r="P69" s="154">
        <f t="shared" si="17"/>
        <v>1527.995003904537</v>
      </c>
      <c r="Q69" s="154">
        <f t="shared" si="5"/>
        <v>47626.006034924219</v>
      </c>
      <c r="R69" s="173">
        <f t="shared" si="6"/>
        <v>0.52602735013755086</v>
      </c>
      <c r="S69" s="153">
        <f t="shared" si="7"/>
        <v>47627.215879489362</v>
      </c>
      <c r="T69" s="154"/>
      <c r="U69" s="154">
        <f>IFERROR(INDEX('2016 Clerical PYA'!$O$5:$O$241,MATCH('2017 Funding'!B69,'2016 Clerical PYA'!$A$5:$A$241,0)),0)</f>
        <v>0</v>
      </c>
      <c r="V69" s="154">
        <f>IFERROR(INDEX('Revised 2016 MFAM (2014 PYAs)'!$AD$26:$AD$262,MATCH('2017 Funding'!B69,'Revised 2016 MFAM (2014 PYAs)'!$B$26:$B$262,0)),0)</f>
        <v>0</v>
      </c>
      <c r="W69" s="154">
        <f t="shared" si="8"/>
        <v>-2.7050584316413944</v>
      </c>
      <c r="X69" s="154">
        <f t="shared" si="18"/>
        <v>-2.7050584316413944</v>
      </c>
      <c r="Y69" s="154"/>
      <c r="Z69" s="155">
        <f t="shared" si="9"/>
        <v>47624.510821057724</v>
      </c>
      <c r="AA69" s="156">
        <v>0</v>
      </c>
      <c r="AB69" s="157">
        <f t="shared" si="19"/>
        <v>0</v>
      </c>
      <c r="AC69" s="154">
        <f t="shared" si="20"/>
        <v>47624.510821057724</v>
      </c>
      <c r="AD69" s="160"/>
      <c r="AE69" s="154">
        <f t="shared" si="21"/>
        <v>11906.127705264431</v>
      </c>
      <c r="AF69" s="154">
        <f t="shared" si="21"/>
        <v>11906.127705264431</v>
      </c>
      <c r="AG69" s="154">
        <f t="shared" si="21"/>
        <v>11906.127705264431</v>
      </c>
      <c r="AH69" s="154">
        <f t="shared" si="21"/>
        <v>11906.127705264431</v>
      </c>
    </row>
    <row r="70" spans="2:34" x14ac:dyDescent="0.25">
      <c r="B70" s="10">
        <v>427</v>
      </c>
      <c r="C70" s="10">
        <v>5</v>
      </c>
      <c r="D70" s="9" t="s">
        <v>169</v>
      </c>
      <c r="E70" s="8">
        <v>422.92</v>
      </c>
      <c r="F70" s="5">
        <v>194689.8</v>
      </c>
      <c r="G70" s="5">
        <v>49957.020000000004</v>
      </c>
      <c r="H70" s="5">
        <f t="shared" si="11"/>
        <v>144732.77999999997</v>
      </c>
      <c r="I70" s="152">
        <f t="shared" si="12"/>
        <v>342.22259528988928</v>
      </c>
      <c r="J70" s="6">
        <f t="shared" si="1"/>
        <v>342.22259528988928</v>
      </c>
      <c r="K70" s="5">
        <f t="shared" si="13"/>
        <v>144732.77999999997</v>
      </c>
      <c r="L70" s="259">
        <v>0.36833035714285717</v>
      </c>
      <c r="M70" s="154">
        <f t="shared" si="14"/>
        <v>33161.97957855065</v>
      </c>
      <c r="N70" s="154">
        <f t="shared" si="15"/>
        <v>20270.036574889684</v>
      </c>
      <c r="O70" s="154">
        <f t="shared" si="16"/>
        <v>3664.3691345195089</v>
      </c>
      <c r="P70" s="154">
        <f t="shared" si="17"/>
        <v>2442.6036455351295</v>
      </c>
      <c r="Q70" s="154">
        <f t="shared" si="5"/>
        <v>59538.988933494969</v>
      </c>
      <c r="R70" s="173">
        <f t="shared" si="6"/>
        <v>0.41137183251434112</v>
      </c>
      <c r="S70" s="153">
        <f t="shared" si="7"/>
        <v>59540.501403848299</v>
      </c>
      <c r="T70" s="154"/>
      <c r="U70" s="154">
        <f>IFERROR(INDEX('2016 Clerical PYA'!$O$5:$O$241,MATCH('2017 Funding'!B70,'2016 Clerical PYA'!$A$5:$A$241,0)),0)</f>
        <v>-1728.9480318819042</v>
      </c>
      <c r="V70" s="154">
        <f>IFERROR(INDEX('Revised 2016 MFAM (2014 PYAs)'!$AD$26:$AD$262,MATCH('2017 Funding'!B70,'Revised 2016 MFAM (2014 PYAs)'!$B$26:$B$262,0)),0)</f>
        <v>2258.6601914587154</v>
      </c>
      <c r="W70" s="154">
        <f t="shared" si="8"/>
        <v>-3.3816911690611078</v>
      </c>
      <c r="X70" s="154">
        <f t="shared" si="18"/>
        <v>526.33046840775012</v>
      </c>
      <c r="Y70" s="154"/>
      <c r="Z70" s="155">
        <f t="shared" si="9"/>
        <v>60066.831872256051</v>
      </c>
      <c r="AA70" s="156">
        <v>0</v>
      </c>
      <c r="AB70" s="157">
        <f t="shared" si="19"/>
        <v>0</v>
      </c>
      <c r="AC70" s="154">
        <f t="shared" si="20"/>
        <v>60066.831872256051</v>
      </c>
      <c r="AD70" s="160"/>
      <c r="AE70" s="154">
        <f t="shared" si="21"/>
        <v>15016.707968064013</v>
      </c>
      <c r="AF70" s="154">
        <f t="shared" si="21"/>
        <v>15016.707968064013</v>
      </c>
      <c r="AG70" s="154">
        <f t="shared" si="21"/>
        <v>15016.707968064013</v>
      </c>
      <c r="AH70" s="154">
        <f t="shared" si="21"/>
        <v>15016.707968064013</v>
      </c>
    </row>
    <row r="71" spans="2:34" x14ac:dyDescent="0.25">
      <c r="B71" s="10">
        <v>524</v>
      </c>
      <c r="C71" s="10">
        <v>5</v>
      </c>
      <c r="D71" s="9" t="s">
        <v>170</v>
      </c>
      <c r="E71" s="8">
        <v>546.4137039600887</v>
      </c>
      <c r="F71" s="5">
        <v>215132.64</v>
      </c>
      <c r="G71" s="5">
        <v>154.80000000000001</v>
      </c>
      <c r="H71" s="5">
        <f t="shared" si="11"/>
        <v>214977.84000000003</v>
      </c>
      <c r="I71" s="152">
        <f t="shared" si="12"/>
        <v>393.43420276974331</v>
      </c>
      <c r="J71" s="6">
        <f t="shared" si="1"/>
        <v>393.43420276974331</v>
      </c>
      <c r="K71" s="5">
        <f t="shared" si="13"/>
        <v>214977.84000000003</v>
      </c>
      <c r="L71" s="259">
        <v>0.70996428571428571</v>
      </c>
      <c r="M71" s="154">
        <f t="shared" si="14"/>
        <v>49256.918439077388</v>
      </c>
      <c r="N71" s="154">
        <f t="shared" si="15"/>
        <v>26188.938249058785</v>
      </c>
      <c r="O71" s="154">
        <f t="shared" si="16"/>
        <v>10491.195874825922</v>
      </c>
      <c r="P71" s="154">
        <f t="shared" si="17"/>
        <v>3628.1045364655324</v>
      </c>
      <c r="Q71" s="154">
        <f t="shared" si="5"/>
        <v>89565.157099427626</v>
      </c>
      <c r="R71" s="173">
        <f t="shared" si="6"/>
        <v>0.41662506749266631</v>
      </c>
      <c r="S71" s="153">
        <f t="shared" si="7"/>
        <v>89567.432325245711</v>
      </c>
      <c r="T71" s="154"/>
      <c r="U71" s="154">
        <f>IFERROR(INDEX('2016 Clerical PYA'!$O$5:$O$241,MATCH('2017 Funding'!B71,'2016 Clerical PYA'!$A$5:$A$241,0)),0)</f>
        <v>5723.2548570042272</v>
      </c>
      <c r="V71" s="154">
        <f>IFERROR(INDEX('Revised 2016 MFAM (2014 PYAs)'!$AD$26:$AD$262,MATCH('2017 Funding'!B71,'Revised 2016 MFAM (2014 PYAs)'!$B$26:$B$262,0)),0)</f>
        <v>410.87496536610706</v>
      </c>
      <c r="W71" s="154">
        <f t="shared" si="8"/>
        <v>-5.0871152877154815</v>
      </c>
      <c r="X71" s="154">
        <f t="shared" si="18"/>
        <v>6129.042707082619</v>
      </c>
      <c r="Y71" s="154"/>
      <c r="Z71" s="155">
        <f t="shared" si="9"/>
        <v>95696.475032328337</v>
      </c>
      <c r="AA71" s="156">
        <v>0</v>
      </c>
      <c r="AB71" s="157">
        <f t="shared" si="19"/>
        <v>0</v>
      </c>
      <c r="AC71" s="154">
        <f t="shared" si="20"/>
        <v>95696.475032328337</v>
      </c>
      <c r="AD71" s="160"/>
      <c r="AE71" s="154">
        <f t="shared" si="21"/>
        <v>23924.118758082084</v>
      </c>
      <c r="AF71" s="154">
        <f t="shared" si="21"/>
        <v>23924.118758082084</v>
      </c>
      <c r="AG71" s="154">
        <f t="shared" si="21"/>
        <v>23924.118758082084</v>
      </c>
      <c r="AH71" s="154">
        <f t="shared" si="21"/>
        <v>23924.118758082084</v>
      </c>
    </row>
    <row r="72" spans="2:34" x14ac:dyDescent="0.25">
      <c r="B72" s="10">
        <v>565</v>
      </c>
      <c r="C72" s="10">
        <v>5</v>
      </c>
      <c r="D72" s="9" t="s">
        <v>171</v>
      </c>
      <c r="E72" s="8">
        <v>448.32675529026324</v>
      </c>
      <c r="F72" s="5">
        <v>221214.39</v>
      </c>
      <c r="G72" s="5">
        <v>1029.3699999999999</v>
      </c>
      <c r="H72" s="5">
        <f t="shared" si="11"/>
        <v>220185.02000000002</v>
      </c>
      <c r="I72" s="152">
        <f t="shared" si="12"/>
        <v>491.12620962682485</v>
      </c>
      <c r="J72" s="6">
        <f t="shared" si="1"/>
        <v>419.89016626080786</v>
      </c>
      <c r="K72" s="5">
        <f t="shared" si="13"/>
        <v>188247.99581799714</v>
      </c>
      <c r="L72" s="259">
        <v>0.63866517857142857</v>
      </c>
      <c r="M72" s="154">
        <f t="shared" si="14"/>
        <v>43132.427864783022</v>
      </c>
      <c r="N72" s="154">
        <f t="shared" si="15"/>
        <v>21487.751175719408</v>
      </c>
      <c r="O72" s="154">
        <f t="shared" si="16"/>
        <v>8264.1539233442727</v>
      </c>
      <c r="P72" s="154">
        <f t="shared" si="17"/>
        <v>3176.9944642099854</v>
      </c>
      <c r="Q72" s="154">
        <f t="shared" si="5"/>
        <v>76061.327428056684</v>
      </c>
      <c r="R72" s="173">
        <f t="shared" si="6"/>
        <v>0.40404853766196092</v>
      </c>
      <c r="S72" s="153">
        <f t="shared" si="7"/>
        <v>76063.25961576814</v>
      </c>
      <c r="T72" s="154"/>
      <c r="U72" s="154">
        <f>IFERROR(INDEX('2016 Clerical PYA'!$O$5:$O$241,MATCH('2017 Funding'!B72,'2016 Clerical PYA'!$A$5:$A$241,0)),0)</f>
        <v>11684.160642458344</v>
      </c>
      <c r="V72" s="154">
        <f>IFERROR(INDEX('Revised 2016 MFAM (2014 PYAs)'!$AD$26:$AD$262,MATCH('2017 Funding'!B72,'Revised 2016 MFAM (2014 PYAs)'!$B$26:$B$262,0)),0)</f>
        <v>154.63518347512581</v>
      </c>
      <c r="W72" s="154">
        <f t="shared" si="8"/>
        <v>-4.3201257508392485</v>
      </c>
      <c r="X72" s="154">
        <f t="shared" si="18"/>
        <v>11834.475700182631</v>
      </c>
      <c r="Y72" s="154"/>
      <c r="Z72" s="155">
        <f t="shared" si="9"/>
        <v>87897.735315950777</v>
      </c>
      <c r="AA72" s="156">
        <v>0</v>
      </c>
      <c r="AB72" s="157">
        <f t="shared" si="19"/>
        <v>0</v>
      </c>
      <c r="AC72" s="154">
        <f t="shared" si="20"/>
        <v>87897.735315950777</v>
      </c>
      <c r="AD72" s="160"/>
      <c r="AE72" s="154">
        <f t="shared" si="21"/>
        <v>21974.433828987694</v>
      </c>
      <c r="AF72" s="154">
        <f t="shared" si="21"/>
        <v>21974.433828987694</v>
      </c>
      <c r="AG72" s="154">
        <f t="shared" si="21"/>
        <v>21974.433828987694</v>
      </c>
      <c r="AH72" s="154">
        <f t="shared" si="21"/>
        <v>21974.433828987694</v>
      </c>
    </row>
    <row r="73" spans="2:34" x14ac:dyDescent="0.25">
      <c r="B73" s="10">
        <v>613</v>
      </c>
      <c r="C73" s="10">
        <v>5</v>
      </c>
      <c r="D73" s="9" t="s">
        <v>172</v>
      </c>
      <c r="E73" s="8">
        <v>131.66907496321599</v>
      </c>
      <c r="F73" s="5">
        <v>72097.259999999995</v>
      </c>
      <c r="G73" s="5">
        <v>0</v>
      </c>
      <c r="H73" s="5">
        <f t="shared" si="11"/>
        <v>72097.259999999995</v>
      </c>
      <c r="I73" s="152">
        <f t="shared" si="12"/>
        <v>547.5641111638522</v>
      </c>
      <c r="J73" s="6">
        <f t="shared" si="1"/>
        <v>419.89016626080786</v>
      </c>
      <c r="K73" s="5">
        <f t="shared" si="13"/>
        <v>55286.549777711538</v>
      </c>
      <c r="L73" s="259">
        <v>0.31999702380952377</v>
      </c>
      <c r="M73" s="154">
        <f t="shared" si="14"/>
        <v>12667.561796968139</v>
      </c>
      <c r="N73" s="154">
        <f t="shared" si="15"/>
        <v>6310.7371731918083</v>
      </c>
      <c r="O73" s="154">
        <f t="shared" si="16"/>
        <v>1216.0746221859081</v>
      </c>
      <c r="P73" s="154">
        <f t="shared" si="17"/>
        <v>933.05143476203261</v>
      </c>
      <c r="Q73" s="154">
        <f t="shared" si="5"/>
        <v>21127.425027107889</v>
      </c>
      <c r="R73" s="173">
        <f t="shared" si="6"/>
        <v>0.38214403163254168</v>
      </c>
      <c r="S73" s="153">
        <f t="shared" si="7"/>
        <v>21127.961727588838</v>
      </c>
      <c r="T73" s="154"/>
      <c r="U73" s="154">
        <f>IFERROR(INDEX('2016 Clerical PYA'!$O$5:$O$241,MATCH('2017 Funding'!B73,'2016 Clerical PYA'!$A$5:$A$241,0)),0)</f>
        <v>3813.6755573158443</v>
      </c>
      <c r="V73" s="154">
        <f>IFERROR(INDEX('Revised 2016 MFAM (2014 PYAs)'!$AD$26:$AD$262,MATCH('2017 Funding'!B73,'Revised 2016 MFAM (2014 PYAs)'!$B$26:$B$262,0)),0)</f>
        <v>53.723018069660611</v>
      </c>
      <c r="W73" s="154">
        <f t="shared" si="8"/>
        <v>-1.1999939521810998</v>
      </c>
      <c r="X73" s="154">
        <f t="shared" si="18"/>
        <v>3866.1985814333239</v>
      </c>
      <c r="Y73" s="154"/>
      <c r="Z73" s="155">
        <f t="shared" si="9"/>
        <v>24994.160309022162</v>
      </c>
      <c r="AA73" s="156">
        <v>0</v>
      </c>
      <c r="AB73" s="157">
        <f t="shared" si="19"/>
        <v>0</v>
      </c>
      <c r="AC73" s="154">
        <f t="shared" si="20"/>
        <v>24994.160309022162</v>
      </c>
      <c r="AD73" s="160"/>
      <c r="AE73" s="154">
        <f t="shared" si="21"/>
        <v>6248.5400772555404</v>
      </c>
      <c r="AF73" s="154">
        <f t="shared" si="21"/>
        <v>6248.5400772555404</v>
      </c>
      <c r="AG73" s="154">
        <f t="shared" si="21"/>
        <v>6248.5400772555404</v>
      </c>
      <c r="AH73" s="154">
        <f t="shared" si="21"/>
        <v>6248.5400772555404</v>
      </c>
    </row>
    <row r="74" spans="2:34" x14ac:dyDescent="0.25">
      <c r="B74" s="10">
        <v>696</v>
      </c>
      <c r="C74" s="10">
        <v>5</v>
      </c>
      <c r="D74" s="9" t="s">
        <v>173</v>
      </c>
      <c r="E74" s="8">
        <v>353.57</v>
      </c>
      <c r="F74" s="5">
        <v>125334.03</v>
      </c>
      <c r="G74" s="5">
        <v>115.5</v>
      </c>
      <c r="H74" s="5">
        <f t="shared" si="11"/>
        <v>125218.53</v>
      </c>
      <c r="I74" s="152">
        <f t="shared" si="12"/>
        <v>354.15484911050146</v>
      </c>
      <c r="J74" s="6">
        <f t="shared" si="1"/>
        <v>354.15484911050146</v>
      </c>
      <c r="K74" s="5">
        <f t="shared" si="13"/>
        <v>125218.53</v>
      </c>
      <c r="L74" s="259">
        <v>0.35914136904761906</v>
      </c>
      <c r="M74" s="154">
        <f t="shared" si="14"/>
        <v>28690.766077429955</v>
      </c>
      <c r="N74" s="154">
        <f t="shared" si="15"/>
        <v>16946.176184109867</v>
      </c>
      <c r="O74" s="154">
        <f t="shared" si="16"/>
        <v>3091.2123024219541</v>
      </c>
      <c r="P74" s="154">
        <f t="shared" si="17"/>
        <v>2113.2685896488001</v>
      </c>
      <c r="Q74" s="154">
        <f t="shared" si="5"/>
        <v>50841.42315361058</v>
      </c>
      <c r="R74" s="173">
        <f t="shared" si="6"/>
        <v>0.40602156209317086</v>
      </c>
      <c r="S74" s="153">
        <f t="shared" si="7"/>
        <v>50842.714679493343</v>
      </c>
      <c r="T74" s="154"/>
      <c r="U74" s="154">
        <f>IFERROR(INDEX('2016 Clerical PYA'!$O$5:$O$241,MATCH('2017 Funding'!B74,'2016 Clerical PYA'!$A$5:$A$241,0)),0)</f>
        <v>1592.6953961173895</v>
      </c>
      <c r="V74" s="154">
        <f>IFERROR(INDEX('Revised 2016 MFAM (2014 PYAs)'!$AD$26:$AD$262,MATCH('2017 Funding'!B74,'Revised 2016 MFAM (2014 PYAs)'!$B$26:$B$262,0)),0)</f>
        <v>277.99508243818855</v>
      </c>
      <c r="W74" s="154">
        <f t="shared" si="8"/>
        <v>-2.8876874596091908</v>
      </c>
      <c r="X74" s="154">
        <f t="shared" si="18"/>
        <v>1867.8027910959688</v>
      </c>
      <c r="Y74" s="154"/>
      <c r="Z74" s="155">
        <f t="shared" si="9"/>
        <v>52710.517470589315</v>
      </c>
      <c r="AA74" s="156">
        <v>0</v>
      </c>
      <c r="AB74" s="157">
        <f t="shared" si="19"/>
        <v>0</v>
      </c>
      <c r="AC74" s="154">
        <f t="shared" si="20"/>
        <v>52710.517470589315</v>
      </c>
      <c r="AD74" s="160"/>
      <c r="AE74" s="154">
        <f t="shared" si="21"/>
        <v>13177.629367647329</v>
      </c>
      <c r="AF74" s="154">
        <f t="shared" si="21"/>
        <v>13177.629367647329</v>
      </c>
      <c r="AG74" s="154">
        <f t="shared" si="21"/>
        <v>13177.629367647329</v>
      </c>
      <c r="AH74" s="154">
        <f t="shared" si="21"/>
        <v>13177.629367647329</v>
      </c>
    </row>
    <row r="75" spans="2:34" x14ac:dyDescent="0.25">
      <c r="B75" s="10">
        <v>731</v>
      </c>
      <c r="C75" s="10">
        <v>5</v>
      </c>
      <c r="D75" s="9" t="s">
        <v>174</v>
      </c>
      <c r="E75" s="8">
        <v>876.62</v>
      </c>
      <c r="F75" s="5">
        <v>223605.15</v>
      </c>
      <c r="G75" s="5">
        <v>0</v>
      </c>
      <c r="H75" s="5">
        <f t="shared" si="11"/>
        <v>223605.15</v>
      </c>
      <c r="I75" s="152">
        <f t="shared" si="12"/>
        <v>255.07648696128311</v>
      </c>
      <c r="J75" s="6">
        <f t="shared" si="1"/>
        <v>255.07648696128311</v>
      </c>
      <c r="K75" s="5">
        <f t="shared" si="13"/>
        <v>223605.15</v>
      </c>
      <c r="L75" s="259">
        <v>0.66713690476190468</v>
      </c>
      <c r="M75" s="154">
        <f t="shared" si="14"/>
        <v>51233.65569264099</v>
      </c>
      <c r="N75" s="154">
        <f t="shared" si="15"/>
        <v>42015.320775276159</v>
      </c>
      <c r="O75" s="154">
        <f t="shared" si="16"/>
        <v>10253.958743527694</v>
      </c>
      <c r="P75" s="154">
        <f t="shared" si="17"/>
        <v>3773.7045785372848</v>
      </c>
      <c r="Q75" s="154">
        <f t="shared" si="5"/>
        <v>107276.63978998213</v>
      </c>
      <c r="R75" s="173">
        <f t="shared" si="6"/>
        <v>0.47975925326398849</v>
      </c>
      <c r="S75" s="153">
        <f t="shared" si="7"/>
        <v>107279.36494101667</v>
      </c>
      <c r="T75" s="154"/>
      <c r="U75" s="154">
        <f>IFERROR(INDEX('2016 Clerical PYA'!$O$5:$O$241,MATCH('2017 Funding'!B75,'2016 Clerical PYA'!$A$5:$A$241,0)),0)</f>
        <v>-3138.3329020709207</v>
      </c>
      <c r="V75" s="154">
        <f>IFERROR(INDEX('Revised 2016 MFAM (2014 PYAs)'!$AD$26:$AD$262,MATCH('2017 Funding'!B75,'Revised 2016 MFAM (2014 PYAs)'!$B$26:$B$262,0)),0)</f>
        <v>613.79041678931389</v>
      </c>
      <c r="W75" s="154">
        <f t="shared" si="8"/>
        <v>-6.0930907951687452</v>
      </c>
      <c r="X75" s="154">
        <f t="shared" si="18"/>
        <v>-2530.6355760767756</v>
      </c>
      <c r="Y75" s="154"/>
      <c r="Z75" s="155">
        <f t="shared" si="9"/>
        <v>104748.72936493989</v>
      </c>
      <c r="AA75" s="156">
        <v>0</v>
      </c>
      <c r="AB75" s="157">
        <f t="shared" si="19"/>
        <v>0</v>
      </c>
      <c r="AC75" s="154">
        <f t="shared" si="20"/>
        <v>104748.72936493989</v>
      </c>
      <c r="AD75" s="160"/>
      <c r="AE75" s="154">
        <f t="shared" si="21"/>
        <v>26187.182341234973</v>
      </c>
      <c r="AF75" s="154">
        <f t="shared" si="21"/>
        <v>26187.182341234973</v>
      </c>
      <c r="AG75" s="154">
        <f t="shared" si="21"/>
        <v>26187.182341234973</v>
      </c>
      <c r="AH75" s="154">
        <f t="shared" si="21"/>
        <v>26187.182341234973</v>
      </c>
    </row>
    <row r="76" spans="2:34" x14ac:dyDescent="0.25">
      <c r="B76" s="10">
        <v>732</v>
      </c>
      <c r="C76" s="10">
        <v>5</v>
      </c>
      <c r="D76" s="9" t="s">
        <v>175</v>
      </c>
      <c r="E76" s="8">
        <v>236.84152115940267</v>
      </c>
      <c r="F76" s="5">
        <v>78310.98</v>
      </c>
      <c r="G76" s="5">
        <v>0</v>
      </c>
      <c r="H76" s="5">
        <f t="shared" si="11"/>
        <v>78310.98</v>
      </c>
      <c r="I76" s="152">
        <f t="shared" si="12"/>
        <v>330.64717544730661</v>
      </c>
      <c r="J76" s="6">
        <f t="shared" si="1"/>
        <v>330.64717544730661</v>
      </c>
      <c r="K76" s="5">
        <f t="shared" si="13"/>
        <v>78310.98</v>
      </c>
      <c r="L76" s="259">
        <v>0.35266071428571427</v>
      </c>
      <c r="M76" s="154">
        <f t="shared" si="14"/>
        <v>17943.047314756812</v>
      </c>
      <c r="N76" s="154">
        <f t="shared" si="15"/>
        <v>11351.523447350801</v>
      </c>
      <c r="O76" s="154">
        <f t="shared" si="16"/>
        <v>1898.3423647453515</v>
      </c>
      <c r="P76" s="154">
        <f t="shared" si="17"/>
        <v>1321.6265536627475</v>
      </c>
      <c r="Q76" s="154">
        <f t="shared" si="5"/>
        <v>32514.539680515714</v>
      </c>
      <c r="R76" s="173">
        <f t="shared" si="6"/>
        <v>0.41519771148970064</v>
      </c>
      <c r="S76" s="153">
        <f t="shared" si="7"/>
        <v>32515.365648141298</v>
      </c>
      <c r="T76" s="154"/>
      <c r="U76" s="154">
        <f>IFERROR(INDEX('2016 Clerical PYA'!$O$5:$O$241,MATCH('2017 Funding'!B76,'2016 Clerical PYA'!$A$5:$A$241,0)),0)</f>
        <v>1210.4906641440066</v>
      </c>
      <c r="V76" s="154">
        <f>IFERROR(INDEX('Revised 2016 MFAM (2014 PYAs)'!$AD$26:$AD$262,MATCH('2017 Funding'!B76,'Revised 2016 MFAM (2014 PYAs)'!$B$26:$B$262,0)),0)</f>
        <v>187.66007662732591</v>
      </c>
      <c r="W76" s="154">
        <f t="shared" si="8"/>
        <v>-1.8467584632064491</v>
      </c>
      <c r="X76" s="154">
        <f t="shared" si="18"/>
        <v>1396.303982308126</v>
      </c>
      <c r="Y76" s="154"/>
      <c r="Z76" s="155">
        <f t="shared" si="9"/>
        <v>33911.669630449425</v>
      </c>
      <c r="AA76" s="156">
        <v>0</v>
      </c>
      <c r="AB76" s="157">
        <f t="shared" si="19"/>
        <v>0</v>
      </c>
      <c r="AC76" s="154">
        <f t="shared" si="20"/>
        <v>33911.669630449425</v>
      </c>
      <c r="AD76" s="160"/>
      <c r="AE76" s="154">
        <f t="shared" si="21"/>
        <v>8477.9174076123563</v>
      </c>
      <c r="AF76" s="154">
        <f t="shared" si="21"/>
        <v>8477.9174076123563</v>
      </c>
      <c r="AG76" s="154">
        <f t="shared" si="21"/>
        <v>8477.9174076123563</v>
      </c>
      <c r="AH76" s="154">
        <f t="shared" si="21"/>
        <v>8477.9174076123563</v>
      </c>
    </row>
    <row r="77" spans="2:34" x14ac:dyDescent="0.25">
      <c r="B77" s="10">
        <v>754</v>
      </c>
      <c r="C77" s="10">
        <v>5</v>
      </c>
      <c r="D77" s="9" t="s">
        <v>176</v>
      </c>
      <c r="E77" s="8">
        <v>111.0757957773375</v>
      </c>
      <c r="F77" s="5">
        <v>29843.97</v>
      </c>
      <c r="G77" s="5">
        <v>80</v>
      </c>
      <c r="H77" s="5">
        <f t="shared" si="11"/>
        <v>29763.97</v>
      </c>
      <c r="I77" s="152">
        <f t="shared" si="12"/>
        <v>267.96089815701021</v>
      </c>
      <c r="J77" s="6">
        <f t="shared" si="1"/>
        <v>267.96089815701021</v>
      </c>
      <c r="K77" s="5">
        <f t="shared" si="13"/>
        <v>29763.969999999998</v>
      </c>
      <c r="L77" s="259">
        <v>0.23696428571428574</v>
      </c>
      <c r="M77" s="154">
        <f t="shared" si="14"/>
        <v>6819.6863579666906</v>
      </c>
      <c r="N77" s="154">
        <f t="shared" si="15"/>
        <v>5323.7265747460706</v>
      </c>
      <c r="O77" s="154">
        <f t="shared" si="16"/>
        <v>484.80663198331069</v>
      </c>
      <c r="P77" s="154">
        <f t="shared" si="17"/>
        <v>502.31593442479465</v>
      </c>
      <c r="Q77" s="154">
        <f t="shared" si="5"/>
        <v>13130.535499120866</v>
      </c>
      <c r="R77" s="173">
        <f t="shared" si="6"/>
        <v>0.4411553801163241</v>
      </c>
      <c r="S77" s="153">
        <f t="shared" si="7"/>
        <v>13130.86905442675</v>
      </c>
      <c r="T77" s="154"/>
      <c r="U77" s="154">
        <f>IFERROR(INDEX('2016 Clerical PYA'!$O$5:$O$241,MATCH('2017 Funding'!B77,'2016 Clerical PYA'!$A$5:$A$241,0)),0)</f>
        <v>-371.4924498178425</v>
      </c>
      <c r="V77" s="154">
        <f>IFERROR(INDEX('Revised 2016 MFAM (2014 PYAs)'!$AD$26:$AD$262,MATCH('2017 Funding'!B77,'Revised 2016 MFAM (2014 PYAs)'!$B$26:$B$262,0)),0)</f>
        <v>77.388509997312212</v>
      </c>
      <c r="W77" s="154">
        <f t="shared" si="8"/>
        <v>-0.74578720159354761</v>
      </c>
      <c r="X77" s="154">
        <f t="shared" si="18"/>
        <v>-294.84972702212383</v>
      </c>
      <c r="Y77" s="154"/>
      <c r="Z77" s="155">
        <f t="shared" si="9"/>
        <v>12836.019327404627</v>
      </c>
      <c r="AA77" s="156">
        <v>0</v>
      </c>
      <c r="AB77" s="157">
        <f t="shared" si="19"/>
        <v>0</v>
      </c>
      <c r="AC77" s="154">
        <f t="shared" si="20"/>
        <v>12836.019327404627</v>
      </c>
      <c r="AD77" s="160"/>
      <c r="AE77" s="154">
        <f t="shared" si="21"/>
        <v>3209.0048318511567</v>
      </c>
      <c r="AF77" s="154">
        <f t="shared" si="21"/>
        <v>3209.0048318511567</v>
      </c>
      <c r="AG77" s="154">
        <f t="shared" si="21"/>
        <v>3209.0048318511567</v>
      </c>
      <c r="AH77" s="154">
        <f t="shared" si="21"/>
        <v>3209.0048318511567</v>
      </c>
    </row>
    <row r="78" spans="2:34" x14ac:dyDescent="0.25">
      <c r="B78" s="10">
        <v>885</v>
      </c>
      <c r="C78" s="10">
        <v>5</v>
      </c>
      <c r="D78" s="9" t="s">
        <v>177</v>
      </c>
      <c r="E78" s="8">
        <v>414.7</v>
      </c>
      <c r="F78" s="5">
        <v>169727.54</v>
      </c>
      <c r="G78" s="5">
        <v>56852.329999999987</v>
      </c>
      <c r="H78" s="5">
        <f t="shared" si="11"/>
        <v>112875.21000000002</v>
      </c>
      <c r="I78" s="152">
        <f t="shared" si="12"/>
        <v>272.18521823004585</v>
      </c>
      <c r="J78" s="6">
        <f t="shared" si="1"/>
        <v>272.18521823004585</v>
      </c>
      <c r="K78" s="5">
        <f t="shared" si="13"/>
        <v>112875.21</v>
      </c>
      <c r="L78" s="259">
        <v>0.6674107142857143</v>
      </c>
      <c r="M78" s="154">
        <f t="shared" si="14"/>
        <v>25862.595943673692</v>
      </c>
      <c r="N78" s="154">
        <f t="shared" si="15"/>
        <v>19876.06206281744</v>
      </c>
      <c r="O78" s="154">
        <f t="shared" si="16"/>
        <v>5178.2920896150226</v>
      </c>
      <c r="P78" s="154">
        <f t="shared" si="17"/>
        <v>1904.9547686194057</v>
      </c>
      <c r="Q78" s="154">
        <f t="shared" si="5"/>
        <v>52821.904864725562</v>
      </c>
      <c r="R78" s="173">
        <f t="shared" si="6"/>
        <v>0.46796727877383848</v>
      </c>
      <c r="S78" s="153">
        <f t="shared" si="7"/>
        <v>52823.24670083238</v>
      </c>
      <c r="T78" s="154"/>
      <c r="U78" s="154">
        <f>IFERROR(INDEX('2016 Clerical PYA'!$O$5:$O$241,MATCH('2017 Funding'!B78,'2016 Clerical PYA'!$A$5:$A$241,0)),0)</f>
        <v>4685.0193430558138</v>
      </c>
      <c r="V78" s="154">
        <f>IFERROR(INDEX('Revised 2016 MFAM (2014 PYAs)'!$AD$26:$AD$262,MATCH('2017 Funding'!B78,'Revised 2016 MFAM (2014 PYAs)'!$B$26:$B$262,0)),0)</f>
        <v>-3569.4519639689388</v>
      </c>
      <c r="W78" s="154">
        <f t="shared" si="8"/>
        <v>-3.0001747159924919</v>
      </c>
      <c r="X78" s="154">
        <f t="shared" si="18"/>
        <v>1112.5672043708826</v>
      </c>
      <c r="Y78" s="154"/>
      <c r="Z78" s="155">
        <f t="shared" si="9"/>
        <v>53935.813905203264</v>
      </c>
      <c r="AA78" s="156">
        <v>0</v>
      </c>
      <c r="AB78" s="157">
        <f t="shared" si="19"/>
        <v>0</v>
      </c>
      <c r="AC78" s="154">
        <f t="shared" si="20"/>
        <v>53935.813905203264</v>
      </c>
      <c r="AD78" s="160"/>
      <c r="AE78" s="154">
        <f t="shared" si="21"/>
        <v>13483.953476300816</v>
      </c>
      <c r="AF78" s="154">
        <f t="shared" si="21"/>
        <v>13483.953476300816</v>
      </c>
      <c r="AG78" s="154">
        <f t="shared" si="21"/>
        <v>13483.953476300816</v>
      </c>
      <c r="AH78" s="154">
        <f t="shared" si="21"/>
        <v>13483.953476300816</v>
      </c>
    </row>
    <row r="79" spans="2:34" x14ac:dyDescent="0.25">
      <c r="B79" s="10">
        <v>909</v>
      </c>
      <c r="C79" s="10">
        <v>5</v>
      </c>
      <c r="D79" s="9" t="s">
        <v>178</v>
      </c>
      <c r="E79" s="8">
        <v>539.5</v>
      </c>
      <c r="F79" s="5">
        <v>217526.92</v>
      </c>
      <c r="G79" s="5">
        <v>78119.689999999988</v>
      </c>
      <c r="H79" s="5">
        <f t="shared" si="11"/>
        <v>139407.23000000004</v>
      </c>
      <c r="I79" s="152">
        <f t="shared" si="12"/>
        <v>258.40079703429109</v>
      </c>
      <c r="J79" s="6">
        <f t="shared" si="1"/>
        <v>258.40079703429109</v>
      </c>
      <c r="K79" s="5">
        <f t="shared" si="13"/>
        <v>139407.23000000004</v>
      </c>
      <c r="L79" s="259">
        <v>0.76822470238095231</v>
      </c>
      <c r="M79" s="154">
        <f t="shared" si="14"/>
        <v>31941.759941060456</v>
      </c>
      <c r="N79" s="154">
        <f t="shared" si="15"/>
        <v>25857.572903038359</v>
      </c>
      <c r="O79" s="154">
        <f t="shared" si="16"/>
        <v>7361.5347072734976</v>
      </c>
      <c r="P79" s="154">
        <f t="shared" si="17"/>
        <v>2352.7262325228221</v>
      </c>
      <c r="Q79" s="154">
        <f t="shared" si="5"/>
        <v>67513.593783895136</v>
      </c>
      <c r="R79" s="173">
        <f t="shared" si="6"/>
        <v>0.4842904760670958</v>
      </c>
      <c r="S79" s="153">
        <f t="shared" si="7"/>
        <v>67515.30883332534</v>
      </c>
      <c r="T79" s="154"/>
      <c r="U79" s="154">
        <f>IFERROR(INDEX('2016 Clerical PYA'!$O$5:$O$241,MATCH('2017 Funding'!B79,'2016 Clerical PYA'!$A$5:$A$241,0)),0)</f>
        <v>-2448.8827121807117</v>
      </c>
      <c r="V79" s="154">
        <f>IFERROR(INDEX('Revised 2016 MFAM (2014 PYAs)'!$AD$26:$AD$262,MATCH('2017 Funding'!B79,'Revised 2016 MFAM (2014 PYAs)'!$B$26:$B$262,0)),0)</f>
        <v>463.03500744255143</v>
      </c>
      <c r="W79" s="154">
        <f t="shared" si="8"/>
        <v>-3.8346321961496428</v>
      </c>
      <c r="X79" s="154">
        <f t="shared" si="18"/>
        <v>-1989.6823369343099</v>
      </c>
      <c r="Y79" s="154"/>
      <c r="Z79" s="155">
        <f t="shared" si="9"/>
        <v>65525.626496391029</v>
      </c>
      <c r="AA79" s="156">
        <v>0</v>
      </c>
      <c r="AB79" s="157">
        <f t="shared" si="19"/>
        <v>0</v>
      </c>
      <c r="AC79" s="154">
        <f t="shared" si="20"/>
        <v>65525.626496391029</v>
      </c>
      <c r="AD79" s="160"/>
      <c r="AE79" s="154">
        <f t="shared" si="21"/>
        <v>16381.406624097757</v>
      </c>
      <c r="AF79" s="154">
        <f t="shared" si="21"/>
        <v>16381.406624097757</v>
      </c>
      <c r="AG79" s="154">
        <f t="shared" si="21"/>
        <v>16381.406624097757</v>
      </c>
      <c r="AH79" s="154">
        <f t="shared" si="21"/>
        <v>16381.406624097757</v>
      </c>
    </row>
    <row r="80" spans="2:34" x14ac:dyDescent="0.25">
      <c r="B80" s="10">
        <v>923</v>
      </c>
      <c r="C80" s="10">
        <v>5</v>
      </c>
      <c r="D80" s="9" t="s">
        <v>179</v>
      </c>
      <c r="E80" s="8">
        <v>64.422161294846376</v>
      </c>
      <c r="F80" s="5">
        <v>28648.33</v>
      </c>
      <c r="G80" s="5">
        <v>0</v>
      </c>
      <c r="H80" s="5">
        <f t="shared" si="11"/>
        <v>28648.33</v>
      </c>
      <c r="I80" s="152">
        <f t="shared" si="12"/>
        <v>444.69681588114929</v>
      </c>
      <c r="J80" s="6">
        <f t="shared" si="1"/>
        <v>419.89016626080786</v>
      </c>
      <c r="K80" s="5">
        <f t="shared" si="13"/>
        <v>27050.232016973627</v>
      </c>
      <c r="L80" s="259">
        <v>0.3616428571428571</v>
      </c>
      <c r="M80" s="154">
        <f t="shared" si="14"/>
        <v>6197.8996170869968</v>
      </c>
      <c r="N80" s="154">
        <f t="shared" si="15"/>
        <v>3087.675129291541</v>
      </c>
      <c r="O80" s="154">
        <f t="shared" si="16"/>
        <v>672.42783774238842</v>
      </c>
      <c r="P80" s="154">
        <f t="shared" si="17"/>
        <v>456.51714378201586</v>
      </c>
      <c r="Q80" s="154">
        <f t="shared" si="5"/>
        <v>10414.519727902942</v>
      </c>
      <c r="R80" s="173">
        <f t="shared" si="6"/>
        <v>0.38500666912461168</v>
      </c>
      <c r="S80" s="153">
        <f t="shared" si="7"/>
        <v>10414.784288195529</v>
      </c>
      <c r="T80" s="154"/>
      <c r="U80" s="154">
        <f>IFERROR(INDEX('2016 Clerical PYA'!$O$5:$O$241,MATCH('2017 Funding'!B80,'2016 Clerical PYA'!$A$5:$A$241,0)),0)</f>
        <v>1247.4791840881799</v>
      </c>
      <c r="V80" s="154">
        <f>IFERROR(INDEX('Revised 2016 MFAM (2014 PYAs)'!$AD$26:$AD$262,MATCH('2017 Funding'!B80,'Revised 2016 MFAM (2014 PYAs)'!$B$26:$B$262,0)),0)</f>
        <v>58.549110593557998</v>
      </c>
      <c r="W80" s="154">
        <f t="shared" si="8"/>
        <v>-0.59152313508718346</v>
      </c>
      <c r="X80" s="154">
        <f t="shared" si="18"/>
        <v>1305.4367715466508</v>
      </c>
      <c r="Y80" s="154"/>
      <c r="Z80" s="155">
        <f t="shared" si="9"/>
        <v>11720.22105974218</v>
      </c>
      <c r="AA80" s="156">
        <v>0</v>
      </c>
      <c r="AB80" s="157">
        <f t="shared" si="19"/>
        <v>0</v>
      </c>
      <c r="AC80" s="154">
        <f t="shared" si="20"/>
        <v>11720.22105974218</v>
      </c>
      <c r="AD80" s="160"/>
      <c r="AE80" s="154">
        <f t="shared" si="21"/>
        <v>2930.055264935545</v>
      </c>
      <c r="AF80" s="154">
        <f t="shared" si="21"/>
        <v>2930.055264935545</v>
      </c>
      <c r="AG80" s="154">
        <f t="shared" si="21"/>
        <v>2930.055264935545</v>
      </c>
      <c r="AH80" s="154">
        <f t="shared" si="21"/>
        <v>2930.055264935545</v>
      </c>
    </row>
    <row r="81" spans="2:34" x14ac:dyDescent="0.25">
      <c r="B81" s="10">
        <v>394</v>
      </c>
      <c r="C81" s="10">
        <v>6</v>
      </c>
      <c r="D81" s="9" t="s">
        <v>180</v>
      </c>
      <c r="E81" s="8">
        <v>774</v>
      </c>
      <c r="F81" s="5">
        <v>399852.09</v>
      </c>
      <c r="G81" s="5">
        <v>48487.89</v>
      </c>
      <c r="H81" s="5">
        <f t="shared" si="11"/>
        <v>351364.2</v>
      </c>
      <c r="I81" s="152">
        <f t="shared" si="12"/>
        <v>453.9589147286822</v>
      </c>
      <c r="J81" s="6">
        <f t="shared" si="1"/>
        <v>453.9589147286822</v>
      </c>
      <c r="K81" s="5">
        <f t="shared" si="13"/>
        <v>351364.2</v>
      </c>
      <c r="L81" s="259">
        <v>0.67971130952380954</v>
      </c>
      <c r="M81" s="154">
        <f t="shared" si="14"/>
        <v>80506.519843215807</v>
      </c>
      <c r="N81" s="154">
        <f t="shared" si="15"/>
        <v>37096.870114831676</v>
      </c>
      <c r="O81" s="154">
        <f t="shared" si="16"/>
        <v>16416.357608351034</v>
      </c>
      <c r="P81" s="154">
        <f t="shared" si="17"/>
        <v>5929.8486205442505</v>
      </c>
      <c r="Q81" s="154">
        <f t="shared" si="5"/>
        <v>139949.59618694277</v>
      </c>
      <c r="R81" s="173">
        <f t="shared" si="6"/>
        <v>0.39830351580195922</v>
      </c>
      <c r="S81" s="153">
        <f t="shared" si="7"/>
        <v>139953.15132986652</v>
      </c>
      <c r="T81" s="154"/>
      <c r="U81" s="154">
        <f>IFERROR(INDEX('2016 Clerical PYA'!$O$5:$O$241,MATCH('2017 Funding'!B81,'2016 Clerical PYA'!$A$5:$A$241,0)),0)</f>
        <v>-4684.5471110860526</v>
      </c>
      <c r="V81" s="154">
        <f>IFERROR(INDEX('Revised 2016 MFAM (2014 PYAs)'!$AD$26:$AD$262,MATCH('2017 Funding'!B81,'Revised 2016 MFAM (2014 PYAs)'!$B$26:$B$262,0)),0)</f>
        <v>828.45240187857416</v>
      </c>
      <c r="W81" s="154">
        <f t="shared" si="8"/>
        <v>-7.9488469995298505</v>
      </c>
      <c r="X81" s="154">
        <f t="shared" si="18"/>
        <v>-3864.0435562070084</v>
      </c>
      <c r="Y81" s="154"/>
      <c r="Z81" s="155">
        <f t="shared" si="9"/>
        <v>136089.10777365952</v>
      </c>
      <c r="AA81" s="156">
        <v>0</v>
      </c>
      <c r="AB81" s="157">
        <f t="shared" si="19"/>
        <v>0</v>
      </c>
      <c r="AC81" s="154">
        <f t="shared" si="20"/>
        <v>136089.10777365952</v>
      </c>
      <c r="AD81" s="160"/>
      <c r="AE81" s="154">
        <f t="shared" si="21"/>
        <v>34022.276943414879</v>
      </c>
      <c r="AF81" s="154">
        <f t="shared" si="21"/>
        <v>34022.276943414879</v>
      </c>
      <c r="AG81" s="154">
        <f t="shared" si="21"/>
        <v>34022.276943414879</v>
      </c>
      <c r="AH81" s="154">
        <f t="shared" si="21"/>
        <v>34022.276943414879</v>
      </c>
    </row>
    <row r="82" spans="2:34" x14ac:dyDescent="0.25">
      <c r="B82" s="10">
        <v>414</v>
      </c>
      <c r="C82" s="10">
        <v>6</v>
      </c>
      <c r="D82" s="9" t="s">
        <v>181</v>
      </c>
      <c r="E82" s="8">
        <v>273.54890062182221</v>
      </c>
      <c r="F82" s="5">
        <v>172270.15</v>
      </c>
      <c r="G82" s="5">
        <v>163.68</v>
      </c>
      <c r="H82" s="5">
        <f t="shared" si="11"/>
        <v>172106.47</v>
      </c>
      <c r="I82" s="152">
        <f t="shared" si="12"/>
        <v>629.16162195780475</v>
      </c>
      <c r="J82" s="6">
        <f t="shared" si="1"/>
        <v>629.16162195780475</v>
      </c>
      <c r="K82" s="5">
        <f t="shared" si="13"/>
        <v>172106.47</v>
      </c>
      <c r="L82" s="259">
        <v>0.52613244047619045</v>
      </c>
      <c r="M82" s="154">
        <f t="shared" si="14"/>
        <v>39433.991687829403</v>
      </c>
      <c r="N82" s="154">
        <f t="shared" si="15"/>
        <v>13110.863096153409</v>
      </c>
      <c r="O82" s="154">
        <f t="shared" si="16"/>
        <v>6224.2506853306477</v>
      </c>
      <c r="P82" s="154">
        <f t="shared" si="17"/>
        <v>2904.5796746402748</v>
      </c>
      <c r="Q82" s="154">
        <f t="shared" si="5"/>
        <v>61673.685143953735</v>
      </c>
      <c r="R82" s="173">
        <f t="shared" si="6"/>
        <v>0.35834611647054138</v>
      </c>
      <c r="S82" s="153">
        <f t="shared" si="7"/>
        <v>61675.25184204572</v>
      </c>
      <c r="T82" s="154"/>
      <c r="U82" s="154">
        <f>IFERROR(INDEX('2016 Clerical PYA'!$O$5:$O$241,MATCH('2017 Funding'!B82,'2016 Clerical PYA'!$A$5:$A$241,0)),0)</f>
        <v>-2294.5885214495793</v>
      </c>
      <c r="V82" s="154">
        <f>IFERROR(INDEX('Revised 2016 MFAM (2014 PYAs)'!$AD$26:$AD$262,MATCH('2017 Funding'!B82,'Revised 2016 MFAM (2014 PYAs)'!$B$26:$B$262,0)),0)</f>
        <v>391.04110283685441</v>
      </c>
      <c r="W82" s="154">
        <f t="shared" si="8"/>
        <v>-3.5029374893773642</v>
      </c>
      <c r="X82" s="154">
        <f t="shared" si="18"/>
        <v>-1907.0503561021023</v>
      </c>
      <c r="Y82" s="154"/>
      <c r="Z82" s="155">
        <f t="shared" si="9"/>
        <v>59768.201485943617</v>
      </c>
      <c r="AA82" s="156">
        <v>0</v>
      </c>
      <c r="AB82" s="157">
        <f t="shared" si="19"/>
        <v>0</v>
      </c>
      <c r="AC82" s="154">
        <f t="shared" si="20"/>
        <v>59768.201485943617</v>
      </c>
      <c r="AD82" s="160"/>
      <c r="AE82" s="154">
        <f t="shared" si="21"/>
        <v>14942.050371485904</v>
      </c>
      <c r="AF82" s="154">
        <f t="shared" si="21"/>
        <v>14942.050371485904</v>
      </c>
      <c r="AG82" s="154">
        <f t="shared" si="21"/>
        <v>14942.050371485904</v>
      </c>
      <c r="AH82" s="154">
        <f t="shared" si="21"/>
        <v>14942.050371485904</v>
      </c>
    </row>
    <row r="83" spans="2:34" x14ac:dyDescent="0.25">
      <c r="B83" s="10">
        <v>426</v>
      </c>
      <c r="C83" s="10">
        <v>6</v>
      </c>
      <c r="D83" s="9" t="s">
        <v>182</v>
      </c>
      <c r="E83" s="8">
        <v>406.28177619172652</v>
      </c>
      <c r="F83" s="5">
        <v>135594.26999999999</v>
      </c>
      <c r="G83" s="5">
        <v>0</v>
      </c>
      <c r="H83" s="5">
        <f t="shared" si="11"/>
        <v>135594.26999999999</v>
      </c>
      <c r="I83" s="152">
        <f t="shared" si="12"/>
        <v>333.74440584313174</v>
      </c>
      <c r="J83" s="6">
        <f t="shared" si="1"/>
        <v>333.74440584313174</v>
      </c>
      <c r="K83" s="5">
        <f t="shared" si="13"/>
        <v>135594.26999999999</v>
      </c>
      <c r="L83" s="259">
        <v>0.22241071428571429</v>
      </c>
      <c r="M83" s="154">
        <f t="shared" si="14"/>
        <v>31068.113337617662</v>
      </c>
      <c r="N83" s="154">
        <f t="shared" si="15"/>
        <v>19472.586926883192</v>
      </c>
      <c r="O83" s="154">
        <f t="shared" si="16"/>
        <v>2072.9643836787213</v>
      </c>
      <c r="P83" s="154">
        <f t="shared" si="17"/>
        <v>2288.3762629010139</v>
      </c>
      <c r="Q83" s="154">
        <f t="shared" si="5"/>
        <v>54902.040911080592</v>
      </c>
      <c r="R83" s="173">
        <f t="shared" si="6"/>
        <v>0.40489941729160528</v>
      </c>
      <c r="S83" s="153">
        <f t="shared" si="7"/>
        <v>54903.435588932916</v>
      </c>
      <c r="T83" s="154"/>
      <c r="U83" s="154">
        <f>IFERROR(INDEX('2016 Clerical PYA'!$O$5:$O$241,MATCH('2017 Funding'!B83,'2016 Clerical PYA'!$A$5:$A$241,0)),0)</f>
        <v>-1733.9253111559592</v>
      </c>
      <c r="V83" s="154">
        <f>IFERROR(INDEX('Revised 2016 MFAM (2014 PYAs)'!$AD$26:$AD$262,MATCH('2017 Funding'!B83,'Revised 2016 MFAM (2014 PYAs)'!$B$26:$B$262,0)),0)</f>
        <v>-5572.0318819006425</v>
      </c>
      <c r="W83" s="154">
        <f t="shared" si="8"/>
        <v>-3.1183221320707508</v>
      </c>
      <c r="X83" s="154">
        <f t="shared" si="18"/>
        <v>-7309.0755151886724</v>
      </c>
      <c r="Y83" s="154"/>
      <c r="Z83" s="155">
        <f t="shared" si="9"/>
        <v>47594.360073744247</v>
      </c>
      <c r="AA83" s="156">
        <v>0</v>
      </c>
      <c r="AB83" s="157">
        <f t="shared" si="19"/>
        <v>0</v>
      </c>
      <c r="AC83" s="154">
        <f t="shared" si="20"/>
        <v>47594.360073744247</v>
      </c>
      <c r="AD83" s="160"/>
      <c r="AE83" s="154">
        <f t="shared" si="21"/>
        <v>11898.590018436062</v>
      </c>
      <c r="AF83" s="154">
        <f t="shared" si="21"/>
        <v>11898.590018436062</v>
      </c>
      <c r="AG83" s="154">
        <f t="shared" si="21"/>
        <v>11898.590018436062</v>
      </c>
      <c r="AH83" s="154">
        <f t="shared" si="21"/>
        <v>11898.590018436062</v>
      </c>
    </row>
    <row r="84" spans="2:34" x14ac:dyDescent="0.25">
      <c r="B84" s="10">
        <v>430</v>
      </c>
      <c r="C84" s="10">
        <v>6</v>
      </c>
      <c r="D84" s="9" t="s">
        <v>183</v>
      </c>
      <c r="E84" s="8">
        <v>2942.9027391725313</v>
      </c>
      <c r="F84" s="5">
        <v>1765459.74</v>
      </c>
      <c r="G84" s="5">
        <v>605</v>
      </c>
      <c r="H84" s="5">
        <f t="shared" si="11"/>
        <v>1764854.74</v>
      </c>
      <c r="I84" s="152">
        <f t="shared" si="12"/>
        <v>599.69862969247561</v>
      </c>
      <c r="J84" s="6">
        <f t="shared" si="1"/>
        <v>599.69862969247561</v>
      </c>
      <c r="K84" s="5">
        <f t="shared" si="13"/>
        <v>1764854.74</v>
      </c>
      <c r="L84" s="259">
        <v>0.3032529761904762</v>
      </c>
      <c r="M84" s="154">
        <f t="shared" si="14"/>
        <v>404373.33440971922</v>
      </c>
      <c r="N84" s="154">
        <f t="shared" si="15"/>
        <v>141049.71663522709</v>
      </c>
      <c r="O84" s="154">
        <f t="shared" si="16"/>
        <v>36788.225145544217</v>
      </c>
      <c r="P84" s="154">
        <f t="shared" si="17"/>
        <v>29784.825675040262</v>
      </c>
      <c r="Q84" s="154">
        <f t="shared" si="5"/>
        <v>611996.10186553071</v>
      </c>
      <c r="R84" s="173">
        <f t="shared" si="6"/>
        <v>0.34676854020605158</v>
      </c>
      <c r="S84" s="153">
        <f t="shared" si="7"/>
        <v>612011.64841707633</v>
      </c>
      <c r="T84" s="154"/>
      <c r="U84" s="154">
        <f>IFERROR(INDEX('2016 Clerical PYA'!$O$5:$O$241,MATCH('2017 Funding'!B84,'2016 Clerical PYA'!$A$5:$A$241,0)),0)</f>
        <v>-19535.94142608135</v>
      </c>
      <c r="V84" s="154">
        <f>IFERROR(INDEX('Revised 2016 MFAM (2014 PYAs)'!$AD$26:$AD$262,MATCH('2017 Funding'!B84,'Revised 2016 MFAM (2014 PYAs)'!$B$26:$B$262,0)),0)</f>
        <v>3450.1000953712501</v>
      </c>
      <c r="W84" s="154">
        <f t="shared" si="8"/>
        <v>-34.760110143795181</v>
      </c>
      <c r="X84" s="154">
        <f t="shared" si="18"/>
        <v>-16120.601440853896</v>
      </c>
      <c r="Y84" s="154"/>
      <c r="Z84" s="155">
        <f t="shared" si="9"/>
        <v>595891.04697622242</v>
      </c>
      <c r="AA84" s="156">
        <v>0</v>
      </c>
      <c r="AB84" s="157">
        <f t="shared" si="19"/>
        <v>0</v>
      </c>
      <c r="AC84" s="154">
        <f t="shared" si="20"/>
        <v>595891.04697622242</v>
      </c>
      <c r="AD84" s="160"/>
      <c r="AE84" s="154">
        <f t="shared" si="21"/>
        <v>148972.76174405561</v>
      </c>
      <c r="AF84" s="154">
        <f t="shared" si="21"/>
        <v>148972.76174405561</v>
      </c>
      <c r="AG84" s="154">
        <f t="shared" si="21"/>
        <v>148972.76174405561</v>
      </c>
      <c r="AH84" s="154">
        <f t="shared" si="21"/>
        <v>148972.76174405561</v>
      </c>
    </row>
    <row r="85" spans="2:34" x14ac:dyDescent="0.25">
      <c r="B85" s="10">
        <v>562</v>
      </c>
      <c r="C85" s="10">
        <v>6</v>
      </c>
      <c r="D85" s="9" t="s">
        <v>184</v>
      </c>
      <c r="E85" s="8">
        <v>34.514769484108541</v>
      </c>
      <c r="F85" s="5">
        <v>37076.800000000003</v>
      </c>
      <c r="G85" s="5">
        <v>0</v>
      </c>
      <c r="H85" s="5">
        <f t="shared" si="11"/>
        <v>37076.800000000003</v>
      </c>
      <c r="I85" s="152">
        <f t="shared" si="12"/>
        <v>1074.2299761576296</v>
      </c>
      <c r="J85" s="6">
        <f t="shared" si="1"/>
        <v>940.2492921721589</v>
      </c>
      <c r="K85" s="5">
        <f t="shared" si="13"/>
        <v>32452.487576918287</v>
      </c>
      <c r="L85" s="259">
        <v>0.45884375000000005</v>
      </c>
      <c r="M85" s="154">
        <f t="shared" si="14"/>
        <v>7435.6944591193032</v>
      </c>
      <c r="N85" s="154">
        <f t="shared" si="15"/>
        <v>1654.2505434048198</v>
      </c>
      <c r="O85" s="154">
        <f t="shared" si="16"/>
        <v>1023.5465788429569</v>
      </c>
      <c r="P85" s="154">
        <f t="shared" si="17"/>
        <v>547.68908924477319</v>
      </c>
      <c r="Q85" s="154">
        <f t="shared" si="5"/>
        <v>10661.180670611855</v>
      </c>
      <c r="R85" s="173">
        <f t="shared" si="6"/>
        <v>0.32851659353825868</v>
      </c>
      <c r="S85" s="153">
        <f t="shared" si="7"/>
        <v>10661.451496838243</v>
      </c>
      <c r="T85" s="154"/>
      <c r="U85" s="154">
        <f>IFERROR(INDEX('2016 Clerical PYA'!$O$5:$O$241,MATCH('2017 Funding'!B85,'2016 Clerical PYA'!$A$5:$A$241,0)),0)</f>
        <v>1584.2225833040593</v>
      </c>
      <c r="V85" s="154">
        <f>IFERROR(INDEX('Revised 2016 MFAM (2014 PYAs)'!$AD$26:$AD$262,MATCH('2017 Funding'!B85,'Revised 2016 MFAM (2014 PYAs)'!$B$26:$B$262,0)),0)</f>
        <v>226.31654267707745</v>
      </c>
      <c r="W85" s="154">
        <f t="shared" si="8"/>
        <v>-0.6055329653959034</v>
      </c>
      <c r="X85" s="154">
        <f t="shared" si="18"/>
        <v>1809.9335930157408</v>
      </c>
      <c r="Y85" s="154"/>
      <c r="Z85" s="155">
        <f t="shared" si="9"/>
        <v>12471.385089853984</v>
      </c>
      <c r="AA85" s="156">
        <v>0</v>
      </c>
      <c r="AB85" s="157">
        <f t="shared" si="19"/>
        <v>0</v>
      </c>
      <c r="AC85" s="154">
        <f t="shared" si="20"/>
        <v>12471.385089853984</v>
      </c>
      <c r="AD85" s="160"/>
      <c r="AE85" s="154">
        <f t="shared" si="21"/>
        <v>3117.846272463496</v>
      </c>
      <c r="AF85" s="154">
        <f t="shared" si="21"/>
        <v>3117.846272463496</v>
      </c>
      <c r="AG85" s="154">
        <f t="shared" si="21"/>
        <v>3117.846272463496</v>
      </c>
      <c r="AH85" s="154">
        <f t="shared" si="21"/>
        <v>3117.846272463496</v>
      </c>
    </row>
    <row r="86" spans="2:34" x14ac:dyDescent="0.25">
      <c r="B86" s="10">
        <v>603</v>
      </c>
      <c r="C86" s="10">
        <v>6</v>
      </c>
      <c r="D86" s="9" t="s">
        <v>185</v>
      </c>
      <c r="E86" s="8">
        <v>98.978075394457292</v>
      </c>
      <c r="F86" s="5">
        <v>84084.39</v>
      </c>
      <c r="G86" s="5">
        <v>0</v>
      </c>
      <c r="H86" s="5">
        <f t="shared" si="11"/>
        <v>84084.39</v>
      </c>
      <c r="I86" s="152">
        <f t="shared" si="12"/>
        <v>849.52540918681746</v>
      </c>
      <c r="J86" s="6">
        <f t="shared" si="1"/>
        <v>849.52540918681746</v>
      </c>
      <c r="K86" s="5">
        <f t="shared" si="13"/>
        <v>84084.39</v>
      </c>
      <c r="L86" s="259">
        <v>0.2459166666666667</v>
      </c>
      <c r="M86" s="154">
        <f t="shared" si="14"/>
        <v>19265.883126510034</v>
      </c>
      <c r="N86" s="154">
        <f t="shared" si="15"/>
        <v>4743.8976836229967</v>
      </c>
      <c r="O86" s="154">
        <f t="shared" si="16"/>
        <v>1421.3405276582778</v>
      </c>
      <c r="P86" s="154">
        <f t="shared" si="17"/>
        <v>1419.0623405879276</v>
      </c>
      <c r="Q86" s="154">
        <f t="shared" si="5"/>
        <v>26850.183678379235</v>
      </c>
      <c r="R86" s="173">
        <f t="shared" si="6"/>
        <v>0.31932423697643803</v>
      </c>
      <c r="S86" s="153">
        <f t="shared" si="7"/>
        <v>26850.865754234444</v>
      </c>
      <c r="T86" s="154"/>
      <c r="U86" s="154">
        <f>IFERROR(INDEX('2016 Clerical PYA'!$O$5:$O$241,MATCH('2017 Funding'!B86,'2016 Clerical PYA'!$A$5:$A$241,0)),0)</f>
        <v>4389.5558591164918</v>
      </c>
      <c r="V86" s="154">
        <f>IFERROR(INDEX('Revised 2016 MFAM (2014 PYAs)'!$AD$26:$AD$262,MATCH('2017 Funding'!B86,'Revised 2016 MFAM (2014 PYAs)'!$B$26:$B$262,0)),0)</f>
        <v>623.03368058387423</v>
      </c>
      <c r="W86" s="154">
        <f t="shared" si="8"/>
        <v>-1.5250347824056305</v>
      </c>
      <c r="X86" s="154">
        <f t="shared" si="18"/>
        <v>5011.0645049179602</v>
      </c>
      <c r="Y86" s="154"/>
      <c r="Z86" s="155">
        <f t="shared" si="9"/>
        <v>31861.930259152403</v>
      </c>
      <c r="AA86" s="156">
        <v>0</v>
      </c>
      <c r="AB86" s="157">
        <f t="shared" si="19"/>
        <v>0</v>
      </c>
      <c r="AC86" s="154">
        <f t="shared" si="20"/>
        <v>31861.930259152403</v>
      </c>
      <c r="AD86" s="160"/>
      <c r="AE86" s="154">
        <f t="shared" si="21"/>
        <v>7965.4825647881007</v>
      </c>
      <c r="AF86" s="154">
        <f t="shared" si="21"/>
        <v>7965.4825647881007</v>
      </c>
      <c r="AG86" s="154">
        <f t="shared" si="21"/>
        <v>7965.4825647881007</v>
      </c>
      <c r="AH86" s="154">
        <f t="shared" si="21"/>
        <v>7965.4825647881007</v>
      </c>
    </row>
    <row r="87" spans="2:34" x14ac:dyDescent="0.25">
      <c r="B87" s="10">
        <v>618</v>
      </c>
      <c r="C87" s="10">
        <v>6</v>
      </c>
      <c r="D87" s="9" t="s">
        <v>186</v>
      </c>
      <c r="E87" s="8">
        <v>18.968680058854481</v>
      </c>
      <c r="F87" s="5">
        <v>14927.7</v>
      </c>
      <c r="G87" s="5">
        <v>0</v>
      </c>
      <c r="H87" s="5">
        <f t="shared" si="11"/>
        <v>14927.7</v>
      </c>
      <c r="I87" s="152">
        <f t="shared" si="12"/>
        <v>786.96566939204752</v>
      </c>
      <c r="J87" s="6">
        <f t="shared" si="1"/>
        <v>786.96566939204752</v>
      </c>
      <c r="K87" s="5">
        <f t="shared" si="13"/>
        <v>14927.7</v>
      </c>
      <c r="L87" s="259">
        <v>0.20107291666666666</v>
      </c>
      <c r="M87" s="154">
        <f t="shared" si="14"/>
        <v>3420.3176540568811</v>
      </c>
      <c r="N87" s="154">
        <f t="shared" si="15"/>
        <v>909.14555606346573</v>
      </c>
      <c r="O87" s="154">
        <f t="shared" si="16"/>
        <v>206.3199739883124</v>
      </c>
      <c r="P87" s="154">
        <f t="shared" si="17"/>
        <v>251.92948300623232</v>
      </c>
      <c r="Q87" s="154">
        <f t="shared" si="5"/>
        <v>4787.7126671148917</v>
      </c>
      <c r="R87" s="173">
        <f t="shared" si="6"/>
        <v>0.32072674739677859</v>
      </c>
      <c r="S87" s="153">
        <f t="shared" si="7"/>
        <v>4787.8342894937559</v>
      </c>
      <c r="T87" s="154"/>
      <c r="U87" s="154">
        <f>IFERROR(INDEX('2016 Clerical PYA'!$O$5:$O$241,MATCH('2017 Funding'!B87,'2016 Clerical PYA'!$A$5:$A$241,0)),0)</f>
        <v>551.37745497005108</v>
      </c>
      <c r="V87" s="154">
        <f>IFERROR(INDEX('Revised 2016 MFAM (2014 PYAs)'!$AD$26:$AD$262,MATCH('2017 Funding'!B87,'Revised 2016 MFAM (2014 PYAs)'!$B$26:$B$262,0)),0)</f>
        <v>78.488273789283994</v>
      </c>
      <c r="W87" s="154">
        <f t="shared" si="8"/>
        <v>-0.27193215632985113</v>
      </c>
      <c r="X87" s="154">
        <f t="shared" si="18"/>
        <v>629.59379660300522</v>
      </c>
      <c r="Y87" s="154"/>
      <c r="Z87" s="155">
        <f t="shared" si="9"/>
        <v>5417.428086096761</v>
      </c>
      <c r="AA87" s="156">
        <v>0</v>
      </c>
      <c r="AB87" s="157">
        <f t="shared" si="19"/>
        <v>0</v>
      </c>
      <c r="AC87" s="154">
        <f t="shared" si="20"/>
        <v>5417.428086096761</v>
      </c>
      <c r="AD87" s="160"/>
      <c r="AE87" s="154">
        <f t="shared" si="21"/>
        <v>1354.3570215241903</v>
      </c>
      <c r="AF87" s="154">
        <f t="shared" si="21"/>
        <v>1354.3570215241903</v>
      </c>
      <c r="AG87" s="154">
        <f t="shared" si="21"/>
        <v>1354.3570215241903</v>
      </c>
      <c r="AH87" s="154">
        <f t="shared" si="21"/>
        <v>1354.3570215241903</v>
      </c>
    </row>
    <row r="88" spans="2:34" x14ac:dyDescent="0.25">
      <c r="B88" s="10">
        <v>620</v>
      </c>
      <c r="C88" s="10">
        <v>6</v>
      </c>
      <c r="D88" s="9" t="s">
        <v>187</v>
      </c>
      <c r="E88" s="8">
        <v>188.39679137922803</v>
      </c>
      <c r="F88" s="5">
        <v>111658.05</v>
      </c>
      <c r="G88" s="5">
        <v>0</v>
      </c>
      <c r="H88" s="5">
        <f t="shared" si="11"/>
        <v>111658.05</v>
      </c>
      <c r="I88" s="152">
        <f t="shared" si="12"/>
        <v>592.67490270171891</v>
      </c>
      <c r="J88" s="6">
        <f t="shared" si="1"/>
        <v>592.67490270171891</v>
      </c>
      <c r="K88" s="5">
        <f t="shared" si="13"/>
        <v>111658.05000000002</v>
      </c>
      <c r="L88" s="259">
        <v>0.42678571428571427</v>
      </c>
      <c r="M88" s="154">
        <f t="shared" si="14"/>
        <v>25583.713474451251</v>
      </c>
      <c r="N88" s="154">
        <f t="shared" si="15"/>
        <v>9029.6270023853522</v>
      </c>
      <c r="O88" s="154">
        <f t="shared" si="16"/>
        <v>3275.6290287824186</v>
      </c>
      <c r="P88" s="154">
        <f t="shared" si="17"/>
        <v>1884.4131922522586</v>
      </c>
      <c r="Q88" s="154">
        <f t="shared" si="5"/>
        <v>39773.382697871275</v>
      </c>
      <c r="R88" s="173">
        <f t="shared" si="6"/>
        <v>0.35620703297139139</v>
      </c>
      <c r="S88" s="153">
        <f t="shared" si="7"/>
        <v>39774.393062058843</v>
      </c>
      <c r="T88" s="154"/>
      <c r="U88" s="154">
        <f>IFERROR(INDEX('2016 Clerical PYA'!$O$5:$O$241,MATCH('2017 Funding'!B88,'2016 Clerical PYA'!$A$5:$A$241,0)),0)</f>
        <v>-1127.0042145357947</v>
      </c>
      <c r="V88" s="154">
        <f>IFERROR(INDEX('Revised 2016 MFAM (2014 PYAs)'!$AD$26:$AD$262,MATCH('2017 Funding'!B88,'Revised 2016 MFAM (2014 PYAs)'!$B$26:$B$262,0)),0)</f>
        <v>233.5549188203222</v>
      </c>
      <c r="W88" s="154">
        <f t="shared" si="8"/>
        <v>-2.2590457016883012</v>
      </c>
      <c r="X88" s="154">
        <f t="shared" si="18"/>
        <v>-895.7083414171608</v>
      </c>
      <c r="Y88" s="154"/>
      <c r="Z88" s="155">
        <f t="shared" si="9"/>
        <v>38878.684720641686</v>
      </c>
      <c r="AA88" s="156">
        <v>0</v>
      </c>
      <c r="AB88" s="157">
        <f t="shared" si="19"/>
        <v>0</v>
      </c>
      <c r="AC88" s="154">
        <f t="shared" si="20"/>
        <v>38878.684720641686</v>
      </c>
      <c r="AD88" s="160"/>
      <c r="AE88" s="154">
        <f t="shared" si="21"/>
        <v>9719.6711801604215</v>
      </c>
      <c r="AF88" s="154">
        <f t="shared" si="21"/>
        <v>9719.6711801604215</v>
      </c>
      <c r="AG88" s="154">
        <f t="shared" si="21"/>
        <v>9719.6711801604215</v>
      </c>
      <c r="AH88" s="154">
        <f t="shared" si="21"/>
        <v>9719.6711801604215</v>
      </c>
    </row>
    <row r="89" spans="2:34" x14ac:dyDescent="0.25">
      <c r="B89" s="10">
        <v>622</v>
      </c>
      <c r="C89" s="10">
        <v>6</v>
      </c>
      <c r="D89" s="9" t="s">
        <v>188</v>
      </c>
      <c r="E89" s="8">
        <v>120.37411806566728</v>
      </c>
      <c r="F89" s="5">
        <v>78856.77</v>
      </c>
      <c r="G89" s="5">
        <v>190</v>
      </c>
      <c r="H89" s="5">
        <f t="shared" si="11"/>
        <v>78666.77</v>
      </c>
      <c r="I89" s="152">
        <f t="shared" si="12"/>
        <v>653.51897288323391</v>
      </c>
      <c r="J89" s="6">
        <f t="shared" si="1"/>
        <v>653.51897288323391</v>
      </c>
      <c r="K89" s="5">
        <f t="shared" si="13"/>
        <v>78666.77</v>
      </c>
      <c r="L89" s="259">
        <v>0.27853571428571428</v>
      </c>
      <c r="M89" s="154">
        <f t="shared" si="14"/>
        <v>18024.567898512982</v>
      </c>
      <c r="N89" s="154">
        <f t="shared" si="15"/>
        <v>5769.3837507357521</v>
      </c>
      <c r="O89" s="154">
        <f t="shared" si="16"/>
        <v>1506.1457682911007</v>
      </c>
      <c r="P89" s="154">
        <f t="shared" si="17"/>
        <v>1327.6310949356021</v>
      </c>
      <c r="Q89" s="154">
        <f t="shared" si="5"/>
        <v>26627.728512475438</v>
      </c>
      <c r="R89" s="173">
        <f t="shared" si="6"/>
        <v>0.33848762968754709</v>
      </c>
      <c r="S89" s="153">
        <f t="shared" si="7"/>
        <v>26628.404937296771</v>
      </c>
      <c r="T89" s="154"/>
      <c r="U89" s="154">
        <f>IFERROR(INDEX('2016 Clerical PYA'!$O$5:$O$241,MATCH('2017 Funding'!B89,'2016 Clerical PYA'!$A$5:$A$241,0)),0)</f>
        <v>-835.60749716929786</v>
      </c>
      <c r="V89" s="154">
        <f>IFERROR(INDEX('Revised 2016 MFAM (2014 PYAs)'!$AD$26:$AD$262,MATCH('2017 Funding'!B89,'Revised 2016 MFAM (2014 PYAs)'!$B$26:$B$262,0)),0)</f>
        <v>145.13163100379097</v>
      </c>
      <c r="W89" s="154">
        <f t="shared" si="8"/>
        <v>-1.512399790049795</v>
      </c>
      <c r="X89" s="154">
        <f t="shared" si="18"/>
        <v>-691.9882659555567</v>
      </c>
      <c r="Y89" s="154"/>
      <c r="Z89" s="155">
        <f t="shared" si="9"/>
        <v>25936.416671341216</v>
      </c>
      <c r="AA89" s="156">
        <v>0</v>
      </c>
      <c r="AB89" s="157">
        <f t="shared" si="19"/>
        <v>0</v>
      </c>
      <c r="AC89" s="154">
        <f t="shared" si="20"/>
        <v>25936.416671341216</v>
      </c>
      <c r="AD89" s="160"/>
      <c r="AE89" s="154">
        <f t="shared" si="21"/>
        <v>6484.104167835304</v>
      </c>
      <c r="AF89" s="154">
        <f t="shared" si="21"/>
        <v>6484.104167835304</v>
      </c>
      <c r="AG89" s="154">
        <f t="shared" si="21"/>
        <v>6484.104167835304</v>
      </c>
      <c r="AH89" s="154">
        <f t="shared" si="21"/>
        <v>6484.104167835304</v>
      </c>
    </row>
    <row r="90" spans="2:34" x14ac:dyDescent="0.25">
      <c r="B90" s="10">
        <v>623</v>
      </c>
      <c r="C90" s="10">
        <v>6</v>
      </c>
      <c r="D90" s="9" t="s">
        <v>189</v>
      </c>
      <c r="E90" s="8">
        <v>231.40564191780203</v>
      </c>
      <c r="F90" s="5">
        <v>82051.350000000006</v>
      </c>
      <c r="G90" s="5">
        <v>0</v>
      </c>
      <c r="H90" s="5">
        <f t="shared" si="11"/>
        <v>82051.350000000006</v>
      </c>
      <c r="I90" s="152">
        <f t="shared" si="12"/>
        <v>354.57800129672552</v>
      </c>
      <c r="J90" s="6">
        <f t="shared" ref="J90:J153" si="22">MIN(I90,INDEX($N$3:$N$11,MATCH(C90,$K$3:$K$11,0)))</f>
        <v>354.57800129672552</v>
      </c>
      <c r="K90" s="5">
        <f t="shared" si="13"/>
        <v>82051.350000000006</v>
      </c>
      <c r="L90" s="259">
        <v>0.34345089285714281</v>
      </c>
      <c r="M90" s="154">
        <f t="shared" si="14"/>
        <v>18800.061693643365</v>
      </c>
      <c r="N90" s="154">
        <f t="shared" si="15"/>
        <v>11090.988426439213</v>
      </c>
      <c r="O90" s="154">
        <f t="shared" si="16"/>
        <v>1937.0693923353545</v>
      </c>
      <c r="P90" s="154">
        <f t="shared" si="17"/>
        <v>1384.7514476753565</v>
      </c>
      <c r="Q90" s="154">
        <f t="shared" ref="Q90:Q153" si="23">M90+N90+O90+P90</f>
        <v>33212.870960093285</v>
      </c>
      <c r="R90" s="173">
        <f t="shared" ref="R90:R153" si="24">IFERROR((Q90/K90),0)</f>
        <v>0.40478152961643266</v>
      </c>
      <c r="S90" s="153">
        <f t="shared" ref="S90:S153" si="25">IF(R90&gt;$R$19,$R$19*K90,Q90+($R$23*Q90/$R$22))</f>
        <v>33213.71466744499</v>
      </c>
      <c r="T90" s="154"/>
      <c r="U90" s="154">
        <f>IFERROR(INDEX('2016 Clerical PYA'!$O$5:$O$241,MATCH('2017 Funding'!B90,'2016 Clerical PYA'!$A$5:$A$241,0)),0)</f>
        <v>-993.27357389295503</v>
      </c>
      <c r="V90" s="154">
        <f>IFERROR(INDEX('Revised 2016 MFAM (2014 PYAs)'!$AD$26:$AD$262,MATCH('2017 Funding'!B90,'Revised 2016 MFAM (2014 PYAs)'!$B$26:$B$262,0)),0)</f>
        <v>189.65346969239181</v>
      </c>
      <c r="W90" s="154">
        <f t="shared" ref="W90:W153" si="26">-$V$22*(S90/$E$17)</f>
        <v>-1.8864222325033122</v>
      </c>
      <c r="X90" s="154">
        <f t="shared" si="18"/>
        <v>-805.50652643306648</v>
      </c>
      <c r="Y90" s="154"/>
      <c r="Z90" s="155">
        <f t="shared" ref="Z90:Z153" si="27">S90+X90</f>
        <v>32408.208141011924</v>
      </c>
      <c r="AA90" s="156">
        <v>0</v>
      </c>
      <c r="AB90" s="157">
        <f t="shared" si="19"/>
        <v>0</v>
      </c>
      <c r="AC90" s="154">
        <f t="shared" si="20"/>
        <v>32408.208141011924</v>
      </c>
      <c r="AD90" s="160"/>
      <c r="AE90" s="154">
        <f t="shared" si="21"/>
        <v>8102.0520352529811</v>
      </c>
      <c r="AF90" s="154">
        <f t="shared" si="21"/>
        <v>8102.0520352529811</v>
      </c>
      <c r="AG90" s="154">
        <f t="shared" si="21"/>
        <v>8102.0520352529811</v>
      </c>
      <c r="AH90" s="154">
        <f t="shared" si="21"/>
        <v>8102.0520352529811</v>
      </c>
    </row>
    <row r="91" spans="2:34" x14ac:dyDescent="0.25">
      <c r="B91" s="10">
        <v>626</v>
      </c>
      <c r="C91" s="10">
        <v>6</v>
      </c>
      <c r="D91" s="9" t="s">
        <v>190</v>
      </c>
      <c r="E91" s="8">
        <v>21.954122034110711</v>
      </c>
      <c r="F91" s="5">
        <v>16983.400000000001</v>
      </c>
      <c r="G91" s="5">
        <v>0</v>
      </c>
      <c r="H91" s="5">
        <f t="shared" ref="H91:H154" si="28">F91-G91</f>
        <v>16983.400000000001</v>
      </c>
      <c r="I91" s="152">
        <f t="shared" ref="I91:I154" si="29">IFERROR(H91/E91,"n.a.")</f>
        <v>773.58593404976227</v>
      </c>
      <c r="J91" s="6">
        <f t="shared" si="22"/>
        <v>773.58593404976227</v>
      </c>
      <c r="K91" s="5">
        <f t="shared" ref="K91:K154" si="30">E91*J91</f>
        <v>16983.400000000001</v>
      </c>
      <c r="L91" s="259">
        <v>0.13926785714285714</v>
      </c>
      <c r="M91" s="154">
        <f t="shared" ref="M91:M154" si="31">$E$14*(K91/$K$24)</f>
        <v>3891.3310721617959</v>
      </c>
      <c r="N91" s="154">
        <f t="shared" ref="N91:N154" si="32">$E$15*(E91/$E$24)</f>
        <v>1052.234126078255</v>
      </c>
      <c r="O91" s="154">
        <f t="shared" ref="O91:O154" si="33">IFERROR(L91*$E$16*(K91/$K$24),0)</f>
        <v>162.58120195601703</v>
      </c>
      <c r="P91" s="154">
        <f t="shared" ref="P91:P154" si="34">($O$23+$E$9)*(K91/$K$24)</f>
        <v>286.62280067847331</v>
      </c>
      <c r="Q91" s="154">
        <f t="shared" si="23"/>
        <v>5392.7692008745407</v>
      </c>
      <c r="R91" s="173">
        <f t="shared" si="24"/>
        <v>0.31753177814068678</v>
      </c>
      <c r="S91" s="153">
        <f t="shared" si="25"/>
        <v>5392.9061935189375</v>
      </c>
      <c r="T91" s="154"/>
      <c r="U91" s="154">
        <f>IFERROR(INDEX('2016 Clerical PYA'!$O$5:$O$241,MATCH('2017 Funding'!B91,'2016 Clerical PYA'!$A$5:$A$241,0)),0)</f>
        <v>77.202156853789347</v>
      </c>
      <c r="V91" s="154">
        <f>IFERROR(INDEX('Revised 2016 MFAM (2014 PYAs)'!$AD$26:$AD$262,MATCH('2017 Funding'!B91,'Revised 2016 MFAM (2014 PYAs)'!$B$26:$B$262,0)),0)</f>
        <v>32.059370765504354</v>
      </c>
      <c r="W91" s="154">
        <f t="shared" si="26"/>
        <v>-0.30629811338839708</v>
      </c>
      <c r="X91" s="154">
        <f t="shared" ref="X91:X154" si="35">SUM(U91:W91)</f>
        <v>108.95522950590531</v>
      </c>
      <c r="Y91" s="154"/>
      <c r="Z91" s="155">
        <f t="shared" si="27"/>
        <v>5501.8614230248431</v>
      </c>
      <c r="AA91" s="156">
        <v>0</v>
      </c>
      <c r="AB91" s="157">
        <f t="shared" ref="AB91:AB154" si="36">-$AA$24*AA91*Z91</f>
        <v>0</v>
      </c>
      <c r="AC91" s="154">
        <f t="shared" ref="AC91:AC154" si="37">Z91+AB91</f>
        <v>5501.8614230248431</v>
      </c>
      <c r="AD91" s="160"/>
      <c r="AE91" s="154">
        <f t="shared" si="21"/>
        <v>1375.4653557562108</v>
      </c>
      <c r="AF91" s="154">
        <f t="shared" si="21"/>
        <v>1375.4653557562108</v>
      </c>
      <c r="AG91" s="154">
        <f t="shared" si="21"/>
        <v>1375.4653557562108</v>
      </c>
      <c r="AH91" s="154">
        <f t="shared" si="21"/>
        <v>1375.4653557562108</v>
      </c>
    </row>
    <row r="92" spans="2:34" x14ac:dyDescent="0.25">
      <c r="B92" s="10">
        <v>627</v>
      </c>
      <c r="C92" s="10">
        <v>6</v>
      </c>
      <c r="D92" s="9" t="s">
        <v>191</v>
      </c>
      <c r="E92" s="8">
        <v>172.5545384968849</v>
      </c>
      <c r="F92" s="5">
        <v>80340.460000000006</v>
      </c>
      <c r="G92" s="5">
        <v>53.1</v>
      </c>
      <c r="H92" s="5">
        <f t="shared" si="28"/>
        <v>80287.360000000001</v>
      </c>
      <c r="I92" s="152">
        <f t="shared" si="29"/>
        <v>465.28686350054721</v>
      </c>
      <c r="J92" s="6">
        <f t="shared" si="22"/>
        <v>465.28686350054721</v>
      </c>
      <c r="K92" s="5">
        <f t="shared" si="30"/>
        <v>80287.360000000001</v>
      </c>
      <c r="L92" s="259">
        <v>0.26398214285714283</v>
      </c>
      <c r="M92" s="154">
        <f t="shared" si="31"/>
        <v>18395.886493272254</v>
      </c>
      <c r="N92" s="154">
        <f t="shared" si="32"/>
        <v>8270.3272640099003</v>
      </c>
      <c r="O92" s="154">
        <f t="shared" si="33"/>
        <v>1456.855660875234</v>
      </c>
      <c r="P92" s="154">
        <f t="shared" si="34"/>
        <v>1354.9812159097016</v>
      </c>
      <c r="Q92" s="154">
        <f t="shared" si="23"/>
        <v>29478.050634067087</v>
      </c>
      <c r="R92" s="173">
        <f t="shared" si="24"/>
        <v>0.36715680567983661</v>
      </c>
      <c r="S92" s="153">
        <f t="shared" si="25"/>
        <v>29478.799465689131</v>
      </c>
      <c r="T92" s="154"/>
      <c r="U92" s="154">
        <f>IFERROR(INDEX('2016 Clerical PYA'!$O$5:$O$241,MATCH('2017 Funding'!B92,'2016 Clerical PYA'!$A$5:$A$241,0)),0)</f>
        <v>-959.78338592538057</v>
      </c>
      <c r="V92" s="154">
        <f>IFERROR(INDEX('Revised 2016 MFAM (2014 PYAs)'!$AD$26:$AD$262,MATCH('2017 Funding'!B92,'Revised 2016 MFAM (2014 PYAs)'!$B$26:$B$262,0)),0)</f>
        <v>174.41012688594856</v>
      </c>
      <c r="W92" s="154">
        <f t="shared" si="26"/>
        <v>-1.6742921788898648</v>
      </c>
      <c r="X92" s="154">
        <f t="shared" si="35"/>
        <v>-787.04755121832193</v>
      </c>
      <c r="Y92" s="154"/>
      <c r="Z92" s="155">
        <f t="shared" si="27"/>
        <v>28691.751914470809</v>
      </c>
      <c r="AA92" s="156">
        <v>0</v>
      </c>
      <c r="AB92" s="157">
        <f t="shared" si="36"/>
        <v>0</v>
      </c>
      <c r="AC92" s="154">
        <f t="shared" si="37"/>
        <v>28691.751914470809</v>
      </c>
      <c r="AD92" s="160"/>
      <c r="AE92" s="154">
        <f t="shared" si="21"/>
        <v>7172.9379786177024</v>
      </c>
      <c r="AF92" s="154">
        <f t="shared" si="21"/>
        <v>7172.9379786177024</v>
      </c>
      <c r="AG92" s="154">
        <f t="shared" si="21"/>
        <v>7172.9379786177024</v>
      </c>
      <c r="AH92" s="154">
        <f t="shared" si="21"/>
        <v>7172.9379786177024</v>
      </c>
    </row>
    <row r="93" spans="2:34" x14ac:dyDescent="0.25">
      <c r="B93" s="10">
        <v>634</v>
      </c>
      <c r="C93" s="10">
        <v>6</v>
      </c>
      <c r="D93" s="9" t="s">
        <v>192</v>
      </c>
      <c r="E93" s="8">
        <v>699.91540785691973</v>
      </c>
      <c r="F93" s="5">
        <v>574296.04</v>
      </c>
      <c r="G93" s="5">
        <v>0</v>
      </c>
      <c r="H93" s="5">
        <f t="shared" si="28"/>
        <v>574296.04</v>
      </c>
      <c r="I93" s="152">
        <f t="shared" si="29"/>
        <v>820.5220710291901</v>
      </c>
      <c r="J93" s="6">
        <f t="shared" si="22"/>
        <v>820.5220710291901</v>
      </c>
      <c r="K93" s="5">
        <f t="shared" si="30"/>
        <v>574296.04</v>
      </c>
      <c r="L93" s="259">
        <v>0.60283928571428569</v>
      </c>
      <c r="M93" s="154">
        <f t="shared" si="31"/>
        <v>131585.90300360782</v>
      </c>
      <c r="N93" s="154">
        <f t="shared" si="32"/>
        <v>33546.086533123504</v>
      </c>
      <c r="O93" s="154">
        <f t="shared" si="33"/>
        <v>23797.545533029264</v>
      </c>
      <c r="P93" s="154">
        <f t="shared" si="34"/>
        <v>9692.1899857129029</v>
      </c>
      <c r="Q93" s="154">
        <f t="shared" si="23"/>
        <v>198621.72505547351</v>
      </c>
      <c r="R93" s="173">
        <f t="shared" si="24"/>
        <v>0.34585250675848905</v>
      </c>
      <c r="S93" s="153">
        <f t="shared" si="25"/>
        <v>198626.77064788371</v>
      </c>
      <c r="T93" s="154"/>
      <c r="U93" s="154">
        <f>IFERROR(INDEX('2016 Clerical PYA'!$O$5:$O$241,MATCH('2017 Funding'!B93,'2016 Clerical PYA'!$A$5:$A$241,0)),0)</f>
        <v>12749.314972230823</v>
      </c>
      <c r="V93" s="154">
        <f>IFERROR(INDEX('Revised 2016 MFAM (2014 PYAs)'!$AD$26:$AD$262,MATCH('2017 Funding'!B93,'Revised 2016 MFAM (2014 PYAs)'!$B$26:$B$262,0)),0)</f>
        <v>1683.9736572881811</v>
      </c>
      <c r="W93" s="154">
        <f t="shared" si="26"/>
        <v>-11.281302313582138</v>
      </c>
      <c r="X93" s="154">
        <f t="shared" si="35"/>
        <v>14422.007327205421</v>
      </c>
      <c r="Y93" s="154"/>
      <c r="Z93" s="155">
        <f t="shared" si="27"/>
        <v>213048.77797508912</v>
      </c>
      <c r="AA93" s="156">
        <v>0</v>
      </c>
      <c r="AB93" s="157">
        <f t="shared" si="36"/>
        <v>0</v>
      </c>
      <c r="AC93" s="154">
        <f t="shared" si="37"/>
        <v>213048.77797508912</v>
      </c>
      <c r="AD93" s="160"/>
      <c r="AE93" s="154">
        <f t="shared" si="21"/>
        <v>53262.19449377228</v>
      </c>
      <c r="AF93" s="154">
        <f t="shared" si="21"/>
        <v>53262.19449377228</v>
      </c>
      <c r="AG93" s="154">
        <f t="shared" si="21"/>
        <v>53262.19449377228</v>
      </c>
      <c r="AH93" s="154">
        <f t="shared" si="21"/>
        <v>53262.19449377228</v>
      </c>
    </row>
    <row r="94" spans="2:34" x14ac:dyDescent="0.25">
      <c r="B94" s="10">
        <v>694</v>
      </c>
      <c r="C94" s="10">
        <v>6</v>
      </c>
      <c r="D94" s="9" t="s">
        <v>38</v>
      </c>
      <c r="E94" s="8">
        <v>12.167265935305826</v>
      </c>
      <c r="F94" s="5">
        <v>26057.52</v>
      </c>
      <c r="G94" s="5">
        <v>0</v>
      </c>
      <c r="H94" s="5">
        <f t="shared" si="28"/>
        <v>26057.52</v>
      </c>
      <c r="I94" s="152">
        <f t="shared" si="29"/>
        <v>2141.608487769528</v>
      </c>
      <c r="J94" s="6">
        <f t="shared" si="22"/>
        <v>940.2492921721589</v>
      </c>
      <c r="K94" s="5">
        <f t="shared" si="30"/>
        <v>11440.263183341724</v>
      </c>
      <c r="L94" s="259">
        <v>0.70726488095238094</v>
      </c>
      <c r="M94" s="154">
        <f t="shared" si="31"/>
        <v>2621.2567329890517</v>
      </c>
      <c r="N94" s="154">
        <f t="shared" si="32"/>
        <v>583.16212410162302</v>
      </c>
      <c r="O94" s="154">
        <f t="shared" si="33"/>
        <v>556.1768493609386</v>
      </c>
      <c r="P94" s="154">
        <f t="shared" si="34"/>
        <v>193.07325235866972</v>
      </c>
      <c r="Q94" s="154">
        <f t="shared" si="23"/>
        <v>3953.6689588102831</v>
      </c>
      <c r="R94" s="173">
        <f t="shared" si="24"/>
        <v>0.34559248292183159</v>
      </c>
      <c r="S94" s="153">
        <f t="shared" si="25"/>
        <v>3953.7693939569695</v>
      </c>
      <c r="T94" s="154"/>
      <c r="U94" s="154">
        <f>IFERROR(INDEX('2016 Clerical PYA'!$O$5:$O$241,MATCH('2017 Funding'!B94,'2016 Clerical PYA'!$A$5:$A$241,0)),0)</f>
        <v>679.79009989321321</v>
      </c>
      <c r="V94" s="154">
        <f>IFERROR(INDEX('Revised 2016 MFAM (2014 PYAs)'!$AD$26:$AD$262,MATCH('2017 Funding'!B94,'Revised 2016 MFAM (2014 PYAs)'!$B$26:$B$262,0)),0)</f>
        <v>82.850484662946656</v>
      </c>
      <c r="W94" s="154">
        <f t="shared" si="26"/>
        <v>-0.22456020236309593</v>
      </c>
      <c r="X94" s="154">
        <f t="shared" si="35"/>
        <v>762.41602435379673</v>
      </c>
      <c r="Y94" s="154"/>
      <c r="Z94" s="155">
        <f t="shared" si="27"/>
        <v>4716.1854183107662</v>
      </c>
      <c r="AA94" s="156">
        <v>0</v>
      </c>
      <c r="AB94" s="157">
        <f t="shared" si="36"/>
        <v>0</v>
      </c>
      <c r="AC94" s="154">
        <f t="shared" si="37"/>
        <v>4716.1854183107662</v>
      </c>
      <c r="AD94" s="160"/>
      <c r="AE94" s="154">
        <f t="shared" si="21"/>
        <v>1179.0463545776915</v>
      </c>
      <c r="AF94" s="154">
        <f t="shared" si="21"/>
        <v>1179.0463545776915</v>
      </c>
      <c r="AG94" s="154">
        <f t="shared" si="21"/>
        <v>1179.0463545776915</v>
      </c>
      <c r="AH94" s="154">
        <f t="shared" si="21"/>
        <v>1179.0463545776915</v>
      </c>
    </row>
    <row r="95" spans="2:34" x14ac:dyDescent="0.25">
      <c r="B95" s="10">
        <v>697</v>
      </c>
      <c r="C95" s="10">
        <v>6</v>
      </c>
      <c r="D95" s="9" t="s">
        <v>193</v>
      </c>
      <c r="E95" s="8">
        <v>43.767143652179229</v>
      </c>
      <c r="F95" s="5">
        <v>28955.82</v>
      </c>
      <c r="G95" s="5">
        <v>0</v>
      </c>
      <c r="H95" s="5">
        <f t="shared" si="28"/>
        <v>28955.82</v>
      </c>
      <c r="I95" s="152">
        <f t="shared" si="29"/>
        <v>661.58806775498238</v>
      </c>
      <c r="J95" s="6">
        <f t="shared" si="22"/>
        <v>661.58806775498238</v>
      </c>
      <c r="K95" s="5">
        <f t="shared" si="30"/>
        <v>28955.82</v>
      </c>
      <c r="L95" s="259">
        <v>8.3142857142857143E-2</v>
      </c>
      <c r="M95" s="154">
        <f t="shared" si="31"/>
        <v>6634.5185349178573</v>
      </c>
      <c r="N95" s="154">
        <f t="shared" si="32"/>
        <v>2097.705482379939</v>
      </c>
      <c r="O95" s="154">
        <f t="shared" si="33"/>
        <v>165.483848028094</v>
      </c>
      <c r="P95" s="154">
        <f t="shared" si="34"/>
        <v>488.67707433975232</v>
      </c>
      <c r="Q95" s="154">
        <f t="shared" si="23"/>
        <v>9386.3849396656424</v>
      </c>
      <c r="R95" s="173">
        <f t="shared" si="24"/>
        <v>0.32416229067820018</v>
      </c>
      <c r="S95" s="153">
        <f t="shared" si="25"/>
        <v>9386.6233822257273</v>
      </c>
      <c r="T95" s="154"/>
      <c r="U95" s="154">
        <f>IFERROR(INDEX('2016 Clerical PYA'!$O$5:$O$241,MATCH('2017 Funding'!B95,'2016 Clerical PYA'!$A$5:$A$241,0)),0)</f>
        <v>2828.7359617311231</v>
      </c>
      <c r="V95" s="154">
        <f>IFERROR(INDEX('Revised 2016 MFAM (2014 PYAs)'!$AD$26:$AD$262,MATCH('2017 Funding'!B95,'Revised 2016 MFAM (2014 PYAs)'!$B$26:$B$262,0)),0)</f>
        <v>160.39277600714922</v>
      </c>
      <c r="W95" s="154">
        <f t="shared" si="26"/>
        <v>-0.53312721005946406</v>
      </c>
      <c r="X95" s="154">
        <f t="shared" si="35"/>
        <v>2988.595610528213</v>
      </c>
      <c r="Y95" s="154"/>
      <c r="Z95" s="155">
        <f t="shared" si="27"/>
        <v>12375.21899275394</v>
      </c>
      <c r="AA95" s="156">
        <v>0</v>
      </c>
      <c r="AB95" s="157">
        <f t="shared" si="36"/>
        <v>0</v>
      </c>
      <c r="AC95" s="154">
        <f t="shared" si="37"/>
        <v>12375.21899275394</v>
      </c>
      <c r="AD95" s="160"/>
      <c r="AE95" s="154">
        <f t="shared" si="21"/>
        <v>3093.8047481884851</v>
      </c>
      <c r="AF95" s="154">
        <f t="shared" si="21"/>
        <v>3093.8047481884851</v>
      </c>
      <c r="AG95" s="154">
        <f t="shared" si="21"/>
        <v>3093.8047481884851</v>
      </c>
      <c r="AH95" s="154">
        <f t="shared" si="21"/>
        <v>3093.8047481884851</v>
      </c>
    </row>
    <row r="96" spans="2:34" x14ac:dyDescent="0.25">
      <c r="B96" s="10">
        <v>710</v>
      </c>
      <c r="C96" s="10">
        <v>6</v>
      </c>
      <c r="D96" s="9" t="s">
        <v>194</v>
      </c>
      <c r="E96" s="8">
        <v>68.854470393608366</v>
      </c>
      <c r="F96" s="5">
        <v>74539.039999999994</v>
      </c>
      <c r="G96" s="5">
        <v>0</v>
      </c>
      <c r="H96" s="5">
        <f t="shared" si="28"/>
        <v>74539.039999999994</v>
      </c>
      <c r="I96" s="152">
        <f t="shared" si="29"/>
        <v>1082.5591943979184</v>
      </c>
      <c r="J96" s="6">
        <f t="shared" si="22"/>
        <v>940.2492921721589</v>
      </c>
      <c r="K96" s="5">
        <f t="shared" si="30"/>
        <v>64740.367050479137</v>
      </c>
      <c r="L96" s="259">
        <v>0</v>
      </c>
      <c r="M96" s="154">
        <f t="shared" si="31"/>
        <v>14833.672994022936</v>
      </c>
      <c r="N96" s="154">
        <f t="shared" si="32"/>
        <v>3300.1102648801198</v>
      </c>
      <c r="O96" s="154">
        <f t="shared" si="33"/>
        <v>0</v>
      </c>
      <c r="P96" s="154">
        <f t="shared" si="34"/>
        <v>1092.600146081508</v>
      </c>
      <c r="Q96" s="154">
        <f t="shared" si="23"/>
        <v>19226.383404984565</v>
      </c>
      <c r="R96" s="173">
        <f t="shared" si="24"/>
        <v>0.29697674389138751</v>
      </c>
      <c r="S96" s="153">
        <f t="shared" si="25"/>
        <v>19226.871813259928</v>
      </c>
      <c r="T96" s="154"/>
      <c r="U96" s="154">
        <f>IFERROR(INDEX('2016 Clerical PYA'!$O$5:$O$241,MATCH('2017 Funding'!B96,'2016 Clerical PYA'!$A$5:$A$241,0)),0)</f>
        <v>2937.1125253455994</v>
      </c>
      <c r="V96" s="154">
        <f>IFERROR(INDEX('Revised 2016 MFAM (2014 PYAs)'!$AD$26:$AD$262,MATCH('2017 Funding'!B96,'Revised 2016 MFAM (2014 PYAs)'!$B$26:$B$262,0)),0)</f>
        <v>412.88940347145763</v>
      </c>
      <c r="W96" s="154">
        <f t="shared" si="26"/>
        <v>-1.0920187282025242</v>
      </c>
      <c r="X96" s="154">
        <f t="shared" si="35"/>
        <v>3348.9099100888543</v>
      </c>
      <c r="Y96" s="154"/>
      <c r="Z96" s="155">
        <f t="shared" si="27"/>
        <v>22575.78172334878</v>
      </c>
      <c r="AA96" s="156">
        <v>0</v>
      </c>
      <c r="AB96" s="157">
        <f t="shared" si="36"/>
        <v>0</v>
      </c>
      <c r="AC96" s="154">
        <f t="shared" si="37"/>
        <v>22575.78172334878</v>
      </c>
      <c r="AD96" s="160"/>
      <c r="AE96" s="154">
        <f t="shared" si="21"/>
        <v>5643.9454308371951</v>
      </c>
      <c r="AF96" s="154">
        <f t="shared" si="21"/>
        <v>5643.9454308371951</v>
      </c>
      <c r="AG96" s="154">
        <f t="shared" si="21"/>
        <v>5643.9454308371951</v>
      </c>
      <c r="AH96" s="154">
        <f t="shared" si="21"/>
        <v>5643.9454308371951</v>
      </c>
    </row>
    <row r="97" spans="2:34" x14ac:dyDescent="0.25">
      <c r="B97" s="10">
        <v>715</v>
      </c>
      <c r="C97" s="10">
        <v>6</v>
      </c>
      <c r="D97" s="9" t="s">
        <v>195</v>
      </c>
      <c r="E97" s="8">
        <v>55.409203863658902</v>
      </c>
      <c r="F97" s="5">
        <v>120652.36</v>
      </c>
      <c r="G97" s="5">
        <v>0</v>
      </c>
      <c r="H97" s="5">
        <f t="shared" si="28"/>
        <v>120652.36</v>
      </c>
      <c r="I97" s="152">
        <f t="shared" si="29"/>
        <v>2177.4786783957379</v>
      </c>
      <c r="J97" s="6">
        <f t="shared" si="22"/>
        <v>940.2492921721589</v>
      </c>
      <c r="K97" s="5">
        <f t="shared" si="30"/>
        <v>52098.464712628134</v>
      </c>
      <c r="L97" s="259">
        <v>8.4187499999999998E-2</v>
      </c>
      <c r="M97" s="154">
        <f t="shared" si="31"/>
        <v>11937.090014259495</v>
      </c>
      <c r="N97" s="154">
        <f t="shared" si="32"/>
        <v>2655.6951406930025</v>
      </c>
      <c r="O97" s="154">
        <f t="shared" si="33"/>
        <v>301.48612967264137</v>
      </c>
      <c r="P97" s="154">
        <f t="shared" si="34"/>
        <v>879.24725714415774</v>
      </c>
      <c r="Q97" s="154">
        <f t="shared" si="23"/>
        <v>15773.518541769296</v>
      </c>
      <c r="R97" s="173">
        <f t="shared" si="24"/>
        <v>0.30276359637035438</v>
      </c>
      <c r="S97" s="153">
        <f t="shared" si="25"/>
        <v>15773.919236836335</v>
      </c>
      <c r="T97" s="154"/>
      <c r="U97" s="154">
        <f>IFERROR(INDEX('2016 Clerical PYA'!$O$5:$O$241,MATCH('2017 Funding'!B97,'2016 Clerical PYA'!$A$5:$A$241,0)),0)</f>
        <v>0</v>
      </c>
      <c r="V97" s="154">
        <f>IFERROR(INDEX('Revised 2016 MFAM (2014 PYAs)'!$AD$26:$AD$262,MATCH('2017 Funding'!B97,'Revised 2016 MFAM (2014 PYAs)'!$B$26:$B$262,0)),0)</f>
        <v>0</v>
      </c>
      <c r="W97" s="154">
        <f t="shared" si="26"/>
        <v>-0.89590316048707053</v>
      </c>
      <c r="X97" s="154">
        <f t="shared" si="35"/>
        <v>-0.89590316048707053</v>
      </c>
      <c r="Y97" s="154"/>
      <c r="Z97" s="155">
        <f t="shared" si="27"/>
        <v>15773.023333675848</v>
      </c>
      <c r="AA97" s="156">
        <v>0</v>
      </c>
      <c r="AB97" s="157">
        <f t="shared" si="36"/>
        <v>0</v>
      </c>
      <c r="AC97" s="154">
        <f t="shared" si="37"/>
        <v>15773.023333675848</v>
      </c>
      <c r="AD97" s="160"/>
      <c r="AE97" s="154">
        <f t="shared" si="21"/>
        <v>3943.2558334189621</v>
      </c>
      <c r="AF97" s="154">
        <f t="shared" si="21"/>
        <v>3943.2558334189621</v>
      </c>
      <c r="AG97" s="154">
        <f t="shared" si="21"/>
        <v>3943.2558334189621</v>
      </c>
      <c r="AH97" s="154">
        <f t="shared" si="21"/>
        <v>3943.2558334189621</v>
      </c>
    </row>
    <row r="98" spans="2:34" x14ac:dyDescent="0.25">
      <c r="B98" s="10">
        <v>743</v>
      </c>
      <c r="C98" s="10">
        <v>6</v>
      </c>
      <c r="D98" s="9" t="s">
        <v>196</v>
      </c>
      <c r="E98" s="8">
        <v>84.129203528218909</v>
      </c>
      <c r="F98" s="5">
        <v>127078.21</v>
      </c>
      <c r="G98" s="5">
        <v>0</v>
      </c>
      <c r="H98" s="5">
        <f t="shared" si="28"/>
        <v>127078.21</v>
      </c>
      <c r="I98" s="152">
        <f t="shared" si="29"/>
        <v>1510.5124578693412</v>
      </c>
      <c r="J98" s="6">
        <f t="shared" si="22"/>
        <v>940.2492921721589</v>
      </c>
      <c r="K98" s="5">
        <f t="shared" si="30"/>
        <v>79102.424068415319</v>
      </c>
      <c r="L98" s="259">
        <v>0.71940029761904756</v>
      </c>
      <c r="M98" s="154">
        <f t="shared" si="31"/>
        <v>18124.387381840123</v>
      </c>
      <c r="N98" s="154">
        <f t="shared" si="32"/>
        <v>4032.2094782307181</v>
      </c>
      <c r="O98" s="154">
        <f t="shared" si="33"/>
        <v>3911.6069029976084</v>
      </c>
      <c r="P98" s="154">
        <f t="shared" si="34"/>
        <v>1334.9834736828593</v>
      </c>
      <c r="Q98" s="154">
        <f t="shared" si="23"/>
        <v>27403.18723675131</v>
      </c>
      <c r="R98" s="173">
        <f t="shared" si="24"/>
        <v>0.34642664317152178</v>
      </c>
      <c r="S98" s="153">
        <f t="shared" si="25"/>
        <v>27403.883360569078</v>
      </c>
      <c r="T98" s="154"/>
      <c r="U98" s="154">
        <f>IFERROR(INDEX('2016 Clerical PYA'!$O$5:$O$241,MATCH('2017 Funding'!B98,'2016 Clerical PYA'!$A$5:$A$241,0)),0)</f>
        <v>918.89143962598882</v>
      </c>
      <c r="V98" s="154">
        <f>IFERROR(INDEX('Revised 2016 MFAM (2014 PYAs)'!$AD$26:$AD$262,MATCH('2017 Funding'!B98,'Revised 2016 MFAM (2014 PYAs)'!$B$26:$B$262,0)),0)</f>
        <v>121.64579457533273</v>
      </c>
      <c r="W98" s="154">
        <f t="shared" si="26"/>
        <v>-1.5564442383487791</v>
      </c>
      <c r="X98" s="154">
        <f t="shared" si="35"/>
        <v>1038.9807899629727</v>
      </c>
      <c r="Y98" s="154"/>
      <c r="Z98" s="155">
        <f t="shared" si="27"/>
        <v>28442.864150532052</v>
      </c>
      <c r="AA98" s="156">
        <v>0</v>
      </c>
      <c r="AB98" s="157">
        <f t="shared" si="36"/>
        <v>0</v>
      </c>
      <c r="AC98" s="154">
        <f t="shared" si="37"/>
        <v>28442.864150532052</v>
      </c>
      <c r="AD98" s="160"/>
      <c r="AE98" s="154">
        <f t="shared" si="21"/>
        <v>7110.716037633013</v>
      </c>
      <c r="AF98" s="154">
        <f t="shared" si="21"/>
        <v>7110.716037633013</v>
      </c>
      <c r="AG98" s="154">
        <f t="shared" si="21"/>
        <v>7110.716037633013</v>
      </c>
      <c r="AH98" s="154">
        <f t="shared" si="21"/>
        <v>7110.716037633013</v>
      </c>
    </row>
    <row r="99" spans="2:34" x14ac:dyDescent="0.25">
      <c r="B99" s="10">
        <v>747</v>
      </c>
      <c r="C99" s="10">
        <v>6</v>
      </c>
      <c r="D99" s="9" t="s">
        <v>197</v>
      </c>
      <c r="E99" s="8">
        <v>32.947600000000001</v>
      </c>
      <c r="F99" s="5">
        <v>44901.68</v>
      </c>
      <c r="G99" s="5">
        <v>0</v>
      </c>
      <c r="H99" s="5">
        <f t="shared" si="28"/>
        <v>44901.68</v>
      </c>
      <c r="I99" s="152">
        <f t="shared" si="29"/>
        <v>1362.8209641976957</v>
      </c>
      <c r="J99" s="6">
        <f t="shared" si="22"/>
        <v>940.2492921721589</v>
      </c>
      <c r="K99" s="5">
        <f t="shared" si="30"/>
        <v>30978.957578771424</v>
      </c>
      <c r="L99" s="259">
        <v>0.47087202380952381</v>
      </c>
      <c r="M99" s="154">
        <f t="shared" si="31"/>
        <v>7098.0710699539186</v>
      </c>
      <c r="N99" s="154">
        <f t="shared" si="32"/>
        <v>1579.1380333274267</v>
      </c>
      <c r="O99" s="154">
        <f t="shared" si="33"/>
        <v>1002.68492695591</v>
      </c>
      <c r="P99" s="154">
        <f t="shared" si="34"/>
        <v>522.82084761161377</v>
      </c>
      <c r="Q99" s="154">
        <f t="shared" si="23"/>
        <v>10202.71487784887</v>
      </c>
      <c r="R99" s="173">
        <f t="shared" si="24"/>
        <v>0.32934338903773708</v>
      </c>
      <c r="S99" s="153">
        <f t="shared" si="25"/>
        <v>10202.97405765781</v>
      </c>
      <c r="T99" s="154"/>
      <c r="U99" s="154">
        <f>IFERROR(INDEX('2016 Clerical PYA'!$O$5:$O$241,MATCH('2017 Funding'!B99,'2016 Clerical PYA'!$A$5:$A$241,0)),0)</f>
        <v>1323.1335762429917</v>
      </c>
      <c r="V99" s="154">
        <f>IFERROR(INDEX('Revised 2016 MFAM (2014 PYAs)'!$AD$26:$AD$262,MATCH('2017 Funding'!B99,'Revised 2016 MFAM (2014 PYAs)'!$B$26:$B$262,0)),0)</f>
        <v>175.21804292389788</v>
      </c>
      <c r="W99" s="154">
        <f t="shared" si="26"/>
        <v>-0.57949305859743616</v>
      </c>
      <c r="X99" s="154">
        <f t="shared" si="35"/>
        <v>1497.7721261082922</v>
      </c>
      <c r="Y99" s="154"/>
      <c r="Z99" s="155">
        <f t="shared" si="27"/>
        <v>11700.746183766101</v>
      </c>
      <c r="AA99" s="156">
        <v>0</v>
      </c>
      <c r="AB99" s="157">
        <f t="shared" si="36"/>
        <v>0</v>
      </c>
      <c r="AC99" s="154">
        <f t="shared" si="37"/>
        <v>11700.746183766101</v>
      </c>
      <c r="AD99" s="160"/>
      <c r="AE99" s="154">
        <f t="shared" si="21"/>
        <v>2925.1865459415253</v>
      </c>
      <c r="AF99" s="154">
        <f t="shared" si="21"/>
        <v>2925.1865459415253</v>
      </c>
      <c r="AG99" s="154">
        <f t="shared" si="21"/>
        <v>2925.1865459415253</v>
      </c>
      <c r="AH99" s="154">
        <f t="shared" si="21"/>
        <v>2925.1865459415253</v>
      </c>
    </row>
    <row r="100" spans="2:34" x14ac:dyDescent="0.25">
      <c r="B100" s="10">
        <v>758</v>
      </c>
      <c r="C100" s="10">
        <v>6</v>
      </c>
      <c r="D100" s="9" t="s">
        <v>198</v>
      </c>
      <c r="E100" s="8">
        <v>376.59876426954139</v>
      </c>
      <c r="F100" s="5">
        <v>332186.31</v>
      </c>
      <c r="G100" s="5">
        <v>961.84</v>
      </c>
      <c r="H100" s="5">
        <f t="shared" si="28"/>
        <v>331224.46999999997</v>
      </c>
      <c r="I100" s="152">
        <f t="shared" si="29"/>
        <v>879.51555189632575</v>
      </c>
      <c r="J100" s="6">
        <f t="shared" si="22"/>
        <v>879.51555189632575</v>
      </c>
      <c r="K100" s="5">
        <f t="shared" si="30"/>
        <v>331224.46999999997</v>
      </c>
      <c r="L100" s="259">
        <v>0.68850892857142854</v>
      </c>
      <c r="M100" s="154">
        <f t="shared" si="31"/>
        <v>75891.992885483589</v>
      </c>
      <c r="N100" s="154">
        <f t="shared" si="32"/>
        <v>18049.916593686423</v>
      </c>
      <c r="O100" s="154">
        <f t="shared" si="33"/>
        <v>15675.694412620436</v>
      </c>
      <c r="P100" s="154">
        <f t="shared" si="34"/>
        <v>5589.9575611858008</v>
      </c>
      <c r="Q100" s="154">
        <f t="shared" si="23"/>
        <v>115207.56145297625</v>
      </c>
      <c r="R100" s="173">
        <f t="shared" si="24"/>
        <v>0.34782321925966481</v>
      </c>
      <c r="S100" s="153">
        <f t="shared" si="25"/>
        <v>115210.48807340261</v>
      </c>
      <c r="T100" s="154"/>
      <c r="U100" s="154">
        <f>IFERROR(INDEX('2016 Clerical PYA'!$O$5:$O$241,MATCH('2017 Funding'!B100,'2016 Clerical PYA'!$A$5:$A$241,0)),0)</f>
        <v>2850.972960742467</v>
      </c>
      <c r="V100" s="154">
        <f>IFERROR(INDEX('Revised 2016 MFAM (2014 PYAs)'!$AD$26:$AD$262,MATCH('2017 Funding'!B100,'Revised 2016 MFAM (2014 PYAs)'!$B$26:$B$262,0)),0)</f>
        <v>806.70706938230433</v>
      </c>
      <c r="W100" s="154">
        <f t="shared" si="26"/>
        <v>-6.5435507077517512</v>
      </c>
      <c r="X100" s="154">
        <f t="shared" si="35"/>
        <v>3651.1364794170195</v>
      </c>
      <c r="Y100" s="154"/>
      <c r="Z100" s="155">
        <f t="shared" si="27"/>
        <v>118861.62455281963</v>
      </c>
      <c r="AA100" s="156">
        <v>0</v>
      </c>
      <c r="AB100" s="157">
        <f t="shared" si="36"/>
        <v>0</v>
      </c>
      <c r="AC100" s="154">
        <f t="shared" si="37"/>
        <v>118861.62455281963</v>
      </c>
      <c r="AD100" s="160"/>
      <c r="AE100" s="154">
        <f t="shared" si="21"/>
        <v>29715.406138204908</v>
      </c>
      <c r="AF100" s="154">
        <f t="shared" si="21"/>
        <v>29715.406138204908</v>
      </c>
      <c r="AG100" s="154">
        <f t="shared" si="21"/>
        <v>29715.406138204908</v>
      </c>
      <c r="AH100" s="154">
        <f t="shared" si="21"/>
        <v>29715.406138204908</v>
      </c>
    </row>
    <row r="101" spans="2:34" x14ac:dyDescent="0.25">
      <c r="B101" s="10">
        <v>765</v>
      </c>
      <c r="C101" s="10">
        <v>6</v>
      </c>
      <c r="D101" s="9" t="s">
        <v>199</v>
      </c>
      <c r="E101" s="8">
        <v>80.350199999999987</v>
      </c>
      <c r="F101" s="5">
        <v>87707.94</v>
      </c>
      <c r="G101" s="5">
        <v>0</v>
      </c>
      <c r="H101" s="5">
        <f t="shared" si="28"/>
        <v>87707.94</v>
      </c>
      <c r="I101" s="152">
        <f t="shared" si="29"/>
        <v>1091.570898392288</v>
      </c>
      <c r="J101" s="6">
        <f t="shared" si="22"/>
        <v>940.2492921721589</v>
      </c>
      <c r="K101" s="5">
        <f t="shared" si="30"/>
        <v>75549.218675891389</v>
      </c>
      <c r="L101" s="259">
        <v>0.29793452380952379</v>
      </c>
      <c r="M101" s="154">
        <f t="shared" si="31"/>
        <v>17310.257198855492</v>
      </c>
      <c r="N101" s="154">
        <f t="shared" si="32"/>
        <v>3851.0864768743513</v>
      </c>
      <c r="O101" s="154">
        <f t="shared" si="33"/>
        <v>1547.1969706684176</v>
      </c>
      <c r="P101" s="154">
        <f t="shared" si="34"/>
        <v>1275.0172901747831</v>
      </c>
      <c r="Q101" s="154">
        <f t="shared" si="23"/>
        <v>23983.557936573045</v>
      </c>
      <c r="R101" s="173">
        <f t="shared" si="24"/>
        <v>0.317456068466615</v>
      </c>
      <c r="S101" s="153">
        <f t="shared" si="25"/>
        <v>23984.167191466287</v>
      </c>
      <c r="T101" s="154"/>
      <c r="U101" s="154">
        <f>IFERROR(INDEX('2016 Clerical PYA'!$O$5:$O$241,MATCH('2017 Funding'!B101,'2016 Clerical PYA'!$A$5:$A$241,0)),0)</f>
        <v>0</v>
      </c>
      <c r="V101" s="154">
        <f>IFERROR(INDEX('Revised 2016 MFAM (2014 PYAs)'!$AD$26:$AD$262,MATCH('2017 Funding'!B101,'Revised 2016 MFAM (2014 PYAs)'!$B$26:$B$262,0)),0)</f>
        <v>0</v>
      </c>
      <c r="W101" s="154">
        <f t="shared" si="26"/>
        <v>-1.3622163817287651</v>
      </c>
      <c r="X101" s="154">
        <f t="shared" si="35"/>
        <v>-1.3622163817287651</v>
      </c>
      <c r="Y101" s="154"/>
      <c r="Z101" s="155">
        <f t="shared" si="27"/>
        <v>23982.80497508456</v>
      </c>
      <c r="AA101" s="156">
        <v>0</v>
      </c>
      <c r="AB101" s="157">
        <f t="shared" si="36"/>
        <v>0</v>
      </c>
      <c r="AC101" s="154">
        <f t="shared" si="37"/>
        <v>23982.80497508456</v>
      </c>
      <c r="AD101" s="160"/>
      <c r="AE101" s="154">
        <f t="shared" si="21"/>
        <v>5995.7012437711401</v>
      </c>
      <c r="AF101" s="154">
        <f t="shared" si="21"/>
        <v>5995.7012437711401</v>
      </c>
      <c r="AG101" s="154">
        <f t="shared" si="21"/>
        <v>5995.7012437711401</v>
      </c>
      <c r="AH101" s="154">
        <f t="shared" si="21"/>
        <v>5995.7012437711401</v>
      </c>
    </row>
    <row r="102" spans="2:34" x14ac:dyDescent="0.25">
      <c r="B102" s="10">
        <v>770</v>
      </c>
      <c r="C102" s="10">
        <v>6</v>
      </c>
      <c r="D102" s="9" t="s">
        <v>200</v>
      </c>
      <c r="E102" s="8">
        <v>31.38</v>
      </c>
      <c r="F102" s="5">
        <v>14512.24</v>
      </c>
      <c r="G102" s="5">
        <v>0</v>
      </c>
      <c r="H102" s="5">
        <f t="shared" si="28"/>
        <v>14512.24</v>
      </c>
      <c r="I102" s="152">
        <f t="shared" si="29"/>
        <v>462.46781389420016</v>
      </c>
      <c r="J102" s="6">
        <f t="shared" si="22"/>
        <v>462.46781389420016</v>
      </c>
      <c r="K102" s="5">
        <f t="shared" si="30"/>
        <v>14512.24</v>
      </c>
      <c r="L102" s="259">
        <v>0.41780357142857144</v>
      </c>
      <c r="M102" s="154">
        <f t="shared" si="31"/>
        <v>3325.1251480074243</v>
      </c>
      <c r="N102" s="154">
        <f t="shared" si="32"/>
        <v>1504.0048891517029</v>
      </c>
      <c r="O102" s="154">
        <f t="shared" si="33"/>
        <v>416.77474868533773</v>
      </c>
      <c r="P102" s="154">
        <f t="shared" si="34"/>
        <v>244.9179123684402</v>
      </c>
      <c r="Q102" s="154">
        <f t="shared" si="23"/>
        <v>5490.8226982129045</v>
      </c>
      <c r="R102" s="173">
        <f t="shared" si="24"/>
        <v>0.37835804108896381</v>
      </c>
      <c r="S102" s="153">
        <f t="shared" si="25"/>
        <v>5490.9621817126281</v>
      </c>
      <c r="T102" s="154"/>
      <c r="U102" s="154">
        <f>IFERROR(INDEX('2016 Clerical PYA'!$O$5:$O$241,MATCH('2017 Funding'!B102,'2016 Clerical PYA'!$A$5:$A$241,0)),0)</f>
        <v>0</v>
      </c>
      <c r="V102" s="154">
        <f>IFERROR(INDEX('Revised 2016 MFAM (2014 PYAs)'!$AD$26:$AD$262,MATCH('2017 Funding'!B102,'Revised 2016 MFAM (2014 PYAs)'!$B$26:$B$262,0)),0)</f>
        <v>0</v>
      </c>
      <c r="W102" s="154">
        <f t="shared" si="26"/>
        <v>-0.31186734880848599</v>
      </c>
      <c r="X102" s="154">
        <f t="shared" si="35"/>
        <v>-0.31186734880848599</v>
      </c>
      <c r="Y102" s="154"/>
      <c r="Z102" s="155">
        <f t="shared" si="27"/>
        <v>5490.6503143638192</v>
      </c>
      <c r="AA102" s="156">
        <v>0</v>
      </c>
      <c r="AB102" s="157">
        <f t="shared" si="36"/>
        <v>0</v>
      </c>
      <c r="AC102" s="154">
        <f t="shared" si="37"/>
        <v>5490.6503143638192</v>
      </c>
      <c r="AD102" s="160"/>
      <c r="AE102" s="154">
        <f t="shared" si="21"/>
        <v>1372.6625785909548</v>
      </c>
      <c r="AF102" s="154">
        <f t="shared" si="21"/>
        <v>1372.6625785909548</v>
      </c>
      <c r="AG102" s="154">
        <f t="shared" si="21"/>
        <v>1372.6625785909548</v>
      </c>
      <c r="AH102" s="154">
        <f t="shared" si="21"/>
        <v>1372.6625785909548</v>
      </c>
    </row>
    <row r="103" spans="2:34" x14ac:dyDescent="0.25">
      <c r="B103" s="10">
        <v>774</v>
      </c>
      <c r="C103" s="10">
        <v>6</v>
      </c>
      <c r="D103" s="9" t="s">
        <v>201</v>
      </c>
      <c r="E103" s="8">
        <v>487.11</v>
      </c>
      <c r="F103" s="5">
        <v>260022.63</v>
      </c>
      <c r="G103" s="5">
        <v>9203.61</v>
      </c>
      <c r="H103" s="5">
        <f t="shared" si="28"/>
        <v>250819.02000000002</v>
      </c>
      <c r="I103" s="152">
        <f t="shared" si="29"/>
        <v>514.91248383322045</v>
      </c>
      <c r="J103" s="6">
        <f t="shared" si="22"/>
        <v>514.91248383322045</v>
      </c>
      <c r="K103" s="5">
        <f t="shared" si="30"/>
        <v>250819.02000000002</v>
      </c>
      <c r="L103" s="259">
        <v>0.80636904761904749</v>
      </c>
      <c r="M103" s="154">
        <f t="shared" si="31"/>
        <v>57469.048954577462</v>
      </c>
      <c r="N103" s="154">
        <f t="shared" si="32"/>
        <v>23346.584498237284</v>
      </c>
      <c r="O103" s="154">
        <f t="shared" si="33"/>
        <v>13902.378681922513</v>
      </c>
      <c r="P103" s="154">
        <f t="shared" si="34"/>
        <v>4232.983382351591</v>
      </c>
      <c r="Q103" s="154">
        <f t="shared" si="23"/>
        <v>98950.995517088842</v>
      </c>
      <c r="R103" s="173">
        <f t="shared" si="24"/>
        <v>0.39451153073275236</v>
      </c>
      <c r="S103" s="153">
        <f t="shared" si="25"/>
        <v>98953.509171583704</v>
      </c>
      <c r="T103" s="154"/>
      <c r="U103" s="154">
        <f>IFERROR(INDEX('2016 Clerical PYA'!$O$5:$O$241,MATCH('2017 Funding'!B103,'2016 Clerical PYA'!$A$5:$A$241,0)),0)</f>
        <v>-3173.5047124225966</v>
      </c>
      <c r="V103" s="154">
        <f>IFERROR(INDEX('Revised 2016 MFAM (2014 PYAs)'!$AD$26:$AD$262,MATCH('2017 Funding'!B103,'Revised 2016 MFAM (2014 PYAs)'!$B$26:$B$262,0)),0)</f>
        <v>3261.9283186388348</v>
      </c>
      <c r="W103" s="154">
        <f t="shared" si="26"/>
        <v>-5.6202114564578336</v>
      </c>
      <c r="X103" s="154">
        <f t="shared" si="35"/>
        <v>82.803394759780275</v>
      </c>
      <c r="Y103" s="154"/>
      <c r="Z103" s="155">
        <f t="shared" si="27"/>
        <v>99036.312566343491</v>
      </c>
      <c r="AA103" s="156">
        <v>0</v>
      </c>
      <c r="AB103" s="157">
        <f t="shared" si="36"/>
        <v>0</v>
      </c>
      <c r="AC103" s="154">
        <f t="shared" si="37"/>
        <v>99036.312566343491</v>
      </c>
      <c r="AD103" s="160"/>
      <c r="AE103" s="154">
        <f t="shared" si="21"/>
        <v>24759.078141585873</v>
      </c>
      <c r="AF103" s="154">
        <f t="shared" si="21"/>
        <v>24759.078141585873</v>
      </c>
      <c r="AG103" s="154">
        <f t="shared" si="21"/>
        <v>24759.078141585873</v>
      </c>
      <c r="AH103" s="154">
        <f t="shared" si="21"/>
        <v>24759.078141585873</v>
      </c>
    </row>
    <row r="104" spans="2:34" x14ac:dyDescent="0.25">
      <c r="B104" s="10">
        <v>794</v>
      </c>
      <c r="C104" s="10">
        <v>6</v>
      </c>
      <c r="D104" s="9" t="s">
        <v>202</v>
      </c>
      <c r="E104" s="8">
        <v>35.600062585038067</v>
      </c>
      <c r="F104" s="5">
        <v>36737.5</v>
      </c>
      <c r="G104" s="5">
        <v>0</v>
      </c>
      <c r="H104" s="5">
        <f t="shared" si="28"/>
        <v>36737.5</v>
      </c>
      <c r="I104" s="152">
        <f t="shared" si="29"/>
        <v>1031.950433015249</v>
      </c>
      <c r="J104" s="6">
        <f t="shared" si="22"/>
        <v>940.2492921721589</v>
      </c>
      <c r="K104" s="5">
        <f t="shared" si="30"/>
        <v>33472.933646866601</v>
      </c>
      <c r="L104" s="259">
        <v>0.60670238095238094</v>
      </c>
      <c r="M104" s="154">
        <f t="shared" si="31"/>
        <v>7669.5047385365724</v>
      </c>
      <c r="N104" s="154">
        <f t="shared" si="32"/>
        <v>1706.267309815292</v>
      </c>
      <c r="O104" s="154">
        <f t="shared" si="33"/>
        <v>1395.9320356787118</v>
      </c>
      <c r="P104" s="154">
        <f t="shared" si="34"/>
        <v>564.91079458704428</v>
      </c>
      <c r="Q104" s="154">
        <f t="shared" si="23"/>
        <v>11336.61487861762</v>
      </c>
      <c r="R104" s="173">
        <f t="shared" si="24"/>
        <v>0.3386800511188191</v>
      </c>
      <c r="S104" s="153">
        <f t="shared" si="25"/>
        <v>11336.902862915274</v>
      </c>
      <c r="T104" s="154"/>
      <c r="U104" s="154">
        <f>IFERROR(INDEX('2016 Clerical PYA'!$O$5:$O$241,MATCH('2017 Funding'!B104,'2016 Clerical PYA'!$A$5:$A$241,0)),0)</f>
        <v>973.1092081543502</v>
      </c>
      <c r="V104" s="154">
        <f>IFERROR(INDEX('Revised 2016 MFAM (2014 PYAs)'!$AD$26:$AD$262,MATCH('2017 Funding'!B104,'Revised 2016 MFAM (2014 PYAs)'!$B$26:$B$262,0)),0)</f>
        <v>62.002308115264896</v>
      </c>
      <c r="W104" s="154">
        <f t="shared" si="26"/>
        <v>-0.64389622848467087</v>
      </c>
      <c r="X104" s="154">
        <f t="shared" si="35"/>
        <v>1034.4676200411304</v>
      </c>
      <c r="Y104" s="154"/>
      <c r="Z104" s="155">
        <f t="shared" si="27"/>
        <v>12371.370482956405</v>
      </c>
      <c r="AA104" s="156">
        <v>0</v>
      </c>
      <c r="AB104" s="157">
        <f t="shared" si="36"/>
        <v>0</v>
      </c>
      <c r="AC104" s="154">
        <f t="shared" si="37"/>
        <v>12371.370482956405</v>
      </c>
      <c r="AD104" s="160"/>
      <c r="AE104" s="154">
        <f t="shared" si="21"/>
        <v>3092.8426207391012</v>
      </c>
      <c r="AF104" s="154">
        <f t="shared" si="21"/>
        <v>3092.8426207391012</v>
      </c>
      <c r="AG104" s="154">
        <f t="shared" si="21"/>
        <v>3092.8426207391012</v>
      </c>
      <c r="AH104" s="154">
        <f t="shared" si="21"/>
        <v>3092.8426207391012</v>
      </c>
    </row>
    <row r="105" spans="2:34" x14ac:dyDescent="0.25">
      <c r="B105" s="10">
        <v>806</v>
      </c>
      <c r="C105" s="10">
        <v>6</v>
      </c>
      <c r="D105" s="9" t="s">
        <v>203</v>
      </c>
      <c r="E105" s="8">
        <v>23.634257572176786</v>
      </c>
      <c r="F105" s="5">
        <v>37974.839999999997</v>
      </c>
      <c r="G105" s="5">
        <v>0</v>
      </c>
      <c r="H105" s="5">
        <f t="shared" si="28"/>
        <v>37974.839999999997</v>
      </c>
      <c r="I105" s="152">
        <f t="shared" si="29"/>
        <v>1606.7710138145203</v>
      </c>
      <c r="J105" s="6">
        <f t="shared" si="22"/>
        <v>940.2492921721589</v>
      </c>
      <c r="K105" s="5">
        <f t="shared" si="30"/>
        <v>22222.093953253709</v>
      </c>
      <c r="L105" s="259">
        <v>0.30593452380952385</v>
      </c>
      <c r="M105" s="154">
        <f t="shared" si="31"/>
        <v>5091.6497691154245</v>
      </c>
      <c r="N105" s="154">
        <f t="shared" si="32"/>
        <v>1132.7609604851671</v>
      </c>
      <c r="O105" s="154">
        <f t="shared" si="33"/>
        <v>467.31343425575983</v>
      </c>
      <c r="P105" s="154">
        <f t="shared" si="34"/>
        <v>375.03437508518579</v>
      </c>
      <c r="Q105" s="154">
        <f t="shared" si="23"/>
        <v>7066.7585389415372</v>
      </c>
      <c r="R105" s="173">
        <f t="shared" si="24"/>
        <v>0.31800596981576701</v>
      </c>
      <c r="S105" s="153">
        <f t="shared" si="25"/>
        <v>7066.9380559769415</v>
      </c>
      <c r="T105" s="154"/>
      <c r="U105" s="154">
        <f>IFERROR(INDEX('2016 Clerical PYA'!$O$5:$O$241,MATCH('2017 Funding'!B105,'2016 Clerical PYA'!$A$5:$A$241,0)),0)</f>
        <v>1351.8519071743813</v>
      </c>
      <c r="V105" s="154">
        <f>IFERROR(INDEX('Revised 2016 MFAM (2014 PYAs)'!$AD$26:$AD$262,MATCH('2017 Funding'!B105,'Revised 2016 MFAM (2014 PYAs)'!$B$26:$B$262,0)),0)</f>
        <v>-2160.4570573540741</v>
      </c>
      <c r="W105" s="154">
        <f t="shared" si="26"/>
        <v>-0.40137723822820331</v>
      </c>
      <c r="X105" s="154">
        <f t="shared" si="35"/>
        <v>-809.00652741792101</v>
      </c>
      <c r="Y105" s="154"/>
      <c r="Z105" s="155">
        <f t="shared" si="27"/>
        <v>6257.9315285590201</v>
      </c>
      <c r="AA105" s="156">
        <v>0</v>
      </c>
      <c r="AB105" s="157">
        <f t="shared" si="36"/>
        <v>0</v>
      </c>
      <c r="AC105" s="154">
        <f t="shared" si="37"/>
        <v>6257.9315285590201</v>
      </c>
      <c r="AD105" s="160"/>
      <c r="AE105" s="154">
        <f t="shared" si="21"/>
        <v>1564.482882139755</v>
      </c>
      <c r="AF105" s="154">
        <f t="shared" si="21"/>
        <v>1564.482882139755</v>
      </c>
      <c r="AG105" s="154">
        <f t="shared" si="21"/>
        <v>1564.482882139755</v>
      </c>
      <c r="AH105" s="154">
        <f t="shared" si="21"/>
        <v>1564.482882139755</v>
      </c>
    </row>
    <row r="106" spans="2:34" x14ac:dyDescent="0.25">
      <c r="B106" s="10">
        <v>811</v>
      </c>
      <c r="C106" s="10">
        <v>6</v>
      </c>
      <c r="D106" s="9" t="s">
        <v>204</v>
      </c>
      <c r="E106" s="8">
        <v>811.18024044948993</v>
      </c>
      <c r="F106" s="5">
        <v>477335.28</v>
      </c>
      <c r="G106" s="5">
        <v>1046</v>
      </c>
      <c r="H106" s="5">
        <f t="shared" si="28"/>
        <v>476289.28000000003</v>
      </c>
      <c r="I106" s="152">
        <f t="shared" si="29"/>
        <v>587.155919547645</v>
      </c>
      <c r="J106" s="6">
        <f t="shared" si="22"/>
        <v>587.155919547645</v>
      </c>
      <c r="K106" s="5">
        <f t="shared" si="30"/>
        <v>476289.28000000003</v>
      </c>
      <c r="L106" s="259">
        <v>0.65382738095238091</v>
      </c>
      <c r="M106" s="154">
        <f t="shared" si="31"/>
        <v>109130.04902443383</v>
      </c>
      <c r="N106" s="154">
        <f t="shared" si="32"/>
        <v>38878.873410429791</v>
      </c>
      <c r="O106" s="154">
        <f t="shared" si="33"/>
        <v>21405.66424105515</v>
      </c>
      <c r="P106" s="154">
        <f t="shared" si="34"/>
        <v>8038.1647589253953</v>
      </c>
      <c r="Q106" s="154">
        <f t="shared" si="23"/>
        <v>177452.75143484416</v>
      </c>
      <c r="R106" s="173">
        <f t="shared" si="24"/>
        <v>0.37257347348830555</v>
      </c>
      <c r="S106" s="153">
        <f t="shared" si="25"/>
        <v>177457.25927131349</v>
      </c>
      <c r="T106" s="154"/>
      <c r="U106" s="154">
        <f>IFERROR(INDEX('2016 Clerical PYA'!$O$5:$O$241,MATCH('2017 Funding'!B106,'2016 Clerical PYA'!$A$5:$A$241,0)),0)</f>
        <v>-1601.0749423520174</v>
      </c>
      <c r="V106" s="154">
        <f>IFERROR(INDEX('Revised 2016 MFAM (2014 PYAs)'!$AD$26:$AD$262,MATCH('2017 Funding'!B106,'Revised 2016 MFAM (2014 PYAs)'!$B$26:$B$262,0)),0)</f>
        <v>1245.1203717877797</v>
      </c>
      <c r="W106" s="154">
        <f t="shared" si="26"/>
        <v>-10.078948487403927</v>
      </c>
      <c r="X106" s="154">
        <f t="shared" si="35"/>
        <v>-366.03351905164158</v>
      </c>
      <c r="Y106" s="154"/>
      <c r="Z106" s="155">
        <f t="shared" si="27"/>
        <v>177091.22575226185</v>
      </c>
      <c r="AA106" s="156">
        <v>0</v>
      </c>
      <c r="AB106" s="157">
        <f t="shared" si="36"/>
        <v>0</v>
      </c>
      <c r="AC106" s="154">
        <f t="shared" si="37"/>
        <v>177091.22575226185</v>
      </c>
      <c r="AD106" s="160"/>
      <c r="AE106" s="154">
        <f t="shared" si="21"/>
        <v>44272.806438065461</v>
      </c>
      <c r="AF106" s="154">
        <f t="shared" si="21"/>
        <v>44272.806438065461</v>
      </c>
      <c r="AG106" s="154">
        <f t="shared" si="21"/>
        <v>44272.806438065461</v>
      </c>
      <c r="AH106" s="154">
        <f t="shared" si="21"/>
        <v>44272.806438065461</v>
      </c>
    </row>
    <row r="107" spans="2:34" x14ac:dyDescent="0.25">
      <c r="B107" s="10">
        <v>824</v>
      </c>
      <c r="C107" s="10">
        <v>6</v>
      </c>
      <c r="D107" s="9" t="s">
        <v>205</v>
      </c>
      <c r="E107" s="8">
        <v>31.52</v>
      </c>
      <c r="F107" s="5">
        <v>49304.21</v>
      </c>
      <c r="G107" s="5">
        <v>0</v>
      </c>
      <c r="H107" s="5">
        <f t="shared" si="28"/>
        <v>49304.21</v>
      </c>
      <c r="I107" s="152">
        <f t="shared" si="29"/>
        <v>1564.2198604060914</v>
      </c>
      <c r="J107" s="6">
        <f t="shared" si="22"/>
        <v>940.2492921721589</v>
      </c>
      <c r="K107" s="5">
        <f t="shared" si="30"/>
        <v>29636.657689266449</v>
      </c>
      <c r="L107" s="259">
        <v>0.37561309523809527</v>
      </c>
      <c r="M107" s="154">
        <f t="shared" si="31"/>
        <v>6790.515853201674</v>
      </c>
      <c r="N107" s="154">
        <f t="shared" si="32"/>
        <v>1510.7149173378482</v>
      </c>
      <c r="O107" s="154">
        <f t="shared" si="33"/>
        <v>765.18200336533096</v>
      </c>
      <c r="P107" s="154">
        <f t="shared" si="34"/>
        <v>500.16732984247909</v>
      </c>
      <c r="Q107" s="154">
        <f t="shared" si="23"/>
        <v>9566.580103747332</v>
      </c>
      <c r="R107" s="173">
        <f t="shared" si="24"/>
        <v>0.32279551237021153</v>
      </c>
      <c r="S107" s="153">
        <f t="shared" si="25"/>
        <v>9566.8231238094613</v>
      </c>
      <c r="T107" s="154"/>
      <c r="U107" s="154">
        <f>IFERROR(INDEX('2016 Clerical PYA'!$O$5:$O$241,MATCH('2017 Funding'!B107,'2016 Clerical PYA'!$A$5:$A$241,0)),0)</f>
        <v>1459.5007671385174</v>
      </c>
      <c r="V107" s="154">
        <f>IFERROR(INDEX('Revised 2016 MFAM (2014 PYAs)'!$AD$26:$AD$262,MATCH('2017 Funding'!B107,'Revised 2016 MFAM (2014 PYAs)'!$B$26:$B$262,0)),0)</f>
        <v>193.27668245717359</v>
      </c>
      <c r="W107" s="154">
        <f t="shared" si="26"/>
        <v>-0.54336192190119903</v>
      </c>
      <c r="X107" s="154">
        <f t="shared" si="35"/>
        <v>1652.2340876737899</v>
      </c>
      <c r="Y107" s="154"/>
      <c r="Z107" s="155">
        <f t="shared" si="27"/>
        <v>11219.05721148325</v>
      </c>
      <c r="AA107" s="156">
        <v>0</v>
      </c>
      <c r="AB107" s="157">
        <f t="shared" si="36"/>
        <v>0</v>
      </c>
      <c r="AC107" s="154">
        <f t="shared" si="37"/>
        <v>11219.05721148325</v>
      </c>
      <c r="AD107" s="160"/>
      <c r="AE107" s="154">
        <f t="shared" si="21"/>
        <v>2804.7643028708126</v>
      </c>
      <c r="AF107" s="154">
        <f t="shared" si="21"/>
        <v>2804.7643028708126</v>
      </c>
      <c r="AG107" s="154">
        <f t="shared" si="21"/>
        <v>2804.7643028708126</v>
      </c>
      <c r="AH107" s="154">
        <f t="shared" si="21"/>
        <v>2804.7643028708126</v>
      </c>
    </row>
    <row r="108" spans="2:34" x14ac:dyDescent="0.25">
      <c r="B108" s="10">
        <v>826</v>
      </c>
      <c r="C108" s="10">
        <v>6</v>
      </c>
      <c r="D108" s="9" t="s">
        <v>206</v>
      </c>
      <c r="E108" s="8">
        <v>26.19</v>
      </c>
      <c r="F108" s="5">
        <v>28559.88</v>
      </c>
      <c r="G108" s="5">
        <v>0</v>
      </c>
      <c r="H108" s="5">
        <f t="shared" si="28"/>
        <v>28559.88</v>
      </c>
      <c r="I108" s="152">
        <f t="shared" si="29"/>
        <v>1090.4879725085912</v>
      </c>
      <c r="J108" s="6">
        <f t="shared" si="22"/>
        <v>940.2492921721589</v>
      </c>
      <c r="K108" s="5">
        <f t="shared" si="30"/>
        <v>24625.128961988841</v>
      </c>
      <c r="L108" s="259">
        <v>0.34705952380952382</v>
      </c>
      <c r="M108" s="154">
        <f t="shared" si="31"/>
        <v>5642.2465163499946</v>
      </c>
      <c r="N108" s="154">
        <f t="shared" si="32"/>
        <v>1255.2545585367463</v>
      </c>
      <c r="O108" s="154">
        <f t="shared" si="33"/>
        <v>587.45861675411209</v>
      </c>
      <c r="P108" s="154">
        <f t="shared" si="34"/>
        <v>415.58954215020708</v>
      </c>
      <c r="Q108" s="154">
        <f t="shared" si="23"/>
        <v>7900.54923379106</v>
      </c>
      <c r="R108" s="173">
        <f t="shared" si="24"/>
        <v>0.32083280643875151</v>
      </c>
      <c r="S108" s="153">
        <f t="shared" si="25"/>
        <v>7900.749931631336</v>
      </c>
      <c r="T108" s="154"/>
      <c r="U108" s="154">
        <f>IFERROR(INDEX('2016 Clerical PYA'!$O$5:$O$241,MATCH('2017 Funding'!B108,'2016 Clerical PYA'!$A$5:$A$241,0)),0)</f>
        <v>1158.2089134844764</v>
      </c>
      <c r="V108" s="154">
        <f>IFERROR(INDEX('Revised 2016 MFAM (2014 PYAs)'!$AD$26:$AD$262,MATCH('2017 Funding'!B108,'Revised 2016 MFAM (2014 PYAs)'!$B$26:$B$262,0)),0)</f>
        <v>-46.897936705648135</v>
      </c>
      <c r="W108" s="154">
        <f t="shared" si="26"/>
        <v>-0.44873482155511329</v>
      </c>
      <c r="X108" s="154">
        <f t="shared" si="35"/>
        <v>1110.8622419572732</v>
      </c>
      <c r="Y108" s="154"/>
      <c r="Z108" s="155">
        <f t="shared" si="27"/>
        <v>9011.6121735886099</v>
      </c>
      <c r="AA108" s="156">
        <v>0</v>
      </c>
      <c r="AB108" s="157">
        <f t="shared" si="36"/>
        <v>0</v>
      </c>
      <c r="AC108" s="154">
        <f t="shared" si="37"/>
        <v>9011.6121735886099</v>
      </c>
      <c r="AD108" s="160"/>
      <c r="AE108" s="154">
        <f t="shared" si="21"/>
        <v>2252.9030433971525</v>
      </c>
      <c r="AF108" s="154">
        <f t="shared" si="21"/>
        <v>2252.9030433971525</v>
      </c>
      <c r="AG108" s="154">
        <f t="shared" si="21"/>
        <v>2252.9030433971525</v>
      </c>
      <c r="AH108" s="154">
        <f t="shared" si="21"/>
        <v>2252.9030433971525</v>
      </c>
    </row>
    <row r="109" spans="2:34" x14ac:dyDescent="0.25">
      <c r="B109" s="10">
        <v>840</v>
      </c>
      <c r="C109" s="10">
        <v>6</v>
      </c>
      <c r="D109" s="9" t="s">
        <v>207</v>
      </c>
      <c r="E109" s="8">
        <v>133.64200485462965</v>
      </c>
      <c r="F109" s="5">
        <v>76752.78</v>
      </c>
      <c r="G109" s="5">
        <v>0</v>
      </c>
      <c r="H109" s="5">
        <f t="shared" si="28"/>
        <v>76752.78</v>
      </c>
      <c r="I109" s="152">
        <f t="shared" si="29"/>
        <v>574.31628688516423</v>
      </c>
      <c r="J109" s="6">
        <f t="shared" si="22"/>
        <v>574.31628688516423</v>
      </c>
      <c r="K109" s="5">
        <f t="shared" si="30"/>
        <v>76752.779999999984</v>
      </c>
      <c r="L109" s="259">
        <v>0.53944345238095237</v>
      </c>
      <c r="M109" s="154">
        <f t="shared" si="31"/>
        <v>17586.023863819868</v>
      </c>
      <c r="N109" s="154">
        <f t="shared" si="32"/>
        <v>6405.297281625195</v>
      </c>
      <c r="O109" s="154">
        <f t="shared" si="33"/>
        <v>2845.999628025841</v>
      </c>
      <c r="P109" s="154">
        <f t="shared" si="34"/>
        <v>1295.329366526061</v>
      </c>
      <c r="Q109" s="154">
        <f t="shared" si="23"/>
        <v>28132.650139996967</v>
      </c>
      <c r="R109" s="173">
        <f t="shared" si="24"/>
        <v>0.36653591101191346</v>
      </c>
      <c r="S109" s="153">
        <f t="shared" si="25"/>
        <v>28133.364794378231</v>
      </c>
      <c r="T109" s="154"/>
      <c r="U109" s="154">
        <f>IFERROR(INDEX('2016 Clerical PYA'!$O$5:$O$241,MATCH('2017 Funding'!B109,'2016 Clerical PYA'!$A$5:$A$241,0)),0)</f>
        <v>-1022.731755199482</v>
      </c>
      <c r="V109" s="154">
        <f>IFERROR(INDEX('Revised 2016 MFAM (2014 PYAs)'!$AD$26:$AD$262,MATCH('2017 Funding'!B109,'Revised 2016 MFAM (2014 PYAs)'!$B$26:$B$262,0)),0)</f>
        <v>177.01454324661972</v>
      </c>
      <c r="W109" s="154">
        <f t="shared" si="26"/>
        <v>-1.5978762193456171</v>
      </c>
      <c r="X109" s="154">
        <f t="shared" si="35"/>
        <v>-847.31508817220788</v>
      </c>
      <c r="Y109" s="154"/>
      <c r="Z109" s="155">
        <f t="shared" si="27"/>
        <v>27286.049706206024</v>
      </c>
      <c r="AA109" s="156">
        <v>0</v>
      </c>
      <c r="AB109" s="157">
        <f t="shared" si="36"/>
        <v>0</v>
      </c>
      <c r="AC109" s="154">
        <f t="shared" si="37"/>
        <v>27286.049706206024</v>
      </c>
      <c r="AD109" s="160"/>
      <c r="AE109" s="154">
        <f t="shared" si="21"/>
        <v>6821.512426551506</v>
      </c>
      <c r="AF109" s="154">
        <f t="shared" si="21"/>
        <v>6821.512426551506</v>
      </c>
      <c r="AG109" s="154">
        <f t="shared" si="21"/>
        <v>6821.512426551506</v>
      </c>
      <c r="AH109" s="154">
        <f t="shared" ref="AE109:AH172" si="38">$AC109/4</f>
        <v>6821.512426551506</v>
      </c>
    </row>
    <row r="110" spans="2:34" x14ac:dyDescent="0.25">
      <c r="B110" s="10">
        <v>843</v>
      </c>
      <c r="C110" s="10">
        <v>6</v>
      </c>
      <c r="D110" s="9" t="s">
        <v>208</v>
      </c>
      <c r="E110" s="8">
        <v>24</v>
      </c>
      <c r="F110" s="5">
        <v>38204.959999999999</v>
      </c>
      <c r="G110" s="5">
        <v>0</v>
      </c>
      <c r="H110" s="5">
        <f t="shared" si="28"/>
        <v>38204.959999999999</v>
      </c>
      <c r="I110" s="152">
        <f t="shared" si="29"/>
        <v>1591.8733333333332</v>
      </c>
      <c r="J110" s="6">
        <f t="shared" si="22"/>
        <v>940.2492921721589</v>
      </c>
      <c r="K110" s="5">
        <f t="shared" si="30"/>
        <v>22565.983012131815</v>
      </c>
      <c r="L110" s="259">
        <v>0.32004166666666667</v>
      </c>
      <c r="M110" s="154">
        <f t="shared" si="31"/>
        <v>5170.4435430469612</v>
      </c>
      <c r="N110" s="154">
        <f t="shared" si="32"/>
        <v>1150.2905461963312</v>
      </c>
      <c r="O110" s="154">
        <f t="shared" si="33"/>
        <v>496.42721067679634</v>
      </c>
      <c r="P110" s="154">
        <f t="shared" si="34"/>
        <v>380.83806840797905</v>
      </c>
      <c r="Q110" s="154">
        <f t="shared" si="23"/>
        <v>7197.9993683280682</v>
      </c>
      <c r="R110" s="173">
        <f t="shared" si="24"/>
        <v>0.31897566192699489</v>
      </c>
      <c r="S110" s="153">
        <f t="shared" si="25"/>
        <v>7198.1822192773861</v>
      </c>
      <c r="T110" s="154"/>
      <c r="U110" s="154">
        <f>IFERROR(INDEX('2016 Clerical PYA'!$O$5:$O$241,MATCH('2017 Funding'!B110,'2016 Clerical PYA'!$A$5:$A$241,0)),0)</f>
        <v>926.92186199410025</v>
      </c>
      <c r="V110" s="154">
        <f>IFERROR(INDEX('Revised 2016 MFAM (2014 PYAs)'!$AD$26:$AD$262,MATCH('2017 Funding'!B110,'Revised 2016 MFAM (2014 PYAs)'!$B$26:$B$262,0)),0)</f>
        <v>122.76961557505092</v>
      </c>
      <c r="W110" s="154">
        <f t="shared" si="26"/>
        <v>-0.40883144532353094</v>
      </c>
      <c r="X110" s="154">
        <f t="shared" si="35"/>
        <v>1049.2826461238276</v>
      </c>
      <c r="Y110" s="154"/>
      <c r="Z110" s="155">
        <f t="shared" si="27"/>
        <v>8247.4648654012144</v>
      </c>
      <c r="AA110" s="156">
        <v>0</v>
      </c>
      <c r="AB110" s="157">
        <f t="shared" si="36"/>
        <v>0</v>
      </c>
      <c r="AC110" s="154">
        <f t="shared" si="37"/>
        <v>8247.4648654012144</v>
      </c>
      <c r="AD110" s="160"/>
      <c r="AE110" s="154">
        <f t="shared" si="38"/>
        <v>2061.8662163503036</v>
      </c>
      <c r="AF110" s="154">
        <f t="shared" si="38"/>
        <v>2061.8662163503036</v>
      </c>
      <c r="AG110" s="154">
        <f t="shared" si="38"/>
        <v>2061.8662163503036</v>
      </c>
      <c r="AH110" s="154">
        <f t="shared" si="38"/>
        <v>2061.8662163503036</v>
      </c>
    </row>
    <row r="111" spans="2:34" x14ac:dyDescent="0.25">
      <c r="B111" s="10">
        <v>846</v>
      </c>
      <c r="C111" s="10">
        <v>6</v>
      </c>
      <c r="D111" s="9" t="s">
        <v>209</v>
      </c>
      <c r="E111" s="8">
        <v>24.91</v>
      </c>
      <c r="F111" s="5">
        <v>38171.78</v>
      </c>
      <c r="G111" s="5">
        <v>0</v>
      </c>
      <c r="H111" s="5">
        <f t="shared" si="28"/>
        <v>38171.78</v>
      </c>
      <c r="I111" s="152">
        <f t="shared" si="29"/>
        <v>1532.3877960658369</v>
      </c>
      <c r="J111" s="6">
        <f t="shared" si="22"/>
        <v>940.2492921721589</v>
      </c>
      <c r="K111" s="5">
        <f t="shared" si="30"/>
        <v>23421.60986800848</v>
      </c>
      <c r="L111" s="259">
        <v>0.2917797619047619</v>
      </c>
      <c r="M111" s="154">
        <f t="shared" si="31"/>
        <v>5366.4895273874909</v>
      </c>
      <c r="N111" s="154">
        <f t="shared" si="32"/>
        <v>1193.9057294062754</v>
      </c>
      <c r="O111" s="154">
        <f t="shared" si="33"/>
        <v>469.74991096965613</v>
      </c>
      <c r="P111" s="154">
        <f t="shared" si="34"/>
        <v>395.27817850178155</v>
      </c>
      <c r="Q111" s="154">
        <f t="shared" si="23"/>
        <v>7425.4233462652046</v>
      </c>
      <c r="R111" s="173">
        <f t="shared" si="24"/>
        <v>0.31703300448222271</v>
      </c>
      <c r="S111" s="153">
        <f t="shared" si="25"/>
        <v>7425.6119744712478</v>
      </c>
      <c r="T111" s="154"/>
      <c r="U111" s="154">
        <f>IFERROR(INDEX('2016 Clerical PYA'!$O$5:$O$241,MATCH('2017 Funding'!B111,'2016 Clerical PYA'!$A$5:$A$241,0)),0)</f>
        <v>931.10711892066774</v>
      </c>
      <c r="V111" s="154">
        <f>IFERROR(INDEX('Revised 2016 MFAM (2014 PYAs)'!$AD$26:$AD$262,MATCH('2017 Funding'!B111,'Revised 2016 MFAM (2014 PYAs)'!$B$26:$B$262,0)),0)</f>
        <v>123.39488806273221</v>
      </c>
      <c r="W111" s="154">
        <f t="shared" si="26"/>
        <v>-0.42174865590434574</v>
      </c>
      <c r="X111" s="154">
        <f t="shared" si="35"/>
        <v>1054.0802583274956</v>
      </c>
      <c r="Y111" s="154"/>
      <c r="Z111" s="155">
        <f t="shared" si="27"/>
        <v>8479.6922327987431</v>
      </c>
      <c r="AA111" s="156">
        <v>0</v>
      </c>
      <c r="AB111" s="157">
        <f t="shared" si="36"/>
        <v>0</v>
      </c>
      <c r="AC111" s="154">
        <f t="shared" si="37"/>
        <v>8479.6922327987431</v>
      </c>
      <c r="AD111" s="160"/>
      <c r="AE111" s="154">
        <f t="shared" si="38"/>
        <v>2119.9230581996858</v>
      </c>
      <c r="AF111" s="154">
        <f t="shared" si="38"/>
        <v>2119.9230581996858</v>
      </c>
      <c r="AG111" s="154">
        <f t="shared" si="38"/>
        <v>2119.9230581996858</v>
      </c>
      <c r="AH111" s="154">
        <f t="shared" si="38"/>
        <v>2119.9230581996858</v>
      </c>
    </row>
    <row r="112" spans="2:34" x14ac:dyDescent="0.25">
      <c r="B112" s="10">
        <v>888</v>
      </c>
      <c r="C112" s="10">
        <v>6</v>
      </c>
      <c r="D112" s="9" t="s">
        <v>210</v>
      </c>
      <c r="E112" s="8">
        <v>89.094669903086427</v>
      </c>
      <c r="F112" s="5">
        <v>45768.89</v>
      </c>
      <c r="G112" s="5">
        <v>0</v>
      </c>
      <c r="H112" s="5">
        <f t="shared" si="28"/>
        <v>45768.89</v>
      </c>
      <c r="I112" s="152">
        <f t="shared" si="29"/>
        <v>513.71075340180892</v>
      </c>
      <c r="J112" s="6">
        <f t="shared" si="22"/>
        <v>513.71075340180892</v>
      </c>
      <c r="K112" s="5">
        <f t="shared" si="30"/>
        <v>45768.89</v>
      </c>
      <c r="L112" s="259">
        <v>0.43925744047619042</v>
      </c>
      <c r="M112" s="154">
        <f t="shared" si="31"/>
        <v>10486.82265007921</v>
      </c>
      <c r="N112" s="154">
        <f t="shared" si="32"/>
        <v>4270.1981877501294</v>
      </c>
      <c r="O112" s="154">
        <f t="shared" si="33"/>
        <v>1381.9244628004603</v>
      </c>
      <c r="P112" s="154">
        <f t="shared" si="34"/>
        <v>772.42527619587179</v>
      </c>
      <c r="Q112" s="154">
        <f t="shared" si="23"/>
        <v>16911.37057682567</v>
      </c>
      <c r="R112" s="173">
        <f t="shared" si="24"/>
        <v>0.36949488127908869</v>
      </c>
      <c r="S112" s="153">
        <f t="shared" si="25"/>
        <v>16911.800176775043</v>
      </c>
      <c r="T112" s="154"/>
      <c r="U112" s="154">
        <f>IFERROR(INDEX('2016 Clerical PYA'!$O$5:$O$241,MATCH('2017 Funding'!B112,'2016 Clerical PYA'!$A$5:$A$241,0)),0)</f>
        <v>-546.00430627226706</v>
      </c>
      <c r="V112" s="154">
        <f>IFERROR(INDEX('Revised 2016 MFAM (2014 PYAs)'!$AD$26:$AD$262,MATCH('2017 Funding'!B112,'Revised 2016 MFAM (2014 PYAs)'!$B$26:$B$262,0)),0)</f>
        <v>98.008937133712607</v>
      </c>
      <c r="W112" s="154">
        <f t="shared" si="26"/>
        <v>-0.96053079773073302</v>
      </c>
      <c r="X112" s="154">
        <f t="shared" si="35"/>
        <v>-448.95589993628516</v>
      </c>
      <c r="Y112" s="154"/>
      <c r="Z112" s="155">
        <f t="shared" si="27"/>
        <v>16462.844276838758</v>
      </c>
      <c r="AA112" s="156">
        <v>0</v>
      </c>
      <c r="AB112" s="157">
        <f t="shared" si="36"/>
        <v>0</v>
      </c>
      <c r="AC112" s="154">
        <f t="shared" si="37"/>
        <v>16462.844276838758</v>
      </c>
      <c r="AD112" s="160"/>
      <c r="AE112" s="154">
        <f t="shared" si="38"/>
        <v>4115.7110692096894</v>
      </c>
      <c r="AF112" s="154">
        <f t="shared" si="38"/>
        <v>4115.7110692096894</v>
      </c>
      <c r="AG112" s="154">
        <f t="shared" si="38"/>
        <v>4115.7110692096894</v>
      </c>
      <c r="AH112" s="154">
        <f t="shared" si="38"/>
        <v>4115.7110692096894</v>
      </c>
    </row>
    <row r="113" spans="2:34" x14ac:dyDescent="0.25">
      <c r="B113" s="10">
        <v>889</v>
      </c>
      <c r="C113" s="10">
        <v>6</v>
      </c>
      <c r="D113" s="9" t="s">
        <v>211</v>
      </c>
      <c r="E113" s="8">
        <v>81.354366620670746</v>
      </c>
      <c r="F113" s="5">
        <v>46246.58</v>
      </c>
      <c r="G113" s="5">
        <v>0</v>
      </c>
      <c r="H113" s="5">
        <f t="shared" si="28"/>
        <v>46246.58</v>
      </c>
      <c r="I113" s="152">
        <f t="shared" si="29"/>
        <v>568.45848503292927</v>
      </c>
      <c r="J113" s="6">
        <f t="shared" si="22"/>
        <v>568.45848503292927</v>
      </c>
      <c r="K113" s="5">
        <f t="shared" si="30"/>
        <v>46246.58</v>
      </c>
      <c r="L113" s="259">
        <v>0.6385952380952381</v>
      </c>
      <c r="M113" s="154">
        <f t="shared" si="31"/>
        <v>10596.273639861054</v>
      </c>
      <c r="N113" s="154">
        <f t="shared" si="32"/>
        <v>3899.2149506478299</v>
      </c>
      <c r="O113" s="154">
        <f t="shared" si="33"/>
        <v>2030.0189663908095</v>
      </c>
      <c r="P113" s="154">
        <f t="shared" si="34"/>
        <v>780.48708040799067</v>
      </c>
      <c r="Q113" s="154">
        <f t="shared" si="23"/>
        <v>17305.994637307685</v>
      </c>
      <c r="R113" s="173">
        <f t="shared" si="24"/>
        <v>0.37421133924514383</v>
      </c>
      <c r="S113" s="153">
        <f t="shared" si="25"/>
        <v>17306.434261901464</v>
      </c>
      <c r="T113" s="154"/>
      <c r="U113" s="154">
        <f>IFERROR(INDEX('2016 Clerical PYA'!$O$5:$O$241,MATCH('2017 Funding'!B113,'2016 Clerical PYA'!$A$5:$A$241,0)),0)</f>
        <v>-767.96810508190174</v>
      </c>
      <c r="V113" s="154">
        <f>IFERROR(INDEX('Revised 2016 MFAM (2014 PYAs)'!$AD$26:$AD$262,MATCH('2017 Funding'!B113,'Revised 2016 MFAM (2014 PYAs)'!$B$26:$B$262,0)),0)</f>
        <v>-2314.7396346625719</v>
      </c>
      <c r="W113" s="154">
        <f t="shared" si="26"/>
        <v>-0.98294462645600267</v>
      </c>
      <c r="X113" s="154">
        <f t="shared" si="35"/>
        <v>-3083.6906843709298</v>
      </c>
      <c r="Y113" s="154"/>
      <c r="Z113" s="155">
        <f t="shared" si="27"/>
        <v>14222.743577530535</v>
      </c>
      <c r="AA113" s="156">
        <v>0</v>
      </c>
      <c r="AB113" s="157">
        <f t="shared" si="36"/>
        <v>0</v>
      </c>
      <c r="AC113" s="154">
        <f t="shared" si="37"/>
        <v>14222.743577530535</v>
      </c>
      <c r="AD113" s="160"/>
      <c r="AE113" s="154">
        <f t="shared" si="38"/>
        <v>3555.6858943826337</v>
      </c>
      <c r="AF113" s="154">
        <f t="shared" si="38"/>
        <v>3555.6858943826337</v>
      </c>
      <c r="AG113" s="154">
        <f t="shared" si="38"/>
        <v>3555.6858943826337</v>
      </c>
      <c r="AH113" s="154">
        <f t="shared" si="38"/>
        <v>3555.6858943826337</v>
      </c>
    </row>
    <row r="114" spans="2:34" x14ac:dyDescent="0.25">
      <c r="B114" s="10">
        <v>891</v>
      </c>
      <c r="C114" s="10">
        <v>6</v>
      </c>
      <c r="D114" s="9" t="s">
        <v>212</v>
      </c>
      <c r="E114" s="8">
        <v>336.22795096477125</v>
      </c>
      <c r="F114" s="5">
        <v>78021.55</v>
      </c>
      <c r="G114" s="5">
        <v>0</v>
      </c>
      <c r="H114" s="5">
        <f t="shared" si="28"/>
        <v>78021.55</v>
      </c>
      <c r="I114" s="152">
        <f t="shared" si="29"/>
        <v>232.04956570720921</v>
      </c>
      <c r="J114" s="6">
        <f t="shared" si="22"/>
        <v>232.04956570720921</v>
      </c>
      <c r="K114" s="5">
        <f t="shared" si="30"/>
        <v>78021.55</v>
      </c>
      <c r="L114" s="259">
        <v>0.44482142857142859</v>
      </c>
      <c r="M114" s="154">
        <f t="shared" si="31"/>
        <v>17876.731503304702</v>
      </c>
      <c r="N114" s="154">
        <f t="shared" si="32"/>
        <v>16114.993056739166</v>
      </c>
      <c r="O114" s="154">
        <f t="shared" si="33"/>
        <v>2385.5859736463576</v>
      </c>
      <c r="P114" s="154">
        <f t="shared" si="34"/>
        <v>1316.7419465051482</v>
      </c>
      <c r="Q114" s="154">
        <f t="shared" si="23"/>
        <v>37694.05248019538</v>
      </c>
      <c r="R114" s="173">
        <f t="shared" si="24"/>
        <v>0.48312360469889892</v>
      </c>
      <c r="S114" s="153">
        <f t="shared" si="25"/>
        <v>37695.01002310792</v>
      </c>
      <c r="T114" s="154"/>
      <c r="U114" s="154">
        <f>IFERROR(INDEX('2016 Clerical PYA'!$O$5:$O$241,MATCH('2017 Funding'!B114,'2016 Clerical PYA'!$A$5:$A$241,0)),0)</f>
        <v>-1092.5182534237028</v>
      </c>
      <c r="V114" s="154">
        <f>IFERROR(INDEX('Revised 2016 MFAM (2014 PYAs)'!$AD$26:$AD$262,MATCH('2017 Funding'!B114,'Revised 2016 MFAM (2014 PYAs)'!$B$26:$B$262,0)),0)</f>
        <v>224.14307019962143</v>
      </c>
      <c r="W114" s="154">
        <f t="shared" si="26"/>
        <v>-2.1409440550088314</v>
      </c>
      <c r="X114" s="154">
        <f t="shared" si="35"/>
        <v>-870.51612727909026</v>
      </c>
      <c r="Y114" s="154"/>
      <c r="Z114" s="155">
        <f t="shared" si="27"/>
        <v>36824.493895828826</v>
      </c>
      <c r="AA114" s="156">
        <v>0</v>
      </c>
      <c r="AB114" s="157">
        <f t="shared" si="36"/>
        <v>0</v>
      </c>
      <c r="AC114" s="154">
        <f t="shared" si="37"/>
        <v>36824.493895828826</v>
      </c>
      <c r="AD114" s="160"/>
      <c r="AE114" s="154">
        <f t="shared" si="38"/>
        <v>9206.1234739572064</v>
      </c>
      <c r="AF114" s="154">
        <f t="shared" si="38"/>
        <v>9206.1234739572064</v>
      </c>
      <c r="AG114" s="154">
        <f t="shared" si="38"/>
        <v>9206.1234739572064</v>
      </c>
      <c r="AH114" s="154">
        <f t="shared" si="38"/>
        <v>9206.1234739572064</v>
      </c>
    </row>
    <row r="115" spans="2:34" x14ac:dyDescent="0.25">
      <c r="B115" s="10">
        <v>904</v>
      </c>
      <c r="C115" s="10">
        <v>6</v>
      </c>
      <c r="D115" s="9" t="s">
        <v>213</v>
      </c>
      <c r="E115" s="8">
        <v>29.131410814890497</v>
      </c>
      <c r="F115" s="5">
        <v>14975.79</v>
      </c>
      <c r="G115" s="5">
        <v>0</v>
      </c>
      <c r="H115" s="5">
        <f t="shared" si="28"/>
        <v>14975.79</v>
      </c>
      <c r="I115" s="152">
        <f t="shared" si="29"/>
        <v>514.07705912908068</v>
      </c>
      <c r="J115" s="6">
        <f t="shared" si="22"/>
        <v>514.07705912908068</v>
      </c>
      <c r="K115" s="5">
        <f t="shared" si="30"/>
        <v>14975.790000000003</v>
      </c>
      <c r="L115" s="259">
        <v>8.3142857142857143E-2</v>
      </c>
      <c r="M115" s="154">
        <f t="shared" si="31"/>
        <v>3431.336302340515</v>
      </c>
      <c r="N115" s="154">
        <f t="shared" si="32"/>
        <v>1396.2327690720874</v>
      </c>
      <c r="O115" s="154">
        <f t="shared" si="33"/>
        <v>85.587331198379133</v>
      </c>
      <c r="P115" s="154">
        <f t="shared" si="34"/>
        <v>252.74108083026215</v>
      </c>
      <c r="Q115" s="154">
        <f t="shared" si="23"/>
        <v>5165.8974834412429</v>
      </c>
      <c r="R115" s="173">
        <f t="shared" si="24"/>
        <v>0.34494991472511582</v>
      </c>
      <c r="S115" s="153">
        <f t="shared" si="25"/>
        <v>5166.0287128580003</v>
      </c>
      <c r="T115" s="154"/>
      <c r="U115" s="154">
        <f>IFERROR(INDEX('2016 Clerical PYA'!$O$5:$O$241,MATCH('2017 Funding'!B115,'2016 Clerical PYA'!$A$5:$A$241,0)),0)</f>
        <v>-140.24845458848176</v>
      </c>
      <c r="V115" s="154">
        <f>IFERROR(INDEX('Revised 2016 MFAM (2014 PYAs)'!$AD$26:$AD$262,MATCH('2017 Funding'!B115,'Revised 2016 MFAM (2014 PYAs)'!$B$26:$B$262,0)),0)</f>
        <v>24.93443975789387</v>
      </c>
      <c r="W115" s="154">
        <f t="shared" si="26"/>
        <v>-0.29341227005956794</v>
      </c>
      <c r="X115" s="154">
        <f t="shared" si="35"/>
        <v>-115.60742710064746</v>
      </c>
      <c r="Y115" s="154"/>
      <c r="Z115" s="155">
        <f t="shared" si="27"/>
        <v>5050.421285757353</v>
      </c>
      <c r="AA115" s="156">
        <v>0</v>
      </c>
      <c r="AB115" s="157">
        <f t="shared" si="36"/>
        <v>0</v>
      </c>
      <c r="AC115" s="154">
        <f t="shared" si="37"/>
        <v>5050.421285757353</v>
      </c>
      <c r="AD115" s="160"/>
      <c r="AE115" s="154">
        <f t="shared" si="38"/>
        <v>1262.6053214393382</v>
      </c>
      <c r="AF115" s="154">
        <f t="shared" si="38"/>
        <v>1262.6053214393382</v>
      </c>
      <c r="AG115" s="154">
        <f t="shared" si="38"/>
        <v>1262.6053214393382</v>
      </c>
      <c r="AH115" s="154">
        <f t="shared" si="38"/>
        <v>1262.6053214393382</v>
      </c>
    </row>
    <row r="116" spans="2:34" x14ac:dyDescent="0.25">
      <c r="B116" s="10">
        <v>906</v>
      </c>
      <c r="C116" s="10">
        <v>6</v>
      </c>
      <c r="D116" s="9" t="s">
        <v>214</v>
      </c>
      <c r="E116" s="8">
        <v>232.99</v>
      </c>
      <c r="F116" s="5">
        <v>136919.84</v>
      </c>
      <c r="G116" s="5">
        <v>175</v>
      </c>
      <c r="H116" s="5">
        <f t="shared" si="28"/>
        <v>136744.84</v>
      </c>
      <c r="I116" s="152">
        <f t="shared" si="29"/>
        <v>586.91291471736986</v>
      </c>
      <c r="J116" s="6">
        <f t="shared" si="22"/>
        <v>586.91291471736986</v>
      </c>
      <c r="K116" s="5">
        <f t="shared" si="30"/>
        <v>136744.84</v>
      </c>
      <c r="L116" s="259">
        <v>0.70839136904761901</v>
      </c>
      <c r="M116" s="154">
        <f t="shared" si="31"/>
        <v>31331.738335656763</v>
      </c>
      <c r="N116" s="154">
        <f t="shared" si="32"/>
        <v>11166.924764928466</v>
      </c>
      <c r="O116" s="154">
        <f t="shared" si="33"/>
        <v>6658.5399042712988</v>
      </c>
      <c r="P116" s="154">
        <f t="shared" si="34"/>
        <v>2307.7940235247193</v>
      </c>
      <c r="Q116" s="154">
        <f t="shared" si="23"/>
        <v>51464.997028381244</v>
      </c>
      <c r="R116" s="173">
        <f t="shared" si="24"/>
        <v>0.37635787228520828</v>
      </c>
      <c r="S116" s="153">
        <f t="shared" si="25"/>
        <v>51466.304394925988</v>
      </c>
      <c r="T116" s="154"/>
      <c r="U116" s="154">
        <f>IFERROR(INDEX('2016 Clerical PYA'!$O$5:$O$241,MATCH('2017 Funding'!B116,'2016 Clerical PYA'!$A$5:$A$241,0)),0)</f>
        <v>-1760.3594723469723</v>
      </c>
      <c r="V116" s="154">
        <f>IFERROR(INDEX('Revised 2016 MFAM (2014 PYAs)'!$AD$26:$AD$262,MATCH('2017 Funding'!B116,'Revised 2016 MFAM (2014 PYAs)'!$B$26:$B$262,0)),0)</f>
        <v>302.14862081734464</v>
      </c>
      <c r="W116" s="154">
        <f t="shared" si="26"/>
        <v>-2.9231051632575453</v>
      </c>
      <c r="X116" s="154">
        <f t="shared" si="35"/>
        <v>-1461.1339566928852</v>
      </c>
      <c r="Y116" s="154"/>
      <c r="Z116" s="155">
        <f t="shared" si="27"/>
        <v>50005.170438233101</v>
      </c>
      <c r="AA116" s="156">
        <v>0</v>
      </c>
      <c r="AB116" s="157">
        <f t="shared" si="36"/>
        <v>0</v>
      </c>
      <c r="AC116" s="154">
        <f t="shared" si="37"/>
        <v>50005.170438233101</v>
      </c>
      <c r="AD116" s="160"/>
      <c r="AE116" s="154">
        <f t="shared" si="38"/>
        <v>12501.292609558275</v>
      </c>
      <c r="AF116" s="154">
        <f t="shared" si="38"/>
        <v>12501.292609558275</v>
      </c>
      <c r="AG116" s="154">
        <f t="shared" si="38"/>
        <v>12501.292609558275</v>
      </c>
      <c r="AH116" s="154">
        <f t="shared" si="38"/>
        <v>12501.292609558275</v>
      </c>
    </row>
    <row r="117" spans="2:34" x14ac:dyDescent="0.25">
      <c r="B117" s="10">
        <v>917</v>
      </c>
      <c r="C117" s="10">
        <v>6</v>
      </c>
      <c r="D117" s="9" t="s">
        <v>215</v>
      </c>
      <c r="E117" s="8">
        <v>61.484083402581376</v>
      </c>
      <c r="F117" s="5">
        <v>55133.82</v>
      </c>
      <c r="G117" s="5">
        <v>0</v>
      </c>
      <c r="H117" s="5">
        <f t="shared" si="28"/>
        <v>55133.82</v>
      </c>
      <c r="I117" s="152">
        <f t="shared" si="29"/>
        <v>896.71695419119214</v>
      </c>
      <c r="J117" s="6">
        <f t="shared" si="22"/>
        <v>896.71695419119214</v>
      </c>
      <c r="K117" s="5">
        <f t="shared" si="30"/>
        <v>55133.82</v>
      </c>
      <c r="L117" s="259">
        <v>0.2311047619047619</v>
      </c>
      <c r="M117" s="154">
        <f t="shared" si="31"/>
        <v>12632.567500793446</v>
      </c>
      <c r="N117" s="154">
        <f t="shared" si="32"/>
        <v>2946.8566616473381</v>
      </c>
      <c r="O117" s="154">
        <f t="shared" si="33"/>
        <v>875.83395135501064</v>
      </c>
      <c r="P117" s="154">
        <f t="shared" si="34"/>
        <v>930.47386863071131</v>
      </c>
      <c r="Q117" s="154">
        <f t="shared" si="23"/>
        <v>17385.731982426503</v>
      </c>
      <c r="R117" s="173">
        <f t="shared" si="24"/>
        <v>0.31533697433674113</v>
      </c>
      <c r="S117" s="153">
        <f t="shared" si="25"/>
        <v>17386.173632589958</v>
      </c>
      <c r="T117" s="154"/>
      <c r="U117" s="154">
        <f>IFERROR(INDEX('2016 Clerical PYA'!$O$5:$O$241,MATCH('2017 Funding'!B117,'2016 Clerical PYA'!$A$5:$A$241,0)),0)</f>
        <v>-854.95887180597128</v>
      </c>
      <c r="V117" s="154">
        <f>IFERROR(INDEX('Revised 2016 MFAM (2014 PYAs)'!$AD$26:$AD$262,MATCH('2017 Funding'!B117,'Revised 2016 MFAM (2014 PYAs)'!$B$26:$B$262,0)),0)</f>
        <v>-2790.1734897872102</v>
      </c>
      <c r="W117" s="154">
        <f t="shared" si="26"/>
        <v>-0.98747354239264851</v>
      </c>
      <c r="X117" s="154">
        <f t="shared" si="35"/>
        <v>-3646.1198351355742</v>
      </c>
      <c r="Y117" s="154"/>
      <c r="Z117" s="155">
        <f t="shared" si="27"/>
        <v>13740.053797454384</v>
      </c>
      <c r="AA117" s="156">
        <v>0</v>
      </c>
      <c r="AB117" s="157">
        <f t="shared" si="36"/>
        <v>0</v>
      </c>
      <c r="AC117" s="154">
        <f t="shared" si="37"/>
        <v>13740.053797454384</v>
      </c>
      <c r="AD117" s="160"/>
      <c r="AE117" s="154">
        <f t="shared" si="38"/>
        <v>3435.013449363596</v>
      </c>
      <c r="AF117" s="154">
        <f t="shared" si="38"/>
        <v>3435.013449363596</v>
      </c>
      <c r="AG117" s="154">
        <f t="shared" si="38"/>
        <v>3435.013449363596</v>
      </c>
      <c r="AH117" s="154">
        <f t="shared" si="38"/>
        <v>3435.013449363596</v>
      </c>
    </row>
    <row r="118" spans="2:34" x14ac:dyDescent="0.25">
      <c r="B118" s="10">
        <v>957</v>
      </c>
      <c r="C118" s="10">
        <v>6</v>
      </c>
      <c r="D118" s="9" t="s">
        <v>216</v>
      </c>
      <c r="E118" s="8">
        <v>100.7693301237677</v>
      </c>
      <c r="F118" s="5">
        <v>34702.080000000002</v>
      </c>
      <c r="G118" s="5">
        <v>0</v>
      </c>
      <c r="H118" s="5">
        <f t="shared" si="28"/>
        <v>34702.080000000002</v>
      </c>
      <c r="I118" s="152">
        <f t="shared" si="29"/>
        <v>344.37144672270756</v>
      </c>
      <c r="J118" s="6">
        <f t="shared" si="22"/>
        <v>344.37144672270756</v>
      </c>
      <c r="K118" s="5">
        <f t="shared" si="30"/>
        <v>34702.080000000002</v>
      </c>
      <c r="L118" s="259">
        <v>0.46816517857142859</v>
      </c>
      <c r="M118" s="154">
        <f t="shared" si="31"/>
        <v>7951.1335876587964</v>
      </c>
      <c r="N118" s="154">
        <f t="shared" si="32"/>
        <v>4829.7503244961317</v>
      </c>
      <c r="O118" s="154">
        <f t="shared" si="33"/>
        <v>1116.7331627734691</v>
      </c>
      <c r="P118" s="154">
        <f t="shared" si="34"/>
        <v>585.65466037238923</v>
      </c>
      <c r="Q118" s="154">
        <f t="shared" si="23"/>
        <v>14483.271735300787</v>
      </c>
      <c r="R118" s="173">
        <f t="shared" si="24"/>
        <v>0.41736033503757658</v>
      </c>
      <c r="S118" s="153">
        <f t="shared" si="25"/>
        <v>14483.639654197485</v>
      </c>
      <c r="T118" s="154"/>
      <c r="U118" s="154">
        <f>IFERROR(INDEX('2016 Clerical PYA'!$O$5:$O$241,MATCH('2017 Funding'!B118,'2016 Clerical PYA'!$A$5:$A$241,0)),0)</f>
        <v>-442.24111750427073</v>
      </c>
      <c r="V118" s="154">
        <f>IFERROR(INDEX('Revised 2016 MFAM (2014 PYAs)'!$AD$26:$AD$262,MATCH('2017 Funding'!B118,'Revised 2016 MFAM (2014 PYAs)'!$B$26:$B$262,0)),0)</f>
        <v>82.491932202819953</v>
      </c>
      <c r="W118" s="154">
        <f t="shared" si="26"/>
        <v>-0.82261981608534485</v>
      </c>
      <c r="X118" s="154">
        <f t="shared" si="35"/>
        <v>-360.57180511753614</v>
      </c>
      <c r="Y118" s="154"/>
      <c r="Z118" s="155">
        <f t="shared" si="27"/>
        <v>14123.067849079949</v>
      </c>
      <c r="AA118" s="156">
        <v>0</v>
      </c>
      <c r="AB118" s="157">
        <f t="shared" si="36"/>
        <v>0</v>
      </c>
      <c r="AC118" s="154">
        <f t="shared" si="37"/>
        <v>14123.067849079949</v>
      </c>
      <c r="AD118" s="160"/>
      <c r="AE118" s="154">
        <f t="shared" si="38"/>
        <v>3530.7669622699873</v>
      </c>
      <c r="AF118" s="154">
        <f t="shared" si="38"/>
        <v>3530.7669622699873</v>
      </c>
      <c r="AG118" s="154">
        <f t="shared" si="38"/>
        <v>3530.7669622699873</v>
      </c>
      <c r="AH118" s="154">
        <f t="shared" si="38"/>
        <v>3530.7669622699873</v>
      </c>
    </row>
    <row r="119" spans="2:34" x14ac:dyDescent="0.25">
      <c r="B119" s="10">
        <v>959</v>
      </c>
      <c r="C119" s="10">
        <v>6</v>
      </c>
      <c r="D119" s="9" t="s">
        <v>217</v>
      </c>
      <c r="E119" s="8">
        <v>325.85513791920482</v>
      </c>
      <c r="F119" s="5">
        <v>101044.32</v>
      </c>
      <c r="G119" s="5">
        <v>328</v>
      </c>
      <c r="H119" s="5">
        <f t="shared" si="28"/>
        <v>100716.32</v>
      </c>
      <c r="I119" s="152">
        <f t="shared" si="29"/>
        <v>309.08311172608376</v>
      </c>
      <c r="J119" s="6">
        <f t="shared" si="22"/>
        <v>309.08311172608376</v>
      </c>
      <c r="K119" s="5">
        <f t="shared" si="30"/>
        <v>100716.32000000002</v>
      </c>
      <c r="L119" s="259">
        <v>0.63545833333333335</v>
      </c>
      <c r="M119" s="154">
        <f t="shared" si="31"/>
        <v>23076.683437344142</v>
      </c>
      <c r="N119" s="154">
        <f t="shared" si="32"/>
        <v>15617.836857415121</v>
      </c>
      <c r="O119" s="154">
        <f t="shared" si="33"/>
        <v>4399.2812387866943</v>
      </c>
      <c r="P119" s="154">
        <f t="shared" si="34"/>
        <v>1699.7535070968909</v>
      </c>
      <c r="Q119" s="154">
        <f t="shared" si="23"/>
        <v>44793.555040642845</v>
      </c>
      <c r="R119" s="173">
        <f t="shared" si="24"/>
        <v>0.44474971921772793</v>
      </c>
      <c r="S119" s="153">
        <f t="shared" si="25"/>
        <v>44794.692932387952</v>
      </c>
      <c r="T119" s="154"/>
      <c r="U119" s="154">
        <f>IFERROR(INDEX('2016 Clerical PYA'!$O$5:$O$241,MATCH('2017 Funding'!B119,'2016 Clerical PYA'!$A$5:$A$241,0)),0)</f>
        <v>-1370.438606202224</v>
      </c>
      <c r="V119" s="154">
        <f>IFERROR(INDEX('Revised 2016 MFAM (2014 PYAs)'!$AD$26:$AD$262,MATCH('2017 Funding'!B119,'Revised 2016 MFAM (2014 PYAs)'!$B$26:$B$262,0)),0)</f>
        <v>263.34086019531969</v>
      </c>
      <c r="W119" s="154">
        <f t="shared" si="26"/>
        <v>-2.5441810857922933</v>
      </c>
      <c r="X119" s="154">
        <f t="shared" si="35"/>
        <v>-1109.6419270926967</v>
      </c>
      <c r="Y119" s="154"/>
      <c r="Z119" s="155">
        <f t="shared" si="27"/>
        <v>43685.051005295252</v>
      </c>
      <c r="AA119" s="156">
        <v>0</v>
      </c>
      <c r="AB119" s="157">
        <f t="shared" si="36"/>
        <v>0</v>
      </c>
      <c r="AC119" s="154">
        <f t="shared" si="37"/>
        <v>43685.051005295252</v>
      </c>
      <c r="AD119" s="160"/>
      <c r="AE119" s="154">
        <f t="shared" si="38"/>
        <v>10921.262751323813</v>
      </c>
      <c r="AF119" s="154">
        <f t="shared" si="38"/>
        <v>10921.262751323813</v>
      </c>
      <c r="AG119" s="154">
        <f t="shared" si="38"/>
        <v>10921.262751323813</v>
      </c>
      <c r="AH119" s="154">
        <f t="shared" si="38"/>
        <v>10921.262751323813</v>
      </c>
    </row>
    <row r="120" spans="2:34" x14ac:dyDescent="0.25">
      <c r="B120" s="10">
        <v>969</v>
      </c>
      <c r="C120" s="10">
        <v>6</v>
      </c>
      <c r="D120" s="9" t="s">
        <v>218</v>
      </c>
      <c r="E120" s="8">
        <v>17.594391748176051</v>
      </c>
      <c r="F120" s="5">
        <v>31689.82</v>
      </c>
      <c r="G120" s="5">
        <v>0</v>
      </c>
      <c r="H120" s="5">
        <f t="shared" si="28"/>
        <v>31689.82</v>
      </c>
      <c r="I120" s="152">
        <f t="shared" si="29"/>
        <v>1801.1318864310938</v>
      </c>
      <c r="J120" s="6">
        <f t="shared" si="22"/>
        <v>940.2492921721589</v>
      </c>
      <c r="K120" s="5">
        <f t="shared" si="30"/>
        <v>16543.114387422203</v>
      </c>
      <c r="L120" s="259">
        <v>0.265625</v>
      </c>
      <c r="M120" s="154">
        <f t="shared" si="31"/>
        <v>3790.4503836748154</v>
      </c>
      <c r="N120" s="154">
        <f t="shared" si="32"/>
        <v>843.27760391673553</v>
      </c>
      <c r="O120" s="154">
        <f t="shared" si="33"/>
        <v>302.05151494908682</v>
      </c>
      <c r="P120" s="154">
        <f t="shared" si="34"/>
        <v>279.19225700786046</v>
      </c>
      <c r="Q120" s="154">
        <f t="shared" si="23"/>
        <v>5214.9717595484981</v>
      </c>
      <c r="R120" s="173">
        <f t="shared" si="24"/>
        <v>0.31523518712495041</v>
      </c>
      <c r="S120" s="153">
        <f t="shared" si="25"/>
        <v>5215.1042356002599</v>
      </c>
      <c r="T120" s="154"/>
      <c r="U120" s="154">
        <f>IFERROR(INDEX('2016 Clerical PYA'!$O$5:$O$241,MATCH('2017 Funding'!B120,'2016 Clerical PYA'!$A$5:$A$241,0)),0)</f>
        <v>756.84911657010298</v>
      </c>
      <c r="V120" s="154">
        <f>IFERROR(INDEX('Revised 2016 MFAM (2014 PYAs)'!$AD$26:$AD$262,MATCH('2017 Funding'!B120,'Revised 2016 MFAM (2014 PYAs)'!$B$26:$B$262,0)),0)</f>
        <v>106.62364876008905</v>
      </c>
      <c r="W120" s="154">
        <f t="shared" si="26"/>
        <v>-0.29619958722958811</v>
      </c>
      <c r="X120" s="154">
        <f t="shared" si="35"/>
        <v>863.17656574296245</v>
      </c>
      <c r="Y120" s="154"/>
      <c r="Z120" s="155">
        <f t="shared" si="27"/>
        <v>6078.2808013432223</v>
      </c>
      <c r="AA120" s="156">
        <v>0</v>
      </c>
      <c r="AB120" s="157">
        <f t="shared" si="36"/>
        <v>0</v>
      </c>
      <c r="AC120" s="154">
        <f t="shared" si="37"/>
        <v>6078.2808013432223</v>
      </c>
      <c r="AD120" s="160"/>
      <c r="AE120" s="154">
        <f t="shared" si="38"/>
        <v>1519.5702003358056</v>
      </c>
      <c r="AF120" s="154">
        <f t="shared" si="38"/>
        <v>1519.5702003358056</v>
      </c>
      <c r="AG120" s="154">
        <f t="shared" si="38"/>
        <v>1519.5702003358056</v>
      </c>
      <c r="AH120" s="154">
        <f t="shared" si="38"/>
        <v>1519.5702003358056</v>
      </c>
    </row>
    <row r="121" spans="2:34" x14ac:dyDescent="0.25">
      <c r="B121" s="10">
        <v>970</v>
      </c>
      <c r="C121" s="10">
        <v>6</v>
      </c>
      <c r="D121" s="9" t="s">
        <v>219</v>
      </c>
      <c r="E121" s="8">
        <v>187.73478598165758</v>
      </c>
      <c r="F121" s="5">
        <v>48374.13</v>
      </c>
      <c r="G121" s="5">
        <v>119</v>
      </c>
      <c r="H121" s="5">
        <f t="shared" si="28"/>
        <v>48255.13</v>
      </c>
      <c r="I121" s="152">
        <f t="shared" si="29"/>
        <v>257.03883139012243</v>
      </c>
      <c r="J121" s="6">
        <f t="shared" si="22"/>
        <v>257.03883139012243</v>
      </c>
      <c r="K121" s="5">
        <f t="shared" si="30"/>
        <v>48255.130000000005</v>
      </c>
      <c r="L121" s="259">
        <v>0.32010714285714287</v>
      </c>
      <c r="M121" s="154">
        <f t="shared" si="31"/>
        <v>11056.483787710755</v>
      </c>
      <c r="N121" s="154">
        <f t="shared" si="32"/>
        <v>8997.8978961205084</v>
      </c>
      <c r="O121" s="154">
        <f t="shared" si="33"/>
        <v>1061.777830599123</v>
      </c>
      <c r="P121" s="154">
        <f t="shared" si="34"/>
        <v>814.38466430183701</v>
      </c>
      <c r="Q121" s="154">
        <f t="shared" si="23"/>
        <v>21930.544178732223</v>
      </c>
      <c r="R121" s="173">
        <f t="shared" si="24"/>
        <v>0.4544707304432134</v>
      </c>
      <c r="S121" s="153">
        <f t="shared" si="25"/>
        <v>21931.101280868101</v>
      </c>
      <c r="T121" s="154"/>
      <c r="U121" s="154">
        <f>IFERROR(INDEX('2016 Clerical PYA'!$O$5:$O$241,MATCH('2017 Funding'!B121,'2016 Clerical PYA'!$A$5:$A$241,0)),0)</f>
        <v>-593.2927559544114</v>
      </c>
      <c r="V121" s="154">
        <f>IFERROR(INDEX('Revised 2016 MFAM (2014 PYAs)'!$AD$26:$AD$262,MATCH('2017 Funding'!B121,'Revised 2016 MFAM (2014 PYAs)'!$B$26:$B$262,0)),0)</f>
        <v>119.89004487865895</v>
      </c>
      <c r="W121" s="154">
        <f t="shared" si="26"/>
        <v>-1.2456094554236139</v>
      </c>
      <c r="X121" s="154">
        <f t="shared" si="35"/>
        <v>-474.64832053117607</v>
      </c>
      <c r="Y121" s="154"/>
      <c r="Z121" s="155">
        <f t="shared" si="27"/>
        <v>21456.452960336923</v>
      </c>
      <c r="AA121" s="156">
        <v>0</v>
      </c>
      <c r="AB121" s="157">
        <f t="shared" si="36"/>
        <v>0</v>
      </c>
      <c r="AC121" s="154">
        <f t="shared" si="37"/>
        <v>21456.452960336923</v>
      </c>
      <c r="AD121" s="160"/>
      <c r="AE121" s="154">
        <f t="shared" si="38"/>
        <v>5364.1132400842307</v>
      </c>
      <c r="AF121" s="154">
        <f t="shared" si="38"/>
        <v>5364.1132400842307</v>
      </c>
      <c r="AG121" s="154">
        <f t="shared" si="38"/>
        <v>5364.1132400842307</v>
      </c>
      <c r="AH121" s="154">
        <f t="shared" si="38"/>
        <v>5364.1132400842307</v>
      </c>
    </row>
    <row r="122" spans="2:34" x14ac:dyDescent="0.25">
      <c r="B122" s="91">
        <v>980</v>
      </c>
      <c r="C122" s="91">
        <v>6</v>
      </c>
      <c r="D122" s="92" t="s">
        <v>220</v>
      </c>
      <c r="E122" s="8">
        <v>45.920487119866451</v>
      </c>
      <c r="F122" s="5">
        <v>22517.62</v>
      </c>
      <c r="G122" s="5">
        <v>0</v>
      </c>
      <c r="H122" s="5">
        <f t="shared" si="28"/>
        <v>22517.62</v>
      </c>
      <c r="I122" s="152">
        <f t="shared" si="29"/>
        <v>490.36108744278249</v>
      </c>
      <c r="J122" s="6">
        <f t="shared" si="22"/>
        <v>490.36108744278249</v>
      </c>
      <c r="K122" s="5">
        <f t="shared" si="30"/>
        <v>22517.62</v>
      </c>
      <c r="L122" s="259">
        <v>0.30555357142857142</v>
      </c>
      <c r="M122" s="154">
        <f t="shared" si="31"/>
        <v>5159.3623407051518</v>
      </c>
      <c r="N122" s="154">
        <f t="shared" si="32"/>
        <v>2200.9125921130321</v>
      </c>
      <c r="O122" s="154">
        <f t="shared" si="33"/>
        <v>472.93847684895991</v>
      </c>
      <c r="P122" s="154">
        <f t="shared" si="34"/>
        <v>380.02186305531302</v>
      </c>
      <c r="Q122" s="154">
        <f t="shared" si="23"/>
        <v>8213.235272722457</v>
      </c>
      <c r="R122" s="173">
        <f t="shared" si="24"/>
        <v>0.36474704132685681</v>
      </c>
      <c r="S122" s="153">
        <f t="shared" si="25"/>
        <v>8213.443913733623</v>
      </c>
      <c r="T122" s="154"/>
      <c r="U122" s="154">
        <f>IFERROR(INDEX('2016 Clerical PYA'!$O$5:$O$241,MATCH('2017 Funding'!B122,'2016 Clerical PYA'!$A$5:$A$241,0)),0)</f>
        <v>-240.86720983675332</v>
      </c>
      <c r="V122" s="154">
        <f>IFERROR(INDEX('Revised 2016 MFAM (2014 PYAs)'!$AD$26:$AD$262,MATCH('2017 Funding'!B122,'Revised 2016 MFAM (2014 PYAs)'!$B$26:$B$262,0)),0)</f>
        <v>42.075723588872279</v>
      </c>
      <c r="W122" s="154">
        <f t="shared" si="26"/>
        <v>-0.46649474048360096</v>
      </c>
      <c r="X122" s="154">
        <f t="shared" si="35"/>
        <v>-199.25798098836464</v>
      </c>
      <c r="Y122" s="154"/>
      <c r="Z122" s="155">
        <f t="shared" si="27"/>
        <v>8014.1859327452585</v>
      </c>
      <c r="AA122" s="156">
        <v>0</v>
      </c>
      <c r="AB122" s="157">
        <f t="shared" si="36"/>
        <v>0</v>
      </c>
      <c r="AC122" s="154">
        <f t="shared" si="37"/>
        <v>8014.1859327452585</v>
      </c>
      <c r="AD122" s="160"/>
      <c r="AE122" s="154">
        <f t="shared" si="38"/>
        <v>2003.5464831863146</v>
      </c>
      <c r="AF122" s="154">
        <f t="shared" si="38"/>
        <v>2003.5464831863146</v>
      </c>
      <c r="AG122" s="154">
        <f t="shared" si="38"/>
        <v>2003.5464831863146</v>
      </c>
      <c r="AH122" s="154">
        <f t="shared" si="38"/>
        <v>2003.5464831863146</v>
      </c>
    </row>
    <row r="123" spans="2:34" x14ac:dyDescent="0.25">
      <c r="B123" s="91">
        <v>986</v>
      </c>
      <c r="C123" s="91">
        <v>6</v>
      </c>
      <c r="D123" s="92" t="s">
        <v>221</v>
      </c>
      <c r="E123" s="8">
        <v>15.143431703654015</v>
      </c>
      <c r="F123" s="5">
        <v>23164.83</v>
      </c>
      <c r="G123" s="5">
        <v>0</v>
      </c>
      <c r="H123" s="5">
        <f t="shared" si="28"/>
        <v>23164.83</v>
      </c>
      <c r="I123" s="152">
        <f t="shared" si="29"/>
        <v>1529.6948837832097</v>
      </c>
      <c r="J123" s="6">
        <f t="shared" si="22"/>
        <v>940.2492921721589</v>
      </c>
      <c r="K123" s="5">
        <f t="shared" si="30"/>
        <v>14238.600940418119</v>
      </c>
      <c r="L123" s="259">
        <v>0.11225</v>
      </c>
      <c r="M123" s="154">
        <f t="shared" si="31"/>
        <v>3262.4274446554391</v>
      </c>
      <c r="N123" s="154">
        <f t="shared" si="32"/>
        <v>725.80609690345898</v>
      </c>
      <c r="O123" s="154">
        <f t="shared" si="33"/>
        <v>109.8622441987719</v>
      </c>
      <c r="P123" s="154">
        <f t="shared" si="34"/>
        <v>240.29980329532276</v>
      </c>
      <c r="Q123" s="154">
        <f t="shared" si="23"/>
        <v>4338.3955890529933</v>
      </c>
      <c r="R123" s="173">
        <f t="shared" si="24"/>
        <v>0.30469254719667671</v>
      </c>
      <c r="S123" s="153">
        <f t="shared" si="25"/>
        <v>4338.5057974194269</v>
      </c>
      <c r="T123" s="154"/>
      <c r="U123" s="154">
        <f>IFERROR(INDEX('2016 Clerical PYA'!$O$5:$O$241,MATCH('2017 Funding'!B123,'2016 Clerical PYA'!$A$5:$A$241,0)),0)</f>
        <v>619.32429884240037</v>
      </c>
      <c r="V123" s="154">
        <f>IFERROR(INDEX('Revised 2016 MFAM (2014 PYAs)'!$AD$26:$AD$262,MATCH('2017 Funding'!B123,'Revised 2016 MFAM (2014 PYAs)'!$B$26:$B$262,0)),0)</f>
        <v>88.186090293991128</v>
      </c>
      <c r="W123" s="154">
        <f t="shared" si="26"/>
        <v>-0.24641187756449476</v>
      </c>
      <c r="X123" s="154">
        <f t="shared" si="35"/>
        <v>707.26397725882703</v>
      </c>
      <c r="Y123" s="154"/>
      <c r="Z123" s="155">
        <f t="shared" si="27"/>
        <v>5045.7697746782542</v>
      </c>
      <c r="AA123" s="156">
        <v>0</v>
      </c>
      <c r="AB123" s="157">
        <f t="shared" si="36"/>
        <v>0</v>
      </c>
      <c r="AC123" s="154">
        <f t="shared" si="37"/>
        <v>5045.7697746782542</v>
      </c>
      <c r="AD123" s="160"/>
      <c r="AE123" s="154">
        <f t="shared" si="38"/>
        <v>1261.4424436695635</v>
      </c>
      <c r="AF123" s="154">
        <f t="shared" si="38"/>
        <v>1261.4424436695635</v>
      </c>
      <c r="AG123" s="154">
        <f t="shared" si="38"/>
        <v>1261.4424436695635</v>
      </c>
      <c r="AH123" s="154">
        <f t="shared" si="38"/>
        <v>1261.4424436695635</v>
      </c>
    </row>
    <row r="124" spans="2:34" x14ac:dyDescent="0.25">
      <c r="B124" s="91">
        <v>988</v>
      </c>
      <c r="C124" s="91">
        <v>6</v>
      </c>
      <c r="D124" s="92" t="s">
        <v>222</v>
      </c>
      <c r="E124" s="8">
        <v>112.1559493829518</v>
      </c>
      <c r="F124" s="5">
        <v>52998.48</v>
      </c>
      <c r="G124" s="5">
        <v>0</v>
      </c>
      <c r="H124" s="5">
        <f t="shared" si="28"/>
        <v>52998.48</v>
      </c>
      <c r="I124" s="152">
        <f t="shared" si="29"/>
        <v>472.54274331037857</v>
      </c>
      <c r="J124" s="6">
        <f t="shared" si="22"/>
        <v>472.54274331037857</v>
      </c>
      <c r="K124" s="5">
        <f t="shared" si="30"/>
        <v>52998.48</v>
      </c>
      <c r="L124" s="259">
        <v>0.41134821428571433</v>
      </c>
      <c r="M124" s="154">
        <f t="shared" si="31"/>
        <v>12143.306522919172</v>
      </c>
      <c r="N124" s="154">
        <f t="shared" si="32"/>
        <v>5375.4970114534881</v>
      </c>
      <c r="O124" s="154">
        <f t="shared" si="33"/>
        <v>1498.5382361180605</v>
      </c>
      <c r="P124" s="154">
        <f t="shared" si="34"/>
        <v>894.43649500701008</v>
      </c>
      <c r="Q124" s="154">
        <f t="shared" si="23"/>
        <v>19911.778265497727</v>
      </c>
      <c r="R124" s="173">
        <f t="shared" si="24"/>
        <v>0.37570470446506626</v>
      </c>
      <c r="S124" s="153">
        <f t="shared" si="25"/>
        <v>19912.284084875049</v>
      </c>
      <c r="T124" s="154"/>
      <c r="U124" s="154">
        <f>IFERROR(INDEX('2016 Clerical PYA'!$O$5:$O$241,MATCH('2017 Funding'!B124,'2016 Clerical PYA'!$A$5:$A$241,0)),0)</f>
        <v>-759.34704639394477</v>
      </c>
      <c r="V124" s="154">
        <f>IFERROR(INDEX('Revised 2016 MFAM (2014 PYAs)'!$AD$26:$AD$262,MATCH('2017 Funding'!B124,'Revised 2016 MFAM (2014 PYAs)'!$B$26:$B$262,0)),0)</f>
        <v>131.90125590964453</v>
      </c>
      <c r="W124" s="154">
        <f t="shared" si="26"/>
        <v>-1.1309477357089532</v>
      </c>
      <c r="X124" s="154">
        <f t="shared" si="35"/>
        <v>-628.57673822000913</v>
      </c>
      <c r="Y124" s="154"/>
      <c r="Z124" s="155">
        <f t="shared" si="27"/>
        <v>19283.707346655039</v>
      </c>
      <c r="AA124" s="156">
        <v>0</v>
      </c>
      <c r="AB124" s="157">
        <f t="shared" si="36"/>
        <v>0</v>
      </c>
      <c r="AC124" s="154">
        <f t="shared" si="37"/>
        <v>19283.707346655039</v>
      </c>
      <c r="AD124" s="160"/>
      <c r="AE124" s="154">
        <f t="shared" si="38"/>
        <v>4820.9268366637598</v>
      </c>
      <c r="AF124" s="154">
        <f t="shared" si="38"/>
        <v>4820.9268366637598</v>
      </c>
      <c r="AG124" s="154">
        <f t="shared" si="38"/>
        <v>4820.9268366637598</v>
      </c>
      <c r="AH124" s="154">
        <f t="shared" si="38"/>
        <v>4820.9268366637598</v>
      </c>
    </row>
    <row r="125" spans="2:34" x14ac:dyDescent="0.25">
      <c r="B125" s="91">
        <v>989</v>
      </c>
      <c r="C125" s="91">
        <v>6</v>
      </c>
      <c r="D125" s="92" t="s">
        <v>223</v>
      </c>
      <c r="E125" s="8">
        <v>483.30306049355437</v>
      </c>
      <c r="F125" s="5">
        <v>285307.59000000003</v>
      </c>
      <c r="G125" s="5">
        <v>16617.600000000002</v>
      </c>
      <c r="H125" s="5">
        <f t="shared" si="28"/>
        <v>268689.99000000005</v>
      </c>
      <c r="I125" s="152">
        <f t="shared" si="29"/>
        <v>555.94514490682286</v>
      </c>
      <c r="J125" s="6">
        <f t="shared" si="22"/>
        <v>555.94514490682286</v>
      </c>
      <c r="K125" s="5">
        <f t="shared" si="30"/>
        <v>268689.99000000005</v>
      </c>
      <c r="L125" s="259">
        <v>0.55460565476190471</v>
      </c>
      <c r="M125" s="154">
        <f t="shared" si="31"/>
        <v>61563.745001933778</v>
      </c>
      <c r="N125" s="154">
        <f t="shared" si="32"/>
        <v>23164.122559728716</v>
      </c>
      <c r="O125" s="154">
        <f t="shared" si="33"/>
        <v>10243.080331917725</v>
      </c>
      <c r="P125" s="154">
        <f t="shared" si="34"/>
        <v>4534.5853862048234</v>
      </c>
      <c r="Q125" s="154">
        <f t="shared" si="23"/>
        <v>99505.533279785042</v>
      </c>
      <c r="R125" s="173">
        <f t="shared" si="24"/>
        <v>0.37033584049701673</v>
      </c>
      <c r="S125" s="153">
        <f t="shared" si="25"/>
        <v>99508.061021215894</v>
      </c>
      <c r="T125" s="154"/>
      <c r="U125" s="154">
        <f>IFERROR(INDEX('2016 Clerical PYA'!$O$5:$O$241,MATCH('2017 Funding'!B125,'2016 Clerical PYA'!$A$5:$A$241,0)),0)</f>
        <v>-3329.442380447741</v>
      </c>
      <c r="V125" s="154">
        <f>IFERROR(INDEX('Revised 2016 MFAM (2014 PYAs)'!$AD$26:$AD$262,MATCH('2017 Funding'!B125,'Revised 2016 MFAM (2014 PYAs)'!$B$26:$B$262,0)),0)</f>
        <v>3926.9830659155996</v>
      </c>
      <c r="W125" s="154">
        <f t="shared" si="26"/>
        <v>-5.6517080520267529</v>
      </c>
      <c r="X125" s="154">
        <f t="shared" si="35"/>
        <v>591.88897741583185</v>
      </c>
      <c r="Y125" s="154"/>
      <c r="Z125" s="155">
        <f t="shared" si="27"/>
        <v>100099.94999863172</v>
      </c>
      <c r="AA125" s="156">
        <v>0</v>
      </c>
      <c r="AB125" s="157">
        <f t="shared" si="36"/>
        <v>0</v>
      </c>
      <c r="AC125" s="154">
        <f t="shared" si="37"/>
        <v>100099.94999863172</v>
      </c>
      <c r="AD125" s="160"/>
      <c r="AE125" s="154">
        <f t="shared" si="38"/>
        <v>25024.987499657931</v>
      </c>
      <c r="AF125" s="154">
        <f t="shared" si="38"/>
        <v>25024.987499657931</v>
      </c>
      <c r="AG125" s="154">
        <f t="shared" si="38"/>
        <v>25024.987499657931</v>
      </c>
      <c r="AH125" s="154">
        <f t="shared" si="38"/>
        <v>25024.987499657931</v>
      </c>
    </row>
    <row r="126" spans="2:34" x14ac:dyDescent="0.25">
      <c r="B126" s="10">
        <v>39</v>
      </c>
      <c r="C126" s="10">
        <v>7</v>
      </c>
      <c r="D126" s="9" t="s">
        <v>224</v>
      </c>
      <c r="E126" s="8">
        <v>372.70348848449748</v>
      </c>
      <c r="F126" s="5">
        <v>114903.92</v>
      </c>
      <c r="G126" s="5">
        <v>3164.92</v>
      </c>
      <c r="H126" s="5">
        <f t="shared" si="28"/>
        <v>111739</v>
      </c>
      <c r="I126" s="152">
        <f t="shared" si="29"/>
        <v>299.80669205527909</v>
      </c>
      <c r="J126" s="6">
        <f t="shared" si="22"/>
        <v>299.80669205527909</v>
      </c>
      <c r="K126" s="5">
        <f t="shared" si="30"/>
        <v>111738.99999999999</v>
      </c>
      <c r="L126" s="259">
        <v>0.55333482142857149</v>
      </c>
      <c r="M126" s="154">
        <f t="shared" si="31"/>
        <v>25602.261188707016</v>
      </c>
      <c r="N126" s="154">
        <f t="shared" si="32"/>
        <v>17863.220805754609</v>
      </c>
      <c r="O126" s="154">
        <f t="shared" si="33"/>
        <v>4249.9867869062527</v>
      </c>
      <c r="P126" s="154">
        <f t="shared" si="34"/>
        <v>1885.7793566077419</v>
      </c>
      <c r="Q126" s="154">
        <f t="shared" si="23"/>
        <v>49601.248137975621</v>
      </c>
      <c r="R126" s="173">
        <f t="shared" si="24"/>
        <v>0.44390273886445758</v>
      </c>
      <c r="S126" s="153">
        <f t="shared" si="25"/>
        <v>49602.508159662932</v>
      </c>
      <c r="T126" s="154"/>
      <c r="U126" s="154">
        <f>IFERROR(INDEX('2016 Clerical PYA'!$O$5:$O$241,MATCH('2017 Funding'!B126,'2016 Clerical PYA'!$A$5:$A$241,0)),0)</f>
        <v>-1660.4615660731215</v>
      </c>
      <c r="V126" s="154">
        <f>IFERROR(INDEX('Revised 2016 MFAM (2014 PYAs)'!$AD$26:$AD$262,MATCH('2017 Funding'!B126,'Revised 2016 MFAM (2014 PYAs)'!$B$26:$B$262,0)),0)</f>
        <v>308.62549750204198</v>
      </c>
      <c r="W126" s="154">
        <f t="shared" si="26"/>
        <v>-2.8172480891464589</v>
      </c>
      <c r="X126" s="154">
        <f t="shared" si="35"/>
        <v>-1354.653316660226</v>
      </c>
      <c r="Y126" s="154"/>
      <c r="Z126" s="155">
        <f t="shared" si="27"/>
        <v>48247.854843002708</v>
      </c>
      <c r="AA126" s="156">
        <v>0</v>
      </c>
      <c r="AB126" s="157">
        <f t="shared" si="36"/>
        <v>0</v>
      </c>
      <c r="AC126" s="154">
        <f t="shared" si="37"/>
        <v>48247.854843002708</v>
      </c>
      <c r="AD126" s="160"/>
      <c r="AE126" s="154">
        <f t="shared" si="38"/>
        <v>12061.963710750677</v>
      </c>
      <c r="AF126" s="154">
        <f t="shared" si="38"/>
        <v>12061.963710750677</v>
      </c>
      <c r="AG126" s="154">
        <f t="shared" si="38"/>
        <v>12061.963710750677</v>
      </c>
      <c r="AH126" s="154">
        <f t="shared" si="38"/>
        <v>12061.963710750677</v>
      </c>
    </row>
    <row r="127" spans="2:34" x14ac:dyDescent="0.25">
      <c r="B127" s="10">
        <v>59</v>
      </c>
      <c r="C127" s="10">
        <v>7</v>
      </c>
      <c r="D127" s="9" t="s">
        <v>225</v>
      </c>
      <c r="E127" s="8">
        <v>247.85333450229101</v>
      </c>
      <c r="F127" s="5">
        <v>160920.20000000001</v>
      </c>
      <c r="G127" s="5">
        <v>0</v>
      </c>
      <c r="H127" s="5">
        <f t="shared" si="28"/>
        <v>160920.20000000001</v>
      </c>
      <c r="I127" s="152">
        <f t="shared" si="29"/>
        <v>649.25573958139569</v>
      </c>
      <c r="J127" s="6">
        <f t="shared" si="22"/>
        <v>649.25573958139569</v>
      </c>
      <c r="K127" s="5">
        <f t="shared" si="30"/>
        <v>160920.20000000001</v>
      </c>
      <c r="L127" s="259">
        <v>0.12575892857142856</v>
      </c>
      <c r="M127" s="154">
        <f t="shared" si="31"/>
        <v>36870.931285754945</v>
      </c>
      <c r="N127" s="154">
        <f t="shared" si="32"/>
        <v>11879.306146717596</v>
      </c>
      <c r="O127" s="154">
        <f t="shared" si="33"/>
        <v>1391.0546441781921</v>
      </c>
      <c r="P127" s="154">
        <f t="shared" si="34"/>
        <v>2715.7929748896017</v>
      </c>
      <c r="Q127" s="154">
        <f t="shared" si="23"/>
        <v>52857.085051540329</v>
      </c>
      <c r="R127" s="173">
        <f t="shared" si="24"/>
        <v>0.32846768181707658</v>
      </c>
      <c r="S127" s="153">
        <f t="shared" si="25"/>
        <v>52858.427781330269</v>
      </c>
      <c r="T127" s="154"/>
      <c r="U127" s="154">
        <f>IFERROR(INDEX('2016 Clerical PYA'!$O$5:$O$241,MATCH('2017 Funding'!B127,'2016 Clerical PYA'!$A$5:$A$241,0)),0)</f>
        <v>6764.7809506174526</v>
      </c>
      <c r="V127" s="154">
        <f>IFERROR(INDEX('Revised 2016 MFAM (2014 PYAs)'!$AD$26:$AD$262,MATCH('2017 Funding'!B127,'Revised 2016 MFAM (2014 PYAs)'!$B$26:$B$262,0)),0)</f>
        <v>318.80168892192887</v>
      </c>
      <c r="W127" s="154">
        <f t="shared" si="26"/>
        <v>-3.0021728776880208</v>
      </c>
      <c r="X127" s="154">
        <f t="shared" si="35"/>
        <v>7080.5804666616932</v>
      </c>
      <c r="Y127" s="154"/>
      <c r="Z127" s="155">
        <f t="shared" si="27"/>
        <v>59939.008247991966</v>
      </c>
      <c r="AA127" s="156">
        <v>0</v>
      </c>
      <c r="AB127" s="157">
        <f t="shared" si="36"/>
        <v>0</v>
      </c>
      <c r="AC127" s="154">
        <f t="shared" si="37"/>
        <v>59939.008247991966</v>
      </c>
      <c r="AD127" s="160"/>
      <c r="AE127" s="154">
        <f t="shared" si="38"/>
        <v>14984.752061997991</v>
      </c>
      <c r="AF127" s="154">
        <f t="shared" si="38"/>
        <v>14984.752061997991</v>
      </c>
      <c r="AG127" s="154">
        <f t="shared" si="38"/>
        <v>14984.752061997991</v>
      </c>
      <c r="AH127" s="154">
        <f t="shared" si="38"/>
        <v>14984.752061997991</v>
      </c>
    </row>
    <row r="128" spans="2:34" x14ac:dyDescent="0.25">
      <c r="B128" s="10">
        <v>128</v>
      </c>
      <c r="C128" s="10">
        <v>7</v>
      </c>
      <c r="D128" s="9" t="s">
        <v>226</v>
      </c>
      <c r="E128" s="8">
        <v>172.95024485595147</v>
      </c>
      <c r="F128" s="5">
        <v>77051.09</v>
      </c>
      <c r="G128" s="5">
        <v>182.92</v>
      </c>
      <c r="H128" s="5">
        <f t="shared" si="28"/>
        <v>76868.17</v>
      </c>
      <c r="I128" s="152">
        <f t="shared" si="29"/>
        <v>444.45250750597506</v>
      </c>
      <c r="J128" s="6">
        <f t="shared" si="22"/>
        <v>444.45250750597506</v>
      </c>
      <c r="K128" s="5">
        <f t="shared" si="30"/>
        <v>76868.17</v>
      </c>
      <c r="L128" s="259">
        <v>0.18083928571428573</v>
      </c>
      <c r="M128" s="154">
        <f t="shared" si="31"/>
        <v>17612.462662435973</v>
      </c>
      <c r="N128" s="154">
        <f t="shared" si="32"/>
        <v>8289.2929841725672</v>
      </c>
      <c r="O128" s="154">
        <f t="shared" si="33"/>
        <v>955.50755026333445</v>
      </c>
      <c r="P128" s="154">
        <f t="shared" si="34"/>
        <v>1297.2767625109811</v>
      </c>
      <c r="Q128" s="154">
        <f t="shared" si="23"/>
        <v>28154.539959382855</v>
      </c>
      <c r="R128" s="173">
        <f t="shared" si="24"/>
        <v>0.36627045966338023</v>
      </c>
      <c r="S128" s="153">
        <f t="shared" si="25"/>
        <v>28155.255169831722</v>
      </c>
      <c r="T128" s="154"/>
      <c r="U128" s="154">
        <f>IFERROR(INDEX('2016 Clerical PYA'!$O$5:$O$241,MATCH('2017 Funding'!B128,'2016 Clerical PYA'!$A$5:$A$241,0)),0)</f>
        <v>-982.28647814153737</v>
      </c>
      <c r="V128" s="154">
        <f>IFERROR(INDEX('Revised 2016 MFAM (2014 PYAs)'!$AD$26:$AD$262,MATCH('2017 Funding'!B128,'Revised 2016 MFAM (2014 PYAs)'!$B$26:$B$262,0)),0)</f>
        <v>174.36195276518629</v>
      </c>
      <c r="W128" s="154">
        <f t="shared" si="26"/>
        <v>-1.5991195157172144</v>
      </c>
      <c r="X128" s="154">
        <f t="shared" si="35"/>
        <v>-809.52364489206832</v>
      </c>
      <c r="Y128" s="154"/>
      <c r="Z128" s="155">
        <f t="shared" si="27"/>
        <v>27345.731524939652</v>
      </c>
      <c r="AA128" s="156">
        <v>0</v>
      </c>
      <c r="AB128" s="157">
        <f t="shared" si="36"/>
        <v>0</v>
      </c>
      <c r="AC128" s="154">
        <f t="shared" si="37"/>
        <v>27345.731524939652</v>
      </c>
      <c r="AD128" s="160"/>
      <c r="AE128" s="154">
        <f t="shared" si="38"/>
        <v>6836.4328812349131</v>
      </c>
      <c r="AF128" s="154">
        <f t="shared" si="38"/>
        <v>6836.4328812349131</v>
      </c>
      <c r="AG128" s="154">
        <f t="shared" si="38"/>
        <v>6836.4328812349131</v>
      </c>
      <c r="AH128" s="154">
        <f t="shared" si="38"/>
        <v>6836.4328812349131</v>
      </c>
    </row>
    <row r="129" spans="2:34" x14ac:dyDescent="0.25">
      <c r="B129" s="10">
        <v>152</v>
      </c>
      <c r="C129" s="10">
        <v>7</v>
      </c>
      <c r="D129" s="9" t="s">
        <v>227</v>
      </c>
      <c r="E129" s="8">
        <v>370.42759701458414</v>
      </c>
      <c r="F129" s="5">
        <v>162196.94</v>
      </c>
      <c r="G129" s="5">
        <v>0</v>
      </c>
      <c r="H129" s="5">
        <f t="shared" si="28"/>
        <v>162196.94</v>
      </c>
      <c r="I129" s="152">
        <f t="shared" si="29"/>
        <v>437.86408277138742</v>
      </c>
      <c r="J129" s="6">
        <f t="shared" si="22"/>
        <v>437.86408277138742</v>
      </c>
      <c r="K129" s="5">
        <f t="shared" si="30"/>
        <v>162196.94</v>
      </c>
      <c r="L129" s="259">
        <v>0.18083928571428573</v>
      </c>
      <c r="M129" s="154">
        <f t="shared" si="31"/>
        <v>37163.465055970089</v>
      </c>
      <c r="N129" s="154">
        <f t="shared" si="32"/>
        <v>17754.140120670851</v>
      </c>
      <c r="O129" s="154">
        <f t="shared" si="33"/>
        <v>2016.1843426168343</v>
      </c>
      <c r="P129" s="154">
        <f t="shared" si="34"/>
        <v>2737.3400617237003</v>
      </c>
      <c r="Q129" s="154">
        <f t="shared" si="23"/>
        <v>59671.129580981469</v>
      </c>
      <c r="R129" s="173">
        <f t="shared" si="24"/>
        <v>0.3678930661761034</v>
      </c>
      <c r="S129" s="153">
        <f t="shared" si="25"/>
        <v>59672.645408106815</v>
      </c>
      <c r="T129" s="154"/>
      <c r="U129" s="154">
        <f>IFERROR(INDEX('2016 Clerical PYA'!$O$5:$O$241,MATCH('2017 Funding'!B129,'2016 Clerical PYA'!$A$5:$A$241,0)),0)</f>
        <v>-1913.0214461944779</v>
      </c>
      <c r="V129" s="154">
        <f>IFERROR(INDEX('Revised 2016 MFAM (2014 PYAs)'!$AD$26:$AD$262,MATCH('2017 Funding'!B129,'Revised 2016 MFAM (2014 PYAs)'!$B$26:$B$262,0)),0)</f>
        <v>342.24478715033911</v>
      </c>
      <c r="W129" s="154">
        <f t="shared" si="26"/>
        <v>-3.3891964839595223</v>
      </c>
      <c r="X129" s="154">
        <f t="shared" si="35"/>
        <v>-1574.1658555280983</v>
      </c>
      <c r="Y129" s="154"/>
      <c r="Z129" s="155">
        <f t="shared" si="27"/>
        <v>58098.479552578719</v>
      </c>
      <c r="AA129" s="156">
        <v>0</v>
      </c>
      <c r="AB129" s="157">
        <f t="shared" si="36"/>
        <v>0</v>
      </c>
      <c r="AC129" s="154">
        <f t="shared" si="37"/>
        <v>58098.479552578719</v>
      </c>
      <c r="AD129" s="160"/>
      <c r="AE129" s="154">
        <f t="shared" si="38"/>
        <v>14524.61988814468</v>
      </c>
      <c r="AF129" s="154">
        <f t="shared" si="38"/>
        <v>14524.61988814468</v>
      </c>
      <c r="AG129" s="154">
        <f t="shared" si="38"/>
        <v>14524.61988814468</v>
      </c>
      <c r="AH129" s="154">
        <f t="shared" si="38"/>
        <v>14524.61988814468</v>
      </c>
    </row>
    <row r="130" spans="2:34" x14ac:dyDescent="0.25">
      <c r="B130" s="10">
        <v>162</v>
      </c>
      <c r="C130" s="10">
        <v>7</v>
      </c>
      <c r="D130" s="9" t="s">
        <v>228</v>
      </c>
      <c r="E130" s="8">
        <v>925.54</v>
      </c>
      <c r="F130" s="5">
        <v>316809.21999999997</v>
      </c>
      <c r="G130" s="5">
        <v>14325.53</v>
      </c>
      <c r="H130" s="5">
        <f t="shared" si="28"/>
        <v>302483.68999999994</v>
      </c>
      <c r="I130" s="152">
        <f t="shared" si="29"/>
        <v>326.81860319381116</v>
      </c>
      <c r="J130" s="6">
        <f t="shared" si="22"/>
        <v>326.81860319381116</v>
      </c>
      <c r="K130" s="5">
        <f t="shared" si="30"/>
        <v>302483.68999999994</v>
      </c>
      <c r="L130" s="259">
        <v>0.92422916666666666</v>
      </c>
      <c r="M130" s="154">
        <f t="shared" si="31"/>
        <v>69306.745511449757</v>
      </c>
      <c r="N130" s="154">
        <f t="shared" si="32"/>
        <v>44359.996338606346</v>
      </c>
      <c r="O130" s="154">
        <f t="shared" si="33"/>
        <v>19216.594694527786</v>
      </c>
      <c r="P130" s="154">
        <f t="shared" si="34"/>
        <v>5104.9096404347238</v>
      </c>
      <c r="Q130" s="154">
        <f t="shared" si="23"/>
        <v>137988.24618501862</v>
      </c>
      <c r="R130" s="173">
        <f t="shared" si="24"/>
        <v>0.45618408776029756</v>
      </c>
      <c r="S130" s="153">
        <f t="shared" si="25"/>
        <v>137991.75150372158</v>
      </c>
      <c r="T130" s="154"/>
      <c r="U130" s="154">
        <f>IFERROR(INDEX('2016 Clerical PYA'!$O$5:$O$241,MATCH('2017 Funding'!B130,'2016 Clerical PYA'!$A$5:$A$241,0)),0)</f>
        <v>-4487.6611376913643</v>
      </c>
      <c r="V130" s="154">
        <f>IFERROR(INDEX('Revised 2016 MFAM (2014 PYAs)'!$AD$26:$AD$262,MATCH('2017 Funding'!B130,'Revised 2016 MFAM (2014 PYAs)'!$B$26:$B$262,0)),0)</f>
        <v>813.85609216138255</v>
      </c>
      <c r="W130" s="154">
        <f t="shared" si="26"/>
        <v>-7.8374463845756122</v>
      </c>
      <c r="X130" s="154">
        <f t="shared" si="35"/>
        <v>-3681.6424919145575</v>
      </c>
      <c r="Y130" s="154"/>
      <c r="Z130" s="155">
        <f t="shared" si="27"/>
        <v>134310.10901180701</v>
      </c>
      <c r="AA130" s="156">
        <v>0</v>
      </c>
      <c r="AB130" s="157">
        <f t="shared" si="36"/>
        <v>0</v>
      </c>
      <c r="AC130" s="154">
        <f t="shared" si="37"/>
        <v>134310.10901180701</v>
      </c>
      <c r="AD130" s="160"/>
      <c r="AE130" s="154">
        <f t="shared" si="38"/>
        <v>33577.527252951753</v>
      </c>
      <c r="AF130" s="154">
        <f t="shared" si="38"/>
        <v>33577.527252951753</v>
      </c>
      <c r="AG130" s="154">
        <f t="shared" si="38"/>
        <v>33577.527252951753</v>
      </c>
      <c r="AH130" s="154">
        <f t="shared" si="38"/>
        <v>33577.527252951753</v>
      </c>
    </row>
    <row r="131" spans="2:34" x14ac:dyDescent="0.25">
      <c r="B131" s="10">
        <v>166</v>
      </c>
      <c r="C131" s="10">
        <v>7</v>
      </c>
      <c r="D131" s="9" t="s">
        <v>229</v>
      </c>
      <c r="E131" s="8">
        <v>952.14999999999986</v>
      </c>
      <c r="F131" s="5">
        <v>419870.21</v>
      </c>
      <c r="G131" s="5">
        <v>111709.12000000001</v>
      </c>
      <c r="H131" s="5">
        <f t="shared" si="28"/>
        <v>308161.09000000003</v>
      </c>
      <c r="I131" s="152">
        <f t="shared" si="29"/>
        <v>323.64762905004471</v>
      </c>
      <c r="J131" s="6">
        <f t="shared" si="22"/>
        <v>323.64762905004471</v>
      </c>
      <c r="K131" s="5">
        <f t="shared" si="30"/>
        <v>308161.09000000003</v>
      </c>
      <c r="L131" s="259">
        <v>0.69283630952380948</v>
      </c>
      <c r="M131" s="154">
        <f t="shared" si="31"/>
        <v>70607.582977981292</v>
      </c>
      <c r="N131" s="154">
        <f t="shared" si="32"/>
        <v>45635.380981701521</v>
      </c>
      <c r="O131" s="154">
        <f t="shared" si="33"/>
        <v>14675.84916445821</v>
      </c>
      <c r="P131" s="154">
        <f t="shared" si="34"/>
        <v>5200.7251007413752</v>
      </c>
      <c r="Q131" s="154">
        <f t="shared" si="23"/>
        <v>136119.53822488242</v>
      </c>
      <c r="R131" s="173">
        <f t="shared" si="24"/>
        <v>0.44171552685279769</v>
      </c>
      <c r="S131" s="153">
        <f t="shared" si="25"/>
        <v>136122.99607275258</v>
      </c>
      <c r="T131" s="154"/>
      <c r="U131" s="154">
        <f>IFERROR(INDEX('2016 Clerical PYA'!$O$5:$O$241,MATCH('2017 Funding'!B131,'2016 Clerical PYA'!$A$5:$A$241,0)),0)</f>
        <v>-4573.8598599327961</v>
      </c>
      <c r="V131" s="154">
        <f>IFERROR(INDEX('Revised 2016 MFAM (2014 PYAs)'!$AD$26:$AD$262,MATCH('2017 Funding'!B131,'Revised 2016 MFAM (2014 PYAs)'!$B$26:$B$262,0)),0)</f>
        <v>-44360.487626981747</v>
      </c>
      <c r="W131" s="154">
        <f t="shared" si="26"/>
        <v>-7.7313076455821523</v>
      </c>
      <c r="X131" s="154">
        <f t="shared" si="35"/>
        <v>-48942.078794560126</v>
      </c>
      <c r="Y131" s="154"/>
      <c r="Z131" s="155">
        <f t="shared" si="27"/>
        <v>87180.917278192443</v>
      </c>
      <c r="AA131" s="156">
        <v>0</v>
      </c>
      <c r="AB131" s="157">
        <f t="shared" si="36"/>
        <v>0</v>
      </c>
      <c r="AC131" s="154">
        <f t="shared" si="37"/>
        <v>87180.917278192443</v>
      </c>
      <c r="AD131" s="160"/>
      <c r="AE131" s="154">
        <f t="shared" si="38"/>
        <v>21795.229319548111</v>
      </c>
      <c r="AF131" s="154">
        <f t="shared" si="38"/>
        <v>21795.229319548111</v>
      </c>
      <c r="AG131" s="154">
        <f t="shared" si="38"/>
        <v>21795.229319548111</v>
      </c>
      <c r="AH131" s="154">
        <f t="shared" si="38"/>
        <v>21795.229319548111</v>
      </c>
    </row>
    <row r="132" spans="2:34" x14ac:dyDescent="0.25">
      <c r="B132" s="10">
        <v>192</v>
      </c>
      <c r="C132" s="10">
        <v>7</v>
      </c>
      <c r="D132" s="9" t="s">
        <v>230</v>
      </c>
      <c r="E132" s="8">
        <v>157.17999999999998</v>
      </c>
      <c r="F132" s="5">
        <v>75612.77</v>
      </c>
      <c r="G132" s="5">
        <v>12446.72</v>
      </c>
      <c r="H132" s="5">
        <f t="shared" si="28"/>
        <v>63166.05</v>
      </c>
      <c r="I132" s="152">
        <f t="shared" si="29"/>
        <v>401.87078508716127</v>
      </c>
      <c r="J132" s="6">
        <f t="shared" si="22"/>
        <v>401.87078508716127</v>
      </c>
      <c r="K132" s="5">
        <f t="shared" si="30"/>
        <v>63166.049999999996</v>
      </c>
      <c r="L132" s="259">
        <v>0.47500744047619053</v>
      </c>
      <c r="M132" s="154">
        <f t="shared" si="31"/>
        <v>14472.956714834811</v>
      </c>
      <c r="N132" s="154">
        <f t="shared" si="32"/>
        <v>7533.4445021308047</v>
      </c>
      <c r="O132" s="154">
        <f t="shared" si="33"/>
        <v>2062.4286375709135</v>
      </c>
      <c r="P132" s="154">
        <f t="shared" si="34"/>
        <v>1066.0309572168396</v>
      </c>
      <c r="Q132" s="154">
        <f t="shared" si="23"/>
        <v>25134.860811753369</v>
      </c>
      <c r="R132" s="173">
        <f t="shared" si="24"/>
        <v>0.39791724845472165</v>
      </c>
      <c r="S132" s="153">
        <f t="shared" si="25"/>
        <v>25135.49931322096</v>
      </c>
      <c r="T132" s="154"/>
      <c r="U132" s="154">
        <f>IFERROR(INDEX('2016 Clerical PYA'!$O$5:$O$241,MATCH('2017 Funding'!B132,'2016 Clerical PYA'!$A$5:$A$241,0)),0)</f>
        <v>-832.69733104801708</v>
      </c>
      <c r="V132" s="154">
        <f>IFERROR(INDEX('Revised 2016 MFAM (2014 PYAs)'!$AD$26:$AD$262,MATCH('2017 Funding'!B132,'Revised 2016 MFAM (2014 PYAs)'!$B$26:$B$262,0)),0)</f>
        <v>-130.33473008206056</v>
      </c>
      <c r="W132" s="154">
        <f t="shared" si="26"/>
        <v>-1.4276079988128383</v>
      </c>
      <c r="X132" s="154">
        <f t="shared" si="35"/>
        <v>-964.45966912889048</v>
      </c>
      <c r="Y132" s="154"/>
      <c r="Z132" s="155">
        <f t="shared" si="27"/>
        <v>24171.03964409207</v>
      </c>
      <c r="AA132" s="156">
        <v>0</v>
      </c>
      <c r="AB132" s="157">
        <f t="shared" si="36"/>
        <v>0</v>
      </c>
      <c r="AC132" s="154">
        <f t="shared" si="37"/>
        <v>24171.03964409207</v>
      </c>
      <c r="AD132" s="160"/>
      <c r="AE132" s="154">
        <f t="shared" si="38"/>
        <v>6042.7599110230176</v>
      </c>
      <c r="AF132" s="154">
        <f t="shared" si="38"/>
        <v>6042.7599110230176</v>
      </c>
      <c r="AG132" s="154">
        <f t="shared" si="38"/>
        <v>6042.7599110230176</v>
      </c>
      <c r="AH132" s="154">
        <f t="shared" si="38"/>
        <v>6042.7599110230176</v>
      </c>
    </row>
    <row r="133" spans="2:34" x14ac:dyDescent="0.25">
      <c r="B133" s="10">
        <v>205</v>
      </c>
      <c r="C133" s="10">
        <v>7</v>
      </c>
      <c r="D133" s="9" t="s">
        <v>231</v>
      </c>
      <c r="E133" s="8">
        <v>665.0595762567732</v>
      </c>
      <c r="F133" s="5">
        <v>371829.98</v>
      </c>
      <c r="G133" s="5">
        <v>18332.88</v>
      </c>
      <c r="H133" s="5">
        <f t="shared" si="28"/>
        <v>353497.1</v>
      </c>
      <c r="I133" s="152">
        <f t="shared" si="29"/>
        <v>531.52696783892054</v>
      </c>
      <c r="J133" s="6">
        <f t="shared" si="22"/>
        <v>531.52696783892054</v>
      </c>
      <c r="K133" s="5">
        <f t="shared" si="30"/>
        <v>353497.10000000003</v>
      </c>
      <c r="L133" s="259">
        <v>0.68881845238095241</v>
      </c>
      <c r="M133" s="154">
        <f t="shared" si="31"/>
        <v>80995.221754718455</v>
      </c>
      <c r="N133" s="154">
        <f t="shared" si="32"/>
        <v>31875.489301062673</v>
      </c>
      <c r="O133" s="154">
        <f t="shared" si="33"/>
        <v>16737.300989801162</v>
      </c>
      <c r="P133" s="154">
        <f t="shared" si="34"/>
        <v>5965.8448151558787</v>
      </c>
      <c r="Q133" s="154">
        <f t="shared" si="23"/>
        <v>135573.85686073816</v>
      </c>
      <c r="R133" s="173">
        <f t="shared" si="24"/>
        <v>0.38352183613596308</v>
      </c>
      <c r="S133" s="153">
        <f t="shared" si="25"/>
        <v>135577.30084665163</v>
      </c>
      <c r="T133" s="154"/>
      <c r="U133" s="154">
        <f>IFERROR(INDEX('2016 Clerical PYA'!$O$5:$O$241,MATCH('2017 Funding'!B133,'2016 Clerical PYA'!$A$5:$A$241,0)),0)</f>
        <v>17696.313845901328</v>
      </c>
      <c r="V133" s="154">
        <f>IFERROR(INDEX('Revised 2016 MFAM (2014 PYAs)'!$AD$26:$AD$262,MATCH('2017 Funding'!B133,'Revised 2016 MFAM (2014 PYAs)'!$B$26:$B$262,0)),0)</f>
        <v>455.5276094647852</v>
      </c>
      <c r="W133" s="154">
        <f t="shared" si="26"/>
        <v>-7.7003140750949353</v>
      </c>
      <c r="X133" s="154">
        <f t="shared" si="35"/>
        <v>18144.141141291017</v>
      </c>
      <c r="Y133" s="154"/>
      <c r="Z133" s="155">
        <f t="shared" si="27"/>
        <v>153721.44198794264</v>
      </c>
      <c r="AA133" s="156">
        <v>0</v>
      </c>
      <c r="AB133" s="157">
        <f t="shared" si="36"/>
        <v>0</v>
      </c>
      <c r="AC133" s="154">
        <f t="shared" si="37"/>
        <v>153721.44198794264</v>
      </c>
      <c r="AD133" s="160"/>
      <c r="AE133" s="154">
        <f t="shared" si="38"/>
        <v>38430.360496985661</v>
      </c>
      <c r="AF133" s="154">
        <f t="shared" si="38"/>
        <v>38430.360496985661</v>
      </c>
      <c r="AG133" s="154">
        <f t="shared" si="38"/>
        <v>38430.360496985661</v>
      </c>
      <c r="AH133" s="154">
        <f t="shared" si="38"/>
        <v>38430.360496985661</v>
      </c>
    </row>
    <row r="134" spans="2:34" x14ac:dyDescent="0.25">
      <c r="B134" s="10">
        <v>212</v>
      </c>
      <c r="C134" s="10">
        <v>7</v>
      </c>
      <c r="D134" s="9" t="s">
        <v>232</v>
      </c>
      <c r="E134" s="8">
        <v>548.41106339053624</v>
      </c>
      <c r="F134" s="5">
        <v>236357.45</v>
      </c>
      <c r="G134" s="5">
        <v>1143</v>
      </c>
      <c r="H134" s="5">
        <f t="shared" si="28"/>
        <v>235214.45</v>
      </c>
      <c r="I134" s="152">
        <f t="shared" si="29"/>
        <v>428.90172299915537</v>
      </c>
      <c r="J134" s="6">
        <f t="shared" si="22"/>
        <v>428.90172299915537</v>
      </c>
      <c r="K134" s="5">
        <f t="shared" si="30"/>
        <v>235214.45</v>
      </c>
      <c r="L134" s="259">
        <v>0.24596428571428572</v>
      </c>
      <c r="M134" s="154">
        <f t="shared" si="31"/>
        <v>53893.643081270355</v>
      </c>
      <c r="N134" s="154">
        <f t="shared" si="32"/>
        <v>26284.669235317113</v>
      </c>
      <c r="O134" s="154">
        <f t="shared" si="33"/>
        <v>3976.7734275075959</v>
      </c>
      <c r="P134" s="154">
        <f t="shared" si="34"/>
        <v>3969.6306051230449</v>
      </c>
      <c r="Q134" s="154">
        <f t="shared" si="23"/>
        <v>88124.716349218113</v>
      </c>
      <c r="R134" s="173">
        <f t="shared" si="24"/>
        <v>0.37465689862684076</v>
      </c>
      <c r="S134" s="153">
        <f t="shared" si="25"/>
        <v>88126.954983485528</v>
      </c>
      <c r="T134" s="154"/>
      <c r="U134" s="154">
        <f>IFERROR(INDEX('2016 Clerical PYA'!$O$5:$O$241,MATCH('2017 Funding'!B134,'2016 Clerical PYA'!$A$5:$A$241,0)),0)</f>
        <v>-2787.5682867955329</v>
      </c>
      <c r="V134" s="154">
        <f>IFERROR(INDEX('Revised 2016 MFAM (2014 PYAs)'!$AD$26:$AD$262,MATCH('2017 Funding'!B134,'Revised 2016 MFAM (2014 PYAs)'!$B$26:$B$262,0)),0)</f>
        <v>515.95319248865417</v>
      </c>
      <c r="W134" s="154">
        <f t="shared" si="26"/>
        <v>-5.0053012386059095</v>
      </c>
      <c r="X134" s="154">
        <f t="shared" si="35"/>
        <v>-2276.6203955454848</v>
      </c>
      <c r="Y134" s="154"/>
      <c r="Z134" s="155">
        <f t="shared" si="27"/>
        <v>85850.334587940044</v>
      </c>
      <c r="AA134" s="156">
        <v>0</v>
      </c>
      <c r="AB134" s="157">
        <f t="shared" si="36"/>
        <v>0</v>
      </c>
      <c r="AC134" s="154">
        <f t="shared" si="37"/>
        <v>85850.334587940044</v>
      </c>
      <c r="AD134" s="160"/>
      <c r="AE134" s="154">
        <f t="shared" si="38"/>
        <v>21462.583646985011</v>
      </c>
      <c r="AF134" s="154">
        <f t="shared" si="38"/>
        <v>21462.583646985011</v>
      </c>
      <c r="AG134" s="154">
        <f t="shared" si="38"/>
        <v>21462.583646985011</v>
      </c>
      <c r="AH134" s="154">
        <f t="shared" si="38"/>
        <v>21462.583646985011</v>
      </c>
    </row>
    <row r="135" spans="2:34" x14ac:dyDescent="0.25">
      <c r="B135" s="10">
        <v>216</v>
      </c>
      <c r="C135" s="10">
        <v>7</v>
      </c>
      <c r="D135" s="9" t="s">
        <v>233</v>
      </c>
      <c r="E135" s="8">
        <v>773.71402770152531</v>
      </c>
      <c r="F135" s="5">
        <v>329426.34000000003</v>
      </c>
      <c r="G135" s="5">
        <v>400</v>
      </c>
      <c r="H135" s="5">
        <f t="shared" si="28"/>
        <v>329026.34000000003</v>
      </c>
      <c r="I135" s="152">
        <f t="shared" si="29"/>
        <v>425.25575111703688</v>
      </c>
      <c r="J135" s="6">
        <f t="shared" si="22"/>
        <v>425.25575111703688</v>
      </c>
      <c r="K135" s="5">
        <f t="shared" si="30"/>
        <v>329026.34000000003</v>
      </c>
      <c r="L135" s="259">
        <v>0.6541190476190476</v>
      </c>
      <c r="M135" s="154">
        <f t="shared" si="31"/>
        <v>75388.345113562144</v>
      </c>
      <c r="N135" s="154">
        <f t="shared" si="32"/>
        <v>37083.163813522951</v>
      </c>
      <c r="O135" s="154">
        <f t="shared" si="33"/>
        <v>14793.885752177806</v>
      </c>
      <c r="P135" s="154">
        <f t="shared" si="34"/>
        <v>5552.8605030669705</v>
      </c>
      <c r="Q135" s="154">
        <f t="shared" si="23"/>
        <v>132818.25518232986</v>
      </c>
      <c r="R135" s="173">
        <f t="shared" si="24"/>
        <v>0.40367058510370279</v>
      </c>
      <c r="S135" s="153">
        <f t="shared" si="25"/>
        <v>132821.62916762827</v>
      </c>
      <c r="T135" s="154"/>
      <c r="U135" s="154">
        <f>IFERROR(INDEX('2016 Clerical PYA'!$O$5:$O$241,MATCH('2017 Funding'!B135,'2016 Clerical PYA'!$A$5:$A$241,0)),0)</f>
        <v>-4386.6709657036554</v>
      </c>
      <c r="V135" s="154">
        <f>IFERROR(INDEX('Revised 2016 MFAM (2014 PYAs)'!$AD$26:$AD$262,MATCH('2017 Funding'!B135,'Revised 2016 MFAM (2014 PYAs)'!$B$26:$B$262,0)),0)</f>
        <v>793.45465265618986</v>
      </c>
      <c r="W135" s="154">
        <f t="shared" si="26"/>
        <v>-7.5438016111071402</v>
      </c>
      <c r="X135" s="154">
        <f t="shared" si="35"/>
        <v>-3600.7601146585725</v>
      </c>
      <c r="Y135" s="154"/>
      <c r="Z135" s="155">
        <f t="shared" si="27"/>
        <v>129220.86905296971</v>
      </c>
      <c r="AA135" s="156">
        <v>0</v>
      </c>
      <c r="AB135" s="157">
        <f t="shared" si="36"/>
        <v>0</v>
      </c>
      <c r="AC135" s="154">
        <f t="shared" si="37"/>
        <v>129220.86905296971</v>
      </c>
      <c r="AD135" s="160"/>
      <c r="AE135" s="154">
        <f t="shared" si="38"/>
        <v>32305.217263242426</v>
      </c>
      <c r="AF135" s="154">
        <f t="shared" si="38"/>
        <v>32305.217263242426</v>
      </c>
      <c r="AG135" s="154">
        <f t="shared" si="38"/>
        <v>32305.217263242426</v>
      </c>
      <c r="AH135" s="154">
        <f t="shared" si="38"/>
        <v>32305.217263242426</v>
      </c>
    </row>
    <row r="136" spans="2:34" x14ac:dyDescent="0.25">
      <c r="B136" s="10">
        <v>229</v>
      </c>
      <c r="C136" s="10">
        <v>7</v>
      </c>
      <c r="D136" s="9" t="s">
        <v>234</v>
      </c>
      <c r="E136" s="8">
        <v>831.55</v>
      </c>
      <c r="F136" s="5">
        <v>370208.73</v>
      </c>
      <c r="G136" s="5">
        <v>98568.36</v>
      </c>
      <c r="H136" s="5">
        <f t="shared" si="28"/>
        <v>271640.37</v>
      </c>
      <c r="I136" s="152">
        <f t="shared" si="29"/>
        <v>326.66751247670015</v>
      </c>
      <c r="J136" s="6">
        <f t="shared" si="22"/>
        <v>326.66751247670015</v>
      </c>
      <c r="K136" s="5">
        <f t="shared" si="30"/>
        <v>271640.37</v>
      </c>
      <c r="L136" s="259">
        <v>0.66258839285714277</v>
      </c>
      <c r="M136" s="154">
        <f t="shared" si="31"/>
        <v>62239.752477980066</v>
      </c>
      <c r="N136" s="154">
        <f t="shared" si="32"/>
        <v>39855.170987064965</v>
      </c>
      <c r="O136" s="154">
        <f t="shared" si="33"/>
        <v>12371.801269863354</v>
      </c>
      <c r="P136" s="154">
        <f t="shared" si="34"/>
        <v>4584.3778999927417</v>
      </c>
      <c r="Q136" s="154">
        <f t="shared" si="23"/>
        <v>119051.10263490112</v>
      </c>
      <c r="R136" s="173">
        <f t="shared" si="24"/>
        <v>0.43826734087757696</v>
      </c>
      <c r="S136" s="153">
        <f t="shared" si="25"/>
        <v>119054.12689289563</v>
      </c>
      <c r="T136" s="154"/>
      <c r="U136" s="154">
        <f>IFERROR(INDEX('2016 Clerical PYA'!$O$5:$O$241,MATCH('2017 Funding'!B136,'2016 Clerical PYA'!$A$5:$A$241,0)),0)</f>
        <v>-3578.7989171685331</v>
      </c>
      <c r="V136" s="154">
        <f>IFERROR(INDEX('Revised 2016 MFAM (2014 PYAs)'!$AD$26:$AD$262,MATCH('2017 Funding'!B136,'Revised 2016 MFAM (2014 PYAs)'!$B$26:$B$262,0)),0)</f>
        <v>606.58940453053219</v>
      </c>
      <c r="W136" s="154">
        <f t="shared" si="26"/>
        <v>-6.7618558806420133</v>
      </c>
      <c r="X136" s="154">
        <f t="shared" si="35"/>
        <v>-2978.971368518643</v>
      </c>
      <c r="Y136" s="154"/>
      <c r="Z136" s="155">
        <f t="shared" si="27"/>
        <v>116075.15552437698</v>
      </c>
      <c r="AA136" s="156">
        <v>0</v>
      </c>
      <c r="AB136" s="157">
        <f t="shared" si="36"/>
        <v>0</v>
      </c>
      <c r="AC136" s="154">
        <f t="shared" si="37"/>
        <v>116075.15552437698</v>
      </c>
      <c r="AD136" s="160"/>
      <c r="AE136" s="154">
        <f t="shared" si="38"/>
        <v>29018.788881094246</v>
      </c>
      <c r="AF136" s="154">
        <f t="shared" si="38"/>
        <v>29018.788881094246</v>
      </c>
      <c r="AG136" s="154">
        <f t="shared" si="38"/>
        <v>29018.788881094246</v>
      </c>
      <c r="AH136" s="154">
        <f t="shared" si="38"/>
        <v>29018.788881094246</v>
      </c>
    </row>
    <row r="137" spans="2:34" x14ac:dyDescent="0.25">
      <c r="B137" s="10">
        <v>236</v>
      </c>
      <c r="C137" s="10">
        <v>7</v>
      </c>
      <c r="D137" s="9" t="s">
        <v>235</v>
      </c>
      <c r="E137" s="8">
        <v>972.90858967302233</v>
      </c>
      <c r="F137" s="5">
        <v>561472.04</v>
      </c>
      <c r="G137" s="5">
        <v>111960.58</v>
      </c>
      <c r="H137" s="5">
        <f t="shared" si="28"/>
        <v>449511.46</v>
      </c>
      <c r="I137" s="152">
        <f t="shared" si="29"/>
        <v>462.02846266479463</v>
      </c>
      <c r="J137" s="6">
        <f t="shared" si="22"/>
        <v>462.02846266479463</v>
      </c>
      <c r="K137" s="5">
        <f t="shared" si="30"/>
        <v>449511.46</v>
      </c>
      <c r="L137" s="259">
        <v>0.50061904761904763</v>
      </c>
      <c r="M137" s="154">
        <f t="shared" si="31"/>
        <v>102994.56596387143</v>
      </c>
      <c r="N137" s="154">
        <f t="shared" si="32"/>
        <v>46630.31470892013</v>
      </c>
      <c r="O137" s="154">
        <f t="shared" si="33"/>
        <v>15468.312456831147</v>
      </c>
      <c r="P137" s="154">
        <f t="shared" si="34"/>
        <v>7586.2450158548654</v>
      </c>
      <c r="Q137" s="154">
        <f t="shared" si="23"/>
        <v>172679.43814547759</v>
      </c>
      <c r="R137" s="173">
        <f t="shared" si="24"/>
        <v>0.38414913414104634</v>
      </c>
      <c r="S137" s="153">
        <f t="shared" si="25"/>
        <v>172683.82472535581</v>
      </c>
      <c r="T137" s="154"/>
      <c r="U137" s="154">
        <f>IFERROR(INDEX('2016 Clerical PYA'!$O$5:$O$241,MATCH('2017 Funding'!B137,'2016 Clerical PYA'!$A$5:$A$241,0)),0)</f>
        <v>-4581.814218415675</v>
      </c>
      <c r="V137" s="154">
        <f>IFERROR(INDEX('Revised 2016 MFAM (2014 PYAs)'!$AD$26:$AD$262,MATCH('2017 Funding'!B137,'Revised 2016 MFAM (2014 PYAs)'!$B$26:$B$262,0)),0)</f>
        <v>-26834.433208608913</v>
      </c>
      <c r="W137" s="154">
        <f t="shared" si="26"/>
        <v>-9.8078341858855822</v>
      </c>
      <c r="X137" s="154">
        <f t="shared" si="35"/>
        <v>-31426.055261210473</v>
      </c>
      <c r="Y137" s="154"/>
      <c r="Z137" s="155">
        <f t="shared" si="27"/>
        <v>141257.76946414533</v>
      </c>
      <c r="AA137" s="156">
        <v>0</v>
      </c>
      <c r="AB137" s="157">
        <f t="shared" si="36"/>
        <v>0</v>
      </c>
      <c r="AC137" s="154">
        <f t="shared" si="37"/>
        <v>141257.76946414533</v>
      </c>
      <c r="AD137" s="160"/>
      <c r="AE137" s="154">
        <f t="shared" si="38"/>
        <v>35314.442366036332</v>
      </c>
      <c r="AF137" s="154">
        <f t="shared" si="38"/>
        <v>35314.442366036332</v>
      </c>
      <c r="AG137" s="154">
        <f t="shared" si="38"/>
        <v>35314.442366036332</v>
      </c>
      <c r="AH137" s="154">
        <f t="shared" si="38"/>
        <v>35314.442366036332</v>
      </c>
    </row>
    <row r="138" spans="2:34" x14ac:dyDescent="0.25">
      <c r="B138" s="10">
        <v>239</v>
      </c>
      <c r="C138" s="10">
        <v>7</v>
      </c>
      <c r="D138" s="9" t="s">
        <v>236</v>
      </c>
      <c r="E138" s="8">
        <v>3362.1399999999994</v>
      </c>
      <c r="F138" s="5">
        <v>1875657.05</v>
      </c>
      <c r="G138" s="5">
        <v>447929.59</v>
      </c>
      <c r="H138" s="5">
        <f t="shared" si="28"/>
        <v>1427727.46</v>
      </c>
      <c r="I138" s="152">
        <f t="shared" si="29"/>
        <v>424.6484262999162</v>
      </c>
      <c r="J138" s="6">
        <f t="shared" si="22"/>
        <v>424.6484262999162</v>
      </c>
      <c r="K138" s="5">
        <f t="shared" si="30"/>
        <v>1427727.46</v>
      </c>
      <c r="L138" s="259">
        <v>0.75455357142857138</v>
      </c>
      <c r="M138" s="154">
        <f t="shared" si="31"/>
        <v>327128.85686474066</v>
      </c>
      <c r="N138" s="154">
        <f t="shared" si="32"/>
        <v>161143.24404118885</v>
      </c>
      <c r="O138" s="154">
        <f t="shared" si="33"/>
        <v>74050.874179390783</v>
      </c>
      <c r="P138" s="154">
        <f t="shared" si="34"/>
        <v>24095.248489157821</v>
      </c>
      <c r="Q138" s="154">
        <f t="shared" si="23"/>
        <v>586418.22357447818</v>
      </c>
      <c r="R138" s="173">
        <f t="shared" si="24"/>
        <v>0.41073540994615193</v>
      </c>
      <c r="S138" s="153">
        <f t="shared" si="25"/>
        <v>586433.12037057255</v>
      </c>
      <c r="T138" s="154"/>
      <c r="U138" s="154">
        <f>IFERROR(INDEX('2016 Clerical PYA'!$O$5:$O$241,MATCH('2017 Funding'!B138,'2016 Clerical PYA'!$A$5:$A$241,0)),0)</f>
        <v>-20742.251351943938</v>
      </c>
      <c r="V138" s="154">
        <f>IFERROR(INDEX('Revised 2016 MFAM (2014 PYAs)'!$AD$26:$AD$262,MATCH('2017 Funding'!B138,'Revised 2016 MFAM (2014 PYAs)'!$B$26:$B$262,0)),0)</f>
        <v>3628.3134569954127</v>
      </c>
      <c r="W138" s="154">
        <f t="shared" si="26"/>
        <v>-33.307339670369956</v>
      </c>
      <c r="X138" s="154">
        <f t="shared" si="35"/>
        <v>-17147.245234618895</v>
      </c>
      <c r="Y138" s="154"/>
      <c r="Z138" s="155">
        <f t="shared" si="27"/>
        <v>569285.87513595365</v>
      </c>
      <c r="AA138" s="156">
        <v>0</v>
      </c>
      <c r="AB138" s="157">
        <f t="shared" si="36"/>
        <v>0</v>
      </c>
      <c r="AC138" s="154">
        <f t="shared" si="37"/>
        <v>569285.87513595365</v>
      </c>
      <c r="AD138" s="160"/>
      <c r="AE138" s="154">
        <f t="shared" si="38"/>
        <v>142321.46878398841</v>
      </c>
      <c r="AF138" s="154">
        <f t="shared" si="38"/>
        <v>142321.46878398841</v>
      </c>
      <c r="AG138" s="154">
        <f t="shared" si="38"/>
        <v>142321.46878398841</v>
      </c>
      <c r="AH138" s="154">
        <f t="shared" si="38"/>
        <v>142321.46878398841</v>
      </c>
    </row>
    <row r="139" spans="2:34" x14ac:dyDescent="0.25">
      <c r="B139" s="10">
        <v>249</v>
      </c>
      <c r="C139" s="10">
        <v>7</v>
      </c>
      <c r="D139" s="9" t="s">
        <v>237</v>
      </c>
      <c r="E139" s="8">
        <v>1375.1461466940104</v>
      </c>
      <c r="F139" s="5">
        <v>569699.32999999996</v>
      </c>
      <c r="G139" s="5">
        <v>0</v>
      </c>
      <c r="H139" s="5">
        <f t="shared" si="28"/>
        <v>569699.32999999996</v>
      </c>
      <c r="I139" s="152">
        <f t="shared" si="29"/>
        <v>414.28275196030211</v>
      </c>
      <c r="J139" s="6">
        <f t="shared" si="22"/>
        <v>414.28275196030211</v>
      </c>
      <c r="K139" s="5">
        <f t="shared" si="30"/>
        <v>569699.32999999996</v>
      </c>
      <c r="L139" s="259">
        <v>0.77766071428571415</v>
      </c>
      <c r="M139" s="154">
        <f t="shared" si="31"/>
        <v>130532.67924083257</v>
      </c>
      <c r="N139" s="154">
        <f t="shared" si="32"/>
        <v>65909.067174184733</v>
      </c>
      <c r="O139" s="154">
        <f t="shared" si="33"/>
        <v>30453.040972816161</v>
      </c>
      <c r="P139" s="154">
        <f t="shared" si="34"/>
        <v>9614.6129461267919</v>
      </c>
      <c r="Q139" s="154">
        <f t="shared" si="23"/>
        <v>236509.40033396025</v>
      </c>
      <c r="R139" s="173">
        <f t="shared" si="24"/>
        <v>0.41514775931711251</v>
      </c>
      <c r="S139" s="153">
        <f t="shared" si="25"/>
        <v>236515.40838788755</v>
      </c>
      <c r="T139" s="154"/>
      <c r="U139" s="154">
        <f>IFERROR(INDEX('2016 Clerical PYA'!$O$5:$O$241,MATCH('2017 Funding'!B139,'2016 Clerical PYA'!$A$5:$A$241,0)),0)</f>
        <v>-8632.686632760131</v>
      </c>
      <c r="V139" s="154">
        <f>IFERROR(INDEX('Revised 2016 MFAM (2014 PYAs)'!$AD$26:$AD$262,MATCH('2017 Funding'!B139,'Revised 2016 MFAM (2014 PYAs)'!$B$26:$B$262,0)),0)</f>
        <v>1514.5480346309487</v>
      </c>
      <c r="W139" s="154">
        <f t="shared" si="26"/>
        <v>-13.433243742225281</v>
      </c>
      <c r="X139" s="154">
        <f t="shared" si="35"/>
        <v>-7131.5718418714077</v>
      </c>
      <c r="Y139" s="154"/>
      <c r="Z139" s="155">
        <f t="shared" si="27"/>
        <v>229383.83654601616</v>
      </c>
      <c r="AA139" s="156">
        <v>0</v>
      </c>
      <c r="AB139" s="157">
        <f t="shared" si="36"/>
        <v>0</v>
      </c>
      <c r="AC139" s="154">
        <f t="shared" si="37"/>
        <v>229383.83654601616</v>
      </c>
      <c r="AD139" s="160"/>
      <c r="AE139" s="154">
        <f t="shared" si="38"/>
        <v>57345.95913650404</v>
      </c>
      <c r="AF139" s="154">
        <f t="shared" si="38"/>
        <v>57345.95913650404</v>
      </c>
      <c r="AG139" s="154">
        <f t="shared" si="38"/>
        <v>57345.95913650404</v>
      </c>
      <c r="AH139" s="154">
        <f t="shared" si="38"/>
        <v>57345.95913650404</v>
      </c>
    </row>
    <row r="140" spans="2:34" x14ac:dyDescent="0.25">
      <c r="B140" s="10">
        <v>271</v>
      </c>
      <c r="C140" s="10">
        <v>7</v>
      </c>
      <c r="D140" s="9" t="s">
        <v>238</v>
      </c>
      <c r="E140" s="8">
        <v>989.5999999999998</v>
      </c>
      <c r="F140" s="5">
        <v>625976.34</v>
      </c>
      <c r="G140" s="5">
        <v>142763.09</v>
      </c>
      <c r="H140" s="5">
        <f t="shared" si="28"/>
        <v>483213.25</v>
      </c>
      <c r="I140" s="152">
        <f t="shared" si="29"/>
        <v>488.29148140662903</v>
      </c>
      <c r="J140" s="6">
        <f t="shared" si="22"/>
        <v>488.29148140662903</v>
      </c>
      <c r="K140" s="5">
        <f t="shared" si="30"/>
        <v>483213.25</v>
      </c>
      <c r="L140" s="259">
        <v>0.58502380952380961</v>
      </c>
      <c r="M140" s="154">
        <f t="shared" si="31"/>
        <v>110716.50754297052</v>
      </c>
      <c r="N140" s="154">
        <f t="shared" si="32"/>
        <v>47430.313521495373</v>
      </c>
      <c r="O140" s="154">
        <f t="shared" si="33"/>
        <v>19431.537905988065</v>
      </c>
      <c r="P140" s="154">
        <f t="shared" si="34"/>
        <v>8155.018137707837</v>
      </c>
      <c r="Q140" s="154">
        <f t="shared" si="23"/>
        <v>185733.3771081618</v>
      </c>
      <c r="R140" s="173">
        <f t="shared" si="24"/>
        <v>0.38437144906138604</v>
      </c>
      <c r="S140" s="153">
        <f t="shared" si="25"/>
        <v>185738.09529756228</v>
      </c>
      <c r="T140" s="154"/>
      <c r="U140" s="154">
        <f>IFERROR(INDEX('2016 Clerical PYA'!$O$5:$O$241,MATCH('2017 Funding'!B140,'2016 Clerical PYA'!$A$5:$A$241,0)),0)</f>
        <v>-5266.9061947153823</v>
      </c>
      <c r="V140" s="154">
        <f>IFERROR(INDEX('Revised 2016 MFAM (2014 PYAs)'!$AD$26:$AD$262,MATCH('2017 Funding'!B140,'Revised 2016 MFAM (2014 PYAs)'!$B$26:$B$262,0)),0)</f>
        <v>941.80206240469124</v>
      </c>
      <c r="W140" s="154">
        <f t="shared" si="26"/>
        <v>-10.549270862965894</v>
      </c>
      <c r="X140" s="154">
        <f t="shared" si="35"/>
        <v>-4335.6534031736574</v>
      </c>
      <c r="Y140" s="154"/>
      <c r="Z140" s="155">
        <f t="shared" si="27"/>
        <v>181402.44189438861</v>
      </c>
      <c r="AA140" s="156">
        <v>0</v>
      </c>
      <c r="AB140" s="157">
        <f t="shared" si="36"/>
        <v>0</v>
      </c>
      <c r="AC140" s="154">
        <f t="shared" si="37"/>
        <v>181402.44189438861</v>
      </c>
      <c r="AD140" s="160"/>
      <c r="AE140" s="154">
        <f t="shared" si="38"/>
        <v>45350.610473597153</v>
      </c>
      <c r="AF140" s="154">
        <f t="shared" si="38"/>
        <v>45350.610473597153</v>
      </c>
      <c r="AG140" s="154">
        <f t="shared" si="38"/>
        <v>45350.610473597153</v>
      </c>
      <c r="AH140" s="154">
        <f t="shared" si="38"/>
        <v>45350.610473597153</v>
      </c>
    </row>
    <row r="141" spans="2:34" x14ac:dyDescent="0.25">
      <c r="B141" s="10">
        <v>275</v>
      </c>
      <c r="C141" s="10">
        <v>7</v>
      </c>
      <c r="D141" s="9" t="s">
        <v>239</v>
      </c>
      <c r="E141" s="8">
        <v>729.32</v>
      </c>
      <c r="F141" s="5">
        <v>302782.98</v>
      </c>
      <c r="G141" s="5">
        <v>115724.21</v>
      </c>
      <c r="H141" s="5">
        <f t="shared" si="28"/>
        <v>187058.76999999996</v>
      </c>
      <c r="I141" s="152">
        <f t="shared" si="29"/>
        <v>256.48380683376291</v>
      </c>
      <c r="J141" s="6">
        <f t="shared" si="22"/>
        <v>256.48380683376291</v>
      </c>
      <c r="K141" s="5">
        <f t="shared" si="30"/>
        <v>187058.77</v>
      </c>
      <c r="L141" s="259">
        <v>0.33395238095238095</v>
      </c>
      <c r="M141" s="154">
        <f t="shared" si="31"/>
        <v>42859.945830715085</v>
      </c>
      <c r="N141" s="154">
        <f t="shared" si="32"/>
        <v>34955.41254799618</v>
      </c>
      <c r="O141" s="154">
        <f t="shared" si="33"/>
        <v>4293.9542872972124</v>
      </c>
      <c r="P141" s="154">
        <f t="shared" si="34"/>
        <v>3156.9243230961042</v>
      </c>
      <c r="Q141" s="154">
        <f t="shared" si="23"/>
        <v>85266.236989104582</v>
      </c>
      <c r="R141" s="173">
        <f t="shared" si="24"/>
        <v>0.45582592566552527</v>
      </c>
      <c r="S141" s="153">
        <f t="shared" si="25"/>
        <v>85268.403009352769</v>
      </c>
      <c r="T141" s="154"/>
      <c r="U141" s="154">
        <f>IFERROR(INDEX('2016 Clerical PYA'!$O$5:$O$241,MATCH('2017 Funding'!B141,'2016 Clerical PYA'!$A$5:$A$241,0)),0)</f>
        <v>-3707.8273945978872</v>
      </c>
      <c r="V141" s="154">
        <f>IFERROR(INDEX('Revised 2016 MFAM (2014 PYAs)'!$AD$26:$AD$262,MATCH('2017 Funding'!B141,'Revised 2016 MFAM (2014 PYAs)'!$B$26:$B$262,0)),0)</f>
        <v>-29956.505218682316</v>
      </c>
      <c r="W141" s="154">
        <f t="shared" si="26"/>
        <v>-4.8429455355247431</v>
      </c>
      <c r="X141" s="154">
        <f t="shared" si="35"/>
        <v>-33669.175558815725</v>
      </c>
      <c r="Y141" s="154"/>
      <c r="Z141" s="155">
        <f t="shared" si="27"/>
        <v>51599.227450537044</v>
      </c>
      <c r="AA141" s="156">
        <v>0</v>
      </c>
      <c r="AB141" s="157">
        <f t="shared" si="36"/>
        <v>0</v>
      </c>
      <c r="AC141" s="154">
        <f t="shared" si="37"/>
        <v>51599.227450537044</v>
      </c>
      <c r="AD141" s="160"/>
      <c r="AE141" s="154">
        <f t="shared" si="38"/>
        <v>12899.806862634261</v>
      </c>
      <c r="AF141" s="154">
        <f t="shared" si="38"/>
        <v>12899.806862634261</v>
      </c>
      <c r="AG141" s="154">
        <f t="shared" si="38"/>
        <v>12899.806862634261</v>
      </c>
      <c r="AH141" s="154">
        <f t="shared" si="38"/>
        <v>12899.806862634261</v>
      </c>
    </row>
    <row r="142" spans="2:34" x14ac:dyDescent="0.25">
      <c r="B142" s="10">
        <v>282</v>
      </c>
      <c r="C142" s="10">
        <v>7</v>
      </c>
      <c r="D142" s="9" t="s">
        <v>240</v>
      </c>
      <c r="E142" s="8">
        <v>178.07232316556465</v>
      </c>
      <c r="F142" s="5">
        <v>53977.95</v>
      </c>
      <c r="G142" s="5">
        <v>0</v>
      </c>
      <c r="H142" s="5">
        <f t="shared" si="28"/>
        <v>53977.95</v>
      </c>
      <c r="I142" s="152">
        <f t="shared" si="29"/>
        <v>303.12374792692191</v>
      </c>
      <c r="J142" s="6">
        <f t="shared" si="22"/>
        <v>303.12374792692191</v>
      </c>
      <c r="K142" s="5">
        <f t="shared" si="30"/>
        <v>53977.95</v>
      </c>
      <c r="L142" s="259">
        <v>0.27853571428571428</v>
      </c>
      <c r="M142" s="154">
        <f t="shared" si="31"/>
        <v>12367.728137274971</v>
      </c>
      <c r="N142" s="154">
        <f t="shared" si="32"/>
        <v>8534.7879115236228</v>
      </c>
      <c r="O142" s="154">
        <f t="shared" si="33"/>
        <v>1033.4561972422232</v>
      </c>
      <c r="P142" s="154">
        <f t="shared" si="34"/>
        <v>910.96666179225576</v>
      </c>
      <c r="Q142" s="154">
        <f t="shared" si="23"/>
        <v>22846.938907833071</v>
      </c>
      <c r="R142" s="173">
        <f t="shared" si="24"/>
        <v>0.42326429417629002</v>
      </c>
      <c r="S142" s="153">
        <f t="shared" si="25"/>
        <v>22847.519289166066</v>
      </c>
      <c r="T142" s="154"/>
      <c r="U142" s="154">
        <f>IFERROR(INDEX('2016 Clerical PYA'!$O$5:$O$241,MATCH('2017 Funding'!B142,'2016 Clerical PYA'!$A$5:$A$241,0)),0)</f>
        <v>-655.1611699152345</v>
      </c>
      <c r="V142" s="154">
        <f>IFERROR(INDEX('Revised 2016 MFAM (2014 PYAs)'!$AD$26:$AD$262,MATCH('2017 Funding'!B142,'Revised 2016 MFAM (2014 PYAs)'!$B$26:$B$262,0)),0)</f>
        <v>129.32895933231339</v>
      </c>
      <c r="W142" s="154">
        <f t="shared" si="26"/>
        <v>-1.2976587766883068</v>
      </c>
      <c r="X142" s="154">
        <f t="shared" si="35"/>
        <v>-527.12986935960942</v>
      </c>
      <c r="Y142" s="154"/>
      <c r="Z142" s="155">
        <f t="shared" si="27"/>
        <v>22320.389419806455</v>
      </c>
      <c r="AA142" s="156">
        <v>0</v>
      </c>
      <c r="AB142" s="157">
        <f t="shared" si="36"/>
        <v>0</v>
      </c>
      <c r="AC142" s="154">
        <f t="shared" si="37"/>
        <v>22320.389419806455</v>
      </c>
      <c r="AD142" s="160"/>
      <c r="AE142" s="154">
        <f t="shared" si="38"/>
        <v>5580.0973549516139</v>
      </c>
      <c r="AF142" s="154">
        <f t="shared" si="38"/>
        <v>5580.0973549516139</v>
      </c>
      <c r="AG142" s="154">
        <f t="shared" si="38"/>
        <v>5580.0973549516139</v>
      </c>
      <c r="AH142" s="154">
        <f t="shared" si="38"/>
        <v>5580.0973549516139</v>
      </c>
    </row>
    <row r="143" spans="2:34" x14ac:dyDescent="0.25">
      <c r="B143" s="10">
        <v>287</v>
      </c>
      <c r="C143" s="10">
        <v>7</v>
      </c>
      <c r="D143" s="9" t="s">
        <v>241</v>
      </c>
      <c r="E143" s="8">
        <v>201.27762312617861</v>
      </c>
      <c r="F143" s="5">
        <v>67544.09</v>
      </c>
      <c r="G143" s="5">
        <v>0</v>
      </c>
      <c r="H143" s="5">
        <f t="shared" si="28"/>
        <v>67544.09</v>
      </c>
      <c r="I143" s="152">
        <f t="shared" si="29"/>
        <v>335.57674693752415</v>
      </c>
      <c r="J143" s="6">
        <f t="shared" si="22"/>
        <v>335.57674693752415</v>
      </c>
      <c r="K143" s="5">
        <f t="shared" si="30"/>
        <v>67544.09</v>
      </c>
      <c r="L143" s="259">
        <v>0.32010714285714287</v>
      </c>
      <c r="M143" s="154">
        <f t="shared" si="31"/>
        <v>15476.077590935429</v>
      </c>
      <c r="N143" s="154">
        <f t="shared" si="32"/>
        <v>9646.9894601213036</v>
      </c>
      <c r="O143" s="154">
        <f t="shared" si="33"/>
        <v>1486.2008940809383</v>
      </c>
      <c r="P143" s="154">
        <f t="shared" si="34"/>
        <v>1139.9175809954932</v>
      </c>
      <c r="Q143" s="154">
        <f t="shared" si="23"/>
        <v>27749.185526133166</v>
      </c>
      <c r="R143" s="173">
        <f t="shared" si="24"/>
        <v>0.41083069630715535</v>
      </c>
      <c r="S143" s="153">
        <f t="shared" si="25"/>
        <v>27749.890439353716</v>
      </c>
      <c r="T143" s="154"/>
      <c r="U143" s="154">
        <f>IFERROR(INDEX('2016 Clerical PYA'!$O$5:$O$241,MATCH('2017 Funding'!B143,'2016 Clerical PYA'!$A$5:$A$241,0)),0)</f>
        <v>-505.86152456275522</v>
      </c>
      <c r="V143" s="154">
        <f>IFERROR(INDEX('Revised 2016 MFAM (2014 PYAs)'!$AD$26:$AD$262,MATCH('2017 Funding'!B143,'Revised 2016 MFAM (2014 PYAs)'!$B$26:$B$262,0)),0)</f>
        <v>109.64614577055545</v>
      </c>
      <c r="W143" s="154">
        <f t="shared" si="26"/>
        <v>-1.5760962240588459</v>
      </c>
      <c r="X143" s="154">
        <f t="shared" si="35"/>
        <v>-397.79147501625863</v>
      </c>
      <c r="Y143" s="154"/>
      <c r="Z143" s="155">
        <f t="shared" si="27"/>
        <v>27352.098964337456</v>
      </c>
      <c r="AA143" s="156">
        <v>0</v>
      </c>
      <c r="AB143" s="157">
        <f t="shared" si="36"/>
        <v>0</v>
      </c>
      <c r="AC143" s="154">
        <f t="shared" si="37"/>
        <v>27352.098964337456</v>
      </c>
      <c r="AD143" s="160"/>
      <c r="AE143" s="154">
        <f t="shared" si="38"/>
        <v>6838.024741084364</v>
      </c>
      <c r="AF143" s="154">
        <f t="shared" si="38"/>
        <v>6838.024741084364</v>
      </c>
      <c r="AG143" s="154">
        <f t="shared" si="38"/>
        <v>6838.024741084364</v>
      </c>
      <c r="AH143" s="154">
        <f t="shared" si="38"/>
        <v>6838.024741084364</v>
      </c>
    </row>
    <row r="144" spans="2:34" x14ac:dyDescent="0.25">
      <c r="B144" s="10">
        <v>290</v>
      </c>
      <c r="C144" s="10">
        <v>7</v>
      </c>
      <c r="D144" s="9" t="s">
        <v>242</v>
      </c>
      <c r="E144" s="8">
        <v>421.86</v>
      </c>
      <c r="F144" s="5">
        <v>158090.09</v>
      </c>
      <c r="G144" s="5">
        <v>0</v>
      </c>
      <c r="H144" s="5">
        <f t="shared" si="28"/>
        <v>158090.09</v>
      </c>
      <c r="I144" s="152">
        <f t="shared" si="29"/>
        <v>374.74538946569947</v>
      </c>
      <c r="J144" s="6">
        <f t="shared" si="22"/>
        <v>374.74538946569947</v>
      </c>
      <c r="K144" s="5">
        <f t="shared" si="30"/>
        <v>158090.09</v>
      </c>
      <c r="L144" s="259">
        <v>0.70511904761904753</v>
      </c>
      <c r="M144" s="154">
        <f t="shared" si="31"/>
        <v>36222.480741068022</v>
      </c>
      <c r="N144" s="154">
        <f t="shared" si="32"/>
        <v>20219.232075766013</v>
      </c>
      <c r="O144" s="154">
        <f t="shared" si="33"/>
        <v>7662.3483367623521</v>
      </c>
      <c r="P144" s="154">
        <f t="shared" si="34"/>
        <v>2668.0302151107494</v>
      </c>
      <c r="Q144" s="154">
        <f t="shared" si="23"/>
        <v>66772.09136870713</v>
      </c>
      <c r="R144" s="173">
        <f t="shared" si="24"/>
        <v>0.42236734363746098</v>
      </c>
      <c r="S144" s="153">
        <f t="shared" si="25"/>
        <v>66773.787581733821</v>
      </c>
      <c r="T144" s="154"/>
      <c r="U144" s="154">
        <f>IFERROR(INDEX('2016 Clerical PYA'!$O$5:$O$241,MATCH('2017 Funding'!B144,'2016 Clerical PYA'!$A$5:$A$241,0)),0)</f>
        <v>-2394.4419536573259</v>
      </c>
      <c r="V144" s="154">
        <f>IFERROR(INDEX('Revised 2016 MFAM (2014 PYAs)'!$AD$26:$AD$262,MATCH('2017 Funding'!B144,'Revised 2016 MFAM (2014 PYAs)'!$B$26:$B$262,0)),0)</f>
        <v>430.09317615660257</v>
      </c>
      <c r="W144" s="154">
        <f t="shared" si="26"/>
        <v>-3.792516395827946</v>
      </c>
      <c r="X144" s="154">
        <f t="shared" si="35"/>
        <v>-1968.1412938965514</v>
      </c>
      <c r="Y144" s="154"/>
      <c r="Z144" s="155">
        <f t="shared" si="27"/>
        <v>64805.646287837269</v>
      </c>
      <c r="AA144" s="156">
        <v>0</v>
      </c>
      <c r="AB144" s="157">
        <f t="shared" si="36"/>
        <v>0</v>
      </c>
      <c r="AC144" s="154">
        <f t="shared" si="37"/>
        <v>64805.646287837269</v>
      </c>
      <c r="AD144" s="160"/>
      <c r="AE144" s="154">
        <f t="shared" si="38"/>
        <v>16201.411571959317</v>
      </c>
      <c r="AF144" s="154">
        <f t="shared" si="38"/>
        <v>16201.411571959317</v>
      </c>
      <c r="AG144" s="154">
        <f t="shared" si="38"/>
        <v>16201.411571959317</v>
      </c>
      <c r="AH144" s="154">
        <f t="shared" si="38"/>
        <v>16201.411571959317</v>
      </c>
    </row>
    <row r="145" spans="2:34" x14ac:dyDescent="0.25">
      <c r="B145" s="10">
        <v>294</v>
      </c>
      <c r="C145" s="10">
        <v>7</v>
      </c>
      <c r="D145" s="9" t="s">
        <v>243</v>
      </c>
      <c r="E145" s="8">
        <v>1263.3648618063448</v>
      </c>
      <c r="F145" s="5">
        <v>549290.56999999995</v>
      </c>
      <c r="G145" s="5">
        <v>896</v>
      </c>
      <c r="H145" s="5">
        <f t="shared" si="28"/>
        <v>548394.56999999995</v>
      </c>
      <c r="I145" s="152">
        <f t="shared" si="29"/>
        <v>434.07457859474704</v>
      </c>
      <c r="J145" s="6">
        <f t="shared" si="22"/>
        <v>434.07457859474704</v>
      </c>
      <c r="K145" s="5">
        <f t="shared" si="30"/>
        <v>548394.56999999995</v>
      </c>
      <c r="L145" s="259">
        <v>0.72785565476190472</v>
      </c>
      <c r="M145" s="154">
        <f t="shared" si="31"/>
        <v>125651.21412943264</v>
      </c>
      <c r="N145" s="154">
        <f t="shared" si="32"/>
        <v>60551.52737218637</v>
      </c>
      <c r="O145" s="154">
        <f t="shared" si="33"/>
        <v>27436.784019541949</v>
      </c>
      <c r="P145" s="154">
        <f t="shared" si="34"/>
        <v>9255.0600898681678</v>
      </c>
      <c r="Q145" s="154">
        <f t="shared" si="23"/>
        <v>222894.58561102915</v>
      </c>
      <c r="R145" s="173">
        <f t="shared" si="24"/>
        <v>0.40644929363729693</v>
      </c>
      <c r="S145" s="153">
        <f t="shared" si="25"/>
        <v>222900.24780749393</v>
      </c>
      <c r="T145" s="154"/>
      <c r="U145" s="154">
        <f>IFERROR(INDEX('2016 Clerical PYA'!$O$5:$O$241,MATCH('2017 Funding'!B145,'2016 Clerical PYA'!$A$5:$A$241,0)),0)</f>
        <v>-7465.7855870454514</v>
      </c>
      <c r="V145" s="154">
        <f>IFERROR(INDEX('Revised 2016 MFAM (2014 PYAs)'!$AD$26:$AD$262,MATCH('2017 Funding'!B145,'Revised 2016 MFAM (2014 PYAs)'!$B$26:$B$262,0)),0)</f>
        <v>1314.0474606140633</v>
      </c>
      <c r="W145" s="154">
        <f t="shared" si="26"/>
        <v>-12.659950484451503</v>
      </c>
      <c r="X145" s="154">
        <f t="shared" si="35"/>
        <v>-6164.3980769158397</v>
      </c>
      <c r="Y145" s="154"/>
      <c r="Z145" s="155">
        <f t="shared" si="27"/>
        <v>216735.84973057808</v>
      </c>
      <c r="AA145" s="156">
        <v>0</v>
      </c>
      <c r="AB145" s="157">
        <f t="shared" si="36"/>
        <v>0</v>
      </c>
      <c r="AC145" s="154">
        <f t="shared" si="37"/>
        <v>216735.84973057808</v>
      </c>
      <c r="AD145" s="160"/>
      <c r="AE145" s="154">
        <f t="shared" si="38"/>
        <v>54183.962432644519</v>
      </c>
      <c r="AF145" s="154">
        <f t="shared" si="38"/>
        <v>54183.962432644519</v>
      </c>
      <c r="AG145" s="154">
        <f t="shared" si="38"/>
        <v>54183.962432644519</v>
      </c>
      <c r="AH145" s="154">
        <f t="shared" si="38"/>
        <v>54183.962432644519</v>
      </c>
    </row>
    <row r="146" spans="2:34" x14ac:dyDescent="0.25">
      <c r="B146" s="10">
        <v>296</v>
      </c>
      <c r="C146" s="10">
        <v>7</v>
      </c>
      <c r="D146" s="9" t="s">
        <v>244</v>
      </c>
      <c r="E146" s="8">
        <v>918.9899999999999</v>
      </c>
      <c r="F146" s="5">
        <v>751905.37</v>
      </c>
      <c r="G146" s="5">
        <v>153102.99</v>
      </c>
      <c r="H146" s="5">
        <f t="shared" si="28"/>
        <v>598802.38</v>
      </c>
      <c r="I146" s="152">
        <f t="shared" si="29"/>
        <v>651.58748190948768</v>
      </c>
      <c r="J146" s="6">
        <f t="shared" si="22"/>
        <v>651.58748190948768</v>
      </c>
      <c r="K146" s="5">
        <f t="shared" si="30"/>
        <v>598802.38</v>
      </c>
      <c r="L146" s="259">
        <v>0.3156235119047619</v>
      </c>
      <c r="M146" s="154">
        <f t="shared" si="31"/>
        <v>137200.93193226529</v>
      </c>
      <c r="N146" s="154">
        <f t="shared" si="32"/>
        <v>44046.062877040262</v>
      </c>
      <c r="O146" s="154">
        <f t="shared" si="33"/>
        <v>12991.151991920327</v>
      </c>
      <c r="P146" s="154">
        <f t="shared" si="34"/>
        <v>10105.774768805741</v>
      </c>
      <c r="Q146" s="154">
        <f t="shared" si="23"/>
        <v>204343.92157003164</v>
      </c>
      <c r="R146" s="173">
        <f t="shared" si="24"/>
        <v>0.34125435768981355</v>
      </c>
      <c r="S146" s="153">
        <f t="shared" si="25"/>
        <v>204349.11252353614</v>
      </c>
      <c r="T146" s="154"/>
      <c r="U146" s="154">
        <f>IFERROR(INDEX('2016 Clerical PYA'!$O$5:$O$241,MATCH('2017 Funding'!B146,'2016 Clerical PYA'!$A$5:$A$241,0)),0)</f>
        <v>25750.14320036181</v>
      </c>
      <c r="V146" s="154">
        <f>IFERROR(INDEX('Revised 2016 MFAM (2014 PYAs)'!$AD$26:$AD$262,MATCH('2017 Funding'!B146,'Revised 2016 MFAM (2014 PYAs)'!$B$26:$B$262,0)),0)</f>
        <v>1217.1590579209733</v>
      </c>
      <c r="W146" s="154">
        <f t="shared" si="26"/>
        <v>-11.606311215606461</v>
      </c>
      <c r="X146" s="154">
        <f t="shared" si="35"/>
        <v>26955.695947067175</v>
      </c>
      <c r="Y146" s="154"/>
      <c r="Z146" s="155">
        <f t="shared" si="27"/>
        <v>231304.80847060331</v>
      </c>
      <c r="AA146" s="156">
        <v>0</v>
      </c>
      <c r="AB146" s="157">
        <f t="shared" si="36"/>
        <v>0</v>
      </c>
      <c r="AC146" s="154">
        <f t="shared" si="37"/>
        <v>231304.80847060331</v>
      </c>
      <c r="AD146" s="160"/>
      <c r="AE146" s="154">
        <f t="shared" si="38"/>
        <v>57826.202117650828</v>
      </c>
      <c r="AF146" s="154">
        <f t="shared" si="38"/>
        <v>57826.202117650828</v>
      </c>
      <c r="AG146" s="154">
        <f t="shared" si="38"/>
        <v>57826.202117650828</v>
      </c>
      <c r="AH146" s="154">
        <f t="shared" si="38"/>
        <v>57826.202117650828</v>
      </c>
    </row>
    <row r="147" spans="2:34" x14ac:dyDescent="0.25">
      <c r="B147" s="10">
        <v>301</v>
      </c>
      <c r="C147" s="10">
        <v>7</v>
      </c>
      <c r="D147" s="9" t="s">
        <v>245</v>
      </c>
      <c r="E147" s="8">
        <v>635.66524097552065</v>
      </c>
      <c r="F147" s="5">
        <v>204605.38</v>
      </c>
      <c r="G147" s="5">
        <v>280</v>
      </c>
      <c r="H147" s="5">
        <f t="shared" si="28"/>
        <v>204325.38</v>
      </c>
      <c r="I147" s="152">
        <f t="shared" si="29"/>
        <v>321.43550854917447</v>
      </c>
      <c r="J147" s="6">
        <f t="shared" si="22"/>
        <v>321.43550854917447</v>
      </c>
      <c r="K147" s="5">
        <f t="shared" si="30"/>
        <v>204325.38</v>
      </c>
      <c r="L147" s="259">
        <v>0.60786904761904759</v>
      </c>
      <c r="M147" s="154">
        <f t="shared" si="31"/>
        <v>46816.167553332445</v>
      </c>
      <c r="N147" s="154">
        <f t="shared" si="32"/>
        <v>30466.654884989755</v>
      </c>
      <c r="O147" s="154">
        <f t="shared" si="33"/>
        <v>8537.4297551453838</v>
      </c>
      <c r="P147" s="154">
        <f t="shared" si="34"/>
        <v>3448.3267582046769</v>
      </c>
      <c r="Q147" s="154">
        <f t="shared" si="23"/>
        <v>89268.578951672258</v>
      </c>
      <c r="R147" s="173">
        <f t="shared" si="24"/>
        <v>0.43689422700044533</v>
      </c>
      <c r="S147" s="153">
        <f t="shared" si="25"/>
        <v>89270.846643508601</v>
      </c>
      <c r="T147" s="154"/>
      <c r="U147" s="154">
        <f>IFERROR(INDEX('2016 Clerical PYA'!$O$5:$O$241,MATCH('2017 Funding'!B147,'2016 Clerical PYA'!$A$5:$A$241,0)),0)</f>
        <v>-3434.7659685051185</v>
      </c>
      <c r="V147" s="154">
        <f>IFERROR(INDEX('Revised 2016 MFAM (2014 PYAs)'!$AD$26:$AD$262,MATCH('2017 Funding'!B147,'Revised 2016 MFAM (2014 PYAs)'!$B$26:$B$262,0)),0)</f>
        <v>615.1674511738529</v>
      </c>
      <c r="W147" s="154">
        <f t="shared" si="26"/>
        <v>-5.0702702636200767</v>
      </c>
      <c r="X147" s="154">
        <f t="shared" si="35"/>
        <v>-2824.6687875948855</v>
      </c>
      <c r="Y147" s="154"/>
      <c r="Z147" s="155">
        <f t="shared" si="27"/>
        <v>86446.177855913716</v>
      </c>
      <c r="AA147" s="156">
        <v>0</v>
      </c>
      <c r="AB147" s="157">
        <f t="shared" si="36"/>
        <v>0</v>
      </c>
      <c r="AC147" s="154">
        <f t="shared" si="37"/>
        <v>86446.177855913716</v>
      </c>
      <c r="AD147" s="160"/>
      <c r="AE147" s="154">
        <f t="shared" si="38"/>
        <v>21611.544463978429</v>
      </c>
      <c r="AF147" s="154">
        <f t="shared" si="38"/>
        <v>21611.544463978429</v>
      </c>
      <c r="AG147" s="154">
        <f t="shared" si="38"/>
        <v>21611.544463978429</v>
      </c>
      <c r="AH147" s="154">
        <f t="shared" si="38"/>
        <v>21611.544463978429</v>
      </c>
    </row>
    <row r="148" spans="2:34" x14ac:dyDescent="0.25">
      <c r="B148" s="10">
        <v>321</v>
      </c>
      <c r="C148" s="10">
        <v>7</v>
      </c>
      <c r="D148" s="9" t="s">
        <v>246</v>
      </c>
      <c r="E148" s="8">
        <v>458.79</v>
      </c>
      <c r="F148" s="5">
        <v>432393.18</v>
      </c>
      <c r="G148" s="5">
        <v>37489.839999999997</v>
      </c>
      <c r="H148" s="5">
        <f t="shared" si="28"/>
        <v>394903.33999999997</v>
      </c>
      <c r="I148" s="152">
        <f t="shared" si="29"/>
        <v>860.74966760391453</v>
      </c>
      <c r="J148" s="6">
        <f t="shared" si="22"/>
        <v>669.57752759227765</v>
      </c>
      <c r="K148" s="5">
        <f t="shared" si="30"/>
        <v>307195.4738840611</v>
      </c>
      <c r="L148" s="259">
        <v>0.43657291666666664</v>
      </c>
      <c r="M148" s="154">
        <f t="shared" si="31"/>
        <v>70386.335642598904</v>
      </c>
      <c r="N148" s="154">
        <f t="shared" si="32"/>
        <v>21989.241653725614</v>
      </c>
      <c r="O148" s="154">
        <f t="shared" si="33"/>
        <v>9218.6303534905073</v>
      </c>
      <c r="P148" s="154">
        <f t="shared" si="34"/>
        <v>5184.4287410294983</v>
      </c>
      <c r="Q148" s="154">
        <f t="shared" si="23"/>
        <v>106778.63639084451</v>
      </c>
      <c r="R148" s="173">
        <f t="shared" si="24"/>
        <v>0.34759182822838047</v>
      </c>
      <c r="S148" s="153">
        <f t="shared" si="25"/>
        <v>106781.34889108683</v>
      </c>
      <c r="T148" s="154"/>
      <c r="U148" s="154">
        <f>IFERROR(INDEX('2016 Clerical PYA'!$O$5:$O$241,MATCH('2017 Funding'!B148,'2016 Clerical PYA'!$A$5:$A$241,0)),0)</f>
        <v>20340.289487307789</v>
      </c>
      <c r="V148" s="154">
        <f>IFERROR(INDEX('Revised 2016 MFAM (2014 PYAs)'!$AD$26:$AD$262,MATCH('2017 Funding'!B148,'Revised 2016 MFAM (2014 PYAs)'!$B$26:$B$262,0)),0)</f>
        <v>686.45644596166676</v>
      </c>
      <c r="W148" s="154">
        <f t="shared" si="26"/>
        <v>-6.064805234275072</v>
      </c>
      <c r="X148" s="154">
        <f t="shared" si="35"/>
        <v>21020.681128035179</v>
      </c>
      <c r="Y148" s="154"/>
      <c r="Z148" s="155">
        <f t="shared" si="27"/>
        <v>127802.03001912202</v>
      </c>
      <c r="AA148" s="156">
        <v>0</v>
      </c>
      <c r="AB148" s="157">
        <f t="shared" si="36"/>
        <v>0</v>
      </c>
      <c r="AC148" s="154">
        <f t="shared" si="37"/>
        <v>127802.03001912202</v>
      </c>
      <c r="AD148" s="160"/>
      <c r="AE148" s="154">
        <f t="shared" si="38"/>
        <v>31950.507504780504</v>
      </c>
      <c r="AF148" s="154">
        <f t="shared" si="38"/>
        <v>31950.507504780504</v>
      </c>
      <c r="AG148" s="154">
        <f t="shared" si="38"/>
        <v>31950.507504780504</v>
      </c>
      <c r="AH148" s="154">
        <f t="shared" si="38"/>
        <v>31950.507504780504</v>
      </c>
    </row>
    <row r="149" spans="2:34" x14ac:dyDescent="0.25">
      <c r="B149" s="10">
        <v>325</v>
      </c>
      <c r="C149" s="10">
        <v>7</v>
      </c>
      <c r="D149" s="9" t="s">
        <v>247</v>
      </c>
      <c r="E149" s="8">
        <v>397.68555374704596</v>
      </c>
      <c r="F149" s="5">
        <v>196990.77</v>
      </c>
      <c r="G149" s="5">
        <v>642</v>
      </c>
      <c r="H149" s="5">
        <f t="shared" si="28"/>
        <v>196348.77</v>
      </c>
      <c r="I149" s="152">
        <f t="shared" si="29"/>
        <v>493.7286963279804</v>
      </c>
      <c r="J149" s="6">
        <f t="shared" si="22"/>
        <v>493.7286963279804</v>
      </c>
      <c r="K149" s="5">
        <f t="shared" si="30"/>
        <v>196348.77</v>
      </c>
      <c r="L149" s="259">
        <v>0.31294345238095234</v>
      </c>
      <c r="M149" s="154">
        <f t="shared" si="31"/>
        <v>44988.522303057674</v>
      </c>
      <c r="N149" s="154">
        <f t="shared" si="32"/>
        <v>19060.580534753331</v>
      </c>
      <c r="O149" s="154">
        <f t="shared" si="33"/>
        <v>4223.6590461109026</v>
      </c>
      <c r="P149" s="154">
        <f t="shared" si="34"/>
        <v>3313.7083485741014</v>
      </c>
      <c r="Q149" s="154">
        <f t="shared" si="23"/>
        <v>71586.470232496009</v>
      </c>
      <c r="R149" s="173">
        <f t="shared" si="24"/>
        <v>0.36458833041070748</v>
      </c>
      <c r="S149" s="153">
        <f t="shared" si="25"/>
        <v>71588.288745303595</v>
      </c>
      <c r="T149" s="154"/>
      <c r="U149" s="154">
        <f>IFERROR(INDEX('2016 Clerical PYA'!$O$5:$O$241,MATCH('2017 Funding'!B149,'2016 Clerical PYA'!$A$5:$A$241,0)),0)</f>
        <v>-2196.3520199545965</v>
      </c>
      <c r="V149" s="154">
        <f>IFERROR(INDEX('Revised 2016 MFAM (2014 PYAs)'!$AD$26:$AD$262,MATCH('2017 Funding'!B149,'Revised 2016 MFAM (2014 PYAs)'!$B$26:$B$262,0)),0)</f>
        <v>391.89041717982036</v>
      </c>
      <c r="W149" s="154">
        <f t="shared" si="26"/>
        <v>-4.0659631368596907</v>
      </c>
      <c r="X149" s="154">
        <f t="shared" si="35"/>
        <v>-1808.5275659116357</v>
      </c>
      <c r="Y149" s="154"/>
      <c r="Z149" s="155">
        <f t="shared" si="27"/>
        <v>69779.761179391964</v>
      </c>
      <c r="AA149" s="156">
        <v>0</v>
      </c>
      <c r="AB149" s="157">
        <f t="shared" si="36"/>
        <v>0</v>
      </c>
      <c r="AC149" s="154">
        <f t="shared" si="37"/>
        <v>69779.761179391964</v>
      </c>
      <c r="AD149" s="160"/>
      <c r="AE149" s="154">
        <f t="shared" si="38"/>
        <v>17444.940294847991</v>
      </c>
      <c r="AF149" s="154">
        <f t="shared" si="38"/>
        <v>17444.940294847991</v>
      </c>
      <c r="AG149" s="154">
        <f t="shared" si="38"/>
        <v>17444.940294847991</v>
      </c>
      <c r="AH149" s="154">
        <f t="shared" si="38"/>
        <v>17444.940294847991</v>
      </c>
    </row>
    <row r="150" spans="2:34" x14ac:dyDescent="0.25">
      <c r="B150" s="10">
        <v>346</v>
      </c>
      <c r="C150" s="10">
        <v>7</v>
      </c>
      <c r="D150" s="9" t="s">
        <v>248</v>
      </c>
      <c r="E150" s="8">
        <v>185.65146994381385</v>
      </c>
      <c r="F150" s="5">
        <v>74147.02</v>
      </c>
      <c r="G150" s="5">
        <v>0</v>
      </c>
      <c r="H150" s="5">
        <f t="shared" si="28"/>
        <v>74147.02</v>
      </c>
      <c r="I150" s="152">
        <f t="shared" si="29"/>
        <v>399.38827321130339</v>
      </c>
      <c r="J150" s="6">
        <f t="shared" si="22"/>
        <v>399.38827321130339</v>
      </c>
      <c r="K150" s="5">
        <f t="shared" si="30"/>
        <v>74147.02</v>
      </c>
      <c r="L150" s="259">
        <v>0.19539285714285715</v>
      </c>
      <c r="M150" s="154">
        <f t="shared" si="31"/>
        <v>16988.977639000557</v>
      </c>
      <c r="N150" s="154">
        <f t="shared" si="32"/>
        <v>8898.0471151592246</v>
      </c>
      <c r="O150" s="154">
        <f t="shared" si="33"/>
        <v>995.85746424612898</v>
      </c>
      <c r="P150" s="154">
        <f t="shared" si="34"/>
        <v>1251.352881894248</v>
      </c>
      <c r="Q150" s="154">
        <f t="shared" si="23"/>
        <v>28134.235100300157</v>
      </c>
      <c r="R150" s="173">
        <f t="shared" si="24"/>
        <v>0.37943851418843477</v>
      </c>
      <c r="S150" s="153">
        <f t="shared" si="25"/>
        <v>28134.949794944205</v>
      </c>
      <c r="T150" s="154"/>
      <c r="U150" s="154">
        <f>IFERROR(INDEX('2016 Clerical PYA'!$O$5:$O$241,MATCH('2017 Funding'!B150,'2016 Clerical PYA'!$A$5:$A$241,0)),0)</f>
        <v>-895.52814228974239</v>
      </c>
      <c r="V150" s="154">
        <f>IFERROR(INDEX('Revised 2016 MFAM (2014 PYAs)'!$AD$26:$AD$262,MATCH('2017 Funding'!B150,'Revised 2016 MFAM (2014 PYAs)'!$B$26:$B$262,0)),0)</f>
        <v>167.08539559680139</v>
      </c>
      <c r="W150" s="154">
        <f t="shared" si="26"/>
        <v>-1.5979662418058003</v>
      </c>
      <c r="X150" s="154">
        <f t="shared" si="35"/>
        <v>-730.04071293474681</v>
      </c>
      <c r="Y150" s="154"/>
      <c r="Z150" s="155">
        <f t="shared" si="27"/>
        <v>27404.909082009457</v>
      </c>
      <c r="AA150" s="156">
        <v>0</v>
      </c>
      <c r="AB150" s="157">
        <f t="shared" si="36"/>
        <v>0</v>
      </c>
      <c r="AC150" s="154">
        <f t="shared" si="37"/>
        <v>27404.909082009457</v>
      </c>
      <c r="AD150" s="160"/>
      <c r="AE150" s="154">
        <f t="shared" si="38"/>
        <v>6851.2272705023643</v>
      </c>
      <c r="AF150" s="154">
        <f t="shared" si="38"/>
        <v>6851.2272705023643</v>
      </c>
      <c r="AG150" s="154">
        <f t="shared" si="38"/>
        <v>6851.2272705023643</v>
      </c>
      <c r="AH150" s="154">
        <f t="shared" si="38"/>
        <v>6851.2272705023643</v>
      </c>
    </row>
    <row r="151" spans="2:34" x14ac:dyDescent="0.25">
      <c r="B151" s="10">
        <v>358</v>
      </c>
      <c r="C151" s="10">
        <v>7</v>
      </c>
      <c r="D151" s="9" t="s">
        <v>249</v>
      </c>
      <c r="E151" s="8">
        <v>394.79999999999995</v>
      </c>
      <c r="F151" s="5">
        <v>201875.5</v>
      </c>
      <c r="G151" s="5">
        <v>38444.080000000002</v>
      </c>
      <c r="H151" s="5">
        <f t="shared" si="28"/>
        <v>163431.41999999998</v>
      </c>
      <c r="I151" s="152">
        <f t="shared" si="29"/>
        <v>413.96003039513681</v>
      </c>
      <c r="J151" s="6">
        <f t="shared" si="22"/>
        <v>413.96003039513681</v>
      </c>
      <c r="K151" s="5">
        <f t="shared" si="30"/>
        <v>163431.41999999998</v>
      </c>
      <c r="L151" s="259">
        <v>0.57483928571428566</v>
      </c>
      <c r="M151" s="154">
        <f t="shared" si="31"/>
        <v>37446.315979928906</v>
      </c>
      <c r="N151" s="154">
        <f t="shared" si="32"/>
        <v>18922.279484929644</v>
      </c>
      <c r="O151" s="154">
        <f t="shared" si="33"/>
        <v>6457.6840591601322</v>
      </c>
      <c r="P151" s="154">
        <f t="shared" si="34"/>
        <v>2758.1739415699949</v>
      </c>
      <c r="Q151" s="154">
        <f t="shared" si="23"/>
        <v>65584.453465588682</v>
      </c>
      <c r="R151" s="173">
        <f t="shared" si="24"/>
        <v>0.40129647937702978</v>
      </c>
      <c r="S151" s="153">
        <f t="shared" si="25"/>
        <v>65586.119509021446</v>
      </c>
      <c r="T151" s="154"/>
      <c r="U151" s="154">
        <f>IFERROR(INDEX('2016 Clerical PYA'!$O$5:$O$241,MATCH('2017 Funding'!B151,'2016 Clerical PYA'!$A$5:$A$241,0)),0)</f>
        <v>-2092.3687087002691</v>
      </c>
      <c r="V151" s="154">
        <f>IFERROR(INDEX('Revised 2016 MFAM (2014 PYAs)'!$AD$26:$AD$262,MATCH('2017 Funding'!B151,'Revised 2016 MFAM (2014 PYAs)'!$B$26:$B$262,0)),0)</f>
        <v>380.36492187470139</v>
      </c>
      <c r="W151" s="154">
        <f t="shared" si="26"/>
        <v>-3.7250610244660969</v>
      </c>
      <c r="X151" s="154">
        <f t="shared" si="35"/>
        <v>-1715.7288478500338</v>
      </c>
      <c r="Y151" s="154"/>
      <c r="Z151" s="155">
        <f t="shared" si="27"/>
        <v>63870.390661171412</v>
      </c>
      <c r="AA151" s="156">
        <v>0</v>
      </c>
      <c r="AB151" s="157">
        <f t="shared" si="36"/>
        <v>0</v>
      </c>
      <c r="AC151" s="154">
        <f t="shared" si="37"/>
        <v>63870.390661171412</v>
      </c>
      <c r="AD151" s="160"/>
      <c r="AE151" s="154">
        <f t="shared" si="38"/>
        <v>15967.597665292853</v>
      </c>
      <c r="AF151" s="154">
        <f t="shared" si="38"/>
        <v>15967.597665292853</v>
      </c>
      <c r="AG151" s="154">
        <f t="shared" si="38"/>
        <v>15967.597665292853</v>
      </c>
      <c r="AH151" s="154">
        <f t="shared" si="38"/>
        <v>15967.597665292853</v>
      </c>
    </row>
    <row r="152" spans="2:34" x14ac:dyDescent="0.25">
      <c r="B152" s="10">
        <v>361</v>
      </c>
      <c r="C152" s="10">
        <v>7</v>
      </c>
      <c r="D152" s="9" t="s">
        <v>250</v>
      </c>
      <c r="E152" s="8">
        <v>1389.4465893019121</v>
      </c>
      <c r="F152" s="5">
        <v>403236.79</v>
      </c>
      <c r="G152" s="5">
        <v>6531</v>
      </c>
      <c r="H152" s="5">
        <f t="shared" si="28"/>
        <v>396705.79</v>
      </c>
      <c r="I152" s="152">
        <f t="shared" si="29"/>
        <v>285.51352247322694</v>
      </c>
      <c r="J152" s="6">
        <f t="shared" si="22"/>
        <v>285.51352247322694</v>
      </c>
      <c r="K152" s="5">
        <f t="shared" si="30"/>
        <v>396705.79000000004</v>
      </c>
      <c r="L152" s="259">
        <v>0.50506547619047615</v>
      </c>
      <c r="M152" s="154">
        <f t="shared" si="31"/>
        <v>90895.437140589755</v>
      </c>
      <c r="N152" s="154">
        <f t="shared" si="32"/>
        <v>66594.469838280245</v>
      </c>
      <c r="O152" s="154">
        <f t="shared" si="33"/>
        <v>13772.444172886037</v>
      </c>
      <c r="P152" s="154">
        <f t="shared" si="34"/>
        <v>6695.0625066339071</v>
      </c>
      <c r="Q152" s="154">
        <f t="shared" si="23"/>
        <v>177957.41365838991</v>
      </c>
      <c r="R152" s="173">
        <f t="shared" si="24"/>
        <v>0.44858789093647938</v>
      </c>
      <c r="S152" s="153">
        <f t="shared" si="25"/>
        <v>177961.93431480572</v>
      </c>
      <c r="T152" s="154"/>
      <c r="U152" s="154">
        <f>IFERROR(INDEX('2016 Clerical PYA'!$O$5:$O$241,MATCH('2017 Funding'!B152,'2016 Clerical PYA'!$A$5:$A$241,0)),0)</f>
        <v>-4820.3042358509265</v>
      </c>
      <c r="V152" s="154">
        <f>IFERROR(INDEX('Revised 2016 MFAM (2014 PYAs)'!$AD$26:$AD$262,MATCH('2017 Funding'!B152,'Revised 2016 MFAM (2014 PYAs)'!$B$26:$B$262,0)),0)</f>
        <v>979.2527163757477</v>
      </c>
      <c r="W152" s="154">
        <f t="shared" si="26"/>
        <v>-10.107612255722696</v>
      </c>
      <c r="X152" s="154">
        <f t="shared" si="35"/>
        <v>-3851.1591317309017</v>
      </c>
      <c r="Y152" s="154"/>
      <c r="Z152" s="155">
        <f t="shared" si="27"/>
        <v>174110.77518307482</v>
      </c>
      <c r="AA152" s="156">
        <v>0</v>
      </c>
      <c r="AB152" s="157">
        <f t="shared" si="36"/>
        <v>0</v>
      </c>
      <c r="AC152" s="154">
        <f t="shared" si="37"/>
        <v>174110.77518307482</v>
      </c>
      <c r="AD152" s="160"/>
      <c r="AE152" s="154">
        <f t="shared" si="38"/>
        <v>43527.693795768704</v>
      </c>
      <c r="AF152" s="154">
        <f t="shared" si="38"/>
        <v>43527.693795768704</v>
      </c>
      <c r="AG152" s="154">
        <f t="shared" si="38"/>
        <v>43527.693795768704</v>
      </c>
      <c r="AH152" s="154">
        <f t="shared" si="38"/>
        <v>43527.693795768704</v>
      </c>
    </row>
    <row r="153" spans="2:34" x14ac:dyDescent="0.25">
      <c r="B153" s="10">
        <v>376</v>
      </c>
      <c r="C153" s="10">
        <v>7</v>
      </c>
      <c r="D153" s="9" t="s">
        <v>251</v>
      </c>
      <c r="E153" s="8">
        <v>873.60969415495833</v>
      </c>
      <c r="F153" s="5">
        <v>262184.61</v>
      </c>
      <c r="G153" s="5">
        <v>183</v>
      </c>
      <c r="H153" s="5">
        <f t="shared" si="28"/>
        <v>262001.61</v>
      </c>
      <c r="I153" s="152">
        <f t="shared" si="29"/>
        <v>299.9069398530815</v>
      </c>
      <c r="J153" s="6">
        <f t="shared" si="22"/>
        <v>299.9069398530815</v>
      </c>
      <c r="K153" s="5">
        <f t="shared" si="30"/>
        <v>262001.61000000002</v>
      </c>
      <c r="L153" s="259">
        <v>0.38523214285714286</v>
      </c>
      <c r="M153" s="154">
        <f t="shared" si="31"/>
        <v>60031.266174583216</v>
      </c>
      <c r="N153" s="154">
        <f t="shared" si="32"/>
        <v>41871.040510496532</v>
      </c>
      <c r="O153" s="154">
        <f t="shared" si="33"/>
        <v>6937.7919920586628</v>
      </c>
      <c r="P153" s="154">
        <f t="shared" si="34"/>
        <v>4421.7079760512679</v>
      </c>
      <c r="Q153" s="154">
        <f t="shared" si="23"/>
        <v>113261.80665318968</v>
      </c>
      <c r="R153" s="173">
        <f t="shared" si="24"/>
        <v>0.4322943154936707</v>
      </c>
      <c r="S153" s="153">
        <f t="shared" si="25"/>
        <v>113264.68384556053</v>
      </c>
      <c r="T153" s="154"/>
      <c r="U153" s="154">
        <f>IFERROR(INDEX('2016 Clerical PYA'!$O$5:$O$241,MATCH('2017 Funding'!B153,'2016 Clerical PYA'!$A$5:$A$241,0)),0)</f>
        <v>-3832.7607760159299</v>
      </c>
      <c r="V153" s="154">
        <f>IFERROR(INDEX('Revised 2016 MFAM (2014 PYAs)'!$AD$26:$AD$262,MATCH('2017 Funding'!B153,'Revised 2016 MFAM (2014 PYAs)'!$B$26:$B$262,0)),0)</f>
        <v>693.85965255941846</v>
      </c>
      <c r="W153" s="154">
        <f t="shared" si="26"/>
        <v>-6.4330358679558266</v>
      </c>
      <c r="X153" s="154">
        <f t="shared" si="35"/>
        <v>-3145.3341593244672</v>
      </c>
      <c r="Y153" s="154"/>
      <c r="Z153" s="155">
        <f t="shared" si="27"/>
        <v>110119.34968623606</v>
      </c>
      <c r="AA153" s="156">
        <v>0</v>
      </c>
      <c r="AB153" s="157">
        <f t="shared" si="36"/>
        <v>0</v>
      </c>
      <c r="AC153" s="154">
        <f t="shared" si="37"/>
        <v>110119.34968623606</v>
      </c>
      <c r="AD153" s="160"/>
      <c r="AE153" s="154">
        <f t="shared" si="38"/>
        <v>27529.837421559016</v>
      </c>
      <c r="AF153" s="154">
        <f t="shared" si="38"/>
        <v>27529.837421559016</v>
      </c>
      <c r="AG153" s="154">
        <f t="shared" si="38"/>
        <v>27529.837421559016</v>
      </c>
      <c r="AH153" s="154">
        <f t="shared" si="38"/>
        <v>27529.837421559016</v>
      </c>
    </row>
    <row r="154" spans="2:34" x14ac:dyDescent="0.25">
      <c r="B154" s="10">
        <v>382</v>
      </c>
      <c r="C154" s="10">
        <v>7</v>
      </c>
      <c r="D154" s="9" t="s">
        <v>252</v>
      </c>
      <c r="E154" s="8">
        <v>178.71000000000004</v>
      </c>
      <c r="F154" s="5">
        <v>82371.59</v>
      </c>
      <c r="G154" s="5">
        <v>21362.729999999996</v>
      </c>
      <c r="H154" s="5">
        <f t="shared" si="28"/>
        <v>61008.86</v>
      </c>
      <c r="I154" s="152">
        <f t="shared" si="29"/>
        <v>341.38470147165793</v>
      </c>
      <c r="J154" s="6">
        <f t="shared" ref="J154:J217" si="39">MIN(I154,INDEX($N$3:$N$11,MATCH(C154,$K$3:$K$11,0)))</f>
        <v>341.38470147165793</v>
      </c>
      <c r="K154" s="5">
        <f t="shared" si="30"/>
        <v>61008.86</v>
      </c>
      <c r="L154" s="259">
        <v>0.67353720238095238</v>
      </c>
      <c r="M154" s="154">
        <f t="shared" si="31"/>
        <v>13978.689343427634</v>
      </c>
      <c r="N154" s="154">
        <f t="shared" si="32"/>
        <v>8565.3509796144335</v>
      </c>
      <c r="O154" s="154">
        <f t="shared" si="33"/>
        <v>2824.5501939974042</v>
      </c>
      <c r="P154" s="154">
        <f t="shared" si="34"/>
        <v>1029.6248289153457</v>
      </c>
      <c r="Q154" s="154">
        <f t="shared" ref="Q154:Q217" si="40">M154+N154+O154+P154</f>
        <v>26398.215345954817</v>
      </c>
      <c r="R154" s="173">
        <f t="shared" ref="R154:R217" si="41">IFERROR((Q154/K154),0)</f>
        <v>0.43269478147853963</v>
      </c>
      <c r="S154" s="153">
        <f t="shared" ref="S154:S217" si="42">IF(R154&gt;$R$19,$R$19*K154,Q154+($R$23*Q154/$R$22))</f>
        <v>26398.885940447715</v>
      </c>
      <c r="T154" s="154"/>
      <c r="U154" s="154">
        <f>IFERROR(INDEX('2016 Clerical PYA'!$O$5:$O$241,MATCH('2017 Funding'!B154,'2016 Clerical PYA'!$A$5:$A$241,0)),0)</f>
        <v>1547.7239823634955</v>
      </c>
      <c r="V154" s="154">
        <f>IFERROR(INDEX('Revised 2016 MFAM (2014 PYAs)'!$AD$26:$AD$262,MATCH('2017 Funding'!B154,'Revised 2016 MFAM (2014 PYAs)'!$B$26:$B$262,0)),0)</f>
        <v>-1354.3681956884066</v>
      </c>
      <c r="W154" s="154">
        <f t="shared" ref="W154:W217" si="43">-$V$22*(S154/$E$17)</f>
        <v>-1.4993639178875553</v>
      </c>
      <c r="X154" s="154">
        <f t="shared" si="35"/>
        <v>191.85642275720133</v>
      </c>
      <c r="Y154" s="154"/>
      <c r="Z154" s="155">
        <f t="shared" ref="Z154:Z217" si="44">S154+X154</f>
        <v>26590.742363204918</v>
      </c>
      <c r="AA154" s="156">
        <v>0</v>
      </c>
      <c r="AB154" s="157">
        <f t="shared" si="36"/>
        <v>0</v>
      </c>
      <c r="AC154" s="154">
        <f t="shared" si="37"/>
        <v>26590.742363204918</v>
      </c>
      <c r="AD154" s="160"/>
      <c r="AE154" s="154">
        <f t="shared" si="38"/>
        <v>6647.6855908012294</v>
      </c>
      <c r="AF154" s="154">
        <f t="shared" si="38"/>
        <v>6647.6855908012294</v>
      </c>
      <c r="AG154" s="154">
        <f t="shared" si="38"/>
        <v>6647.6855908012294</v>
      </c>
      <c r="AH154" s="154">
        <f t="shared" si="38"/>
        <v>6647.6855908012294</v>
      </c>
    </row>
    <row r="155" spans="2:34" x14ac:dyDescent="0.25">
      <c r="B155" s="10">
        <v>389</v>
      </c>
      <c r="C155" s="10">
        <v>7</v>
      </c>
      <c r="D155" s="9" t="s">
        <v>253</v>
      </c>
      <c r="E155" s="8">
        <v>1339.9665528847299</v>
      </c>
      <c r="F155" s="5">
        <v>133794.13</v>
      </c>
      <c r="G155" s="5">
        <v>847</v>
      </c>
      <c r="H155" s="5">
        <f t="shared" ref="H155:H218" si="45">F155-G155</f>
        <v>132947.13</v>
      </c>
      <c r="I155" s="152">
        <f t="shared" ref="I155:I218" si="46">IFERROR(H155/E155,"n.a.")</f>
        <v>99.216752622508722</v>
      </c>
      <c r="J155" s="6">
        <f t="shared" si="39"/>
        <v>99.216752622508722</v>
      </c>
      <c r="K155" s="5">
        <f t="shared" ref="K155:K218" si="47">E155*J155</f>
        <v>132947.13</v>
      </c>
      <c r="L155" s="259">
        <v>0.46352976190476192</v>
      </c>
      <c r="M155" s="154">
        <f t="shared" ref="M155:M218" si="48">$E$14*(K155/$K$24)</f>
        <v>30461.585897036726</v>
      </c>
      <c r="N155" s="154">
        <f t="shared" ref="N155:N218" si="49">$E$15*(E155/$E$24)</f>
        <v>64222.952416774628</v>
      </c>
      <c r="O155" s="154">
        <f t="shared" ref="O155:O218" si="50">IFERROR(L155*$E$16*(K155/$K$24),0)</f>
        <v>4235.9554974284656</v>
      </c>
      <c r="P155" s="154">
        <f t="shared" ref="P155:P218" si="51">($O$23+$E$9)*(K155/$K$24)</f>
        <v>2243.7014227283744</v>
      </c>
      <c r="Q155" s="154">
        <f t="shared" si="40"/>
        <v>101164.1952339682</v>
      </c>
      <c r="R155" s="173">
        <f t="shared" si="41"/>
        <v>0.76093553304962802</v>
      </c>
      <c r="S155" s="153">
        <f t="shared" si="42"/>
        <v>99710.347500000003</v>
      </c>
      <c r="T155" s="154"/>
      <c r="U155" s="154">
        <f>IFERROR(INDEX('2016 Clerical PYA'!$O$5:$O$241,MATCH('2017 Funding'!B155,'2016 Clerical PYA'!$A$5:$A$241,0)),0)</f>
        <v>-1678.3790779403789</v>
      </c>
      <c r="V155" s="154">
        <f>IFERROR(INDEX('Revised 2016 MFAM (2014 PYAs)'!$AD$26:$AD$262,MATCH('2017 Funding'!B155,'Revised 2016 MFAM (2014 PYAs)'!$B$26:$B$262,0)),0)</f>
        <v>431.68367906482308</v>
      </c>
      <c r="W155" s="154">
        <f t="shared" si="43"/>
        <v>-5.6631972128970114</v>
      </c>
      <c r="X155" s="154">
        <f t="shared" ref="X155:X218" si="52">SUM(U155:W155)</f>
        <v>-1252.3585960884529</v>
      </c>
      <c r="Y155" s="154"/>
      <c r="Z155" s="155">
        <f t="shared" si="44"/>
        <v>98457.988903911551</v>
      </c>
      <c r="AA155" s="156">
        <v>0</v>
      </c>
      <c r="AB155" s="157">
        <f t="shared" ref="AB155:AB218" si="53">-$AA$24*AA155*Z155</f>
        <v>0</v>
      </c>
      <c r="AC155" s="154">
        <f t="shared" ref="AC155:AC218" si="54">Z155+AB155</f>
        <v>98457.988903911551</v>
      </c>
      <c r="AD155" s="160"/>
      <c r="AE155" s="154">
        <f t="shared" si="38"/>
        <v>24614.497225977888</v>
      </c>
      <c r="AF155" s="154">
        <f t="shared" si="38"/>
        <v>24614.497225977888</v>
      </c>
      <c r="AG155" s="154">
        <f t="shared" si="38"/>
        <v>24614.497225977888</v>
      </c>
      <c r="AH155" s="154">
        <f t="shared" si="38"/>
        <v>24614.497225977888</v>
      </c>
    </row>
    <row r="156" spans="2:34" x14ac:dyDescent="0.25">
      <c r="B156" s="10">
        <v>434</v>
      </c>
      <c r="C156" s="10">
        <v>7</v>
      </c>
      <c r="D156" s="9" t="s">
        <v>254</v>
      </c>
      <c r="E156" s="8">
        <v>379.12850517263735</v>
      </c>
      <c r="F156" s="5">
        <v>148342.60999999999</v>
      </c>
      <c r="G156" s="5">
        <v>0</v>
      </c>
      <c r="H156" s="5">
        <f t="shared" si="45"/>
        <v>148342.60999999999</v>
      </c>
      <c r="I156" s="152">
        <f t="shared" si="46"/>
        <v>391.27263705073221</v>
      </c>
      <c r="J156" s="6">
        <f t="shared" si="39"/>
        <v>391.27263705073221</v>
      </c>
      <c r="K156" s="5">
        <f t="shared" si="47"/>
        <v>148342.60999999999</v>
      </c>
      <c r="L156" s="259">
        <v>0.28558928571428571</v>
      </c>
      <c r="M156" s="154">
        <f t="shared" si="48"/>
        <v>33989.083906554573</v>
      </c>
      <c r="N156" s="154">
        <f t="shared" si="49"/>
        <v>18171.163970567985</v>
      </c>
      <c r="O156" s="154">
        <f t="shared" si="50"/>
        <v>2912.0754584867527</v>
      </c>
      <c r="P156" s="154">
        <f t="shared" si="51"/>
        <v>2503.5254624017857</v>
      </c>
      <c r="Q156" s="154">
        <f t="shared" si="40"/>
        <v>57575.848798011095</v>
      </c>
      <c r="R156" s="173">
        <f t="shared" si="41"/>
        <v>0.38812751641629534</v>
      </c>
      <c r="S156" s="153">
        <f t="shared" si="42"/>
        <v>57577.311398668826</v>
      </c>
      <c r="T156" s="154"/>
      <c r="U156" s="154">
        <f>IFERROR(INDEX('2016 Clerical PYA'!$O$5:$O$241,MATCH('2017 Funding'!B156,'2016 Clerical PYA'!$A$5:$A$241,0)),0)</f>
        <v>-1970.3996310382936</v>
      </c>
      <c r="V156" s="154">
        <f>IFERROR(INDEX('Revised 2016 MFAM (2014 PYAs)'!$AD$26:$AD$262,MATCH('2017 Funding'!B156,'Revised 2016 MFAM (2014 PYAs)'!$B$26:$B$262,0)),0)</f>
        <v>360.33814960462041</v>
      </c>
      <c r="W156" s="154">
        <f t="shared" si="43"/>
        <v>-3.2701888782309645</v>
      </c>
      <c r="X156" s="154">
        <f t="shared" si="52"/>
        <v>-1613.3316703119042</v>
      </c>
      <c r="Y156" s="154"/>
      <c r="Z156" s="155">
        <f t="shared" si="44"/>
        <v>55963.979728356921</v>
      </c>
      <c r="AA156" s="156">
        <v>0</v>
      </c>
      <c r="AB156" s="157">
        <f t="shared" si="53"/>
        <v>0</v>
      </c>
      <c r="AC156" s="154">
        <f t="shared" si="54"/>
        <v>55963.979728356921</v>
      </c>
      <c r="AD156" s="160"/>
      <c r="AE156" s="154">
        <f t="shared" si="38"/>
        <v>13990.99493208923</v>
      </c>
      <c r="AF156" s="154">
        <f t="shared" si="38"/>
        <v>13990.99493208923</v>
      </c>
      <c r="AG156" s="154">
        <f t="shared" si="38"/>
        <v>13990.99493208923</v>
      </c>
      <c r="AH156" s="154">
        <f t="shared" si="38"/>
        <v>13990.99493208923</v>
      </c>
    </row>
    <row r="157" spans="2:34" x14ac:dyDescent="0.25">
      <c r="B157" s="10">
        <v>437</v>
      </c>
      <c r="C157" s="10">
        <v>7</v>
      </c>
      <c r="D157" s="9" t="s">
        <v>255</v>
      </c>
      <c r="E157" s="8">
        <v>323.78932873882195</v>
      </c>
      <c r="F157" s="5">
        <v>212779.41</v>
      </c>
      <c r="G157" s="5">
        <v>0</v>
      </c>
      <c r="H157" s="5">
        <f t="shared" si="45"/>
        <v>212779.41</v>
      </c>
      <c r="I157" s="152">
        <f t="shared" si="46"/>
        <v>657.15386862435537</v>
      </c>
      <c r="J157" s="6">
        <f t="shared" si="39"/>
        <v>657.15386862435537</v>
      </c>
      <c r="K157" s="5">
        <f t="shared" si="47"/>
        <v>212779.41</v>
      </c>
      <c r="L157" s="259">
        <v>0.21885416666666668</v>
      </c>
      <c r="M157" s="154">
        <f t="shared" si="48"/>
        <v>48753.201929487273</v>
      </c>
      <c r="N157" s="154">
        <f t="shared" si="49"/>
        <v>15518.825158646789</v>
      </c>
      <c r="O157" s="154">
        <f t="shared" si="50"/>
        <v>3200.9524141828988</v>
      </c>
      <c r="P157" s="154">
        <f t="shared" si="51"/>
        <v>3591.0024153534123</v>
      </c>
      <c r="Q157" s="154">
        <f t="shared" si="40"/>
        <v>71063.981917670375</v>
      </c>
      <c r="R157" s="173">
        <f t="shared" si="41"/>
        <v>0.33397959848497732</v>
      </c>
      <c r="S157" s="153">
        <f t="shared" si="42"/>
        <v>71065.787157694867</v>
      </c>
      <c r="T157" s="154"/>
      <c r="U157" s="154">
        <f>IFERROR(INDEX('2016 Clerical PYA'!$O$5:$O$241,MATCH('2017 Funding'!B157,'2016 Clerical PYA'!$A$5:$A$241,0)),0)</f>
        <v>11627.2001399972</v>
      </c>
      <c r="V157" s="154">
        <f>IFERROR(INDEX('Revised 2016 MFAM (2014 PYAs)'!$AD$26:$AD$262,MATCH('2017 Funding'!B157,'Revised 2016 MFAM (2014 PYAs)'!$B$26:$B$262,0)),0)</f>
        <v>445.58163210529892</v>
      </c>
      <c r="W157" s="154">
        <f t="shared" si="43"/>
        <v>-4.0362868835031369</v>
      </c>
      <c r="X157" s="154">
        <f t="shared" si="52"/>
        <v>12068.745485218995</v>
      </c>
      <c r="Y157" s="154"/>
      <c r="Z157" s="155">
        <f t="shared" si="44"/>
        <v>83134.532642913866</v>
      </c>
      <c r="AA157" s="156">
        <v>0</v>
      </c>
      <c r="AB157" s="157">
        <f t="shared" si="53"/>
        <v>0</v>
      </c>
      <c r="AC157" s="154">
        <f t="shared" si="54"/>
        <v>83134.532642913866</v>
      </c>
      <c r="AD157" s="160"/>
      <c r="AE157" s="154">
        <f t="shared" si="38"/>
        <v>20783.633160728466</v>
      </c>
      <c r="AF157" s="154">
        <f t="shared" si="38"/>
        <v>20783.633160728466</v>
      </c>
      <c r="AG157" s="154">
        <f t="shared" si="38"/>
        <v>20783.633160728466</v>
      </c>
      <c r="AH157" s="154">
        <f t="shared" si="38"/>
        <v>20783.633160728466</v>
      </c>
    </row>
    <row r="158" spans="2:34" x14ac:dyDescent="0.25">
      <c r="B158" s="10">
        <v>502</v>
      </c>
      <c r="C158" s="10">
        <v>7</v>
      </c>
      <c r="D158" s="9" t="s">
        <v>256</v>
      </c>
      <c r="E158" s="8">
        <v>642.32660023938229</v>
      </c>
      <c r="F158" s="5">
        <v>278891.21999999997</v>
      </c>
      <c r="G158" s="5">
        <v>0</v>
      </c>
      <c r="H158" s="5">
        <f t="shared" si="45"/>
        <v>278891.21999999997</v>
      </c>
      <c r="I158" s="152">
        <f t="shared" si="46"/>
        <v>434.18911795971519</v>
      </c>
      <c r="J158" s="6">
        <f t="shared" si="39"/>
        <v>434.18911795971519</v>
      </c>
      <c r="K158" s="5">
        <f t="shared" si="47"/>
        <v>278891.21999999997</v>
      </c>
      <c r="L158" s="259">
        <v>0.41331994047619053</v>
      </c>
      <c r="M158" s="154">
        <f t="shared" si="48"/>
        <v>63901.107560271259</v>
      </c>
      <c r="N158" s="154">
        <f t="shared" si="49"/>
        <v>30785.925659407982</v>
      </c>
      <c r="O158" s="154">
        <f t="shared" si="50"/>
        <v>7923.4805919521887</v>
      </c>
      <c r="P158" s="154">
        <f t="shared" si="51"/>
        <v>4706.7479162615391</v>
      </c>
      <c r="Q158" s="154">
        <f t="shared" si="40"/>
        <v>107317.26172789297</v>
      </c>
      <c r="R158" s="173">
        <f t="shared" si="41"/>
        <v>0.38479971412471492</v>
      </c>
      <c r="S158" s="153">
        <f t="shared" si="42"/>
        <v>107319.98791084756</v>
      </c>
      <c r="T158" s="154"/>
      <c r="U158" s="154">
        <f>IFERROR(INDEX('2016 Clerical PYA'!$O$5:$O$241,MATCH('2017 Funding'!B158,'2016 Clerical PYA'!$A$5:$A$241,0)),0)</f>
        <v>-3659.2104032519856</v>
      </c>
      <c r="V158" s="154">
        <f>IFERROR(INDEX('Revised 2016 MFAM (2014 PYAs)'!$AD$26:$AD$262,MATCH('2017 Funding'!B158,'Revised 2016 MFAM (2014 PYAs)'!$B$26:$B$262,0)),0)</f>
        <v>653.76641835700138</v>
      </c>
      <c r="W158" s="154">
        <f t="shared" si="43"/>
        <v>-6.0953980370477883</v>
      </c>
      <c r="X158" s="154">
        <f t="shared" si="52"/>
        <v>-3011.5393829320319</v>
      </c>
      <c r="Y158" s="154"/>
      <c r="Z158" s="155">
        <f t="shared" si="44"/>
        <v>104308.44852791552</v>
      </c>
      <c r="AA158" s="156">
        <v>0</v>
      </c>
      <c r="AB158" s="157">
        <f t="shared" si="53"/>
        <v>0</v>
      </c>
      <c r="AC158" s="154">
        <f t="shared" si="54"/>
        <v>104308.44852791552</v>
      </c>
      <c r="AD158" s="160"/>
      <c r="AE158" s="154">
        <f t="shared" si="38"/>
        <v>26077.11213197888</v>
      </c>
      <c r="AF158" s="154">
        <f t="shared" si="38"/>
        <v>26077.11213197888</v>
      </c>
      <c r="AG158" s="154">
        <f t="shared" si="38"/>
        <v>26077.11213197888</v>
      </c>
      <c r="AH158" s="154">
        <f t="shared" si="38"/>
        <v>26077.11213197888</v>
      </c>
    </row>
    <row r="159" spans="2:34" x14ac:dyDescent="0.25">
      <c r="B159" s="10">
        <v>503</v>
      </c>
      <c r="C159" s="10">
        <v>7</v>
      </c>
      <c r="D159" s="9" t="s">
        <v>257</v>
      </c>
      <c r="E159" s="8">
        <v>389.59000000000003</v>
      </c>
      <c r="F159" s="5">
        <v>186459.33</v>
      </c>
      <c r="G159" s="5">
        <v>46111.149999999994</v>
      </c>
      <c r="H159" s="5">
        <f t="shared" si="45"/>
        <v>140348.18</v>
      </c>
      <c r="I159" s="152">
        <f t="shared" si="46"/>
        <v>360.24584819938906</v>
      </c>
      <c r="J159" s="6">
        <f t="shared" si="39"/>
        <v>360.24584819938906</v>
      </c>
      <c r="K159" s="5">
        <f t="shared" si="47"/>
        <v>140348.18</v>
      </c>
      <c r="L159" s="259">
        <v>0.64352827380952382</v>
      </c>
      <c r="M159" s="154">
        <f t="shared" si="48"/>
        <v>32157.355638762354</v>
      </c>
      <c r="N159" s="154">
        <f t="shared" si="49"/>
        <v>18672.57057885953</v>
      </c>
      <c r="O159" s="154">
        <f t="shared" si="50"/>
        <v>6208.250269347508</v>
      </c>
      <c r="P159" s="154">
        <f t="shared" si="51"/>
        <v>2368.6063109699171</v>
      </c>
      <c r="Q159" s="154">
        <f t="shared" si="40"/>
        <v>59406.782797939311</v>
      </c>
      <c r="R159" s="173">
        <f t="shared" si="41"/>
        <v>0.42328146184681065</v>
      </c>
      <c r="S159" s="153">
        <f t="shared" si="42"/>
        <v>59408.291909857035</v>
      </c>
      <c r="T159" s="154"/>
      <c r="U159" s="154">
        <f>IFERROR(INDEX('2016 Clerical PYA'!$O$5:$O$241,MATCH('2017 Funding'!B159,'2016 Clerical PYA'!$A$5:$A$241,0)),0)</f>
        <v>-1666.9352128176979</v>
      </c>
      <c r="V159" s="154">
        <f>IFERROR(INDEX('Revised 2016 MFAM (2014 PYAs)'!$AD$26:$AD$262,MATCH('2017 Funding'!B159,'Revised 2016 MFAM (2014 PYAs)'!$B$26:$B$262,0)),0)</f>
        <v>-13702.53079895956</v>
      </c>
      <c r="W159" s="154">
        <f t="shared" si="43"/>
        <v>-3.3741821345760972</v>
      </c>
      <c r="X159" s="154">
        <f t="shared" si="52"/>
        <v>-15372.840193911834</v>
      </c>
      <c r="Y159" s="154"/>
      <c r="Z159" s="155">
        <f t="shared" si="44"/>
        <v>44035.451715945201</v>
      </c>
      <c r="AA159" s="156">
        <v>0</v>
      </c>
      <c r="AB159" s="157">
        <f t="shared" si="53"/>
        <v>0</v>
      </c>
      <c r="AC159" s="154">
        <f t="shared" si="54"/>
        <v>44035.451715945201</v>
      </c>
      <c r="AD159" s="160"/>
      <c r="AE159" s="154">
        <f t="shared" si="38"/>
        <v>11008.8629289863</v>
      </c>
      <c r="AF159" s="154">
        <f t="shared" si="38"/>
        <v>11008.8629289863</v>
      </c>
      <c r="AG159" s="154">
        <f t="shared" si="38"/>
        <v>11008.8629289863</v>
      </c>
      <c r="AH159" s="154">
        <f t="shared" si="38"/>
        <v>11008.8629289863</v>
      </c>
    </row>
    <row r="160" spans="2:34" x14ac:dyDescent="0.25">
      <c r="B160" s="10">
        <v>510</v>
      </c>
      <c r="C160" s="10">
        <v>7</v>
      </c>
      <c r="D160" s="9" t="s">
        <v>258</v>
      </c>
      <c r="E160" s="8">
        <v>495.65548577626328</v>
      </c>
      <c r="F160" s="5">
        <v>212644.13</v>
      </c>
      <c r="G160" s="5">
        <v>462</v>
      </c>
      <c r="H160" s="5">
        <f t="shared" si="45"/>
        <v>212182.13</v>
      </c>
      <c r="I160" s="152">
        <f t="shared" si="46"/>
        <v>428.08389312527066</v>
      </c>
      <c r="J160" s="6">
        <f t="shared" si="39"/>
        <v>428.08389312527066</v>
      </c>
      <c r="K160" s="5">
        <f t="shared" si="47"/>
        <v>212182.13</v>
      </c>
      <c r="L160" s="259">
        <v>0.35335119047619046</v>
      </c>
      <c r="M160" s="154">
        <f t="shared" si="48"/>
        <v>48616.34981372831</v>
      </c>
      <c r="N160" s="154">
        <f t="shared" si="49"/>
        <v>23756.159144116071</v>
      </c>
      <c r="O160" s="154">
        <f t="shared" si="50"/>
        <v>5153.5935249863451</v>
      </c>
      <c r="P160" s="154">
        <f t="shared" si="51"/>
        <v>3580.9223332503448</v>
      </c>
      <c r="Q160" s="154">
        <f t="shared" si="40"/>
        <v>81107.024816081059</v>
      </c>
      <c r="R160" s="173">
        <f t="shared" si="41"/>
        <v>0.38225191167645012</v>
      </c>
      <c r="S160" s="153">
        <f t="shared" si="42"/>
        <v>81109.085179763395</v>
      </c>
      <c r="T160" s="154"/>
      <c r="U160" s="154">
        <f>IFERROR(INDEX('2016 Clerical PYA'!$O$5:$O$241,MATCH('2017 Funding'!B160,'2016 Clerical PYA'!$A$5:$A$241,0)),0)</f>
        <v>1009.6118992282863</v>
      </c>
      <c r="V160" s="154">
        <f>IFERROR(INDEX('Revised 2016 MFAM (2014 PYAs)'!$AD$26:$AD$262,MATCH('2017 Funding'!B160,'Revised 2016 MFAM (2014 PYAs)'!$B$26:$B$262,0)),0)</f>
        <v>511.13212733367982</v>
      </c>
      <c r="W160" s="154">
        <f t="shared" si="43"/>
        <v>-4.6067109046095975</v>
      </c>
      <c r="X160" s="154">
        <f t="shared" si="52"/>
        <v>1516.1373156573566</v>
      </c>
      <c r="Y160" s="154"/>
      <c r="Z160" s="155">
        <f t="shared" si="44"/>
        <v>82625.222495420749</v>
      </c>
      <c r="AA160" s="156">
        <v>0</v>
      </c>
      <c r="AB160" s="157">
        <f t="shared" si="53"/>
        <v>0</v>
      </c>
      <c r="AC160" s="154">
        <f t="shared" si="54"/>
        <v>82625.222495420749</v>
      </c>
      <c r="AD160" s="160"/>
      <c r="AE160" s="154">
        <f t="shared" si="38"/>
        <v>20656.305623855187</v>
      </c>
      <c r="AF160" s="154">
        <f t="shared" si="38"/>
        <v>20656.305623855187</v>
      </c>
      <c r="AG160" s="154">
        <f t="shared" si="38"/>
        <v>20656.305623855187</v>
      </c>
      <c r="AH160" s="154">
        <f t="shared" si="38"/>
        <v>20656.305623855187</v>
      </c>
    </row>
    <row r="161" spans="2:34" x14ac:dyDescent="0.25">
      <c r="B161" s="10">
        <v>531</v>
      </c>
      <c r="C161" s="10">
        <v>7</v>
      </c>
      <c r="D161" s="9" t="s">
        <v>259</v>
      </c>
      <c r="E161" s="8">
        <v>1991.71</v>
      </c>
      <c r="F161" s="5">
        <v>896971.7</v>
      </c>
      <c r="G161" s="5">
        <v>3748</v>
      </c>
      <c r="H161" s="5">
        <f t="shared" si="45"/>
        <v>893223.7</v>
      </c>
      <c r="I161" s="152">
        <f t="shared" si="46"/>
        <v>448.47076130561175</v>
      </c>
      <c r="J161" s="6">
        <f t="shared" si="39"/>
        <v>448.47076130561175</v>
      </c>
      <c r="K161" s="5">
        <f t="shared" si="47"/>
        <v>893223.7</v>
      </c>
      <c r="L161" s="259">
        <v>0.76867113095238082</v>
      </c>
      <c r="M161" s="154">
        <f t="shared" si="48"/>
        <v>204660.38238523059</v>
      </c>
      <c r="N161" s="154">
        <f t="shared" si="49"/>
        <v>95460.215990195618</v>
      </c>
      <c r="O161" s="154">
        <f t="shared" si="50"/>
        <v>47194.958276760575</v>
      </c>
      <c r="P161" s="154">
        <f t="shared" si="51"/>
        <v>15074.618658595358</v>
      </c>
      <c r="Q161" s="154">
        <f t="shared" si="40"/>
        <v>362390.17531078216</v>
      </c>
      <c r="R161" s="173">
        <f t="shared" si="41"/>
        <v>0.40571043436351073</v>
      </c>
      <c r="S161" s="153">
        <f t="shared" si="42"/>
        <v>362399.38111703307</v>
      </c>
      <c r="T161" s="154"/>
      <c r="U161" s="154">
        <f>IFERROR(INDEX('2016 Clerical PYA'!$O$5:$O$241,MATCH('2017 Funding'!B161,'2016 Clerical PYA'!$A$5:$A$241,0)),0)</f>
        <v>-12214.479453897104</v>
      </c>
      <c r="V161" s="154">
        <f>IFERROR(INDEX('Revised 2016 MFAM (2014 PYAs)'!$AD$26:$AD$262,MATCH('2017 Funding'!B161,'Revised 2016 MFAM (2014 PYAs)'!$B$26:$B$262,0)),0)</f>
        <v>2149.7264567745151</v>
      </c>
      <c r="W161" s="154">
        <f t="shared" si="43"/>
        <v>-20.583010856496951</v>
      </c>
      <c r="X161" s="154">
        <f t="shared" si="52"/>
        <v>-10085.336007979085</v>
      </c>
      <c r="Y161" s="154"/>
      <c r="Z161" s="155">
        <f t="shared" si="44"/>
        <v>352314.04510905402</v>
      </c>
      <c r="AA161" s="156">
        <v>0</v>
      </c>
      <c r="AB161" s="157">
        <f t="shared" si="53"/>
        <v>0</v>
      </c>
      <c r="AC161" s="154">
        <f t="shared" si="54"/>
        <v>352314.04510905402</v>
      </c>
      <c r="AD161" s="160"/>
      <c r="AE161" s="154">
        <f t="shared" si="38"/>
        <v>88078.511277263504</v>
      </c>
      <c r="AF161" s="154">
        <f t="shared" si="38"/>
        <v>88078.511277263504</v>
      </c>
      <c r="AG161" s="154">
        <f t="shared" si="38"/>
        <v>88078.511277263504</v>
      </c>
      <c r="AH161" s="154">
        <f t="shared" si="38"/>
        <v>88078.511277263504</v>
      </c>
    </row>
    <row r="162" spans="2:34" x14ac:dyDescent="0.25">
      <c r="B162" s="10">
        <v>550</v>
      </c>
      <c r="C162" s="10">
        <v>7</v>
      </c>
      <c r="D162" s="9" t="s">
        <v>260</v>
      </c>
      <c r="E162" s="8">
        <v>370.35</v>
      </c>
      <c r="F162" s="5">
        <v>150922.18</v>
      </c>
      <c r="G162" s="5">
        <v>0</v>
      </c>
      <c r="H162" s="5">
        <f t="shared" si="45"/>
        <v>150922.18</v>
      </c>
      <c r="I162" s="152">
        <f t="shared" si="46"/>
        <v>407.51229917645463</v>
      </c>
      <c r="J162" s="6">
        <f t="shared" si="39"/>
        <v>407.51229917645463</v>
      </c>
      <c r="K162" s="5">
        <f t="shared" si="47"/>
        <v>150922.18</v>
      </c>
      <c r="L162" s="259">
        <v>0.72341815476190474</v>
      </c>
      <c r="M162" s="154">
        <f t="shared" si="48"/>
        <v>34580.12933290127</v>
      </c>
      <c r="N162" s="154">
        <f t="shared" si="49"/>
        <v>17750.420990992134</v>
      </c>
      <c r="O162" s="154">
        <f t="shared" si="50"/>
        <v>7504.7680060306348</v>
      </c>
      <c r="P162" s="154">
        <f t="shared" si="51"/>
        <v>2547.0599477195769</v>
      </c>
      <c r="Q162" s="154">
        <f t="shared" si="40"/>
        <v>62382.37827764362</v>
      </c>
      <c r="R162" s="173">
        <f t="shared" si="41"/>
        <v>0.41334135431679836</v>
      </c>
      <c r="S162" s="153">
        <f t="shared" si="42"/>
        <v>62383.962978684154</v>
      </c>
      <c r="T162" s="154"/>
      <c r="U162" s="154">
        <f>IFERROR(INDEX('2016 Clerical PYA'!$O$5:$O$241,MATCH('2017 Funding'!B162,'2016 Clerical PYA'!$A$5:$A$241,0)),0)</f>
        <v>-3797.5569639062451</v>
      </c>
      <c r="V162" s="154">
        <f>IFERROR(INDEX('Revised 2016 MFAM (2014 PYAs)'!$AD$26:$AD$262,MATCH('2017 Funding'!B162,'Revised 2016 MFAM (2014 PYAs)'!$B$26:$B$262,0)),0)</f>
        <v>-3482.0221417746361</v>
      </c>
      <c r="W162" s="154">
        <f t="shared" si="43"/>
        <v>-3.5431897905115055</v>
      </c>
      <c r="X162" s="154">
        <f t="shared" si="52"/>
        <v>-7283.122295471393</v>
      </c>
      <c r="Y162" s="154"/>
      <c r="Z162" s="155">
        <f t="shared" si="44"/>
        <v>55100.840683212758</v>
      </c>
      <c r="AA162" s="156">
        <v>0</v>
      </c>
      <c r="AB162" s="157">
        <f t="shared" si="53"/>
        <v>0</v>
      </c>
      <c r="AC162" s="154">
        <f t="shared" si="54"/>
        <v>55100.840683212758</v>
      </c>
      <c r="AD162" s="160"/>
      <c r="AE162" s="154">
        <f t="shared" si="38"/>
        <v>13775.21017080319</v>
      </c>
      <c r="AF162" s="154">
        <f t="shared" si="38"/>
        <v>13775.21017080319</v>
      </c>
      <c r="AG162" s="154">
        <f t="shared" si="38"/>
        <v>13775.21017080319</v>
      </c>
      <c r="AH162" s="154">
        <f t="shared" si="38"/>
        <v>13775.21017080319</v>
      </c>
    </row>
    <row r="163" spans="2:34" x14ac:dyDescent="0.25">
      <c r="B163" s="10">
        <v>551</v>
      </c>
      <c r="C163" s="10">
        <v>7</v>
      </c>
      <c r="D163" s="9" t="s">
        <v>261</v>
      </c>
      <c r="E163" s="8">
        <v>164.48039029491798</v>
      </c>
      <c r="F163" s="5">
        <v>100927.44</v>
      </c>
      <c r="G163" s="5">
        <v>502</v>
      </c>
      <c r="H163" s="5">
        <f t="shared" si="45"/>
        <v>100425.44</v>
      </c>
      <c r="I163" s="152">
        <f t="shared" si="46"/>
        <v>610.56178076872482</v>
      </c>
      <c r="J163" s="6">
        <f t="shared" si="39"/>
        <v>610.56178076872482</v>
      </c>
      <c r="K163" s="5">
        <f t="shared" si="47"/>
        <v>100425.44</v>
      </c>
      <c r="L163" s="259">
        <v>0.4902886904761905</v>
      </c>
      <c r="M163" s="154">
        <f t="shared" si="48"/>
        <v>23010.035393826915</v>
      </c>
      <c r="N163" s="154">
        <f t="shared" si="49"/>
        <v>7883.3432496219557</v>
      </c>
      <c r="O163" s="154">
        <f t="shared" si="50"/>
        <v>3384.4680363150578</v>
      </c>
      <c r="P163" s="154">
        <f t="shared" si="51"/>
        <v>1694.8444288050673</v>
      </c>
      <c r="Q163" s="154">
        <f t="shared" si="40"/>
        <v>35972.691108568994</v>
      </c>
      <c r="R163" s="173">
        <f t="shared" si="41"/>
        <v>0.3582029723600812</v>
      </c>
      <c r="S163" s="153">
        <f t="shared" si="42"/>
        <v>35973.604923697632</v>
      </c>
      <c r="T163" s="154"/>
      <c r="U163" s="154">
        <f>IFERROR(INDEX('2016 Clerical PYA'!$O$5:$O$241,MATCH('2017 Funding'!B163,'2016 Clerical PYA'!$A$5:$A$241,0)),0)</f>
        <v>-1272.3936475787123</v>
      </c>
      <c r="V163" s="154">
        <f>IFERROR(INDEX('Revised 2016 MFAM (2014 PYAs)'!$AD$26:$AD$262,MATCH('2017 Funding'!B163,'Revised 2016 MFAM (2014 PYAs)'!$B$26:$B$262,0)),0)</f>
        <v>224.5478982921486</v>
      </c>
      <c r="W163" s="154">
        <f t="shared" si="43"/>
        <v>-2.043174296847603</v>
      </c>
      <c r="X163" s="154">
        <f t="shared" si="52"/>
        <v>-1049.8889235834113</v>
      </c>
      <c r="Y163" s="154"/>
      <c r="Z163" s="155">
        <f t="shared" si="44"/>
        <v>34923.716000114218</v>
      </c>
      <c r="AA163" s="156">
        <v>0</v>
      </c>
      <c r="AB163" s="157">
        <f t="shared" si="53"/>
        <v>0</v>
      </c>
      <c r="AC163" s="154">
        <f t="shared" si="54"/>
        <v>34923.716000114218</v>
      </c>
      <c r="AD163" s="160"/>
      <c r="AE163" s="154">
        <f t="shared" si="38"/>
        <v>8730.9290000285546</v>
      </c>
      <c r="AF163" s="154">
        <f t="shared" si="38"/>
        <v>8730.9290000285546</v>
      </c>
      <c r="AG163" s="154">
        <f t="shared" si="38"/>
        <v>8730.9290000285546</v>
      </c>
      <c r="AH163" s="154">
        <f t="shared" si="38"/>
        <v>8730.9290000285546</v>
      </c>
    </row>
    <row r="164" spans="2:34" x14ac:dyDescent="0.25">
      <c r="B164" s="10">
        <v>555</v>
      </c>
      <c r="C164" s="10">
        <v>7</v>
      </c>
      <c r="D164" s="9" t="s">
        <v>262</v>
      </c>
      <c r="E164" s="8">
        <v>814.25269393387282</v>
      </c>
      <c r="F164" s="5">
        <v>371034.76</v>
      </c>
      <c r="G164" s="5">
        <v>639.84</v>
      </c>
      <c r="H164" s="5">
        <f t="shared" si="45"/>
        <v>370394.92</v>
      </c>
      <c r="I164" s="152">
        <f t="shared" si="46"/>
        <v>454.8894007467423</v>
      </c>
      <c r="J164" s="6">
        <f t="shared" si="39"/>
        <v>454.8894007467423</v>
      </c>
      <c r="K164" s="5">
        <f t="shared" si="47"/>
        <v>370394.92</v>
      </c>
      <c r="L164" s="259">
        <v>0.84309523809523801</v>
      </c>
      <c r="M164" s="154">
        <f t="shared" si="48"/>
        <v>84866.944261271725</v>
      </c>
      <c r="N164" s="154">
        <f t="shared" si="49"/>
        <v>39026.132335292859</v>
      </c>
      <c r="O164" s="154">
        <f t="shared" si="50"/>
        <v>21465.274973511652</v>
      </c>
      <c r="P164" s="154">
        <f t="shared" si="51"/>
        <v>6251.0233126157927</v>
      </c>
      <c r="Q164" s="154">
        <f t="shared" si="40"/>
        <v>151609.37488269203</v>
      </c>
      <c r="R164" s="173">
        <f t="shared" si="41"/>
        <v>0.40931818093696326</v>
      </c>
      <c r="S164" s="153">
        <f t="shared" si="42"/>
        <v>151613.22621925158</v>
      </c>
      <c r="T164" s="154"/>
      <c r="U164" s="154">
        <f>IFERROR(INDEX('2016 Clerical PYA'!$O$5:$O$241,MATCH('2017 Funding'!B164,'2016 Clerical PYA'!$A$5:$A$241,0)),0)</f>
        <v>-3445.2751002827135</v>
      </c>
      <c r="V164" s="154">
        <f>IFERROR(INDEX('Revised 2016 MFAM (2014 PYAs)'!$AD$26:$AD$262,MATCH('2017 Funding'!B164,'Revised 2016 MFAM (2014 PYAs)'!$B$26:$B$262,0)),0)</f>
        <v>819.35231233740342</v>
      </c>
      <c r="W164" s="154">
        <f t="shared" si="43"/>
        <v>-8.6110982630282145</v>
      </c>
      <c r="X164" s="154">
        <f t="shared" si="52"/>
        <v>-2634.5338862083381</v>
      </c>
      <c r="Y164" s="154"/>
      <c r="Z164" s="155">
        <f t="shared" si="44"/>
        <v>148978.69233304323</v>
      </c>
      <c r="AA164" s="156">
        <v>0</v>
      </c>
      <c r="AB164" s="157">
        <f t="shared" si="53"/>
        <v>0</v>
      </c>
      <c r="AC164" s="154">
        <f t="shared" si="54"/>
        <v>148978.69233304323</v>
      </c>
      <c r="AD164" s="160"/>
      <c r="AE164" s="154">
        <f t="shared" si="38"/>
        <v>37244.673083260808</v>
      </c>
      <c r="AF164" s="154">
        <f t="shared" si="38"/>
        <v>37244.673083260808</v>
      </c>
      <c r="AG164" s="154">
        <f t="shared" si="38"/>
        <v>37244.673083260808</v>
      </c>
      <c r="AH164" s="154">
        <f t="shared" si="38"/>
        <v>37244.673083260808</v>
      </c>
    </row>
    <row r="165" spans="2:34" x14ac:dyDescent="0.25">
      <c r="B165" s="10">
        <v>556</v>
      </c>
      <c r="C165" s="10">
        <v>7</v>
      </c>
      <c r="D165" s="9" t="s">
        <v>263</v>
      </c>
      <c r="E165" s="8">
        <v>419.66667962129713</v>
      </c>
      <c r="F165" s="5">
        <v>162545.92000000001</v>
      </c>
      <c r="G165" s="5">
        <v>553</v>
      </c>
      <c r="H165" s="5">
        <f t="shared" si="45"/>
        <v>161992.92000000001</v>
      </c>
      <c r="I165" s="152">
        <f t="shared" si="46"/>
        <v>386.0037688629003</v>
      </c>
      <c r="J165" s="6">
        <f t="shared" si="39"/>
        <v>386.0037688629003</v>
      </c>
      <c r="K165" s="5">
        <f t="shared" si="47"/>
        <v>161992.92000000001</v>
      </c>
      <c r="L165" s="259">
        <v>0.67411011904761897</v>
      </c>
      <c r="M165" s="154">
        <f t="shared" si="48"/>
        <v>37116.718858780929</v>
      </c>
      <c r="N165" s="154">
        <f t="shared" si="49"/>
        <v>20114.108921749277</v>
      </c>
      <c r="O165" s="154">
        <f t="shared" si="50"/>
        <v>7506.2267305649439</v>
      </c>
      <c r="P165" s="154">
        <f t="shared" si="51"/>
        <v>2733.89688875513</v>
      </c>
      <c r="Q165" s="154">
        <f t="shared" si="40"/>
        <v>67470.951399850281</v>
      </c>
      <c r="R165" s="173">
        <f t="shared" si="41"/>
        <v>0.41650555715552429</v>
      </c>
      <c r="S165" s="153">
        <f t="shared" si="42"/>
        <v>67472.665366034984</v>
      </c>
      <c r="T165" s="154"/>
      <c r="U165" s="154">
        <f>IFERROR(INDEX('2016 Clerical PYA'!$O$5:$O$241,MATCH('2017 Funding'!B165,'2016 Clerical PYA'!$A$5:$A$241,0)),0)</f>
        <v>-2406.6110513932072</v>
      </c>
      <c r="V165" s="154">
        <f>IFERROR(INDEX('Revised 2016 MFAM (2014 PYAs)'!$AD$26:$AD$262,MATCH('2017 Funding'!B165,'Revised 2016 MFAM (2014 PYAs)'!$B$26:$B$262,0)),0)</f>
        <v>430.83160976239014</v>
      </c>
      <c r="W165" s="154">
        <f t="shared" si="43"/>
        <v>-3.8322101971178273</v>
      </c>
      <c r="X165" s="154">
        <f t="shared" si="52"/>
        <v>-1979.6116518279348</v>
      </c>
      <c r="Y165" s="154"/>
      <c r="Z165" s="155">
        <f t="shared" si="44"/>
        <v>65493.053714207046</v>
      </c>
      <c r="AA165" s="156">
        <v>0</v>
      </c>
      <c r="AB165" s="157">
        <f t="shared" si="53"/>
        <v>0</v>
      </c>
      <c r="AC165" s="154">
        <f t="shared" si="54"/>
        <v>65493.053714207046</v>
      </c>
      <c r="AD165" s="160"/>
      <c r="AE165" s="154">
        <f t="shared" si="38"/>
        <v>16373.263428551762</v>
      </c>
      <c r="AF165" s="154">
        <f t="shared" si="38"/>
        <v>16373.263428551762</v>
      </c>
      <c r="AG165" s="154">
        <f t="shared" si="38"/>
        <v>16373.263428551762</v>
      </c>
      <c r="AH165" s="154">
        <f t="shared" si="38"/>
        <v>16373.263428551762</v>
      </c>
    </row>
    <row r="166" spans="2:34" x14ac:dyDescent="0.25">
      <c r="B166" s="10">
        <v>558</v>
      </c>
      <c r="C166" s="10">
        <v>7</v>
      </c>
      <c r="D166" s="9" t="s">
        <v>264</v>
      </c>
      <c r="E166" s="8">
        <v>390.66552423935184</v>
      </c>
      <c r="F166" s="5">
        <v>256393.05</v>
      </c>
      <c r="G166" s="5">
        <v>20120.98</v>
      </c>
      <c r="H166" s="5">
        <f t="shared" si="45"/>
        <v>236272.06999999998</v>
      </c>
      <c r="I166" s="152">
        <f t="shared" si="46"/>
        <v>604.79375665419991</v>
      </c>
      <c r="J166" s="6">
        <f t="shared" si="39"/>
        <v>604.79375665419991</v>
      </c>
      <c r="K166" s="5">
        <f t="shared" si="47"/>
        <v>236272.07</v>
      </c>
      <c r="L166" s="259">
        <v>0.35591369047619048</v>
      </c>
      <c r="M166" s="154">
        <f t="shared" si="48"/>
        <v>54135.970858307919</v>
      </c>
      <c r="N166" s="154">
        <f t="shared" si="49"/>
        <v>18724.119135723337</v>
      </c>
      <c r="O166" s="154">
        <f t="shared" si="50"/>
        <v>5780.3199527075612</v>
      </c>
      <c r="P166" s="154">
        <f t="shared" si="51"/>
        <v>3987.4796816597554</v>
      </c>
      <c r="Q166" s="154">
        <f t="shared" si="40"/>
        <v>82627.889628398567</v>
      </c>
      <c r="R166" s="173">
        <f t="shared" si="41"/>
        <v>0.3497150112935421</v>
      </c>
      <c r="S166" s="153">
        <f t="shared" si="42"/>
        <v>82629.988626645936</v>
      </c>
      <c r="T166" s="154"/>
      <c r="U166" s="154">
        <f>IFERROR(INDEX('2016 Clerical PYA'!$O$5:$O$241,MATCH('2017 Funding'!B166,'2016 Clerical PYA'!$A$5:$A$241,0)),0)</f>
        <v>14198.488318786964</v>
      </c>
      <c r="V166" s="154">
        <f>IFERROR(INDEX('Revised 2016 MFAM (2014 PYAs)'!$AD$26:$AD$262,MATCH('2017 Funding'!B166,'Revised 2016 MFAM (2014 PYAs)'!$B$26:$B$262,0)),0)</f>
        <v>478.00031676029903</v>
      </c>
      <c r="W166" s="154">
        <f t="shared" si="43"/>
        <v>-4.6930928737574904</v>
      </c>
      <c r="X166" s="154">
        <f t="shared" si="52"/>
        <v>14671.795542673504</v>
      </c>
      <c r="Y166" s="154"/>
      <c r="Z166" s="155">
        <f t="shared" si="44"/>
        <v>97301.784169319435</v>
      </c>
      <c r="AA166" s="156">
        <v>0</v>
      </c>
      <c r="AB166" s="157">
        <f t="shared" si="53"/>
        <v>0</v>
      </c>
      <c r="AC166" s="154">
        <f t="shared" si="54"/>
        <v>97301.784169319435</v>
      </c>
      <c r="AD166" s="160"/>
      <c r="AE166" s="154">
        <f t="shared" si="38"/>
        <v>24325.446042329859</v>
      </c>
      <c r="AF166" s="154">
        <f t="shared" si="38"/>
        <v>24325.446042329859</v>
      </c>
      <c r="AG166" s="154">
        <f t="shared" si="38"/>
        <v>24325.446042329859</v>
      </c>
      <c r="AH166" s="154">
        <f t="shared" si="38"/>
        <v>24325.446042329859</v>
      </c>
    </row>
    <row r="167" spans="2:34" x14ac:dyDescent="0.25">
      <c r="B167" s="10">
        <v>600</v>
      </c>
      <c r="C167" s="10">
        <v>7</v>
      </c>
      <c r="D167" s="9" t="s">
        <v>265</v>
      </c>
      <c r="E167" s="8">
        <v>713.92</v>
      </c>
      <c r="F167" s="5">
        <v>292670.93</v>
      </c>
      <c r="G167" s="5">
        <v>1639.64</v>
      </c>
      <c r="H167" s="5">
        <f t="shared" si="45"/>
        <v>291031.28999999998</v>
      </c>
      <c r="I167" s="152">
        <f t="shared" si="46"/>
        <v>407.65252409233528</v>
      </c>
      <c r="J167" s="6">
        <f t="shared" si="39"/>
        <v>407.65252409233528</v>
      </c>
      <c r="K167" s="5">
        <f t="shared" si="47"/>
        <v>291031.28999999998</v>
      </c>
      <c r="L167" s="259">
        <v>0.65830357142857143</v>
      </c>
      <c r="M167" s="154">
        <f t="shared" si="48"/>
        <v>66682.707923521215</v>
      </c>
      <c r="N167" s="154">
        <f t="shared" si="49"/>
        <v>34217.309447520194</v>
      </c>
      <c r="O167" s="154">
        <f t="shared" si="50"/>
        <v>13169.239433574696</v>
      </c>
      <c r="P167" s="154">
        <f t="shared" si="51"/>
        <v>4911.6315593384688</v>
      </c>
      <c r="Q167" s="154">
        <f t="shared" si="40"/>
        <v>118980.88836395457</v>
      </c>
      <c r="R167" s="173">
        <f t="shared" si="41"/>
        <v>0.40882507294646764</v>
      </c>
      <c r="S167" s="153">
        <f t="shared" si="42"/>
        <v>118983.91083829428</v>
      </c>
      <c r="T167" s="154"/>
      <c r="U167" s="154">
        <f>IFERROR(INDEX('2016 Clerical PYA'!$O$5:$O$241,MATCH('2017 Funding'!B167,'2016 Clerical PYA'!$A$5:$A$241,0)),0)</f>
        <v>-3405.7301453967229</v>
      </c>
      <c r="V167" s="154">
        <f>IFERROR(INDEX('Revised 2016 MFAM (2014 PYAs)'!$AD$26:$AD$262,MATCH('2017 Funding'!B167,'Revised 2016 MFAM (2014 PYAs)'!$B$26:$B$262,0)),0)</f>
        <v>629.57858694382594</v>
      </c>
      <c r="W167" s="154">
        <f t="shared" si="43"/>
        <v>-6.7578678555805318</v>
      </c>
      <c r="X167" s="154">
        <f t="shared" si="52"/>
        <v>-2782.9094263084776</v>
      </c>
      <c r="Y167" s="154"/>
      <c r="Z167" s="155">
        <f t="shared" si="44"/>
        <v>116201.0014119858</v>
      </c>
      <c r="AA167" s="156">
        <v>0</v>
      </c>
      <c r="AB167" s="157">
        <f t="shared" si="53"/>
        <v>0</v>
      </c>
      <c r="AC167" s="154">
        <f t="shared" si="54"/>
        <v>116201.0014119858</v>
      </c>
      <c r="AD167" s="160"/>
      <c r="AE167" s="154">
        <f t="shared" si="38"/>
        <v>29050.250352996449</v>
      </c>
      <c r="AF167" s="154">
        <f t="shared" si="38"/>
        <v>29050.250352996449</v>
      </c>
      <c r="AG167" s="154">
        <f t="shared" si="38"/>
        <v>29050.250352996449</v>
      </c>
      <c r="AH167" s="154">
        <f t="shared" si="38"/>
        <v>29050.250352996449</v>
      </c>
    </row>
    <row r="168" spans="2:34" x14ac:dyDescent="0.25">
      <c r="B168" s="10">
        <v>604</v>
      </c>
      <c r="C168" s="10">
        <v>7</v>
      </c>
      <c r="D168" s="9" t="s">
        <v>266</v>
      </c>
      <c r="E168" s="8">
        <v>757.60925661922249</v>
      </c>
      <c r="F168" s="5">
        <v>279048.06</v>
      </c>
      <c r="G168" s="5">
        <v>7424</v>
      </c>
      <c r="H168" s="5">
        <f t="shared" si="45"/>
        <v>271624.06</v>
      </c>
      <c r="I168" s="152">
        <f t="shared" si="46"/>
        <v>358.52790554870342</v>
      </c>
      <c r="J168" s="6">
        <f t="shared" si="39"/>
        <v>358.52790554870342</v>
      </c>
      <c r="K168" s="5">
        <f t="shared" si="47"/>
        <v>271624.06</v>
      </c>
      <c r="L168" s="259">
        <v>0.58243154761904758</v>
      </c>
      <c r="M168" s="154">
        <f t="shared" si="48"/>
        <v>62236.015440061456</v>
      </c>
      <c r="N168" s="154">
        <f t="shared" si="49"/>
        <v>36311.281899996742</v>
      </c>
      <c r="O168" s="154">
        <f t="shared" si="50"/>
        <v>10874.465637119381</v>
      </c>
      <c r="P168" s="154">
        <f t="shared" si="51"/>
        <v>4584.1026419243299</v>
      </c>
      <c r="Q168" s="154">
        <f t="shared" si="40"/>
        <v>114005.86561910191</v>
      </c>
      <c r="R168" s="173">
        <f t="shared" si="41"/>
        <v>0.41971931948554891</v>
      </c>
      <c r="S168" s="153">
        <f t="shared" si="42"/>
        <v>114008.76171282039</v>
      </c>
      <c r="T168" s="154"/>
      <c r="U168" s="154">
        <f>IFERROR(INDEX('2016 Clerical PYA'!$O$5:$O$241,MATCH('2017 Funding'!B168,'2016 Clerical PYA'!$A$5:$A$241,0)),0)</f>
        <v>-3649.2686487330502</v>
      </c>
      <c r="V168" s="154">
        <f>IFERROR(INDEX('Revised 2016 MFAM (2014 PYAs)'!$AD$26:$AD$262,MATCH('2017 Funding'!B168,'Revised 2016 MFAM (2014 PYAs)'!$B$26:$B$262,0)),0)</f>
        <v>673.58609681947564</v>
      </c>
      <c r="W168" s="154">
        <f t="shared" si="43"/>
        <v>-6.4752968750598709</v>
      </c>
      <c r="X168" s="154">
        <f t="shared" si="52"/>
        <v>-2982.1578487886345</v>
      </c>
      <c r="Y168" s="154"/>
      <c r="Z168" s="155">
        <f t="shared" si="44"/>
        <v>111026.60386403176</v>
      </c>
      <c r="AA168" s="156">
        <v>0</v>
      </c>
      <c r="AB168" s="157">
        <f t="shared" si="53"/>
        <v>0</v>
      </c>
      <c r="AC168" s="154">
        <f t="shared" si="54"/>
        <v>111026.60386403176</v>
      </c>
      <c r="AD168" s="160"/>
      <c r="AE168" s="154">
        <f t="shared" si="38"/>
        <v>27756.650966007939</v>
      </c>
      <c r="AF168" s="154">
        <f t="shared" si="38"/>
        <v>27756.650966007939</v>
      </c>
      <c r="AG168" s="154">
        <f t="shared" si="38"/>
        <v>27756.650966007939</v>
      </c>
      <c r="AH168" s="154">
        <f t="shared" si="38"/>
        <v>27756.650966007939</v>
      </c>
    </row>
    <row r="169" spans="2:34" x14ac:dyDescent="0.25">
      <c r="B169" s="10">
        <v>612</v>
      </c>
      <c r="C169" s="10">
        <v>7</v>
      </c>
      <c r="D169" s="9" t="s">
        <v>267</v>
      </c>
      <c r="E169" s="8">
        <v>533.05754939735175</v>
      </c>
      <c r="F169" s="5">
        <v>177147.76</v>
      </c>
      <c r="G169" s="5">
        <v>801.9</v>
      </c>
      <c r="H169" s="5">
        <f t="shared" si="45"/>
        <v>176345.86000000002</v>
      </c>
      <c r="I169" s="152">
        <f t="shared" si="46"/>
        <v>330.81955259684031</v>
      </c>
      <c r="J169" s="6">
        <f t="shared" si="39"/>
        <v>330.81955259684031</v>
      </c>
      <c r="K169" s="5">
        <f t="shared" si="47"/>
        <v>176345.86000000002</v>
      </c>
      <c r="L169" s="259">
        <v>0.55202380952380958</v>
      </c>
      <c r="M169" s="154">
        <f t="shared" si="48"/>
        <v>40405.344304738384</v>
      </c>
      <c r="N169" s="154">
        <f t="shared" si="49"/>
        <v>25548.794152098228</v>
      </c>
      <c r="O169" s="154">
        <f t="shared" si="50"/>
        <v>6691.4136264668532</v>
      </c>
      <c r="P169" s="154">
        <f t="shared" si="51"/>
        <v>2976.1263516877634</v>
      </c>
      <c r="Q169" s="154">
        <f t="shared" si="40"/>
        <v>75621.67843499122</v>
      </c>
      <c r="R169" s="173">
        <f t="shared" si="41"/>
        <v>0.42882593577751821</v>
      </c>
      <c r="S169" s="153">
        <f t="shared" si="42"/>
        <v>75623.599454288837</v>
      </c>
      <c r="T169" s="154"/>
      <c r="U169" s="154">
        <f>IFERROR(INDEX('2016 Clerical PYA'!$O$5:$O$241,MATCH('2017 Funding'!B169,'2016 Clerical PYA'!$A$5:$A$241,0)),0)</f>
        <v>-3305.9300092177145</v>
      </c>
      <c r="V169" s="154">
        <f>IFERROR(INDEX('Revised 2016 MFAM (2014 PYAs)'!$AD$26:$AD$262,MATCH('2017 Funding'!B169,'Revised 2016 MFAM (2014 PYAs)'!$B$26:$B$262,0)),0)</f>
        <v>-3032.063147646797</v>
      </c>
      <c r="W169" s="154">
        <f t="shared" si="43"/>
        <v>-4.2951545992633156</v>
      </c>
      <c r="X169" s="154">
        <f t="shared" si="52"/>
        <v>-6342.2883114637752</v>
      </c>
      <c r="Y169" s="154"/>
      <c r="Z169" s="155">
        <f t="shared" si="44"/>
        <v>69281.311142825056</v>
      </c>
      <c r="AA169" s="156">
        <v>0</v>
      </c>
      <c r="AB169" s="157">
        <f t="shared" si="53"/>
        <v>0</v>
      </c>
      <c r="AC169" s="154">
        <f t="shared" si="54"/>
        <v>69281.311142825056</v>
      </c>
      <c r="AD169" s="160"/>
      <c r="AE169" s="154">
        <f t="shared" si="38"/>
        <v>17320.327785706264</v>
      </c>
      <c r="AF169" s="154">
        <f t="shared" si="38"/>
        <v>17320.327785706264</v>
      </c>
      <c r="AG169" s="154">
        <f t="shared" si="38"/>
        <v>17320.327785706264</v>
      </c>
      <c r="AH169" s="154">
        <f t="shared" si="38"/>
        <v>17320.327785706264</v>
      </c>
    </row>
    <row r="170" spans="2:34" x14ac:dyDescent="0.25">
      <c r="B170" s="10">
        <v>693</v>
      </c>
      <c r="C170" s="10">
        <v>7</v>
      </c>
      <c r="D170" s="9" t="s">
        <v>268</v>
      </c>
      <c r="E170" s="8">
        <v>0</v>
      </c>
      <c r="F170" s="5">
        <v>0</v>
      </c>
      <c r="G170" s="5">
        <v>0</v>
      </c>
      <c r="H170" s="5">
        <f t="shared" si="45"/>
        <v>0</v>
      </c>
      <c r="I170" s="152" t="str">
        <f>IFERROR(H170/E170,"n.a.")</f>
        <v>n.a.</v>
      </c>
      <c r="J170" s="257">
        <f t="shared" si="39"/>
        <v>669.57752759227765</v>
      </c>
      <c r="K170" s="5">
        <f t="shared" si="47"/>
        <v>0</v>
      </c>
      <c r="L170" s="260" t="s">
        <v>393</v>
      </c>
      <c r="M170" s="154">
        <f t="shared" si="48"/>
        <v>0</v>
      </c>
      <c r="N170" s="154">
        <f t="shared" si="49"/>
        <v>0</v>
      </c>
      <c r="O170" s="154">
        <f t="shared" si="50"/>
        <v>0</v>
      </c>
      <c r="P170" s="154">
        <f t="shared" si="51"/>
        <v>0</v>
      </c>
      <c r="Q170" s="154">
        <f t="shared" si="40"/>
        <v>0</v>
      </c>
      <c r="R170" s="173">
        <f t="shared" si="41"/>
        <v>0</v>
      </c>
      <c r="S170" s="153">
        <f t="shared" si="42"/>
        <v>0</v>
      </c>
      <c r="T170" s="154"/>
      <c r="U170" s="154">
        <f>IFERROR(INDEX('2016 Clerical PYA'!$O$5:$O$241,MATCH('2017 Funding'!B170,'2016 Clerical PYA'!$A$5:$A$241,0)),0)</f>
        <v>0</v>
      </c>
      <c r="V170" s="154">
        <f>IFERROR(INDEX('Revised 2016 MFAM (2014 PYAs)'!$AD$26:$AD$262,MATCH('2017 Funding'!B170,'Revised 2016 MFAM (2014 PYAs)'!$B$26:$B$262,0)),0)</f>
        <v>13805.806509198372</v>
      </c>
      <c r="W170" s="154">
        <f t="shared" si="43"/>
        <v>0</v>
      </c>
      <c r="X170" s="154">
        <f t="shared" si="52"/>
        <v>13805.806509198372</v>
      </c>
      <c r="Y170" s="154"/>
      <c r="Z170" s="155">
        <f t="shared" si="44"/>
        <v>13805.806509198372</v>
      </c>
      <c r="AA170" s="156">
        <v>0</v>
      </c>
      <c r="AB170" s="157">
        <f t="shared" si="53"/>
        <v>0</v>
      </c>
      <c r="AC170" s="154">
        <f t="shared" si="54"/>
        <v>13805.806509198372</v>
      </c>
      <c r="AD170" s="160"/>
      <c r="AE170" s="154">
        <f t="shared" si="38"/>
        <v>3451.4516272995929</v>
      </c>
      <c r="AF170" s="154">
        <f t="shared" si="38"/>
        <v>3451.4516272995929</v>
      </c>
      <c r="AG170" s="154">
        <f t="shared" si="38"/>
        <v>3451.4516272995929</v>
      </c>
      <c r="AH170" s="154">
        <f t="shared" si="38"/>
        <v>3451.4516272995929</v>
      </c>
    </row>
    <row r="171" spans="2:34" x14ac:dyDescent="0.25">
      <c r="B171" s="10">
        <v>711</v>
      </c>
      <c r="C171" s="10">
        <v>7</v>
      </c>
      <c r="D171" s="9" t="s">
        <v>269</v>
      </c>
      <c r="E171" s="8">
        <v>349.44769397632064</v>
      </c>
      <c r="F171" s="5">
        <v>153601.63</v>
      </c>
      <c r="G171" s="5">
        <v>4536.17</v>
      </c>
      <c r="H171" s="5">
        <f t="shared" si="45"/>
        <v>149065.46</v>
      </c>
      <c r="I171" s="152">
        <f t="shared" si="46"/>
        <v>426.57445611903512</v>
      </c>
      <c r="J171" s="6">
        <f t="shared" si="39"/>
        <v>426.57445611903512</v>
      </c>
      <c r="K171" s="5">
        <f t="shared" si="47"/>
        <v>149065.46</v>
      </c>
      <c r="L171" s="259">
        <v>0.6457410714285714</v>
      </c>
      <c r="M171" s="154">
        <f t="shared" si="48"/>
        <v>34154.707319152294</v>
      </c>
      <c r="N171" s="154">
        <f t="shared" si="49"/>
        <v>16748.59911546126</v>
      </c>
      <c r="O171" s="154">
        <f t="shared" si="50"/>
        <v>6616.5291895796026</v>
      </c>
      <c r="P171" s="154">
        <f t="shared" si="51"/>
        <v>2515.7247447286718</v>
      </c>
      <c r="Q171" s="154">
        <f t="shared" si="40"/>
        <v>60035.560368921826</v>
      </c>
      <c r="R171" s="173">
        <f t="shared" si="41"/>
        <v>0.4027462858862263</v>
      </c>
      <c r="S171" s="153">
        <f t="shared" si="42"/>
        <v>60037.085453691157</v>
      </c>
      <c r="T171" s="154"/>
      <c r="U171" s="154">
        <f>IFERROR(INDEX('2016 Clerical PYA'!$O$5:$O$241,MATCH('2017 Funding'!B171,'2016 Clerical PYA'!$A$5:$A$241,0)),0)</f>
        <v>5751.2601191184513</v>
      </c>
      <c r="V171" s="154">
        <f>IFERROR(INDEX('Revised 2016 MFAM (2014 PYAs)'!$AD$26:$AD$262,MATCH('2017 Funding'!B171,'Revised 2016 MFAM (2014 PYAs)'!$B$26:$B$262,0)),0)</f>
        <v>-15636.624211058348</v>
      </c>
      <c r="W171" s="154">
        <f t="shared" si="43"/>
        <v>-3.4098953973839423</v>
      </c>
      <c r="X171" s="154">
        <f t="shared" si="52"/>
        <v>-9888.7739873372811</v>
      </c>
      <c r="Y171" s="154"/>
      <c r="Z171" s="155">
        <f t="shared" si="44"/>
        <v>50148.311466353873</v>
      </c>
      <c r="AA171" s="156">
        <v>0</v>
      </c>
      <c r="AB171" s="157">
        <f t="shared" si="53"/>
        <v>0</v>
      </c>
      <c r="AC171" s="154">
        <f t="shared" si="54"/>
        <v>50148.311466353873</v>
      </c>
      <c r="AD171" s="160"/>
      <c r="AE171" s="154">
        <f t="shared" si="38"/>
        <v>12537.077866588468</v>
      </c>
      <c r="AF171" s="154">
        <f t="shared" si="38"/>
        <v>12537.077866588468</v>
      </c>
      <c r="AG171" s="154">
        <f t="shared" si="38"/>
        <v>12537.077866588468</v>
      </c>
      <c r="AH171" s="154">
        <f t="shared" si="38"/>
        <v>12537.077866588468</v>
      </c>
    </row>
    <row r="172" spans="2:34" x14ac:dyDescent="0.25">
      <c r="B172" s="10">
        <v>712</v>
      </c>
      <c r="C172" s="10">
        <v>7</v>
      </c>
      <c r="D172" s="9" t="s">
        <v>270</v>
      </c>
      <c r="E172" s="8">
        <v>549.79999999999995</v>
      </c>
      <c r="F172" s="5">
        <v>259343.6</v>
      </c>
      <c r="G172" s="5">
        <v>0</v>
      </c>
      <c r="H172" s="5">
        <f t="shared" si="45"/>
        <v>259343.6</v>
      </c>
      <c r="I172" s="152">
        <f t="shared" si="46"/>
        <v>471.70534739905423</v>
      </c>
      <c r="J172" s="6">
        <f t="shared" si="39"/>
        <v>471.70534739905423</v>
      </c>
      <c r="K172" s="5">
        <f t="shared" si="47"/>
        <v>259343.6</v>
      </c>
      <c r="L172" s="259">
        <v>0.67473065476190475</v>
      </c>
      <c r="M172" s="154">
        <f t="shared" si="48"/>
        <v>59422.248139141731</v>
      </c>
      <c r="N172" s="154">
        <f t="shared" si="49"/>
        <v>26351.239262447616</v>
      </c>
      <c r="O172" s="154">
        <f t="shared" si="50"/>
        <v>12028.203718304243</v>
      </c>
      <c r="P172" s="154">
        <f t="shared" si="51"/>
        <v>4376.8496867551667</v>
      </c>
      <c r="Q172" s="154">
        <f t="shared" si="40"/>
        <v>102178.54080664876</v>
      </c>
      <c r="R172" s="173">
        <f t="shared" si="41"/>
        <v>0.39398905855648164</v>
      </c>
      <c r="S172" s="153">
        <f t="shared" si="42"/>
        <v>102181.13645055344</v>
      </c>
      <c r="T172" s="154"/>
      <c r="U172" s="154">
        <f>IFERROR(INDEX('2016 Clerical PYA'!$O$5:$O$241,MATCH('2017 Funding'!B172,'2016 Clerical PYA'!$A$5:$A$241,0)),0)</f>
        <v>-1844.4264826094295</v>
      </c>
      <c r="V172" s="154">
        <f>IFERROR(INDEX('Revised 2016 MFAM (2014 PYAs)'!$AD$26:$AD$262,MATCH('2017 Funding'!B172,'Revised 2016 MFAM (2014 PYAs)'!$B$26:$B$262,0)),0)</f>
        <v>546.85699051774282</v>
      </c>
      <c r="W172" s="154">
        <f t="shared" si="43"/>
        <v>-5.8035293393940233</v>
      </c>
      <c r="X172" s="154">
        <f t="shared" si="52"/>
        <v>-1303.3730214310808</v>
      </c>
      <c r="Y172" s="154"/>
      <c r="Z172" s="155">
        <f t="shared" si="44"/>
        <v>100877.76342912237</v>
      </c>
      <c r="AA172" s="156">
        <v>0</v>
      </c>
      <c r="AB172" s="157">
        <f t="shared" si="53"/>
        <v>0</v>
      </c>
      <c r="AC172" s="154">
        <f t="shared" si="54"/>
        <v>100877.76342912237</v>
      </c>
      <c r="AD172" s="160"/>
      <c r="AE172" s="154">
        <f t="shared" si="38"/>
        <v>25219.440857280591</v>
      </c>
      <c r="AF172" s="154">
        <f t="shared" si="38"/>
        <v>25219.440857280591</v>
      </c>
      <c r="AG172" s="154">
        <f t="shared" si="38"/>
        <v>25219.440857280591</v>
      </c>
      <c r="AH172" s="154">
        <f t="shared" si="38"/>
        <v>25219.440857280591</v>
      </c>
    </row>
    <row r="173" spans="2:34" x14ac:dyDescent="0.25">
      <c r="B173" s="10">
        <v>718</v>
      </c>
      <c r="C173" s="10">
        <v>7</v>
      </c>
      <c r="D173" s="9" t="s">
        <v>271</v>
      </c>
      <c r="E173" s="8">
        <v>24.780956735863882</v>
      </c>
      <c r="F173" s="5">
        <v>17571.97</v>
      </c>
      <c r="G173" s="5">
        <v>0</v>
      </c>
      <c r="H173" s="5">
        <f t="shared" si="45"/>
        <v>17571.97</v>
      </c>
      <c r="I173" s="152">
        <f t="shared" si="46"/>
        <v>709.09167016014442</v>
      </c>
      <c r="J173" s="6">
        <f t="shared" si="39"/>
        <v>669.57752759227765</v>
      </c>
      <c r="K173" s="5">
        <f t="shared" si="47"/>
        <v>16592.771742570938</v>
      </c>
      <c r="L173" s="259">
        <v>0.23720833333333335</v>
      </c>
      <c r="M173" s="154">
        <f t="shared" si="48"/>
        <v>3801.8281530879858</v>
      </c>
      <c r="N173" s="154">
        <f t="shared" si="49"/>
        <v>1187.7208441235214</v>
      </c>
      <c r="O173" s="154">
        <f t="shared" si="50"/>
        <v>270.54759594412383</v>
      </c>
      <c r="P173" s="154">
        <f t="shared" si="51"/>
        <v>280.0303065272156</v>
      </c>
      <c r="Q173" s="154">
        <f t="shared" si="40"/>
        <v>5540.1268996828467</v>
      </c>
      <c r="R173" s="173">
        <f t="shared" si="41"/>
        <v>0.33388797155986438</v>
      </c>
      <c r="S173" s="153">
        <f t="shared" si="42"/>
        <v>5540.2676356583743</v>
      </c>
      <c r="T173" s="154"/>
      <c r="U173" s="154">
        <f>IFERROR(INDEX('2016 Clerical PYA'!$O$5:$O$241,MATCH('2017 Funding'!B173,'2016 Clerical PYA'!$A$5:$A$241,0)),0)</f>
        <v>477.3822682263467</v>
      </c>
      <c r="V173" s="154">
        <f>IFERROR(INDEX('Revised 2016 MFAM (2014 PYAs)'!$AD$26:$AD$262,MATCH('2017 Funding'!B173,'Revised 2016 MFAM (2014 PYAs)'!$B$26:$B$262,0)),0)</f>
        <v>16.229351065106584</v>
      </c>
      <c r="W173" s="154">
        <f t="shared" si="43"/>
        <v>-0.31466772526255632</v>
      </c>
      <c r="X173" s="154">
        <f t="shared" si="52"/>
        <v>493.29695156619073</v>
      </c>
      <c r="Y173" s="154"/>
      <c r="Z173" s="155">
        <f t="shared" si="44"/>
        <v>6033.564587224565</v>
      </c>
      <c r="AA173" s="156">
        <v>0</v>
      </c>
      <c r="AB173" s="157">
        <f t="shared" si="53"/>
        <v>0</v>
      </c>
      <c r="AC173" s="154">
        <f t="shared" si="54"/>
        <v>6033.564587224565</v>
      </c>
      <c r="AD173" s="160"/>
      <c r="AE173" s="154">
        <f t="shared" ref="AE173:AH236" si="55">$AC173/4</f>
        <v>1508.3911468061413</v>
      </c>
      <c r="AF173" s="154">
        <f t="shared" si="55"/>
        <v>1508.3911468061413</v>
      </c>
      <c r="AG173" s="154">
        <f t="shared" si="55"/>
        <v>1508.3911468061413</v>
      </c>
      <c r="AH173" s="154">
        <f t="shared" si="55"/>
        <v>1508.3911468061413</v>
      </c>
    </row>
    <row r="174" spans="2:34" x14ac:dyDescent="0.25">
      <c r="B174" s="10">
        <v>736</v>
      </c>
      <c r="C174" s="10">
        <v>7</v>
      </c>
      <c r="D174" s="9" t="s">
        <v>272</v>
      </c>
      <c r="E174" s="8">
        <v>149.75429613837633</v>
      </c>
      <c r="F174" s="5">
        <v>56752.74</v>
      </c>
      <c r="G174" s="5">
        <v>0</v>
      </c>
      <c r="H174" s="5">
        <f t="shared" si="45"/>
        <v>56752.74</v>
      </c>
      <c r="I174" s="152">
        <f t="shared" si="46"/>
        <v>378.97236649263931</v>
      </c>
      <c r="J174" s="6">
        <f t="shared" si="39"/>
        <v>378.97236649263931</v>
      </c>
      <c r="K174" s="5">
        <f t="shared" si="47"/>
        <v>56752.74</v>
      </c>
      <c r="L174" s="259">
        <v>0.3086517857142857</v>
      </c>
      <c r="M174" s="154">
        <f t="shared" si="48"/>
        <v>13003.503455863936</v>
      </c>
      <c r="N174" s="154">
        <f t="shared" si="49"/>
        <v>7177.5396291775014</v>
      </c>
      <c r="O174" s="154">
        <f t="shared" si="50"/>
        <v>1204.0663686582868</v>
      </c>
      <c r="P174" s="154">
        <f t="shared" si="51"/>
        <v>957.79580560884256</v>
      </c>
      <c r="Q174" s="154">
        <f t="shared" si="40"/>
        <v>22342.905259308569</v>
      </c>
      <c r="R174" s="173">
        <f t="shared" si="41"/>
        <v>0.39368857361439413</v>
      </c>
      <c r="S174" s="153">
        <f t="shared" si="42"/>
        <v>22343.472836662793</v>
      </c>
      <c r="T174" s="154"/>
      <c r="U174" s="154">
        <f>IFERROR(INDEX('2016 Clerical PYA'!$O$5:$O$241,MATCH('2017 Funding'!B174,'2016 Clerical PYA'!$A$5:$A$241,0)),0)</f>
        <v>-969.83887619027882</v>
      </c>
      <c r="V174" s="154">
        <f>IFERROR(INDEX('Revised 2016 MFAM (2014 PYAs)'!$AD$26:$AD$262,MATCH('2017 Funding'!B174,'Revised 2016 MFAM (2014 PYAs)'!$B$26:$B$262,0)),0)</f>
        <v>172.25499640531416</v>
      </c>
      <c r="W174" s="154">
        <f t="shared" si="43"/>
        <v>-1.2690307101279414</v>
      </c>
      <c r="X174" s="154">
        <f t="shared" si="52"/>
        <v>-798.8529104950926</v>
      </c>
      <c r="Y174" s="154"/>
      <c r="Z174" s="155">
        <f t="shared" si="44"/>
        <v>21544.619926167699</v>
      </c>
      <c r="AA174" s="156">
        <v>0</v>
      </c>
      <c r="AB174" s="157">
        <f t="shared" si="53"/>
        <v>0</v>
      </c>
      <c r="AC174" s="154">
        <f t="shared" si="54"/>
        <v>21544.619926167699</v>
      </c>
      <c r="AD174" s="160"/>
      <c r="AE174" s="154">
        <f t="shared" si="55"/>
        <v>5386.1549815419248</v>
      </c>
      <c r="AF174" s="154">
        <f t="shared" si="55"/>
        <v>5386.1549815419248</v>
      </c>
      <c r="AG174" s="154">
        <f t="shared" si="55"/>
        <v>5386.1549815419248</v>
      </c>
      <c r="AH174" s="154">
        <f t="shared" si="55"/>
        <v>5386.1549815419248</v>
      </c>
    </row>
    <row r="175" spans="2:34" x14ac:dyDescent="0.25">
      <c r="B175" s="10">
        <v>757</v>
      </c>
      <c r="C175" s="10">
        <v>7</v>
      </c>
      <c r="D175" s="9" t="s">
        <v>273</v>
      </c>
      <c r="E175" s="8">
        <v>501.67</v>
      </c>
      <c r="F175" s="5">
        <v>310262.45</v>
      </c>
      <c r="G175" s="5">
        <v>18377</v>
      </c>
      <c r="H175" s="5">
        <f t="shared" si="45"/>
        <v>291885.45</v>
      </c>
      <c r="I175" s="152">
        <f t="shared" si="46"/>
        <v>581.8275958299281</v>
      </c>
      <c r="J175" s="6">
        <f t="shared" si="39"/>
        <v>581.8275958299281</v>
      </c>
      <c r="K175" s="5">
        <f t="shared" si="47"/>
        <v>291885.45</v>
      </c>
      <c r="L175" s="259">
        <v>0.72665327380952371</v>
      </c>
      <c r="M175" s="154">
        <f t="shared" si="48"/>
        <v>66878.417813684428</v>
      </c>
      <c r="N175" s="154">
        <f t="shared" si="49"/>
        <v>24044.427429596395</v>
      </c>
      <c r="O175" s="154">
        <f t="shared" si="50"/>
        <v>14579.226375454487</v>
      </c>
      <c r="P175" s="154">
        <f t="shared" si="51"/>
        <v>4926.0469138274129</v>
      </c>
      <c r="Q175" s="154">
        <f t="shared" si="40"/>
        <v>110428.11853256272</v>
      </c>
      <c r="R175" s="173">
        <f t="shared" si="41"/>
        <v>0.37832690369651079</v>
      </c>
      <c r="S175" s="153">
        <f t="shared" si="42"/>
        <v>110430.92374068678</v>
      </c>
      <c r="T175" s="154"/>
      <c r="U175" s="154">
        <f>IFERROR(INDEX('2016 Clerical PYA'!$O$5:$O$241,MATCH('2017 Funding'!B175,'2016 Clerical PYA'!$A$5:$A$241,0)),0)</f>
        <v>12404.247262625693</v>
      </c>
      <c r="V175" s="154">
        <f>IFERROR(INDEX('Revised 2016 MFAM (2014 PYAs)'!$AD$26:$AD$262,MATCH('2017 Funding'!B175,'Revised 2016 MFAM (2014 PYAs)'!$B$26:$B$262,0)),0)</f>
        <v>712.21741668602044</v>
      </c>
      <c r="W175" s="154">
        <f t="shared" si="43"/>
        <v>-6.2720882558944027</v>
      </c>
      <c r="X175" s="154">
        <f t="shared" si="52"/>
        <v>13110.192591055818</v>
      </c>
      <c r="Y175" s="154"/>
      <c r="Z175" s="155">
        <f t="shared" si="44"/>
        <v>123541.1163317426</v>
      </c>
      <c r="AA175" s="156">
        <v>0</v>
      </c>
      <c r="AB175" s="157">
        <f t="shared" si="53"/>
        <v>0</v>
      </c>
      <c r="AC175" s="154">
        <f t="shared" si="54"/>
        <v>123541.1163317426</v>
      </c>
      <c r="AD175" s="160"/>
      <c r="AE175" s="154">
        <f t="shared" si="55"/>
        <v>30885.279082935649</v>
      </c>
      <c r="AF175" s="154">
        <f t="shared" si="55"/>
        <v>30885.279082935649</v>
      </c>
      <c r="AG175" s="154">
        <f t="shared" si="55"/>
        <v>30885.279082935649</v>
      </c>
      <c r="AH175" s="154">
        <f t="shared" si="55"/>
        <v>30885.279082935649</v>
      </c>
    </row>
    <row r="176" spans="2:34" x14ac:dyDescent="0.25">
      <c r="B176" s="10">
        <v>786</v>
      </c>
      <c r="C176" s="10">
        <v>7</v>
      </c>
      <c r="D176" s="9" t="s">
        <v>274</v>
      </c>
      <c r="E176" s="8">
        <v>3104.5699999999997</v>
      </c>
      <c r="F176" s="5">
        <v>2080065.96</v>
      </c>
      <c r="G176" s="5">
        <v>258024.69</v>
      </c>
      <c r="H176" s="5">
        <f t="shared" si="45"/>
        <v>1822041.27</v>
      </c>
      <c r="I176" s="152">
        <f t="shared" si="46"/>
        <v>586.8900588487295</v>
      </c>
      <c r="J176" s="6">
        <f t="shared" si="39"/>
        <v>586.8900588487295</v>
      </c>
      <c r="K176" s="5">
        <f t="shared" si="47"/>
        <v>1822041.27</v>
      </c>
      <c r="L176" s="259">
        <v>0.71637202380952381</v>
      </c>
      <c r="M176" s="154">
        <f t="shared" si="48"/>
        <v>417476.23024318676</v>
      </c>
      <c r="N176" s="154">
        <f t="shared" si="49"/>
        <v>148798.2300418643</v>
      </c>
      <c r="O176" s="154">
        <f t="shared" si="50"/>
        <v>89720.487585504728</v>
      </c>
      <c r="P176" s="154">
        <f t="shared" si="51"/>
        <v>30749.942400176777</v>
      </c>
      <c r="Q176" s="154">
        <f t="shared" si="40"/>
        <v>686744.89027073258</v>
      </c>
      <c r="R176" s="173">
        <f t="shared" si="41"/>
        <v>0.3769096241550734</v>
      </c>
      <c r="S176" s="153">
        <f t="shared" si="42"/>
        <v>686762.33566752961</v>
      </c>
      <c r="T176" s="154"/>
      <c r="U176" s="154">
        <f>IFERROR(INDEX('2016 Clerical PYA'!$O$5:$O$241,MATCH('2017 Funding'!B176,'2016 Clerical PYA'!$A$5:$A$241,0)),0)</f>
        <v>17048.946407672949</v>
      </c>
      <c r="V176" s="154">
        <f>IFERROR(INDEX('Revised 2016 MFAM (2014 PYAs)'!$AD$26:$AD$262,MATCH('2017 Funding'!B176,'Revised 2016 MFAM (2014 PYAs)'!$B$26:$B$262,0)),0)</f>
        <v>4278.5184521793853</v>
      </c>
      <c r="W176" s="154">
        <f t="shared" si="43"/>
        <v>-39.0056863985455</v>
      </c>
      <c r="X176" s="154">
        <f t="shared" si="52"/>
        <v>21288.45917345379</v>
      </c>
      <c r="Y176" s="154"/>
      <c r="Z176" s="155">
        <f t="shared" si="44"/>
        <v>708050.79484098335</v>
      </c>
      <c r="AA176" s="156">
        <v>0</v>
      </c>
      <c r="AB176" s="157">
        <f t="shared" si="53"/>
        <v>0</v>
      </c>
      <c r="AC176" s="154">
        <f t="shared" si="54"/>
        <v>708050.79484098335</v>
      </c>
      <c r="AD176" s="160"/>
      <c r="AE176" s="154">
        <f t="shared" si="55"/>
        <v>177012.69871024584</v>
      </c>
      <c r="AF176" s="154">
        <f t="shared" si="55"/>
        <v>177012.69871024584</v>
      </c>
      <c r="AG176" s="154">
        <f t="shared" si="55"/>
        <v>177012.69871024584</v>
      </c>
      <c r="AH176" s="154">
        <f t="shared" si="55"/>
        <v>177012.69871024584</v>
      </c>
    </row>
    <row r="177" spans="2:34" x14ac:dyDescent="0.25">
      <c r="B177" s="10">
        <v>854</v>
      </c>
      <c r="C177" s="10">
        <v>7</v>
      </c>
      <c r="D177" s="9" t="s">
        <v>275</v>
      </c>
      <c r="E177" s="8">
        <v>739.91</v>
      </c>
      <c r="F177" s="5">
        <v>372742.85</v>
      </c>
      <c r="G177" s="5">
        <v>226.56</v>
      </c>
      <c r="H177" s="5">
        <f t="shared" si="45"/>
        <v>372516.29</v>
      </c>
      <c r="I177" s="152">
        <f t="shared" si="46"/>
        <v>503.46162371099189</v>
      </c>
      <c r="J177" s="6">
        <f t="shared" si="39"/>
        <v>503.46162371099189</v>
      </c>
      <c r="K177" s="5">
        <f t="shared" si="47"/>
        <v>372516.29</v>
      </c>
      <c r="L177" s="259">
        <v>0.7632247023809523</v>
      </c>
      <c r="M177" s="154">
        <f t="shared" si="48"/>
        <v>85353.004355042809</v>
      </c>
      <c r="N177" s="154">
        <f t="shared" si="49"/>
        <v>35462.978251505301</v>
      </c>
      <c r="O177" s="154">
        <f t="shared" si="50"/>
        <v>19543.056403859304</v>
      </c>
      <c r="P177" s="154">
        <f t="shared" si="51"/>
        <v>6286.8249195187273</v>
      </c>
      <c r="Q177" s="154">
        <f t="shared" si="40"/>
        <v>146645.86392992616</v>
      </c>
      <c r="R177" s="173">
        <f t="shared" si="41"/>
        <v>0.3936629561352234</v>
      </c>
      <c r="S177" s="153">
        <f t="shared" si="42"/>
        <v>146649.5891782988</v>
      </c>
      <c r="T177" s="154"/>
      <c r="U177" s="154">
        <f>IFERROR(INDEX('2016 Clerical PYA'!$O$5:$O$241,MATCH('2017 Funding'!B177,'2016 Clerical PYA'!$A$5:$A$241,0)),0)</f>
        <v>403.01014124555513</v>
      </c>
      <c r="V177" s="154">
        <f>IFERROR(INDEX('Revised 2016 MFAM (2014 PYAs)'!$AD$26:$AD$262,MATCH('2017 Funding'!B177,'Revised 2016 MFAM (2014 PYAs)'!$B$26:$B$262,0)),0)</f>
        <v>871.94663337987731</v>
      </c>
      <c r="W177" s="154">
        <f t="shared" si="43"/>
        <v>-8.3291811284383854</v>
      </c>
      <c r="X177" s="154">
        <f t="shared" si="52"/>
        <v>1266.627593496994</v>
      </c>
      <c r="Y177" s="154"/>
      <c r="Z177" s="155">
        <f t="shared" si="44"/>
        <v>147916.21677179579</v>
      </c>
      <c r="AA177" s="156">
        <v>0</v>
      </c>
      <c r="AB177" s="157">
        <f t="shared" si="53"/>
        <v>0</v>
      </c>
      <c r="AC177" s="154">
        <f t="shared" si="54"/>
        <v>147916.21677179579</v>
      </c>
      <c r="AD177" s="160"/>
      <c r="AE177" s="154">
        <f t="shared" si="55"/>
        <v>36979.054192948948</v>
      </c>
      <c r="AF177" s="154">
        <f t="shared" si="55"/>
        <v>36979.054192948948</v>
      </c>
      <c r="AG177" s="154">
        <f t="shared" si="55"/>
        <v>36979.054192948948</v>
      </c>
      <c r="AH177" s="154">
        <f t="shared" si="55"/>
        <v>36979.054192948948</v>
      </c>
    </row>
    <row r="178" spans="2:34" x14ac:dyDescent="0.25">
      <c r="B178" s="10">
        <v>855</v>
      </c>
      <c r="C178" s="10">
        <v>7</v>
      </c>
      <c r="D178" s="9" t="s">
        <v>276</v>
      </c>
      <c r="E178" s="8">
        <v>218.35</v>
      </c>
      <c r="F178" s="5">
        <v>132793.26999999999</v>
      </c>
      <c r="G178" s="5">
        <v>20458.66</v>
      </c>
      <c r="H178" s="5">
        <f t="shared" si="45"/>
        <v>112334.60999999999</v>
      </c>
      <c r="I178" s="152">
        <f t="shared" si="46"/>
        <v>514.47039157316226</v>
      </c>
      <c r="J178" s="6">
        <f t="shared" si="39"/>
        <v>514.47039157316226</v>
      </c>
      <c r="K178" s="5">
        <f t="shared" si="47"/>
        <v>112334.60999999997</v>
      </c>
      <c r="L178" s="259">
        <v>0.19112053571428572</v>
      </c>
      <c r="M178" s="154">
        <f t="shared" si="48"/>
        <v>25738.730664777195</v>
      </c>
      <c r="N178" s="154">
        <f t="shared" si="49"/>
        <v>10465.247531748704</v>
      </c>
      <c r="O178" s="154">
        <f t="shared" si="50"/>
        <v>1475.7599979773793</v>
      </c>
      <c r="P178" s="154">
        <f t="shared" si="51"/>
        <v>1895.8312547148407</v>
      </c>
      <c r="Q178" s="154">
        <f t="shared" si="40"/>
        <v>39575.569449218121</v>
      </c>
      <c r="R178" s="173">
        <f t="shared" si="41"/>
        <v>0.35230076865195981</v>
      </c>
      <c r="S178" s="153">
        <f t="shared" si="42"/>
        <v>39576.574788351019</v>
      </c>
      <c r="T178" s="154"/>
      <c r="U178" s="154">
        <f>IFERROR(INDEX('2016 Clerical PYA'!$O$5:$O$241,MATCH('2017 Funding'!B178,'2016 Clerical PYA'!$A$5:$A$241,0)),0)</f>
        <v>2158.7334511548688</v>
      </c>
      <c r="V178" s="154">
        <f>IFERROR(INDEX('Revised 2016 MFAM (2014 PYAs)'!$AD$26:$AD$262,MATCH('2017 Funding'!B178,'Revised 2016 MFAM (2014 PYAs)'!$B$26:$B$262,0)),0)</f>
        <v>249.36715924271266</v>
      </c>
      <c r="W178" s="154">
        <f t="shared" si="43"/>
        <v>-2.2478103191586976</v>
      </c>
      <c r="X178" s="154">
        <f t="shared" si="52"/>
        <v>2405.8528000784227</v>
      </c>
      <c r="Y178" s="154"/>
      <c r="Z178" s="155">
        <f t="shared" si="44"/>
        <v>41982.42758842944</v>
      </c>
      <c r="AA178" s="156">
        <v>1</v>
      </c>
      <c r="AB178" s="157">
        <f t="shared" si="53"/>
        <v>-4198.2427588429446</v>
      </c>
      <c r="AC178" s="154">
        <f t="shared" si="54"/>
        <v>37784.184829586498</v>
      </c>
      <c r="AD178" s="160"/>
      <c r="AE178" s="154">
        <f t="shared" si="55"/>
        <v>9446.0462073966246</v>
      </c>
      <c r="AF178" s="154">
        <f t="shared" si="55"/>
        <v>9446.0462073966246</v>
      </c>
      <c r="AG178" s="154">
        <f t="shared" si="55"/>
        <v>9446.0462073966246</v>
      </c>
      <c r="AH178" s="154">
        <f t="shared" si="55"/>
        <v>9446.0462073966246</v>
      </c>
    </row>
    <row r="179" spans="2:34" x14ac:dyDescent="0.25">
      <c r="B179" s="10">
        <v>862</v>
      </c>
      <c r="C179" s="10">
        <v>7</v>
      </c>
      <c r="D179" s="9" t="s">
        <v>277</v>
      </c>
      <c r="E179" s="8">
        <v>17.291458969875634</v>
      </c>
      <c r="F179" s="5">
        <v>9221.15</v>
      </c>
      <c r="G179" s="5">
        <v>7583.34</v>
      </c>
      <c r="H179" s="5">
        <f t="shared" si="45"/>
        <v>1637.8099999999995</v>
      </c>
      <c r="I179" s="152">
        <f t="shared" si="46"/>
        <v>94.717860583847497</v>
      </c>
      <c r="J179" s="6">
        <f t="shared" si="39"/>
        <v>94.717860583847497</v>
      </c>
      <c r="K179" s="5">
        <f t="shared" si="47"/>
        <v>1637.8099999999995</v>
      </c>
      <c r="L179" s="259">
        <v>0.40878571428571431</v>
      </c>
      <c r="M179" s="154">
        <f t="shared" si="48"/>
        <v>375.2641369394413</v>
      </c>
      <c r="N179" s="154">
        <f t="shared" si="49"/>
        <v>828.75840762457051</v>
      </c>
      <c r="O179" s="154">
        <f t="shared" si="50"/>
        <v>46.020785479380486</v>
      </c>
      <c r="P179" s="154">
        <f t="shared" si="51"/>
        <v>27.640736788817915</v>
      </c>
      <c r="Q179" s="154">
        <f t="shared" si="40"/>
        <v>1277.6840668322102</v>
      </c>
      <c r="R179" s="173">
        <f t="shared" si="41"/>
        <v>0.78011739263541591</v>
      </c>
      <c r="S179" s="153">
        <f t="shared" si="42"/>
        <v>1228.3574999999996</v>
      </c>
      <c r="T179" s="154"/>
      <c r="U179" s="154">
        <f>IFERROR(INDEX('2016 Clerical PYA'!$O$5:$O$241,MATCH('2017 Funding'!B179,'2016 Clerical PYA'!$A$5:$A$241,0)),0)</f>
        <v>5.5308278774646169E-5</v>
      </c>
      <c r="V179" s="154">
        <f>IFERROR(INDEX('Revised 2016 MFAM (2014 PYAs)'!$AD$26:$AD$262,MATCH('2017 Funding'!B179,'Revised 2016 MFAM (2014 PYAs)'!$B$26:$B$262,0)),0)</f>
        <v>0</v>
      </c>
      <c r="W179" s="154">
        <f t="shared" si="43"/>
        <v>-6.9766387790807141E-2</v>
      </c>
      <c r="X179" s="154">
        <f t="shared" si="52"/>
        <v>-6.9711079512032495E-2</v>
      </c>
      <c r="Y179" s="154"/>
      <c r="Z179" s="155">
        <f t="shared" si="44"/>
        <v>1228.2877889204876</v>
      </c>
      <c r="AA179" s="156">
        <v>0</v>
      </c>
      <c r="AB179" s="157">
        <f t="shared" si="53"/>
        <v>0</v>
      </c>
      <c r="AC179" s="154">
        <f t="shared" si="54"/>
        <v>1228.2877889204876</v>
      </c>
      <c r="AD179" s="160"/>
      <c r="AE179" s="154">
        <f t="shared" si="55"/>
        <v>307.07194723012191</v>
      </c>
      <c r="AF179" s="154">
        <f t="shared" si="55"/>
        <v>307.07194723012191</v>
      </c>
      <c r="AG179" s="154">
        <f t="shared" si="55"/>
        <v>307.07194723012191</v>
      </c>
      <c r="AH179" s="154">
        <f t="shared" si="55"/>
        <v>307.07194723012191</v>
      </c>
    </row>
    <row r="180" spans="2:34" x14ac:dyDescent="0.25">
      <c r="B180" s="10">
        <v>958</v>
      </c>
      <c r="C180" s="10">
        <v>7</v>
      </c>
      <c r="D180" s="9" t="s">
        <v>278</v>
      </c>
      <c r="E180" s="8">
        <v>822.14091435323326</v>
      </c>
      <c r="F180" s="5">
        <v>144465</v>
      </c>
      <c r="G180" s="5">
        <v>296.64</v>
      </c>
      <c r="H180" s="5">
        <f t="shared" si="45"/>
        <v>144168.35999999999</v>
      </c>
      <c r="I180" s="152">
        <f t="shared" si="46"/>
        <v>175.3572380148666</v>
      </c>
      <c r="J180" s="6">
        <f t="shared" si="39"/>
        <v>175.3572380148666</v>
      </c>
      <c r="K180" s="5">
        <f t="shared" si="47"/>
        <v>144168.35999999999</v>
      </c>
      <c r="L180" s="259">
        <v>0.50187351190476182</v>
      </c>
      <c r="M180" s="154">
        <f t="shared" si="48"/>
        <v>33032.65652876383</v>
      </c>
      <c r="N180" s="154">
        <f t="shared" si="49"/>
        <v>39404.205059238826</v>
      </c>
      <c r="O180" s="154">
        <f t="shared" si="50"/>
        <v>4973.4646018903377</v>
      </c>
      <c r="P180" s="154">
        <f t="shared" si="51"/>
        <v>2433.0781299635159</v>
      </c>
      <c r="Q180" s="154">
        <f t="shared" si="40"/>
        <v>79843.404319856505</v>
      </c>
      <c r="R180" s="173">
        <f t="shared" si="41"/>
        <v>0.55382057699662057</v>
      </c>
      <c r="S180" s="153">
        <f t="shared" si="42"/>
        <v>79845.432583757283</v>
      </c>
      <c r="T180" s="154"/>
      <c r="U180" s="154">
        <f>IFERROR(INDEX('2016 Clerical PYA'!$O$5:$O$241,MATCH('2017 Funding'!B180,'2016 Clerical PYA'!$A$5:$A$241,0)),0)</f>
        <v>-2301.9412245050771</v>
      </c>
      <c r="V180" s="154">
        <f>IFERROR(INDEX('Revised 2016 MFAM (2014 PYAs)'!$AD$26:$AD$262,MATCH('2017 Funding'!B180,'Revised 2016 MFAM (2014 PYAs)'!$B$26:$B$262,0)),0)</f>
        <v>-8230.1014254757029</v>
      </c>
      <c r="W180" s="154">
        <f t="shared" si="43"/>
        <v>-4.5349398794432094</v>
      </c>
      <c r="X180" s="154">
        <f t="shared" si="52"/>
        <v>-10536.577589860222</v>
      </c>
      <c r="Y180" s="154"/>
      <c r="Z180" s="155">
        <f t="shared" si="44"/>
        <v>69308.854993897054</v>
      </c>
      <c r="AA180" s="156">
        <v>0</v>
      </c>
      <c r="AB180" s="157">
        <f t="shared" si="53"/>
        <v>0</v>
      </c>
      <c r="AC180" s="154">
        <f t="shared" si="54"/>
        <v>69308.854993897054</v>
      </c>
      <c r="AD180" s="160"/>
      <c r="AE180" s="154">
        <f t="shared" si="55"/>
        <v>17327.213748474263</v>
      </c>
      <c r="AF180" s="154">
        <f t="shared" si="55"/>
        <v>17327.213748474263</v>
      </c>
      <c r="AG180" s="154">
        <f t="shared" si="55"/>
        <v>17327.213748474263</v>
      </c>
      <c r="AH180" s="154">
        <f t="shared" si="55"/>
        <v>17327.213748474263</v>
      </c>
    </row>
    <row r="181" spans="2:34" x14ac:dyDescent="0.25">
      <c r="B181" s="10">
        <v>967</v>
      </c>
      <c r="C181" s="10">
        <v>7</v>
      </c>
      <c r="D181" s="9" t="s">
        <v>279</v>
      </c>
      <c r="E181" s="8">
        <v>161.20392435788793</v>
      </c>
      <c r="F181" s="5">
        <v>81003.53</v>
      </c>
      <c r="G181" s="5">
        <v>0</v>
      </c>
      <c r="H181" s="5">
        <f t="shared" si="45"/>
        <v>81003.53</v>
      </c>
      <c r="I181" s="152">
        <f t="shared" si="46"/>
        <v>502.49105487137223</v>
      </c>
      <c r="J181" s="6">
        <f t="shared" si="39"/>
        <v>502.49105487137223</v>
      </c>
      <c r="K181" s="5">
        <f t="shared" si="47"/>
        <v>81003.53</v>
      </c>
      <c r="L181" s="259">
        <v>0.27946279761904758</v>
      </c>
      <c r="M181" s="154">
        <f t="shared" si="48"/>
        <v>18559.979347114837</v>
      </c>
      <c r="N181" s="154">
        <f t="shared" si="49"/>
        <v>7726.3062582761231</v>
      </c>
      <c r="O181" s="154">
        <f t="shared" si="50"/>
        <v>1556.0471256289368</v>
      </c>
      <c r="P181" s="154">
        <f t="shared" si="51"/>
        <v>1367.0677622527132</v>
      </c>
      <c r="Q181" s="154">
        <f t="shared" si="40"/>
        <v>29209.400493272613</v>
      </c>
      <c r="R181" s="173">
        <f t="shared" si="41"/>
        <v>0.36059416785012471</v>
      </c>
      <c r="S181" s="153">
        <f t="shared" si="42"/>
        <v>29210.142500368736</v>
      </c>
      <c r="T181" s="154"/>
      <c r="U181" s="154">
        <f>IFERROR(INDEX('2016 Clerical PYA'!$O$5:$O$241,MATCH('2017 Funding'!B181,'2016 Clerical PYA'!$A$5:$A$241,0)),0)</f>
        <v>5922.8560328444546</v>
      </c>
      <c r="V181" s="154">
        <f>IFERROR(INDEX('Revised 2016 MFAM (2014 PYAs)'!$AD$26:$AD$262,MATCH('2017 Funding'!B181,'Revised 2016 MFAM (2014 PYAs)'!$B$26:$B$262,0)),0)</f>
        <v>-5960.0277000360729</v>
      </c>
      <c r="W181" s="154">
        <f t="shared" si="43"/>
        <v>-1.6590334077053814</v>
      </c>
      <c r="X181" s="154">
        <f t="shared" si="52"/>
        <v>-38.830700599323706</v>
      </c>
      <c r="Y181" s="154"/>
      <c r="Z181" s="155">
        <f t="shared" si="44"/>
        <v>29171.311799769413</v>
      </c>
      <c r="AA181" s="156">
        <v>0</v>
      </c>
      <c r="AB181" s="157">
        <f t="shared" si="53"/>
        <v>0</v>
      </c>
      <c r="AC181" s="154">
        <f t="shared" si="54"/>
        <v>29171.311799769413</v>
      </c>
      <c r="AD181" s="160"/>
      <c r="AE181" s="154">
        <f t="shared" si="55"/>
        <v>7292.8279499423534</v>
      </c>
      <c r="AF181" s="154">
        <f t="shared" si="55"/>
        <v>7292.8279499423534</v>
      </c>
      <c r="AG181" s="154">
        <f t="shared" si="55"/>
        <v>7292.8279499423534</v>
      </c>
      <c r="AH181" s="154">
        <f t="shared" si="55"/>
        <v>7292.8279499423534</v>
      </c>
    </row>
    <row r="182" spans="2:34" x14ac:dyDescent="0.25">
      <c r="B182" s="10">
        <v>971</v>
      </c>
      <c r="C182" s="10">
        <v>7</v>
      </c>
      <c r="D182" s="9" t="s">
        <v>280</v>
      </c>
      <c r="E182" s="8">
        <v>1018.99</v>
      </c>
      <c r="F182" s="5">
        <v>483236.56</v>
      </c>
      <c r="G182" s="5">
        <v>126368.85999999999</v>
      </c>
      <c r="H182" s="5">
        <f t="shared" si="45"/>
        <v>356867.7</v>
      </c>
      <c r="I182" s="152">
        <f t="shared" si="46"/>
        <v>350.21707769457993</v>
      </c>
      <c r="J182" s="6">
        <f t="shared" si="39"/>
        <v>350.21707769457993</v>
      </c>
      <c r="K182" s="5">
        <f t="shared" si="47"/>
        <v>356867.7</v>
      </c>
      <c r="L182" s="259">
        <v>0.58102529761904764</v>
      </c>
      <c r="M182" s="154">
        <f t="shared" si="48"/>
        <v>81767.512374490019</v>
      </c>
      <c r="N182" s="154">
        <f t="shared" si="49"/>
        <v>48838.940152858311</v>
      </c>
      <c r="O182" s="154">
        <f t="shared" si="50"/>
        <v>14252.697963887165</v>
      </c>
      <c r="P182" s="154">
        <f t="shared" si="51"/>
        <v>6022.7292324084219</v>
      </c>
      <c r="Q182" s="154">
        <f t="shared" si="40"/>
        <v>150881.87972364391</v>
      </c>
      <c r="R182" s="173">
        <f t="shared" si="41"/>
        <v>0.42279500140708703</v>
      </c>
      <c r="S182" s="153">
        <f t="shared" si="42"/>
        <v>150885.71257962659</v>
      </c>
      <c r="T182" s="154"/>
      <c r="U182" s="154">
        <f>IFERROR(INDEX('2016 Clerical PYA'!$O$5:$O$241,MATCH('2017 Funding'!B182,'2016 Clerical PYA'!$A$5:$A$241,0)),0)</f>
        <v>-5591.0659420711454</v>
      </c>
      <c r="V182" s="154">
        <f>IFERROR(INDEX('Revised 2016 MFAM (2014 PYAs)'!$AD$26:$AD$262,MATCH('2017 Funding'!B182,'Revised 2016 MFAM (2014 PYAs)'!$B$26:$B$262,0)),0)</f>
        <v>1014.3115934243251</v>
      </c>
      <c r="W182" s="154">
        <f t="shared" si="43"/>
        <v>-8.5697780458233872</v>
      </c>
      <c r="X182" s="154">
        <f t="shared" si="52"/>
        <v>-4585.3241266926434</v>
      </c>
      <c r="Y182" s="154"/>
      <c r="Z182" s="155">
        <f t="shared" si="44"/>
        <v>146300.38845293396</v>
      </c>
      <c r="AA182" s="156">
        <v>0</v>
      </c>
      <c r="AB182" s="157">
        <f t="shared" si="53"/>
        <v>0</v>
      </c>
      <c r="AC182" s="154">
        <f t="shared" si="54"/>
        <v>146300.38845293396</v>
      </c>
      <c r="AD182" s="160"/>
      <c r="AE182" s="154">
        <f t="shared" si="55"/>
        <v>36575.097113233489</v>
      </c>
      <c r="AF182" s="154">
        <f t="shared" si="55"/>
        <v>36575.097113233489</v>
      </c>
      <c r="AG182" s="154">
        <f t="shared" si="55"/>
        <v>36575.097113233489</v>
      </c>
      <c r="AH182" s="154">
        <f t="shared" si="55"/>
        <v>36575.097113233489</v>
      </c>
    </row>
    <row r="183" spans="2:34" x14ac:dyDescent="0.25">
      <c r="B183" s="10">
        <v>975</v>
      </c>
      <c r="C183" s="10">
        <v>7</v>
      </c>
      <c r="D183" s="9" t="s">
        <v>281</v>
      </c>
      <c r="E183" s="8">
        <v>28.687079509106532</v>
      </c>
      <c r="F183" s="5">
        <v>38878.620000000003</v>
      </c>
      <c r="G183" s="5">
        <v>0</v>
      </c>
      <c r="H183" s="5">
        <f t="shared" si="45"/>
        <v>38878.620000000003</v>
      </c>
      <c r="I183" s="152">
        <f t="shared" si="46"/>
        <v>1355.2658780639636</v>
      </c>
      <c r="J183" s="6">
        <f t="shared" si="39"/>
        <v>669.57752759227765</v>
      </c>
      <c r="K183" s="5">
        <f t="shared" si="47"/>
        <v>19208.223771550642</v>
      </c>
      <c r="L183" s="259">
        <v>0.1730922619047619</v>
      </c>
      <c r="M183" s="154">
        <f t="shared" si="48"/>
        <v>4401.0950694956155</v>
      </c>
      <c r="N183" s="154">
        <f t="shared" si="49"/>
        <v>1374.9365148878221</v>
      </c>
      <c r="O183" s="154">
        <f t="shared" si="50"/>
        <v>228.53865013106741</v>
      </c>
      <c r="P183" s="154">
        <f t="shared" si="51"/>
        <v>324.17036008459269</v>
      </c>
      <c r="Q183" s="154">
        <f t="shared" si="40"/>
        <v>6328.7405945990986</v>
      </c>
      <c r="R183" s="173">
        <f t="shared" si="41"/>
        <v>0.32948078228725214</v>
      </c>
      <c r="S183" s="153">
        <f t="shared" si="42"/>
        <v>6328.9013637470925</v>
      </c>
      <c r="T183" s="154"/>
      <c r="U183" s="154">
        <f>IFERROR(INDEX('2016 Clerical PYA'!$O$5:$O$241,MATCH('2017 Funding'!B183,'2016 Clerical PYA'!$A$5:$A$241,0)),0)</f>
        <v>1005.937474369759</v>
      </c>
      <c r="V183" s="154">
        <f>IFERROR(INDEX('Revised 2016 MFAM (2014 PYAs)'!$AD$26:$AD$262,MATCH('2017 Funding'!B183,'Revised 2016 MFAM (2014 PYAs)'!$B$26:$B$262,0)),0)</f>
        <v>34.05596269468424</v>
      </c>
      <c r="W183" s="154">
        <f t="shared" si="43"/>
        <v>-0.35945934862851248</v>
      </c>
      <c r="X183" s="154">
        <f t="shared" si="52"/>
        <v>1039.6339777158148</v>
      </c>
      <c r="Y183" s="154"/>
      <c r="Z183" s="155">
        <f t="shared" si="44"/>
        <v>7368.5353414629071</v>
      </c>
      <c r="AA183" s="156">
        <v>0</v>
      </c>
      <c r="AB183" s="157">
        <f t="shared" si="53"/>
        <v>0</v>
      </c>
      <c r="AC183" s="154">
        <f t="shared" si="54"/>
        <v>7368.5353414629071</v>
      </c>
      <c r="AD183" s="160"/>
      <c r="AE183" s="154">
        <f t="shared" si="55"/>
        <v>1842.1338353657268</v>
      </c>
      <c r="AF183" s="154">
        <f t="shared" si="55"/>
        <v>1842.1338353657268</v>
      </c>
      <c r="AG183" s="154">
        <f t="shared" si="55"/>
        <v>1842.1338353657268</v>
      </c>
      <c r="AH183" s="154">
        <f t="shared" si="55"/>
        <v>1842.1338353657268</v>
      </c>
    </row>
    <row r="184" spans="2:34" x14ac:dyDescent="0.25">
      <c r="B184" s="10">
        <v>976</v>
      </c>
      <c r="C184" s="10">
        <v>7</v>
      </c>
      <c r="D184" s="83" t="s">
        <v>282</v>
      </c>
      <c r="E184" s="8">
        <v>23.538347322345018</v>
      </c>
      <c r="F184" s="5">
        <v>54719.55</v>
      </c>
      <c r="G184" s="5">
        <v>0</v>
      </c>
      <c r="H184" s="5">
        <f t="shared" si="45"/>
        <v>54719.55</v>
      </c>
      <c r="I184" s="152">
        <f t="shared" si="46"/>
        <v>2324.6980448816212</v>
      </c>
      <c r="J184" s="6">
        <f t="shared" si="39"/>
        <v>669.57752759227765</v>
      </c>
      <c r="K184" s="5">
        <f t="shared" si="47"/>
        <v>15760.748403704087</v>
      </c>
      <c r="L184" s="259">
        <v>0.13966666666666666</v>
      </c>
      <c r="M184" s="154">
        <f t="shared" si="48"/>
        <v>3611.1903378509674</v>
      </c>
      <c r="N184" s="154">
        <f t="shared" si="49"/>
        <v>1128.1640999158001</v>
      </c>
      <c r="O184" s="154">
        <f t="shared" si="50"/>
        <v>151.30887515595555</v>
      </c>
      <c r="P184" s="154">
        <f t="shared" si="51"/>
        <v>265.98854459404134</v>
      </c>
      <c r="Q184" s="154">
        <f t="shared" si="40"/>
        <v>5156.6518575167647</v>
      </c>
      <c r="R184" s="173">
        <f t="shared" si="41"/>
        <v>0.32718318479754743</v>
      </c>
      <c r="S184" s="153">
        <f t="shared" si="42"/>
        <v>5156.7828520666662</v>
      </c>
      <c r="T184" s="154"/>
      <c r="U184" s="154">
        <f>IFERROR(INDEX('2016 Clerical PYA'!$O$5:$O$241,MATCH('2017 Funding'!B184,'2016 Clerical PYA'!$A$5:$A$241,0)),0)</f>
        <v>0</v>
      </c>
      <c r="V184" s="154">
        <f>IFERROR(INDEX('Revised 2016 MFAM (2014 PYAs)'!$AD$26:$AD$262,MATCH('2017 Funding'!B184,'Revised 2016 MFAM (2014 PYAs)'!$B$26:$B$262,0)),0)</f>
        <v>0</v>
      </c>
      <c r="W184" s="154">
        <f t="shared" si="43"/>
        <v>-0.29288713766982954</v>
      </c>
      <c r="X184" s="154">
        <f t="shared" si="52"/>
        <v>-0.29288713766982954</v>
      </c>
      <c r="Y184" s="154"/>
      <c r="Z184" s="155">
        <f t="shared" si="44"/>
        <v>5156.4899649289964</v>
      </c>
      <c r="AA184" s="156">
        <v>0</v>
      </c>
      <c r="AB184" s="157">
        <f t="shared" si="53"/>
        <v>0</v>
      </c>
      <c r="AC184" s="154">
        <f t="shared" si="54"/>
        <v>5156.4899649289964</v>
      </c>
      <c r="AD184" s="160"/>
      <c r="AE184" s="154">
        <f t="shared" si="55"/>
        <v>1289.1224912322491</v>
      </c>
      <c r="AF184" s="154">
        <f t="shared" si="55"/>
        <v>1289.1224912322491</v>
      </c>
      <c r="AG184" s="154">
        <f t="shared" si="55"/>
        <v>1289.1224912322491</v>
      </c>
      <c r="AH184" s="154">
        <f t="shared" si="55"/>
        <v>1289.1224912322491</v>
      </c>
    </row>
    <row r="185" spans="2:34" x14ac:dyDescent="0.25">
      <c r="B185" s="10">
        <v>977</v>
      </c>
      <c r="C185" s="10">
        <v>7</v>
      </c>
      <c r="D185" s="9" t="s">
        <v>39</v>
      </c>
      <c r="E185" s="8">
        <v>40.54588187937884</v>
      </c>
      <c r="F185" s="5">
        <v>2175.5500000000002</v>
      </c>
      <c r="G185" s="5">
        <v>0</v>
      </c>
      <c r="H185" s="5">
        <f t="shared" si="45"/>
        <v>2175.5500000000002</v>
      </c>
      <c r="I185" s="152">
        <f t="shared" si="46"/>
        <v>53.656497260858927</v>
      </c>
      <c r="J185" s="6">
        <f t="shared" si="39"/>
        <v>53.656497260858927</v>
      </c>
      <c r="K185" s="5">
        <f t="shared" si="47"/>
        <v>2175.5500000000002</v>
      </c>
      <c r="L185" s="259">
        <v>0.33257142857142857</v>
      </c>
      <c r="M185" s="154">
        <f t="shared" si="48"/>
        <v>498.474116728193</v>
      </c>
      <c r="N185" s="154">
        <f t="shared" si="49"/>
        <v>1943.3143588767753</v>
      </c>
      <c r="O185" s="154">
        <f t="shared" si="50"/>
        <v>49.733474731852858</v>
      </c>
      <c r="P185" s="154">
        <f t="shared" si="51"/>
        <v>36.715983490705781</v>
      </c>
      <c r="Q185" s="154">
        <f t="shared" si="40"/>
        <v>2528.2379338275268</v>
      </c>
      <c r="R185" s="173">
        <f t="shared" si="41"/>
        <v>1.162114377434454</v>
      </c>
      <c r="S185" s="153">
        <f t="shared" si="42"/>
        <v>1631.6625000000001</v>
      </c>
      <c r="T185" s="154"/>
      <c r="U185" s="154">
        <f>IFERROR(INDEX('2016 Clerical PYA'!$O$5:$O$241,MATCH('2017 Funding'!B185,'2016 Clerical PYA'!$A$5:$A$241,0)),0)</f>
        <v>1.92101547781931E-4</v>
      </c>
      <c r="V185" s="154">
        <f>IFERROR(INDEX('Revised 2016 MFAM (2014 PYAs)'!$AD$26:$AD$262,MATCH('2017 Funding'!B185,'Revised 2016 MFAM (2014 PYAs)'!$B$26:$B$262,0)),0)</f>
        <v>0</v>
      </c>
      <c r="W185" s="154">
        <f t="shared" si="43"/>
        <v>-9.2672693998870792E-2</v>
      </c>
      <c r="X185" s="154">
        <f t="shared" si="52"/>
        <v>-9.2480592451088861E-2</v>
      </c>
      <c r="Y185" s="154"/>
      <c r="Z185" s="155">
        <f t="shared" si="44"/>
        <v>1631.5700194075491</v>
      </c>
      <c r="AA185" s="156">
        <v>0</v>
      </c>
      <c r="AB185" s="157">
        <f t="shared" si="53"/>
        <v>0</v>
      </c>
      <c r="AC185" s="154">
        <f t="shared" si="54"/>
        <v>1631.5700194075491</v>
      </c>
      <c r="AD185" s="160"/>
      <c r="AE185" s="154">
        <f t="shared" si="55"/>
        <v>407.89250485188728</v>
      </c>
      <c r="AF185" s="154">
        <f t="shared" si="55"/>
        <v>407.89250485188728</v>
      </c>
      <c r="AG185" s="154">
        <f t="shared" si="55"/>
        <v>407.89250485188728</v>
      </c>
      <c r="AH185" s="154">
        <f t="shared" si="55"/>
        <v>407.89250485188728</v>
      </c>
    </row>
    <row r="186" spans="2:34" x14ac:dyDescent="0.25">
      <c r="B186" s="91">
        <v>979</v>
      </c>
      <c r="C186" s="91">
        <v>7</v>
      </c>
      <c r="D186" s="92" t="s">
        <v>283</v>
      </c>
      <c r="E186" s="8">
        <v>20.24668065349811</v>
      </c>
      <c r="F186" s="5">
        <v>112741.22</v>
      </c>
      <c r="G186" s="5">
        <v>200</v>
      </c>
      <c r="H186" s="5">
        <f t="shared" si="45"/>
        <v>112541.22</v>
      </c>
      <c r="I186" s="152">
        <f t="shared" si="46"/>
        <v>5558.5022516051658</v>
      </c>
      <c r="J186" s="6">
        <f t="shared" si="39"/>
        <v>669.57752759227765</v>
      </c>
      <c r="K186" s="5">
        <f t="shared" si="47"/>
        <v>13556.722373919665</v>
      </c>
      <c r="L186" s="259">
        <v>0.3950104166666667</v>
      </c>
      <c r="M186" s="154">
        <f t="shared" si="48"/>
        <v>3106.1916347907136</v>
      </c>
      <c r="N186" s="154">
        <f t="shared" si="49"/>
        <v>970.39855614895976</v>
      </c>
      <c r="O186" s="154">
        <f t="shared" si="50"/>
        <v>368.09341557155835</v>
      </c>
      <c r="P186" s="154">
        <f t="shared" si="51"/>
        <v>228.79198127779924</v>
      </c>
      <c r="Q186" s="154">
        <f t="shared" si="40"/>
        <v>4673.4755877890311</v>
      </c>
      <c r="R186" s="173">
        <f t="shared" si="41"/>
        <v>0.34473491887536423</v>
      </c>
      <c r="S186" s="153">
        <f t="shared" si="42"/>
        <v>4673.5943082006497</v>
      </c>
      <c r="T186" s="154"/>
      <c r="U186" s="154">
        <f>IFERROR(INDEX('2016 Clerical PYA'!$O$5:$O$241,MATCH('2017 Funding'!B186,'2016 Clerical PYA'!$A$5:$A$241,0)),0)</f>
        <v>777.39062184160593</v>
      </c>
      <c r="V186" s="154">
        <f>IFERROR(INDEX('Revised 2016 MFAM (2014 PYAs)'!$AD$26:$AD$262,MATCH('2017 Funding'!B186,'Revised 2016 MFAM (2014 PYAs)'!$B$26:$B$262,0)),0)</f>
        <v>26.316340194707664</v>
      </c>
      <c r="W186" s="154">
        <f t="shared" si="43"/>
        <v>-0.26544372699546809</v>
      </c>
      <c r="X186" s="154">
        <f t="shared" si="52"/>
        <v>803.4415183093181</v>
      </c>
      <c r="Y186" s="154"/>
      <c r="Z186" s="155">
        <f t="shared" si="44"/>
        <v>5477.0358265099676</v>
      </c>
      <c r="AA186" s="156">
        <v>0</v>
      </c>
      <c r="AB186" s="157">
        <f t="shared" si="53"/>
        <v>0</v>
      </c>
      <c r="AC186" s="154">
        <f t="shared" si="54"/>
        <v>5477.0358265099676</v>
      </c>
      <c r="AD186" s="160"/>
      <c r="AE186" s="154">
        <f t="shared" si="55"/>
        <v>1369.2589566274919</v>
      </c>
      <c r="AF186" s="154">
        <f t="shared" si="55"/>
        <v>1369.2589566274919</v>
      </c>
      <c r="AG186" s="154">
        <f t="shared" si="55"/>
        <v>1369.2589566274919</v>
      </c>
      <c r="AH186" s="154">
        <f t="shared" si="55"/>
        <v>1369.2589566274919</v>
      </c>
    </row>
    <row r="187" spans="2:34" x14ac:dyDescent="0.25">
      <c r="B187" s="91">
        <v>981</v>
      </c>
      <c r="C187" s="91">
        <v>7</v>
      </c>
      <c r="D187" s="92" t="s">
        <v>284</v>
      </c>
      <c r="E187" s="8">
        <v>117.1966662091519</v>
      </c>
      <c r="F187" s="5">
        <v>150933.87</v>
      </c>
      <c r="G187" s="5">
        <v>0</v>
      </c>
      <c r="H187" s="5">
        <f t="shared" si="45"/>
        <v>150933.87</v>
      </c>
      <c r="I187" s="152">
        <f t="shared" si="46"/>
        <v>1287.8682891084964</v>
      </c>
      <c r="J187" s="6">
        <f t="shared" si="39"/>
        <v>669.57752759227765</v>
      </c>
      <c r="K187" s="5">
        <f t="shared" si="47"/>
        <v>78472.254002381364</v>
      </c>
      <c r="L187" s="259">
        <v>0.27853571428571428</v>
      </c>
      <c r="M187" s="154">
        <f t="shared" si="48"/>
        <v>17979.999311212086</v>
      </c>
      <c r="N187" s="154">
        <f t="shared" si="49"/>
        <v>5617.0923827547686</v>
      </c>
      <c r="O187" s="154">
        <f t="shared" si="50"/>
        <v>1502.4215853015328</v>
      </c>
      <c r="P187" s="154">
        <f t="shared" si="51"/>
        <v>1324.3483176345771</v>
      </c>
      <c r="Q187" s="154">
        <f t="shared" si="40"/>
        <v>26423.861596902963</v>
      </c>
      <c r="R187" s="173">
        <f t="shared" si="41"/>
        <v>0.33672871937769355</v>
      </c>
      <c r="S187" s="153">
        <f t="shared" si="42"/>
        <v>26424.532842888188</v>
      </c>
      <c r="T187" s="154"/>
      <c r="U187" s="154">
        <f>IFERROR(INDEX('2016 Clerical PYA'!$O$5:$O$241,MATCH('2017 Funding'!B187,'2016 Clerical PYA'!$A$5:$A$241,0)),0)</f>
        <v>4048.7731737630857</v>
      </c>
      <c r="V187" s="154">
        <f>IFERROR(INDEX('Revised 2016 MFAM (2014 PYAs)'!$AD$26:$AD$262,MATCH('2017 Funding'!B187,'Revised 2016 MFAM (2014 PYAs)'!$B$26:$B$262,0)),0)</f>
        <v>136.22919981100858</v>
      </c>
      <c r="W187" s="154">
        <f t="shared" si="43"/>
        <v>-1.5008205717861922</v>
      </c>
      <c r="X187" s="154">
        <f t="shared" si="52"/>
        <v>4183.5015530023084</v>
      </c>
      <c r="Y187" s="154"/>
      <c r="Z187" s="155">
        <f t="shared" si="44"/>
        <v>30608.034395890496</v>
      </c>
      <c r="AA187" s="156">
        <v>0</v>
      </c>
      <c r="AB187" s="157">
        <f t="shared" si="53"/>
        <v>0</v>
      </c>
      <c r="AC187" s="154">
        <f t="shared" si="54"/>
        <v>30608.034395890496</v>
      </c>
      <c r="AD187" s="160"/>
      <c r="AE187" s="154">
        <f t="shared" si="55"/>
        <v>7652.008598972624</v>
      </c>
      <c r="AF187" s="154">
        <f t="shared" si="55"/>
        <v>7652.008598972624</v>
      </c>
      <c r="AG187" s="154">
        <f t="shared" si="55"/>
        <v>7652.008598972624</v>
      </c>
      <c r="AH187" s="154">
        <f t="shared" si="55"/>
        <v>7652.008598972624</v>
      </c>
    </row>
    <row r="188" spans="2:34" x14ac:dyDescent="0.25">
      <c r="B188" s="91">
        <v>983</v>
      </c>
      <c r="C188" s="91">
        <v>7</v>
      </c>
      <c r="D188" s="92" t="s">
        <v>285</v>
      </c>
      <c r="E188" s="8">
        <v>93.559304806292218</v>
      </c>
      <c r="F188" s="5">
        <v>40086</v>
      </c>
      <c r="G188" s="5">
        <v>0</v>
      </c>
      <c r="H188" s="5">
        <f t="shared" si="45"/>
        <v>40086</v>
      </c>
      <c r="I188" s="152">
        <f t="shared" si="46"/>
        <v>428.45551367654099</v>
      </c>
      <c r="J188" s="6">
        <f t="shared" si="39"/>
        <v>428.45551367654099</v>
      </c>
      <c r="K188" s="5">
        <f t="shared" si="47"/>
        <v>40086</v>
      </c>
      <c r="L188" s="259">
        <v>0.38909523809523811</v>
      </c>
      <c r="M188" s="154">
        <f t="shared" si="48"/>
        <v>9184.7272842115071</v>
      </c>
      <c r="N188" s="154">
        <f t="shared" si="49"/>
        <v>4484.1826594741215</v>
      </c>
      <c r="O188" s="154">
        <f t="shared" si="50"/>
        <v>1072.1200948470319</v>
      </c>
      <c r="P188" s="154">
        <f t="shared" si="51"/>
        <v>676.5171631120553</v>
      </c>
      <c r="Q188" s="154">
        <f t="shared" si="40"/>
        <v>15417.547201644717</v>
      </c>
      <c r="R188" s="173">
        <f t="shared" si="41"/>
        <v>0.38461176474691205</v>
      </c>
      <c r="S188" s="153">
        <f t="shared" si="42"/>
        <v>15417.938853963327</v>
      </c>
      <c r="T188" s="154"/>
      <c r="U188" s="154">
        <f>IFERROR(INDEX('2016 Clerical PYA'!$O$5:$O$241,MATCH('2017 Funding'!B188,'2016 Clerical PYA'!$A$5:$A$241,0)),0)</f>
        <v>-396.88595598730171</v>
      </c>
      <c r="V188" s="154">
        <f>IFERROR(INDEX('Revised 2016 MFAM (2014 PYAs)'!$AD$26:$AD$262,MATCH('2017 Funding'!B188,'Revised 2016 MFAM (2014 PYAs)'!$B$26:$B$262,0)),0)</f>
        <v>74.267378184267727</v>
      </c>
      <c r="W188" s="154">
        <f t="shared" si="43"/>
        <v>-0.87568472616527238</v>
      </c>
      <c r="X188" s="154">
        <f t="shared" si="52"/>
        <v>-323.49426252919926</v>
      </c>
      <c r="Y188" s="154"/>
      <c r="Z188" s="155">
        <f t="shared" si="44"/>
        <v>15094.444591434129</v>
      </c>
      <c r="AA188" s="156">
        <v>1</v>
      </c>
      <c r="AB188" s="157">
        <f t="shared" si="53"/>
        <v>-1509.444459143413</v>
      </c>
      <c r="AC188" s="154">
        <f t="shared" si="54"/>
        <v>13585.000132290716</v>
      </c>
      <c r="AD188" s="160"/>
      <c r="AE188" s="154">
        <f t="shared" si="55"/>
        <v>3396.2500330726789</v>
      </c>
      <c r="AF188" s="154">
        <f t="shared" si="55"/>
        <v>3396.2500330726789</v>
      </c>
      <c r="AG188" s="154">
        <f t="shared" si="55"/>
        <v>3396.2500330726789</v>
      </c>
      <c r="AH188" s="154">
        <f t="shared" si="55"/>
        <v>3396.2500330726789</v>
      </c>
    </row>
    <row r="189" spans="2:34" x14ac:dyDescent="0.25">
      <c r="B189" s="10">
        <v>188</v>
      </c>
      <c r="C189" s="10">
        <v>8</v>
      </c>
      <c r="D189" s="9" t="s">
        <v>286</v>
      </c>
      <c r="E189" s="8">
        <v>244.22</v>
      </c>
      <c r="F189" s="5">
        <v>213051.62</v>
      </c>
      <c r="G189" s="5">
        <v>24731.71</v>
      </c>
      <c r="H189" s="5">
        <f t="shared" si="45"/>
        <v>188319.91</v>
      </c>
      <c r="I189" s="152">
        <f t="shared" si="46"/>
        <v>771.10764884120874</v>
      </c>
      <c r="J189" s="6">
        <f t="shared" si="39"/>
        <v>771.10764884120874</v>
      </c>
      <c r="K189" s="5">
        <f t="shared" si="47"/>
        <v>188319.91</v>
      </c>
      <c r="L189" s="259">
        <v>0.77580654761904755</v>
      </c>
      <c r="M189" s="154">
        <f t="shared" si="48"/>
        <v>43148.905242160741</v>
      </c>
      <c r="N189" s="154">
        <f t="shared" si="49"/>
        <v>11705.164883002833</v>
      </c>
      <c r="O189" s="154">
        <f t="shared" si="50"/>
        <v>10042.560962838645</v>
      </c>
      <c r="P189" s="154">
        <f t="shared" si="51"/>
        <v>3178.2081342792389</v>
      </c>
      <c r="Q189" s="154">
        <f t="shared" si="40"/>
        <v>68074.839222281458</v>
      </c>
      <c r="R189" s="173">
        <f t="shared" si="41"/>
        <v>0.36148508791386663</v>
      </c>
      <c r="S189" s="153">
        <f t="shared" si="42"/>
        <v>68076.568529042896</v>
      </c>
      <c r="T189" s="154"/>
      <c r="U189" s="154">
        <f>IFERROR(INDEX('2016 Clerical PYA'!$O$5:$O$241,MATCH('2017 Funding'!B189,'2016 Clerical PYA'!$A$5:$A$241,0)),0)</f>
        <v>-2558.4836775705699</v>
      </c>
      <c r="V189" s="154">
        <f>IFERROR(INDEX('Revised 2016 MFAM (2014 PYAs)'!$AD$26:$AD$262,MATCH('2017 Funding'!B189,'Revised 2016 MFAM (2014 PYAs)'!$B$26:$B$262,0)),0)</f>
        <v>416.61179079825524</v>
      </c>
      <c r="W189" s="154">
        <f t="shared" si="43"/>
        <v>-3.8665097737952232</v>
      </c>
      <c r="X189" s="154">
        <f t="shared" si="52"/>
        <v>-2145.7383965461099</v>
      </c>
      <c r="Y189" s="154"/>
      <c r="Z189" s="155">
        <f t="shared" si="44"/>
        <v>65930.830132496791</v>
      </c>
      <c r="AA189" s="156">
        <v>0</v>
      </c>
      <c r="AB189" s="157">
        <f t="shared" si="53"/>
        <v>0</v>
      </c>
      <c r="AC189" s="154">
        <f t="shared" si="54"/>
        <v>65930.830132496791</v>
      </c>
      <c r="AD189" s="160"/>
      <c r="AE189" s="154">
        <f t="shared" si="55"/>
        <v>16482.707533124198</v>
      </c>
      <c r="AF189" s="154">
        <f t="shared" si="55"/>
        <v>16482.707533124198</v>
      </c>
      <c r="AG189" s="154">
        <f t="shared" si="55"/>
        <v>16482.707533124198</v>
      </c>
      <c r="AH189" s="154">
        <f t="shared" si="55"/>
        <v>16482.707533124198</v>
      </c>
    </row>
    <row r="190" spans="2:34" x14ac:dyDescent="0.25">
      <c r="B190" s="10">
        <v>232</v>
      </c>
      <c r="C190" s="10">
        <v>8</v>
      </c>
      <c r="D190" s="9" t="s">
        <v>287</v>
      </c>
      <c r="E190" s="8">
        <v>76.348857356837641</v>
      </c>
      <c r="F190" s="5">
        <v>88343.25</v>
      </c>
      <c r="G190" s="5">
        <v>0</v>
      </c>
      <c r="H190" s="5">
        <f t="shared" si="45"/>
        <v>88343.25</v>
      </c>
      <c r="I190" s="152">
        <f t="shared" si="46"/>
        <v>1157.0998317250935</v>
      </c>
      <c r="J190" s="6">
        <f t="shared" si="39"/>
        <v>1157.0998317250935</v>
      </c>
      <c r="K190" s="5">
        <f t="shared" si="47"/>
        <v>88343.25</v>
      </c>
      <c r="L190" s="259">
        <v>0.22310119047619048</v>
      </c>
      <c r="M190" s="154">
        <f t="shared" si="48"/>
        <v>20241.696818114015</v>
      </c>
      <c r="N190" s="154">
        <f t="shared" si="49"/>
        <v>3659.3070346026057</v>
      </c>
      <c r="O190" s="154">
        <f t="shared" si="50"/>
        <v>1354.7839972138058</v>
      </c>
      <c r="P190" s="154">
        <f t="shared" si="51"/>
        <v>1490.9376058997925</v>
      </c>
      <c r="Q190" s="154">
        <f t="shared" si="40"/>
        <v>26746.725455830219</v>
      </c>
      <c r="R190" s="173">
        <f t="shared" si="41"/>
        <v>0.30275912937129007</v>
      </c>
      <c r="S190" s="153">
        <f t="shared" si="42"/>
        <v>26747.404903533738</v>
      </c>
      <c r="T190" s="154"/>
      <c r="U190" s="154">
        <f>IFERROR(INDEX('2016 Clerical PYA'!$O$5:$O$241,MATCH('2017 Funding'!B190,'2016 Clerical PYA'!$A$5:$A$241,0)),0)</f>
        <v>-950.00151548290887</v>
      </c>
      <c r="V190" s="154">
        <f>IFERROR(INDEX('Revised 2016 MFAM (2014 PYAs)'!$AD$26:$AD$262,MATCH('2017 Funding'!B190,'Revised 2016 MFAM (2014 PYAs)'!$B$26:$B$262,0)),0)</f>
        <v>156.43623281122564</v>
      </c>
      <c r="W190" s="154">
        <f t="shared" si="43"/>
        <v>-1.5191585697955783</v>
      </c>
      <c r="X190" s="154">
        <f t="shared" si="52"/>
        <v>-795.08444124147877</v>
      </c>
      <c r="Y190" s="154"/>
      <c r="Z190" s="155">
        <f t="shared" si="44"/>
        <v>25952.32046229226</v>
      </c>
      <c r="AA190" s="156">
        <v>0</v>
      </c>
      <c r="AB190" s="157">
        <f t="shared" si="53"/>
        <v>0</v>
      </c>
      <c r="AC190" s="154">
        <f t="shared" si="54"/>
        <v>25952.32046229226</v>
      </c>
      <c r="AD190" s="160"/>
      <c r="AE190" s="154">
        <f t="shared" si="55"/>
        <v>6488.0801155730651</v>
      </c>
      <c r="AF190" s="154">
        <f t="shared" si="55"/>
        <v>6488.0801155730651</v>
      </c>
      <c r="AG190" s="154">
        <f t="shared" si="55"/>
        <v>6488.0801155730651</v>
      </c>
      <c r="AH190" s="154">
        <f t="shared" si="55"/>
        <v>6488.0801155730651</v>
      </c>
    </row>
    <row r="191" spans="2:34" x14ac:dyDescent="0.25">
      <c r="B191" s="10">
        <v>245</v>
      </c>
      <c r="C191" s="10">
        <v>8</v>
      </c>
      <c r="D191" s="9" t="s">
        <v>288</v>
      </c>
      <c r="E191" s="8">
        <v>204.14903146110328</v>
      </c>
      <c r="F191" s="5">
        <v>578624.64</v>
      </c>
      <c r="G191" s="5">
        <v>0</v>
      </c>
      <c r="H191" s="5">
        <f t="shared" si="45"/>
        <v>578624.64</v>
      </c>
      <c r="I191" s="152">
        <f t="shared" si="46"/>
        <v>2834.3246884825217</v>
      </c>
      <c r="J191" s="6">
        <f t="shared" si="39"/>
        <v>1523.8797267844407</v>
      </c>
      <c r="K191" s="5">
        <f t="shared" si="47"/>
        <v>311098.57028625422</v>
      </c>
      <c r="L191" s="259">
        <v>0.47775446428571428</v>
      </c>
      <c r="M191" s="154">
        <f t="shared" si="48"/>
        <v>71280.634799864056</v>
      </c>
      <c r="N191" s="154">
        <f t="shared" si="49"/>
        <v>9784.6125377018525</v>
      </c>
      <c r="O191" s="154">
        <f t="shared" si="50"/>
        <v>10216.392447826407</v>
      </c>
      <c r="P191" s="154">
        <f t="shared" si="51"/>
        <v>5250.2999106489306</v>
      </c>
      <c r="Q191" s="154">
        <f t="shared" si="40"/>
        <v>96531.939696041241</v>
      </c>
      <c r="R191" s="173">
        <f t="shared" si="41"/>
        <v>0.31029374261417642</v>
      </c>
      <c r="S191" s="153">
        <f t="shared" si="42"/>
        <v>96534.391899203489</v>
      </c>
      <c r="T191" s="154"/>
      <c r="U191" s="154">
        <f>IFERROR(INDEX('2016 Clerical PYA'!$O$5:$O$241,MATCH('2017 Funding'!B191,'2016 Clerical PYA'!$A$5:$A$241,0)),0)</f>
        <v>26554.05866126965</v>
      </c>
      <c r="V191" s="154">
        <f>IFERROR(INDEX('Revised 2016 MFAM (2014 PYAs)'!$AD$26:$AD$262,MATCH('2017 Funding'!B191,'Revised 2016 MFAM (2014 PYAs)'!$B$26:$B$262,0)),0)</f>
        <v>-2859.6891740779101</v>
      </c>
      <c r="W191" s="154">
        <f t="shared" si="43"/>
        <v>-5.4828140996327086</v>
      </c>
      <c r="X191" s="154">
        <f t="shared" si="52"/>
        <v>23688.886673092107</v>
      </c>
      <c r="Y191" s="154"/>
      <c r="Z191" s="155">
        <f t="shared" si="44"/>
        <v>120223.27857229559</v>
      </c>
      <c r="AA191" s="156">
        <v>0</v>
      </c>
      <c r="AB191" s="157">
        <f t="shared" si="53"/>
        <v>0</v>
      </c>
      <c r="AC191" s="154">
        <f t="shared" si="54"/>
        <v>120223.27857229559</v>
      </c>
      <c r="AD191" s="160"/>
      <c r="AE191" s="154">
        <f t="shared" si="55"/>
        <v>30055.819643073897</v>
      </c>
      <c r="AF191" s="154">
        <f t="shared" si="55"/>
        <v>30055.819643073897</v>
      </c>
      <c r="AG191" s="154">
        <f t="shared" si="55"/>
        <v>30055.819643073897</v>
      </c>
      <c r="AH191" s="154">
        <f t="shared" si="55"/>
        <v>30055.819643073897</v>
      </c>
    </row>
    <row r="192" spans="2:34" x14ac:dyDescent="0.25">
      <c r="B192" s="10">
        <v>372</v>
      </c>
      <c r="C192" s="10">
        <v>8</v>
      </c>
      <c r="D192" s="9" t="s">
        <v>289</v>
      </c>
      <c r="E192" s="8">
        <v>101.95118442338628</v>
      </c>
      <c r="F192" s="5">
        <v>90900.08</v>
      </c>
      <c r="G192" s="5">
        <v>0</v>
      </c>
      <c r="H192" s="5">
        <f t="shared" si="45"/>
        <v>90900.08</v>
      </c>
      <c r="I192" s="152">
        <f t="shared" si="46"/>
        <v>891.60396236798113</v>
      </c>
      <c r="J192" s="6">
        <f t="shared" si="39"/>
        <v>891.60396236798113</v>
      </c>
      <c r="K192" s="5">
        <f t="shared" si="47"/>
        <v>90900.08</v>
      </c>
      <c r="L192" s="259">
        <v>0.29909821428571431</v>
      </c>
      <c r="M192" s="154">
        <f t="shared" si="48"/>
        <v>20827.531929177487</v>
      </c>
      <c r="N192" s="154">
        <f t="shared" si="49"/>
        <v>4886.3951506558287</v>
      </c>
      <c r="O192" s="154">
        <f t="shared" si="50"/>
        <v>1868.8432823987052</v>
      </c>
      <c r="P192" s="154">
        <f t="shared" si="51"/>
        <v>1534.0883163263702</v>
      </c>
      <c r="Q192" s="154">
        <f t="shared" si="40"/>
        <v>29116.858678558394</v>
      </c>
      <c r="R192" s="173">
        <f t="shared" si="41"/>
        <v>0.32031719530454089</v>
      </c>
      <c r="S192" s="153">
        <f t="shared" si="42"/>
        <v>29117.598334812596</v>
      </c>
      <c r="T192" s="154"/>
      <c r="U192" s="154">
        <f>IFERROR(INDEX('2016 Clerical PYA'!$O$5:$O$241,MATCH('2017 Funding'!B192,'2016 Clerical PYA'!$A$5:$A$241,0)),0)</f>
        <v>-1249.051790368856</v>
      </c>
      <c r="V192" s="154">
        <f>IFERROR(INDEX('Revised 2016 MFAM (2014 PYAs)'!$AD$26:$AD$262,MATCH('2017 Funding'!B192,'Revised 2016 MFAM (2014 PYAs)'!$B$26:$B$262,0)),0)</f>
        <v>215.27336323912459</v>
      </c>
      <c r="W192" s="154">
        <f t="shared" si="43"/>
        <v>-1.6537772244346589</v>
      </c>
      <c r="X192" s="154">
        <f t="shared" si="52"/>
        <v>-1035.4322043541661</v>
      </c>
      <c r="Y192" s="154"/>
      <c r="Z192" s="155">
        <f t="shared" si="44"/>
        <v>28082.16613045843</v>
      </c>
      <c r="AA192" s="156">
        <v>0</v>
      </c>
      <c r="AB192" s="157">
        <f t="shared" si="53"/>
        <v>0</v>
      </c>
      <c r="AC192" s="154">
        <f t="shared" si="54"/>
        <v>28082.16613045843</v>
      </c>
      <c r="AD192" s="160"/>
      <c r="AE192" s="154">
        <f t="shared" si="55"/>
        <v>7020.5415326146076</v>
      </c>
      <c r="AF192" s="154">
        <f t="shared" si="55"/>
        <v>7020.5415326146076</v>
      </c>
      <c r="AG192" s="154">
        <f t="shared" si="55"/>
        <v>7020.5415326146076</v>
      </c>
      <c r="AH192" s="154">
        <f t="shared" si="55"/>
        <v>7020.5415326146076</v>
      </c>
    </row>
    <row r="193" spans="2:34" x14ac:dyDescent="0.25">
      <c r="B193" s="10">
        <v>375</v>
      </c>
      <c r="C193" s="10">
        <v>8</v>
      </c>
      <c r="D193" s="9" t="s">
        <v>290</v>
      </c>
      <c r="E193" s="8">
        <v>167.94</v>
      </c>
      <c r="F193" s="5">
        <v>146200.91</v>
      </c>
      <c r="G193" s="5">
        <v>0</v>
      </c>
      <c r="H193" s="5">
        <f t="shared" si="45"/>
        <v>146200.91</v>
      </c>
      <c r="I193" s="152">
        <f t="shared" si="46"/>
        <v>870.55442419911878</v>
      </c>
      <c r="J193" s="6">
        <f t="shared" si="39"/>
        <v>870.55442419911878</v>
      </c>
      <c r="K193" s="5">
        <f t="shared" si="47"/>
        <v>146200.91</v>
      </c>
      <c r="L193" s="259">
        <v>0.13926785714285714</v>
      </c>
      <c r="M193" s="154">
        <f t="shared" si="48"/>
        <v>33498.365690105049</v>
      </c>
      <c r="N193" s="154">
        <f t="shared" si="49"/>
        <v>8049.1580970088271</v>
      </c>
      <c r="O193" s="154">
        <f t="shared" si="50"/>
        <v>1399.5736822346209</v>
      </c>
      <c r="P193" s="154">
        <f t="shared" si="51"/>
        <v>2467.380753320384</v>
      </c>
      <c r="Q193" s="154">
        <f t="shared" si="40"/>
        <v>45414.478222668884</v>
      </c>
      <c r="R193" s="173">
        <f t="shared" si="41"/>
        <v>0.31063061250897056</v>
      </c>
      <c r="S193" s="153">
        <f t="shared" si="42"/>
        <v>45415.631887740361</v>
      </c>
      <c r="T193" s="154"/>
      <c r="U193" s="154">
        <f>IFERROR(INDEX('2016 Clerical PYA'!$O$5:$O$241,MATCH('2017 Funding'!B193,'2016 Clerical PYA'!$A$5:$A$241,0)),0)</f>
        <v>-1784.6774574604933</v>
      </c>
      <c r="V193" s="154">
        <f>IFERROR(INDEX('Revised 2016 MFAM (2014 PYAs)'!$AD$26:$AD$262,MATCH('2017 Funding'!B193,'Revised 2016 MFAM (2014 PYAs)'!$B$26:$B$262,0)),0)</f>
        <v>295.18468446633051</v>
      </c>
      <c r="W193" s="154">
        <f t="shared" si="43"/>
        <v>-2.579448235586661</v>
      </c>
      <c r="X193" s="154">
        <f t="shared" si="52"/>
        <v>-1492.0722212297494</v>
      </c>
      <c r="Y193" s="154"/>
      <c r="Z193" s="155">
        <f t="shared" si="44"/>
        <v>43923.559666510613</v>
      </c>
      <c r="AA193" s="156">
        <v>0</v>
      </c>
      <c r="AB193" s="157">
        <f t="shared" si="53"/>
        <v>0</v>
      </c>
      <c r="AC193" s="154">
        <f t="shared" si="54"/>
        <v>43923.559666510613</v>
      </c>
      <c r="AD193" s="160"/>
      <c r="AE193" s="154">
        <f t="shared" si="55"/>
        <v>10980.889916627653</v>
      </c>
      <c r="AF193" s="154">
        <f t="shared" si="55"/>
        <v>10980.889916627653</v>
      </c>
      <c r="AG193" s="154">
        <f t="shared" si="55"/>
        <v>10980.889916627653</v>
      </c>
      <c r="AH193" s="154">
        <f t="shared" si="55"/>
        <v>10980.889916627653</v>
      </c>
    </row>
    <row r="194" spans="2:34" x14ac:dyDescent="0.25">
      <c r="B194" s="10">
        <v>404</v>
      </c>
      <c r="C194" s="10">
        <v>8</v>
      </c>
      <c r="D194" s="9" t="s">
        <v>291</v>
      </c>
      <c r="E194" s="8">
        <v>446.78753640226284</v>
      </c>
      <c r="F194" s="5">
        <v>180569.64</v>
      </c>
      <c r="G194" s="5">
        <v>0</v>
      </c>
      <c r="H194" s="5">
        <f t="shared" si="45"/>
        <v>180569.64</v>
      </c>
      <c r="I194" s="152">
        <f t="shared" si="46"/>
        <v>404.15102322242285</v>
      </c>
      <c r="J194" s="6">
        <f t="shared" si="39"/>
        <v>404.15102322242285</v>
      </c>
      <c r="K194" s="5">
        <f t="shared" si="47"/>
        <v>180569.64</v>
      </c>
      <c r="L194" s="259">
        <v>0.43985565476190475</v>
      </c>
      <c r="M194" s="154">
        <f t="shared" si="48"/>
        <v>41373.120271622254</v>
      </c>
      <c r="N194" s="154">
        <f t="shared" si="49"/>
        <v>21413.978303411339</v>
      </c>
      <c r="O194" s="154">
        <f t="shared" si="50"/>
        <v>5459.4602719852319</v>
      </c>
      <c r="P194" s="154">
        <f t="shared" si="51"/>
        <v>3047.4095843178443</v>
      </c>
      <c r="Q194" s="154">
        <f t="shared" si="40"/>
        <v>71293.968431336674</v>
      </c>
      <c r="R194" s="173">
        <f t="shared" si="41"/>
        <v>0.39482810305949922</v>
      </c>
      <c r="S194" s="153">
        <f t="shared" si="42"/>
        <v>71295.779513714049</v>
      </c>
      <c r="T194" s="154"/>
      <c r="U194" s="154">
        <f>IFERROR(INDEX('2016 Clerical PYA'!$O$5:$O$241,MATCH('2017 Funding'!B194,'2016 Clerical PYA'!$A$5:$A$241,0)),0)</f>
        <v>-4153.5574781658361</v>
      </c>
      <c r="V194" s="154">
        <f>IFERROR(INDEX('Revised 2016 MFAM (2014 PYAs)'!$AD$26:$AD$262,MATCH('2017 Funding'!B194,'Revised 2016 MFAM (2014 PYAs)'!$B$26:$B$262,0)),0)</f>
        <v>-1085.8755072092463</v>
      </c>
      <c r="W194" s="154">
        <f t="shared" si="43"/>
        <v>-4.049349640802177</v>
      </c>
      <c r="X194" s="154">
        <f t="shared" si="52"/>
        <v>-5243.4823350158849</v>
      </c>
      <c r="Y194" s="154"/>
      <c r="Z194" s="155">
        <f t="shared" si="44"/>
        <v>66052.297178698165</v>
      </c>
      <c r="AA194" s="156">
        <v>0</v>
      </c>
      <c r="AB194" s="157">
        <f t="shared" si="53"/>
        <v>0</v>
      </c>
      <c r="AC194" s="154">
        <f t="shared" si="54"/>
        <v>66052.297178698165</v>
      </c>
      <c r="AD194" s="160"/>
      <c r="AE194" s="154">
        <f t="shared" si="55"/>
        <v>16513.074294674541</v>
      </c>
      <c r="AF194" s="154">
        <f t="shared" si="55"/>
        <v>16513.074294674541</v>
      </c>
      <c r="AG194" s="154">
        <f t="shared" si="55"/>
        <v>16513.074294674541</v>
      </c>
      <c r="AH194" s="154">
        <f t="shared" si="55"/>
        <v>16513.074294674541</v>
      </c>
    </row>
    <row r="195" spans="2:34" x14ac:dyDescent="0.25">
      <c r="B195" s="10">
        <v>413</v>
      </c>
      <c r="C195" s="10">
        <v>8</v>
      </c>
      <c r="D195" s="9" t="s">
        <v>292</v>
      </c>
      <c r="E195" s="8">
        <v>89.679999999999993</v>
      </c>
      <c r="F195" s="5">
        <v>54207.98</v>
      </c>
      <c r="G195" s="5">
        <v>45</v>
      </c>
      <c r="H195" s="5">
        <f t="shared" si="45"/>
        <v>54162.98</v>
      </c>
      <c r="I195" s="152">
        <f t="shared" si="46"/>
        <v>603.95829616413926</v>
      </c>
      <c r="J195" s="6">
        <f t="shared" si="39"/>
        <v>603.95829616413926</v>
      </c>
      <c r="K195" s="5">
        <f t="shared" si="47"/>
        <v>54162.98</v>
      </c>
      <c r="L195" s="259">
        <v>0.74383630952380941</v>
      </c>
      <c r="M195" s="154">
        <f t="shared" si="48"/>
        <v>12410.123240038971</v>
      </c>
      <c r="N195" s="154">
        <f t="shared" si="49"/>
        <v>4298.2523409536234</v>
      </c>
      <c r="O195" s="154">
        <f t="shared" si="50"/>
        <v>2769.3300814818745</v>
      </c>
      <c r="P195" s="154">
        <f t="shared" si="51"/>
        <v>914.08934728571046</v>
      </c>
      <c r="Q195" s="154">
        <f t="shared" si="40"/>
        <v>20391.795009760179</v>
      </c>
      <c r="R195" s="173">
        <f t="shared" si="41"/>
        <v>0.37648953232928056</v>
      </c>
      <c r="S195" s="153">
        <f t="shared" si="42"/>
        <v>20392.313023014281</v>
      </c>
      <c r="T195" s="154"/>
      <c r="U195" s="154">
        <f>IFERROR(INDEX('2016 Clerical PYA'!$O$5:$O$241,MATCH('2017 Funding'!B195,'2016 Clerical PYA'!$A$5:$A$241,0)),0)</f>
        <v>-916.27833110513166</v>
      </c>
      <c r="V195" s="154">
        <f>IFERROR(INDEX('Revised 2016 MFAM (2014 PYAs)'!$AD$26:$AD$262,MATCH('2017 Funding'!B195,'Revised 2016 MFAM (2014 PYAs)'!$B$26:$B$262,0)),0)</f>
        <v>150.32604080264719</v>
      </c>
      <c r="W195" s="154">
        <f t="shared" si="43"/>
        <v>-1.1582116918854175</v>
      </c>
      <c r="X195" s="154">
        <f t="shared" si="52"/>
        <v>-767.11050199436988</v>
      </c>
      <c r="Y195" s="154"/>
      <c r="Z195" s="155">
        <f t="shared" si="44"/>
        <v>19625.20252101991</v>
      </c>
      <c r="AA195" s="156">
        <v>0</v>
      </c>
      <c r="AB195" s="157">
        <f t="shared" si="53"/>
        <v>0</v>
      </c>
      <c r="AC195" s="154">
        <f t="shared" si="54"/>
        <v>19625.20252101991</v>
      </c>
      <c r="AD195" s="160"/>
      <c r="AE195" s="154">
        <f t="shared" si="55"/>
        <v>4906.3006302549775</v>
      </c>
      <c r="AF195" s="154">
        <f t="shared" si="55"/>
        <v>4906.3006302549775</v>
      </c>
      <c r="AG195" s="154">
        <f t="shared" si="55"/>
        <v>4906.3006302549775</v>
      </c>
      <c r="AH195" s="154">
        <f t="shared" si="55"/>
        <v>4906.3006302549775</v>
      </c>
    </row>
    <row r="196" spans="2:34" x14ac:dyDescent="0.25">
      <c r="B196" s="10">
        <v>537</v>
      </c>
      <c r="C196" s="10">
        <v>8</v>
      </c>
      <c r="D196" s="9" t="s">
        <v>293</v>
      </c>
      <c r="E196" s="8">
        <v>20.315889065595684</v>
      </c>
      <c r="F196" s="5">
        <v>10208.25</v>
      </c>
      <c r="G196" s="5">
        <v>0</v>
      </c>
      <c r="H196" s="5">
        <f t="shared" si="45"/>
        <v>10208.25</v>
      </c>
      <c r="I196" s="152">
        <f t="shared" si="46"/>
        <v>502.47616370810709</v>
      </c>
      <c r="J196" s="6">
        <f t="shared" si="39"/>
        <v>502.47616370810709</v>
      </c>
      <c r="K196" s="5">
        <f t="shared" si="47"/>
        <v>10208.25</v>
      </c>
      <c r="L196" s="259">
        <v>0.26382738095238095</v>
      </c>
      <c r="M196" s="154">
        <f t="shared" si="48"/>
        <v>2338.971019783768</v>
      </c>
      <c r="N196" s="154">
        <f t="shared" si="49"/>
        <v>973.71563040533874</v>
      </c>
      <c r="O196" s="154">
        <f t="shared" si="50"/>
        <v>185.12537948192136</v>
      </c>
      <c r="P196" s="154">
        <f t="shared" si="51"/>
        <v>172.28100409965171</v>
      </c>
      <c r="Q196" s="154">
        <f t="shared" si="40"/>
        <v>3670.09303377068</v>
      </c>
      <c r="R196" s="173">
        <f t="shared" si="41"/>
        <v>0.3595222524693929</v>
      </c>
      <c r="S196" s="153">
        <f t="shared" si="42"/>
        <v>3670.1862652313912</v>
      </c>
      <c r="T196" s="154"/>
      <c r="U196" s="154">
        <f>IFERROR(INDEX('2016 Clerical PYA'!$O$5:$O$241,MATCH('2017 Funding'!B196,'2016 Clerical PYA'!$A$5:$A$241,0)),0)</f>
        <v>-32.705772722323445</v>
      </c>
      <c r="V196" s="154">
        <f>IFERROR(INDEX('Revised 2016 MFAM (2014 PYAs)'!$AD$26:$AD$262,MATCH('2017 Funding'!B196,'Revised 2016 MFAM (2014 PYAs)'!$B$26:$B$262,0)),0)</f>
        <v>5.5367661315893884</v>
      </c>
      <c r="W196" s="154">
        <f t="shared" si="43"/>
        <v>-0.20845367756913399</v>
      </c>
      <c r="X196" s="154">
        <f t="shared" si="52"/>
        <v>-27.377460268303192</v>
      </c>
      <c r="Y196" s="154"/>
      <c r="Z196" s="155">
        <f t="shared" si="44"/>
        <v>3642.8088049630878</v>
      </c>
      <c r="AA196" s="156">
        <v>0</v>
      </c>
      <c r="AB196" s="157">
        <f t="shared" si="53"/>
        <v>0</v>
      </c>
      <c r="AC196" s="154">
        <f t="shared" si="54"/>
        <v>3642.8088049630878</v>
      </c>
      <c r="AD196" s="160"/>
      <c r="AE196" s="154">
        <f t="shared" si="55"/>
        <v>910.70220124077196</v>
      </c>
      <c r="AF196" s="154">
        <f t="shared" si="55"/>
        <v>910.70220124077196</v>
      </c>
      <c r="AG196" s="154">
        <f t="shared" si="55"/>
        <v>910.70220124077196</v>
      </c>
      <c r="AH196" s="154">
        <f t="shared" si="55"/>
        <v>910.70220124077196</v>
      </c>
    </row>
    <row r="197" spans="2:34" x14ac:dyDescent="0.25">
      <c r="B197" s="10">
        <v>545</v>
      </c>
      <c r="C197" s="10">
        <v>8</v>
      </c>
      <c r="D197" s="9" t="s">
        <v>294</v>
      </c>
      <c r="E197" s="8">
        <v>18.697323768210968</v>
      </c>
      <c r="F197" s="5">
        <v>5205.7700000000004</v>
      </c>
      <c r="G197" s="5">
        <v>0</v>
      </c>
      <c r="H197" s="5">
        <f t="shared" si="45"/>
        <v>5205.7700000000004</v>
      </c>
      <c r="I197" s="152">
        <f t="shared" si="46"/>
        <v>278.4232687274104</v>
      </c>
      <c r="J197" s="6">
        <f t="shared" si="39"/>
        <v>278.4232687274104</v>
      </c>
      <c r="K197" s="5">
        <f t="shared" si="47"/>
        <v>5205.7699999999995</v>
      </c>
      <c r="L197" s="259">
        <v>0.40878571428571425</v>
      </c>
      <c r="M197" s="154">
        <f t="shared" si="48"/>
        <v>1192.7749776562823</v>
      </c>
      <c r="N197" s="154">
        <f t="shared" si="49"/>
        <v>896.13978207270998</v>
      </c>
      <c r="O197" s="154">
        <f t="shared" si="50"/>
        <v>146.27681136700508</v>
      </c>
      <c r="P197" s="154">
        <f t="shared" si="51"/>
        <v>87.85592855894437</v>
      </c>
      <c r="Q197" s="154">
        <f t="shared" si="40"/>
        <v>2323.0474996549415</v>
      </c>
      <c r="R197" s="173">
        <f t="shared" si="41"/>
        <v>0.44624474374683126</v>
      </c>
      <c r="S197" s="153">
        <f t="shared" si="42"/>
        <v>2323.1065120858802</v>
      </c>
      <c r="T197" s="154"/>
      <c r="U197" s="154">
        <f>IFERROR(INDEX('2016 Clerical PYA'!$O$5:$O$241,MATCH('2017 Funding'!B197,'2016 Clerical PYA'!$A$5:$A$241,0)),0)</f>
        <v>-61.40097861615277</v>
      </c>
      <c r="V197" s="154">
        <f>IFERROR(INDEX('Revised 2016 MFAM (2014 PYAs)'!$AD$26:$AD$262,MATCH('2017 Funding'!B197,'Revised 2016 MFAM (2014 PYAs)'!$B$26:$B$262,0)),0)</f>
        <v>12.488514629213114</v>
      </c>
      <c r="W197" s="154">
        <f t="shared" si="43"/>
        <v>-0.13194428315985615</v>
      </c>
      <c r="X197" s="154">
        <f t="shared" si="52"/>
        <v>-49.04440827009951</v>
      </c>
      <c r="Y197" s="154"/>
      <c r="Z197" s="155">
        <f t="shared" si="44"/>
        <v>2274.0621038157806</v>
      </c>
      <c r="AA197" s="156">
        <v>0</v>
      </c>
      <c r="AB197" s="157">
        <f t="shared" si="53"/>
        <v>0</v>
      </c>
      <c r="AC197" s="154">
        <f t="shared" si="54"/>
        <v>2274.0621038157806</v>
      </c>
      <c r="AD197" s="160"/>
      <c r="AE197" s="154">
        <f t="shared" si="55"/>
        <v>568.51552595394514</v>
      </c>
      <c r="AF197" s="154">
        <f t="shared" si="55"/>
        <v>568.51552595394514</v>
      </c>
      <c r="AG197" s="154">
        <f t="shared" si="55"/>
        <v>568.51552595394514</v>
      </c>
      <c r="AH197" s="154">
        <f t="shared" si="55"/>
        <v>568.51552595394514</v>
      </c>
    </row>
    <row r="198" spans="2:34" x14ac:dyDescent="0.25">
      <c r="B198" s="10">
        <v>605</v>
      </c>
      <c r="C198" s="10">
        <v>8</v>
      </c>
      <c r="D198" s="9" t="s">
        <v>295</v>
      </c>
      <c r="E198" s="8">
        <v>10.972560377031961</v>
      </c>
      <c r="F198" s="5">
        <v>5666.13</v>
      </c>
      <c r="G198" s="5">
        <v>0</v>
      </c>
      <c r="H198" s="5">
        <f t="shared" si="45"/>
        <v>5666.13</v>
      </c>
      <c r="I198" s="152">
        <f t="shared" si="46"/>
        <v>516.3908700708073</v>
      </c>
      <c r="J198" s="6">
        <f t="shared" si="39"/>
        <v>516.3908700708073</v>
      </c>
      <c r="K198" s="5">
        <f t="shared" si="47"/>
        <v>5666.1299999999992</v>
      </c>
      <c r="L198" s="259">
        <v>0.15226785714285715</v>
      </c>
      <c r="M198" s="154">
        <f t="shared" si="48"/>
        <v>1298.2552214461246</v>
      </c>
      <c r="N198" s="154">
        <f t="shared" si="49"/>
        <v>525.90135288617978</v>
      </c>
      <c r="O198" s="154">
        <f t="shared" si="50"/>
        <v>59.304762178238057</v>
      </c>
      <c r="P198" s="154">
        <f t="shared" si="51"/>
        <v>95.625260525472967</v>
      </c>
      <c r="Q198" s="154">
        <f t="shared" si="40"/>
        <v>1979.0865970360153</v>
      </c>
      <c r="R198" s="173">
        <f t="shared" si="41"/>
        <v>0.34928365516428594</v>
      </c>
      <c r="S198" s="153">
        <f t="shared" si="42"/>
        <v>1979.1368718199562</v>
      </c>
      <c r="T198" s="154"/>
      <c r="U198" s="154">
        <f>IFERROR(INDEX('2016 Clerical PYA'!$O$5:$O$241,MATCH('2017 Funding'!B198,'2016 Clerical PYA'!$A$5:$A$241,0)),0)</f>
        <v>-20.235367987740688</v>
      </c>
      <c r="V198" s="154">
        <f>IFERROR(INDEX('Revised 2016 MFAM (2014 PYAs)'!$AD$26:$AD$262,MATCH('2017 Funding'!B198,'Revised 2016 MFAM (2014 PYAs)'!$B$26:$B$262,0)),0)</f>
        <v>3.3910635950442156</v>
      </c>
      <c r="W198" s="154">
        <f t="shared" si="43"/>
        <v>-0.1124080167951725</v>
      </c>
      <c r="X198" s="154">
        <f t="shared" si="52"/>
        <v>-16.956712409491644</v>
      </c>
      <c r="Y198" s="154"/>
      <c r="Z198" s="155">
        <f t="shared" si="44"/>
        <v>1962.1801594104645</v>
      </c>
      <c r="AA198" s="156">
        <v>0</v>
      </c>
      <c r="AB198" s="157">
        <f t="shared" si="53"/>
        <v>0</v>
      </c>
      <c r="AC198" s="154">
        <f t="shared" si="54"/>
        <v>1962.1801594104645</v>
      </c>
      <c r="AD198" s="160"/>
      <c r="AE198" s="154">
        <f t="shared" si="55"/>
        <v>490.54503985261613</v>
      </c>
      <c r="AF198" s="154">
        <f t="shared" si="55"/>
        <v>490.54503985261613</v>
      </c>
      <c r="AG198" s="154">
        <f t="shared" si="55"/>
        <v>490.54503985261613</v>
      </c>
      <c r="AH198" s="154">
        <f t="shared" si="55"/>
        <v>490.54503985261613</v>
      </c>
    </row>
    <row r="199" spans="2:34" x14ac:dyDescent="0.25">
      <c r="B199" s="10">
        <v>607</v>
      </c>
      <c r="C199" s="10">
        <v>8</v>
      </c>
      <c r="D199" s="9" t="s">
        <v>296</v>
      </c>
      <c r="E199" s="8">
        <v>16.001267719236729</v>
      </c>
      <c r="F199" s="5">
        <v>8602.83</v>
      </c>
      <c r="G199" s="5">
        <v>0</v>
      </c>
      <c r="H199" s="5">
        <f t="shared" si="45"/>
        <v>8602.83</v>
      </c>
      <c r="I199" s="152">
        <f t="shared" si="46"/>
        <v>537.63427691780169</v>
      </c>
      <c r="J199" s="6">
        <f t="shared" si="39"/>
        <v>537.63427691780169</v>
      </c>
      <c r="K199" s="5">
        <f t="shared" si="47"/>
        <v>8602.83</v>
      </c>
      <c r="L199" s="259">
        <v>0.18068452380952382</v>
      </c>
      <c r="M199" s="154">
        <f t="shared" si="48"/>
        <v>1971.1282598022572</v>
      </c>
      <c r="N199" s="154">
        <f t="shared" si="49"/>
        <v>766.92112435810577</v>
      </c>
      <c r="O199" s="154">
        <f t="shared" si="50"/>
        <v>106.84571129695986</v>
      </c>
      <c r="P199" s="154">
        <f t="shared" si="51"/>
        <v>145.18690181947019</v>
      </c>
      <c r="Q199" s="154">
        <f t="shared" si="40"/>
        <v>2990.0819972767931</v>
      </c>
      <c r="R199" s="173">
        <f t="shared" si="41"/>
        <v>0.34756957853134296</v>
      </c>
      <c r="S199" s="153">
        <f t="shared" si="42"/>
        <v>2990.1579544009551</v>
      </c>
      <c r="T199" s="154"/>
      <c r="U199" s="154">
        <f>IFERROR(INDEX('2016 Clerical PYA'!$O$5:$O$241,MATCH('2017 Funding'!B199,'2016 Clerical PYA'!$A$5:$A$241,0)),0)</f>
        <v>-31.592148581420361</v>
      </c>
      <c r="V199" s="154">
        <f>IFERROR(INDEX('Revised 2016 MFAM (2014 PYAs)'!$AD$26:$AD$262,MATCH('2017 Funding'!B199,'Revised 2016 MFAM (2014 PYAs)'!$B$26:$B$262,0)),0)</f>
        <v>5.2861348447316914</v>
      </c>
      <c r="W199" s="154">
        <f t="shared" si="43"/>
        <v>-0.16983046010831843</v>
      </c>
      <c r="X199" s="154">
        <f t="shared" si="52"/>
        <v>-26.475844196796988</v>
      </c>
      <c r="Y199" s="154"/>
      <c r="Z199" s="155">
        <f t="shared" si="44"/>
        <v>2963.6821102041581</v>
      </c>
      <c r="AA199" s="156">
        <v>0</v>
      </c>
      <c r="AB199" s="157">
        <f t="shared" si="53"/>
        <v>0</v>
      </c>
      <c r="AC199" s="154">
        <f t="shared" si="54"/>
        <v>2963.6821102041581</v>
      </c>
      <c r="AD199" s="160"/>
      <c r="AE199" s="154">
        <f t="shared" si="55"/>
        <v>740.92052755103953</v>
      </c>
      <c r="AF199" s="154">
        <f t="shared" si="55"/>
        <v>740.92052755103953</v>
      </c>
      <c r="AG199" s="154">
        <f t="shared" si="55"/>
        <v>740.92052755103953</v>
      </c>
      <c r="AH199" s="154">
        <f t="shared" si="55"/>
        <v>740.92052755103953</v>
      </c>
    </row>
    <row r="200" spans="2:34" x14ac:dyDescent="0.25">
      <c r="B200" s="10">
        <v>610</v>
      </c>
      <c r="C200" s="10">
        <v>8</v>
      </c>
      <c r="D200" s="9" t="s">
        <v>297</v>
      </c>
      <c r="E200" s="8">
        <v>81.056750043835933</v>
      </c>
      <c r="F200" s="5">
        <v>32883.199999999997</v>
      </c>
      <c r="G200" s="5">
        <v>0</v>
      </c>
      <c r="H200" s="5">
        <f t="shared" si="45"/>
        <v>32883.199999999997</v>
      </c>
      <c r="I200" s="152">
        <f t="shared" si="46"/>
        <v>405.68120461548955</v>
      </c>
      <c r="J200" s="6">
        <f t="shared" si="39"/>
        <v>405.68120461548955</v>
      </c>
      <c r="K200" s="5">
        <f t="shared" si="47"/>
        <v>32883.199999999997</v>
      </c>
      <c r="L200" s="259">
        <v>0.18083928571428573</v>
      </c>
      <c r="M200" s="154">
        <f t="shared" si="48"/>
        <v>7534.3816851814554</v>
      </c>
      <c r="N200" s="154">
        <f t="shared" si="49"/>
        <v>3884.950553367647</v>
      </c>
      <c r="O200" s="154">
        <f t="shared" si="50"/>
        <v>408.75366067410323</v>
      </c>
      <c r="P200" s="154">
        <f t="shared" si="51"/>
        <v>554.95806960151515</v>
      </c>
      <c r="Q200" s="154">
        <f t="shared" si="40"/>
        <v>12383.043968824721</v>
      </c>
      <c r="R200" s="173">
        <f t="shared" si="41"/>
        <v>0.37657660960079076</v>
      </c>
      <c r="S200" s="153">
        <f t="shared" si="42"/>
        <v>12383.358535585467</v>
      </c>
      <c r="T200" s="154"/>
      <c r="U200" s="154">
        <f>IFERROR(INDEX('2016 Clerical PYA'!$O$5:$O$241,MATCH('2017 Funding'!B200,'2016 Clerical PYA'!$A$5:$A$241,0)),0)</f>
        <v>-415.75837361179038</v>
      </c>
      <c r="V200" s="154">
        <f>IFERROR(INDEX('Revised 2016 MFAM (2014 PYAs)'!$AD$26:$AD$262,MATCH('2017 Funding'!B200,'Revised 2016 MFAM (2014 PYAs)'!$B$26:$B$262,0)),0)</f>
        <v>73.914594927831786</v>
      </c>
      <c r="W200" s="154">
        <f t="shared" si="43"/>
        <v>-0.70333123194693536</v>
      </c>
      <c r="X200" s="154">
        <f t="shared" si="52"/>
        <v>-342.54710991590554</v>
      </c>
      <c r="Y200" s="154"/>
      <c r="Z200" s="155">
        <f t="shared" si="44"/>
        <v>12040.811425669561</v>
      </c>
      <c r="AA200" s="156">
        <v>0</v>
      </c>
      <c r="AB200" s="157">
        <f t="shared" si="53"/>
        <v>0</v>
      </c>
      <c r="AC200" s="154">
        <f t="shared" si="54"/>
        <v>12040.811425669561</v>
      </c>
      <c r="AD200" s="160"/>
      <c r="AE200" s="154">
        <f t="shared" si="55"/>
        <v>3010.2028564173902</v>
      </c>
      <c r="AF200" s="154">
        <f t="shared" si="55"/>
        <v>3010.2028564173902</v>
      </c>
      <c r="AG200" s="154">
        <f t="shared" si="55"/>
        <v>3010.2028564173902</v>
      </c>
      <c r="AH200" s="154">
        <f t="shared" si="55"/>
        <v>3010.2028564173902</v>
      </c>
    </row>
    <row r="201" spans="2:34" x14ac:dyDescent="0.25">
      <c r="B201" s="10">
        <v>611</v>
      </c>
      <c r="C201" s="10">
        <v>8</v>
      </c>
      <c r="D201" s="9" t="s">
        <v>298</v>
      </c>
      <c r="E201" s="8">
        <v>19.514775141431741</v>
      </c>
      <c r="F201" s="5">
        <v>22696.62</v>
      </c>
      <c r="G201" s="5">
        <v>0</v>
      </c>
      <c r="H201" s="5">
        <f t="shared" si="45"/>
        <v>22696.62</v>
      </c>
      <c r="I201" s="152">
        <f t="shared" si="46"/>
        <v>1163.0479898183862</v>
      </c>
      <c r="J201" s="6">
        <f t="shared" si="39"/>
        <v>1163.0479898183862</v>
      </c>
      <c r="K201" s="5">
        <f t="shared" si="47"/>
        <v>22696.62</v>
      </c>
      <c r="L201" s="259">
        <v>0.33945833333333336</v>
      </c>
      <c r="M201" s="154">
        <f t="shared" si="48"/>
        <v>5200.375816329406</v>
      </c>
      <c r="N201" s="154">
        <f t="shared" si="49"/>
        <v>935.31922318067097</v>
      </c>
      <c r="O201" s="154">
        <f t="shared" si="50"/>
        <v>529.59327219544593</v>
      </c>
      <c r="P201" s="154">
        <f t="shared" si="51"/>
        <v>383.04278238368346</v>
      </c>
      <c r="Q201" s="154">
        <f t="shared" si="40"/>
        <v>7048.3310940892061</v>
      </c>
      <c r="R201" s="173">
        <f t="shared" si="41"/>
        <v>0.31054540694117477</v>
      </c>
      <c r="S201" s="153">
        <f t="shared" si="42"/>
        <v>7048.5101430117902</v>
      </c>
      <c r="T201" s="154"/>
      <c r="U201" s="154">
        <f>IFERROR(INDEX('2016 Clerical PYA'!$O$5:$O$241,MATCH('2017 Funding'!B201,'2016 Clerical PYA'!$A$5:$A$241,0)),0)</f>
        <v>1703.2204419559948</v>
      </c>
      <c r="V201" s="154">
        <f>IFERROR(INDEX('Revised 2016 MFAM (2014 PYAs)'!$AD$26:$AD$262,MATCH('2017 Funding'!B201,'Revised 2016 MFAM (2014 PYAs)'!$B$26:$B$262,0)),0)</f>
        <v>48.427123455615401</v>
      </c>
      <c r="W201" s="154">
        <f t="shared" si="43"/>
        <v>-0.40033059755388661</v>
      </c>
      <c r="X201" s="154">
        <f t="shared" si="52"/>
        <v>1751.2472348140564</v>
      </c>
      <c r="Y201" s="154"/>
      <c r="Z201" s="155">
        <f t="shared" si="44"/>
        <v>8799.7573778258466</v>
      </c>
      <c r="AA201" s="156">
        <v>0</v>
      </c>
      <c r="AB201" s="157">
        <f t="shared" si="53"/>
        <v>0</v>
      </c>
      <c r="AC201" s="154">
        <f t="shared" si="54"/>
        <v>8799.7573778258466</v>
      </c>
      <c r="AD201" s="160"/>
      <c r="AE201" s="154">
        <f t="shared" si="55"/>
        <v>2199.9393444564616</v>
      </c>
      <c r="AF201" s="154">
        <f t="shared" si="55"/>
        <v>2199.9393444564616</v>
      </c>
      <c r="AG201" s="154">
        <f t="shared" si="55"/>
        <v>2199.9393444564616</v>
      </c>
      <c r="AH201" s="154">
        <f t="shared" si="55"/>
        <v>2199.9393444564616</v>
      </c>
    </row>
    <row r="202" spans="2:34" x14ac:dyDescent="0.25">
      <c r="B202" s="10">
        <v>616</v>
      </c>
      <c r="C202" s="10">
        <v>8</v>
      </c>
      <c r="D202" s="9" t="s">
        <v>299</v>
      </c>
      <c r="E202" s="8">
        <v>169.75999999999996</v>
      </c>
      <c r="F202" s="5">
        <v>182776.04</v>
      </c>
      <c r="G202" s="5">
        <v>0</v>
      </c>
      <c r="H202" s="5">
        <f t="shared" si="45"/>
        <v>182776.04</v>
      </c>
      <c r="I202" s="152">
        <f t="shared" si="46"/>
        <v>1076.6731856738929</v>
      </c>
      <c r="J202" s="6">
        <f t="shared" si="39"/>
        <v>1076.6731856738929</v>
      </c>
      <c r="K202" s="5">
        <f t="shared" si="47"/>
        <v>182776.04000000004</v>
      </c>
      <c r="L202" s="259">
        <v>0.41729285714285719</v>
      </c>
      <c r="M202" s="154">
        <f t="shared" si="48"/>
        <v>41878.66291194268</v>
      </c>
      <c r="N202" s="154">
        <f t="shared" si="49"/>
        <v>8136.3884634287133</v>
      </c>
      <c r="O202" s="154">
        <f t="shared" si="50"/>
        <v>5242.7000699541495</v>
      </c>
      <c r="P202" s="154">
        <f t="shared" si="51"/>
        <v>3084.6462122849762</v>
      </c>
      <c r="Q202" s="154">
        <f t="shared" si="40"/>
        <v>58342.39765761052</v>
      </c>
      <c r="R202" s="173">
        <f t="shared" si="41"/>
        <v>0.3192015630583227</v>
      </c>
      <c r="S202" s="153">
        <f t="shared" si="42"/>
        <v>58343.879730927183</v>
      </c>
      <c r="T202" s="154"/>
      <c r="U202" s="154">
        <f>IFERROR(INDEX('2016 Clerical PYA'!$O$5:$O$241,MATCH('2017 Funding'!B202,'2016 Clerical PYA'!$A$5:$A$241,0)),0)</f>
        <v>10569.994779119414</v>
      </c>
      <c r="V202" s="154">
        <f>IFERROR(INDEX('Revised 2016 MFAM (2014 PYAs)'!$AD$26:$AD$262,MATCH('2017 Funding'!B202,'Revised 2016 MFAM (2014 PYAs)'!$B$26:$B$262,0)),0)</f>
        <v>440.31313005685661</v>
      </c>
      <c r="W202" s="154">
        <f t="shared" si="43"/>
        <v>-3.3137272646831892</v>
      </c>
      <c r="X202" s="154">
        <f t="shared" si="52"/>
        <v>11006.994181911587</v>
      </c>
      <c r="Y202" s="154"/>
      <c r="Z202" s="155">
        <f t="shared" si="44"/>
        <v>69350.873912838768</v>
      </c>
      <c r="AA202" s="156">
        <v>0</v>
      </c>
      <c r="AB202" s="157">
        <f t="shared" si="53"/>
        <v>0</v>
      </c>
      <c r="AC202" s="154">
        <f t="shared" si="54"/>
        <v>69350.873912838768</v>
      </c>
      <c r="AD202" s="160"/>
      <c r="AE202" s="154">
        <f t="shared" si="55"/>
        <v>17337.718478209692</v>
      </c>
      <c r="AF202" s="154">
        <f t="shared" si="55"/>
        <v>17337.718478209692</v>
      </c>
      <c r="AG202" s="154">
        <f t="shared" si="55"/>
        <v>17337.718478209692</v>
      </c>
      <c r="AH202" s="154">
        <f t="shared" si="55"/>
        <v>17337.718478209692</v>
      </c>
    </row>
    <row r="203" spans="2:34" x14ac:dyDescent="0.25">
      <c r="B203" s="10">
        <v>692</v>
      </c>
      <c r="C203" s="10">
        <v>8</v>
      </c>
      <c r="D203" s="9" t="s">
        <v>300</v>
      </c>
      <c r="E203" s="8">
        <v>710.21</v>
      </c>
      <c r="F203" s="5">
        <v>243277.51</v>
      </c>
      <c r="G203" s="5">
        <v>21174.12</v>
      </c>
      <c r="H203" s="5">
        <f t="shared" si="45"/>
        <v>222103.39</v>
      </c>
      <c r="I203" s="152">
        <f t="shared" si="46"/>
        <v>312.72917869362584</v>
      </c>
      <c r="J203" s="6">
        <f t="shared" si="39"/>
        <v>312.72917869362584</v>
      </c>
      <c r="K203" s="5">
        <f t="shared" si="47"/>
        <v>222103.39</v>
      </c>
      <c r="L203" s="259">
        <v>0.16628571428571429</v>
      </c>
      <c r="M203" s="154">
        <f t="shared" si="48"/>
        <v>50889.564088431609</v>
      </c>
      <c r="N203" s="154">
        <f t="shared" si="49"/>
        <v>34039.493700587351</v>
      </c>
      <c r="O203" s="154">
        <f t="shared" si="50"/>
        <v>2538.6622542400455</v>
      </c>
      <c r="P203" s="154">
        <f t="shared" si="51"/>
        <v>3748.3599092044715</v>
      </c>
      <c r="Q203" s="154">
        <f t="shared" si="40"/>
        <v>91216.079952463479</v>
      </c>
      <c r="R203" s="173">
        <f t="shared" si="41"/>
        <v>0.41069197526639944</v>
      </c>
      <c r="S203" s="153">
        <f t="shared" si="42"/>
        <v>91218.397116714114</v>
      </c>
      <c r="T203" s="154"/>
      <c r="U203" s="154">
        <f>IFERROR(INDEX('2016 Clerical PYA'!$O$5:$O$241,MATCH('2017 Funding'!B203,'2016 Clerical PYA'!$A$5:$A$241,0)),0)</f>
        <v>0</v>
      </c>
      <c r="V203" s="154">
        <f>IFERROR(INDEX('Revised 2016 MFAM (2014 PYAs)'!$AD$26:$AD$262,MATCH('2017 Funding'!B203,'Revised 2016 MFAM (2014 PYAs)'!$B$26:$B$262,0)),0)</f>
        <v>0</v>
      </c>
      <c r="W203" s="154">
        <f t="shared" si="43"/>
        <v>-5.1808842840138345</v>
      </c>
      <c r="X203" s="154">
        <f t="shared" si="52"/>
        <v>-5.1808842840138345</v>
      </c>
      <c r="Y203" s="154"/>
      <c r="Z203" s="155">
        <f t="shared" si="44"/>
        <v>91213.216232430103</v>
      </c>
      <c r="AA203" s="156">
        <v>0</v>
      </c>
      <c r="AB203" s="157">
        <f t="shared" si="53"/>
        <v>0</v>
      </c>
      <c r="AC203" s="154">
        <f t="shared" si="54"/>
        <v>91213.216232430103</v>
      </c>
      <c r="AD203" s="160"/>
      <c r="AE203" s="154">
        <f t="shared" si="55"/>
        <v>22803.304058107526</v>
      </c>
      <c r="AF203" s="154">
        <f t="shared" si="55"/>
        <v>22803.304058107526</v>
      </c>
      <c r="AG203" s="154">
        <f t="shared" si="55"/>
        <v>22803.304058107526</v>
      </c>
      <c r="AH203" s="154">
        <f t="shared" si="55"/>
        <v>22803.304058107526</v>
      </c>
    </row>
    <row r="204" spans="2:34" x14ac:dyDescent="0.25">
      <c r="B204" s="10">
        <v>706</v>
      </c>
      <c r="C204" s="10">
        <v>8</v>
      </c>
      <c r="D204" s="9" t="s">
        <v>301</v>
      </c>
      <c r="E204" s="8">
        <v>67.644619551595738</v>
      </c>
      <c r="F204" s="5">
        <v>65198.879999999997</v>
      </c>
      <c r="G204" s="5">
        <v>42142.5</v>
      </c>
      <c r="H204" s="5">
        <f t="shared" si="45"/>
        <v>23056.379999999997</v>
      </c>
      <c r="I204" s="152">
        <f t="shared" si="46"/>
        <v>340.84573396726415</v>
      </c>
      <c r="J204" s="6">
        <f t="shared" si="39"/>
        <v>340.84573396726415</v>
      </c>
      <c r="K204" s="5">
        <f t="shared" si="47"/>
        <v>23056.379999999997</v>
      </c>
      <c r="L204" s="259">
        <v>0.32010714285714287</v>
      </c>
      <c r="M204" s="154">
        <f t="shared" si="48"/>
        <v>5282.8060285672927</v>
      </c>
      <c r="N204" s="154">
        <f t="shared" si="49"/>
        <v>3242.1235988020035</v>
      </c>
      <c r="O204" s="154">
        <f t="shared" si="50"/>
        <v>507.31918322194974</v>
      </c>
      <c r="P204" s="154">
        <f t="shared" si="51"/>
        <v>389.11432393437929</v>
      </c>
      <c r="Q204" s="154">
        <f t="shared" si="40"/>
        <v>9421.3631345256254</v>
      </c>
      <c r="R204" s="173">
        <f t="shared" si="41"/>
        <v>0.40862282520177179</v>
      </c>
      <c r="S204" s="153">
        <f t="shared" si="42"/>
        <v>9421.6024656376285</v>
      </c>
      <c r="T204" s="154"/>
      <c r="U204" s="154">
        <f>IFERROR(INDEX('2016 Clerical PYA'!$O$5:$O$241,MATCH('2017 Funding'!B204,'2016 Clerical PYA'!$A$5:$A$241,0)),0)</f>
        <v>1802.4154187299928</v>
      </c>
      <c r="V204" s="154">
        <f>IFERROR(INDEX('Revised 2016 MFAM (2014 PYAs)'!$AD$26:$AD$262,MATCH('2017 Funding'!B204,'Revised 2016 MFAM (2014 PYAs)'!$B$26:$B$262,0)),0)</f>
        <v>54.436284648861147</v>
      </c>
      <c r="W204" s="154">
        <f t="shared" si="43"/>
        <v>-0.53511389903061601</v>
      </c>
      <c r="X204" s="154">
        <f t="shared" si="52"/>
        <v>1856.3165894798233</v>
      </c>
      <c r="Y204" s="154"/>
      <c r="Z204" s="155">
        <f t="shared" si="44"/>
        <v>11277.919055117452</v>
      </c>
      <c r="AA204" s="156">
        <v>0</v>
      </c>
      <c r="AB204" s="157">
        <f t="shared" si="53"/>
        <v>0</v>
      </c>
      <c r="AC204" s="154">
        <f t="shared" si="54"/>
        <v>11277.919055117452</v>
      </c>
      <c r="AD204" s="160"/>
      <c r="AE204" s="154">
        <f t="shared" si="55"/>
        <v>2819.4797637793631</v>
      </c>
      <c r="AF204" s="154">
        <f t="shared" si="55"/>
        <v>2819.4797637793631</v>
      </c>
      <c r="AG204" s="154">
        <f t="shared" si="55"/>
        <v>2819.4797637793631</v>
      </c>
      <c r="AH204" s="154">
        <f t="shared" si="55"/>
        <v>2819.4797637793631</v>
      </c>
    </row>
    <row r="205" spans="2:34" x14ac:dyDescent="0.25">
      <c r="B205" s="10">
        <v>709</v>
      </c>
      <c r="C205" s="10">
        <v>8</v>
      </c>
      <c r="D205" s="9" t="s">
        <v>302</v>
      </c>
      <c r="E205" s="8">
        <v>74.754281357922125</v>
      </c>
      <c r="F205" s="5">
        <v>43099.38</v>
      </c>
      <c r="G205" s="5">
        <v>0</v>
      </c>
      <c r="H205" s="5">
        <f t="shared" si="45"/>
        <v>43099.38</v>
      </c>
      <c r="I205" s="152">
        <f t="shared" si="46"/>
        <v>576.54731230230095</v>
      </c>
      <c r="J205" s="6">
        <f t="shared" si="39"/>
        <v>576.54731230230095</v>
      </c>
      <c r="K205" s="5">
        <f t="shared" si="47"/>
        <v>43099.380000000005</v>
      </c>
      <c r="L205" s="259">
        <v>0.27853571428571428</v>
      </c>
      <c r="M205" s="154">
        <f t="shared" si="48"/>
        <v>9875.1696706730472</v>
      </c>
      <c r="N205" s="154">
        <f t="shared" si="49"/>
        <v>3582.8809639049355</v>
      </c>
      <c r="O205" s="154">
        <f t="shared" si="50"/>
        <v>825.17623137406179</v>
      </c>
      <c r="P205" s="154">
        <f t="shared" si="51"/>
        <v>727.37290549040699</v>
      </c>
      <c r="Q205" s="154">
        <f t="shared" si="40"/>
        <v>15010.599771442452</v>
      </c>
      <c r="R205" s="173">
        <f t="shared" si="41"/>
        <v>0.34827878664246331</v>
      </c>
      <c r="S205" s="153">
        <f t="shared" si="42"/>
        <v>15010.981086065805</v>
      </c>
      <c r="T205" s="154"/>
      <c r="U205" s="154">
        <f>IFERROR(INDEX('2016 Clerical PYA'!$O$5:$O$241,MATCH('2017 Funding'!B205,'2016 Clerical PYA'!$A$5:$A$241,0)),0)</f>
        <v>-925.97023186428305</v>
      </c>
      <c r="V205" s="154">
        <f>IFERROR(INDEX('Revised 2016 MFAM (2014 PYAs)'!$AD$26:$AD$262,MATCH('2017 Funding'!B205,'Revised 2016 MFAM (2014 PYAs)'!$B$26:$B$262,0)),0)</f>
        <v>90.472731111249232</v>
      </c>
      <c r="W205" s="154">
        <f t="shared" si="43"/>
        <v>-0.85257095558169249</v>
      </c>
      <c r="X205" s="154">
        <f t="shared" si="52"/>
        <v>-836.35007170861547</v>
      </c>
      <c r="Y205" s="154"/>
      <c r="Z205" s="155">
        <f t="shared" si="44"/>
        <v>14174.63101435719</v>
      </c>
      <c r="AA205" s="156">
        <v>0</v>
      </c>
      <c r="AB205" s="157">
        <f t="shared" si="53"/>
        <v>0</v>
      </c>
      <c r="AC205" s="154">
        <f t="shared" si="54"/>
        <v>14174.63101435719</v>
      </c>
      <c r="AD205" s="160"/>
      <c r="AE205" s="154">
        <f t="shared" si="55"/>
        <v>3543.6577535892975</v>
      </c>
      <c r="AF205" s="154">
        <f t="shared" si="55"/>
        <v>3543.6577535892975</v>
      </c>
      <c r="AG205" s="154">
        <f t="shared" si="55"/>
        <v>3543.6577535892975</v>
      </c>
      <c r="AH205" s="154">
        <f t="shared" si="55"/>
        <v>3543.6577535892975</v>
      </c>
    </row>
    <row r="206" spans="2:34" x14ac:dyDescent="0.25">
      <c r="B206" s="10">
        <v>714</v>
      </c>
      <c r="C206" s="10">
        <v>8</v>
      </c>
      <c r="D206" s="9" t="s">
        <v>303</v>
      </c>
      <c r="E206" s="8">
        <v>47.128460284666595</v>
      </c>
      <c r="F206" s="5">
        <v>30830.07</v>
      </c>
      <c r="G206" s="5">
        <v>0</v>
      </c>
      <c r="H206" s="5">
        <f t="shared" si="45"/>
        <v>30830.07</v>
      </c>
      <c r="I206" s="152">
        <f t="shared" si="46"/>
        <v>654.17095771386084</v>
      </c>
      <c r="J206" s="6">
        <f t="shared" si="39"/>
        <v>654.17095771386084</v>
      </c>
      <c r="K206" s="5">
        <f t="shared" si="47"/>
        <v>30830.07</v>
      </c>
      <c r="L206" s="259">
        <v>0.32010714285714287</v>
      </c>
      <c r="M206" s="154">
        <f t="shared" si="48"/>
        <v>7063.9571197712585</v>
      </c>
      <c r="N206" s="154">
        <f t="shared" si="49"/>
        <v>2258.8092634267182</v>
      </c>
      <c r="O206" s="154">
        <f t="shared" si="50"/>
        <v>678.36693926260489</v>
      </c>
      <c r="P206" s="154">
        <f t="shared" si="51"/>
        <v>520.30812490510607</v>
      </c>
      <c r="Q206" s="154">
        <f t="shared" si="40"/>
        <v>10521.441447365689</v>
      </c>
      <c r="R206" s="173">
        <f t="shared" si="41"/>
        <v>0.34127205833024993</v>
      </c>
      <c r="S206" s="153">
        <f t="shared" si="42"/>
        <v>10521.708723793263</v>
      </c>
      <c r="T206" s="154"/>
      <c r="U206" s="154">
        <f>IFERROR(INDEX('2016 Clerical PYA'!$O$5:$O$241,MATCH('2017 Funding'!B206,'2016 Clerical PYA'!$A$5:$A$241,0)),0)</f>
        <v>-347.68937475813254</v>
      </c>
      <c r="V206" s="154">
        <f>IFERROR(INDEX('Revised 2016 MFAM (2014 PYAs)'!$AD$26:$AD$262,MATCH('2017 Funding'!B206,'Revised 2016 MFAM (2014 PYAs)'!$B$26:$B$262,0)),0)</f>
        <v>59.166881834515152</v>
      </c>
      <c r="W206" s="154">
        <f t="shared" si="43"/>
        <v>-0.5975960671433842</v>
      </c>
      <c r="X206" s="154">
        <f t="shared" si="52"/>
        <v>-289.12008899076079</v>
      </c>
      <c r="Y206" s="154"/>
      <c r="Z206" s="155">
        <f t="shared" si="44"/>
        <v>10232.588634802501</v>
      </c>
      <c r="AA206" s="156">
        <v>0</v>
      </c>
      <c r="AB206" s="157">
        <f t="shared" si="53"/>
        <v>0</v>
      </c>
      <c r="AC206" s="154">
        <f t="shared" si="54"/>
        <v>10232.588634802501</v>
      </c>
      <c r="AD206" s="160"/>
      <c r="AE206" s="154">
        <f t="shared" si="55"/>
        <v>2558.1471587006254</v>
      </c>
      <c r="AF206" s="154">
        <f t="shared" si="55"/>
        <v>2558.1471587006254</v>
      </c>
      <c r="AG206" s="154">
        <f t="shared" si="55"/>
        <v>2558.1471587006254</v>
      </c>
      <c r="AH206" s="154">
        <f t="shared" si="55"/>
        <v>2558.1471587006254</v>
      </c>
    </row>
    <row r="207" spans="2:34" x14ac:dyDescent="0.25">
      <c r="B207" s="10">
        <v>749</v>
      </c>
      <c r="C207" s="10">
        <v>8</v>
      </c>
      <c r="D207" s="9" t="s">
        <v>304</v>
      </c>
      <c r="E207" s="8">
        <v>9.1453005275344328</v>
      </c>
      <c r="F207" s="5">
        <v>5418.96</v>
      </c>
      <c r="G207" s="5">
        <v>0</v>
      </c>
      <c r="H207" s="5">
        <f t="shared" si="45"/>
        <v>5418.96</v>
      </c>
      <c r="I207" s="152">
        <f t="shared" si="46"/>
        <v>592.54039642379564</v>
      </c>
      <c r="J207" s="6">
        <f t="shared" si="39"/>
        <v>592.54039642379564</v>
      </c>
      <c r="K207" s="5">
        <f t="shared" si="47"/>
        <v>5418.96</v>
      </c>
      <c r="L207" s="259">
        <v>0.35834077380952378</v>
      </c>
      <c r="M207" s="154">
        <f t="shared" si="48"/>
        <v>1241.6222562503315</v>
      </c>
      <c r="N207" s="154">
        <f t="shared" si="49"/>
        <v>438.32303078946575</v>
      </c>
      <c r="O207" s="154">
        <f t="shared" si="50"/>
        <v>133.47716402516119</v>
      </c>
      <c r="P207" s="154">
        <f t="shared" si="51"/>
        <v>91.453860355677875</v>
      </c>
      <c r="Q207" s="154">
        <f t="shared" si="40"/>
        <v>1904.8763114206363</v>
      </c>
      <c r="R207" s="173">
        <f t="shared" si="41"/>
        <v>0.35152064444480791</v>
      </c>
      <c r="S207" s="153">
        <f t="shared" si="42"/>
        <v>1904.9247010389249</v>
      </c>
      <c r="T207" s="154"/>
      <c r="U207" s="154">
        <f>IFERROR(INDEX('2016 Clerical PYA'!$O$5:$O$241,MATCH('2017 Funding'!B207,'2016 Clerical PYA'!$A$5:$A$241,0)),0)</f>
        <v>-73.228649296958793</v>
      </c>
      <c r="V207" s="154">
        <f>IFERROR(INDEX('Revised 2016 MFAM (2014 PYAs)'!$AD$26:$AD$262,MATCH('2017 Funding'!B207,'Revised 2016 MFAM (2014 PYAs)'!$B$26:$B$262,0)),0)</f>
        <v>13.436703853742983</v>
      </c>
      <c r="W207" s="154">
        <f t="shared" si="43"/>
        <v>-0.10819302638276647</v>
      </c>
      <c r="X207" s="154">
        <f t="shared" si="52"/>
        <v>-59.900138469598573</v>
      </c>
      <c r="Y207" s="154"/>
      <c r="Z207" s="155">
        <f t="shared" si="44"/>
        <v>1845.0245625693265</v>
      </c>
      <c r="AA207" s="156">
        <v>1</v>
      </c>
      <c r="AB207" s="157">
        <f t="shared" si="53"/>
        <v>-184.50245625693265</v>
      </c>
      <c r="AC207" s="154">
        <f t="shared" si="54"/>
        <v>1660.5221063123938</v>
      </c>
      <c r="AD207" s="160"/>
      <c r="AE207" s="154">
        <f t="shared" si="55"/>
        <v>415.13052657809845</v>
      </c>
      <c r="AF207" s="154">
        <f t="shared" si="55"/>
        <v>415.13052657809845</v>
      </c>
      <c r="AG207" s="154">
        <f t="shared" si="55"/>
        <v>415.13052657809845</v>
      </c>
      <c r="AH207" s="154">
        <f t="shared" si="55"/>
        <v>415.13052657809845</v>
      </c>
    </row>
    <row r="208" spans="2:34" x14ac:dyDescent="0.25">
      <c r="B208" s="10">
        <v>764</v>
      </c>
      <c r="C208" s="10">
        <v>8</v>
      </c>
      <c r="D208" s="9" t="s">
        <v>305</v>
      </c>
      <c r="E208" s="8">
        <v>47.436745846561472</v>
      </c>
      <c r="F208" s="5">
        <v>16190.84</v>
      </c>
      <c r="G208" s="5">
        <v>0</v>
      </c>
      <c r="H208" s="5">
        <f t="shared" si="45"/>
        <v>16190.84</v>
      </c>
      <c r="I208" s="152">
        <f t="shared" si="46"/>
        <v>341.31430626313966</v>
      </c>
      <c r="J208" s="6">
        <f t="shared" si="39"/>
        <v>341.31430626313966</v>
      </c>
      <c r="K208" s="5">
        <f t="shared" si="47"/>
        <v>16190.84</v>
      </c>
      <c r="L208" s="259">
        <v>0.35266071428571427</v>
      </c>
      <c r="M208" s="154">
        <f t="shared" si="48"/>
        <v>3709.7353166268285</v>
      </c>
      <c r="N208" s="154">
        <f t="shared" si="49"/>
        <v>2273.5850120674058</v>
      </c>
      <c r="O208" s="154">
        <f t="shared" si="50"/>
        <v>392.48337197176733</v>
      </c>
      <c r="P208" s="154">
        <f t="shared" si="51"/>
        <v>273.24704747795215</v>
      </c>
      <c r="Q208" s="154">
        <f t="shared" si="40"/>
        <v>6649.0507481439536</v>
      </c>
      <c r="R208" s="173">
        <f t="shared" si="41"/>
        <v>0.41066743591709592</v>
      </c>
      <c r="S208" s="153">
        <f t="shared" si="42"/>
        <v>6649.2196541384037</v>
      </c>
      <c r="T208" s="154"/>
      <c r="U208" s="154">
        <f>IFERROR(INDEX('2016 Clerical PYA'!$O$5:$O$241,MATCH('2017 Funding'!B208,'2016 Clerical PYA'!$A$5:$A$241,0)),0)</f>
        <v>-157.69416695510608</v>
      </c>
      <c r="V208" s="154">
        <f>IFERROR(INDEX('Revised 2016 MFAM (2014 PYAs)'!$AD$26:$AD$262,MATCH('2017 Funding'!B208,'Revised 2016 MFAM (2014 PYAs)'!$B$26:$B$262,0)),0)</f>
        <v>31.580000208769889</v>
      </c>
      <c r="W208" s="154">
        <f t="shared" si="43"/>
        <v>-0.37765230146506751</v>
      </c>
      <c r="X208" s="154">
        <f t="shared" si="52"/>
        <v>-126.49181904780126</v>
      </c>
      <c r="Y208" s="154"/>
      <c r="Z208" s="155">
        <f t="shared" si="44"/>
        <v>6522.7278350906026</v>
      </c>
      <c r="AA208" s="156">
        <v>0</v>
      </c>
      <c r="AB208" s="157">
        <f t="shared" si="53"/>
        <v>0</v>
      </c>
      <c r="AC208" s="154">
        <f t="shared" si="54"/>
        <v>6522.7278350906026</v>
      </c>
      <c r="AD208" s="160"/>
      <c r="AE208" s="154">
        <f t="shared" si="55"/>
        <v>1630.6819587726507</v>
      </c>
      <c r="AF208" s="154">
        <f t="shared" si="55"/>
        <v>1630.6819587726507</v>
      </c>
      <c r="AG208" s="154">
        <f t="shared" si="55"/>
        <v>1630.6819587726507</v>
      </c>
      <c r="AH208" s="154">
        <f t="shared" si="55"/>
        <v>1630.6819587726507</v>
      </c>
    </row>
    <row r="209" spans="2:34" x14ac:dyDescent="0.25">
      <c r="B209" s="10">
        <v>775</v>
      </c>
      <c r="C209" s="10">
        <v>8</v>
      </c>
      <c r="D209" s="9" t="s">
        <v>306</v>
      </c>
      <c r="E209" s="8">
        <v>200.52354535682437</v>
      </c>
      <c r="F209" s="5">
        <v>105137.96</v>
      </c>
      <c r="G209" s="5">
        <v>0</v>
      </c>
      <c r="H209" s="5">
        <f t="shared" si="45"/>
        <v>105137.96</v>
      </c>
      <c r="I209" s="152">
        <f t="shared" si="46"/>
        <v>524.31728061116621</v>
      </c>
      <c r="J209" s="6">
        <f t="shared" si="39"/>
        <v>524.31728061116621</v>
      </c>
      <c r="K209" s="5">
        <f t="shared" si="47"/>
        <v>105137.96</v>
      </c>
      <c r="L209" s="259">
        <v>0.34865029761904764</v>
      </c>
      <c r="M209" s="154">
        <f t="shared" si="48"/>
        <v>24089.79418795435</v>
      </c>
      <c r="N209" s="154">
        <f t="shared" si="49"/>
        <v>9610.847438071929</v>
      </c>
      <c r="O209" s="154">
        <f t="shared" si="50"/>
        <v>2519.6741739635668</v>
      </c>
      <c r="P209" s="154">
        <f t="shared" si="51"/>
        <v>1774.3759525667003</v>
      </c>
      <c r="Q209" s="154">
        <f t="shared" si="40"/>
        <v>37994.691752556544</v>
      </c>
      <c r="R209" s="173">
        <f t="shared" si="41"/>
        <v>0.36137938906705575</v>
      </c>
      <c r="S209" s="153">
        <f t="shared" si="42"/>
        <v>37995.656932615682</v>
      </c>
      <c r="T209" s="154"/>
      <c r="U209" s="154">
        <f>IFERROR(INDEX('2016 Clerical PYA'!$O$5:$O$241,MATCH('2017 Funding'!B209,'2016 Clerical PYA'!$A$5:$A$241,0)),0)</f>
        <v>-954.44829195049897</v>
      </c>
      <c r="V209" s="154">
        <f>IFERROR(INDEX('Revised 2016 MFAM (2014 PYAs)'!$AD$26:$AD$262,MATCH('2017 Funding'!B209,'Revised 2016 MFAM (2014 PYAs)'!$B$26:$B$262,0)),0)</f>
        <v>176.12383390044852</v>
      </c>
      <c r="W209" s="154">
        <f t="shared" si="43"/>
        <v>-2.1580197425646337</v>
      </c>
      <c r="X209" s="154">
        <f t="shared" si="52"/>
        <v>-780.4824777926151</v>
      </c>
      <c r="Y209" s="154"/>
      <c r="Z209" s="155">
        <f t="shared" si="44"/>
        <v>37215.174454823064</v>
      </c>
      <c r="AA209" s="156">
        <v>1</v>
      </c>
      <c r="AB209" s="157">
        <f t="shared" si="53"/>
        <v>-3721.5174454823064</v>
      </c>
      <c r="AC209" s="154">
        <f t="shared" si="54"/>
        <v>33493.657009340757</v>
      </c>
      <c r="AD209" s="160"/>
      <c r="AE209" s="154">
        <f t="shared" si="55"/>
        <v>8373.4142523351893</v>
      </c>
      <c r="AF209" s="154">
        <f t="shared" si="55"/>
        <v>8373.4142523351893</v>
      </c>
      <c r="AG209" s="154">
        <f t="shared" si="55"/>
        <v>8373.4142523351893</v>
      </c>
      <c r="AH209" s="154">
        <f t="shared" si="55"/>
        <v>8373.4142523351893</v>
      </c>
    </row>
    <row r="210" spans="2:34" x14ac:dyDescent="0.25">
      <c r="B210" s="10">
        <v>790</v>
      </c>
      <c r="C210" s="10">
        <v>8</v>
      </c>
      <c r="D210" s="9" t="s">
        <v>307</v>
      </c>
      <c r="E210" s="8">
        <v>19.756488644593706</v>
      </c>
      <c r="F210" s="5">
        <v>10334.25</v>
      </c>
      <c r="G210" s="5">
        <v>0</v>
      </c>
      <c r="H210" s="5">
        <f t="shared" si="45"/>
        <v>10334.25</v>
      </c>
      <c r="I210" s="152">
        <f t="shared" si="46"/>
        <v>523.081311963193</v>
      </c>
      <c r="J210" s="6">
        <f t="shared" si="39"/>
        <v>523.081311963193</v>
      </c>
      <c r="K210" s="5">
        <f t="shared" si="47"/>
        <v>10334.25</v>
      </c>
      <c r="L210" s="259">
        <v>0.20839285714285716</v>
      </c>
      <c r="M210" s="154">
        <f t="shared" si="48"/>
        <v>2367.8408406142485</v>
      </c>
      <c r="N210" s="154">
        <f t="shared" si="49"/>
        <v>946.90425474630456</v>
      </c>
      <c r="O210" s="154">
        <f t="shared" si="50"/>
        <v>148.03233541054436</v>
      </c>
      <c r="P210" s="154">
        <f t="shared" si="51"/>
        <v>174.40746128051583</v>
      </c>
      <c r="Q210" s="154">
        <f t="shared" si="40"/>
        <v>3637.1848920516131</v>
      </c>
      <c r="R210" s="173">
        <f t="shared" si="41"/>
        <v>0.35195441295223295</v>
      </c>
      <c r="S210" s="153">
        <f t="shared" si="42"/>
        <v>3637.2772875460169</v>
      </c>
      <c r="T210" s="154"/>
      <c r="U210" s="154">
        <f>IFERROR(INDEX('2016 Clerical PYA'!$O$5:$O$241,MATCH('2017 Funding'!B210,'2016 Clerical PYA'!$A$5:$A$241,0)),0)</f>
        <v>-33.878408454532178</v>
      </c>
      <c r="V210" s="154">
        <f>IFERROR(INDEX('Revised 2016 MFAM (2014 PYAs)'!$AD$26:$AD$262,MATCH('2017 Funding'!B210,'Revised 2016 MFAM (2014 PYAs)'!$B$26:$B$262,0)),0)</f>
        <v>5.7107296838727279</v>
      </c>
      <c r="W210" s="154">
        <f t="shared" si="43"/>
        <v>-0.20658456332592964</v>
      </c>
      <c r="X210" s="154">
        <f t="shared" si="52"/>
        <v>-28.374263333985379</v>
      </c>
      <c r="Y210" s="154"/>
      <c r="Z210" s="155">
        <f t="shared" si="44"/>
        <v>3608.9030242120316</v>
      </c>
      <c r="AA210" s="156">
        <v>0</v>
      </c>
      <c r="AB210" s="157">
        <f t="shared" si="53"/>
        <v>0</v>
      </c>
      <c r="AC210" s="154">
        <f t="shared" si="54"/>
        <v>3608.9030242120316</v>
      </c>
      <c r="AD210" s="160"/>
      <c r="AE210" s="154">
        <f t="shared" si="55"/>
        <v>902.2257560530079</v>
      </c>
      <c r="AF210" s="154">
        <f t="shared" si="55"/>
        <v>902.2257560530079</v>
      </c>
      <c r="AG210" s="154">
        <f t="shared" si="55"/>
        <v>902.2257560530079</v>
      </c>
      <c r="AH210" s="154">
        <f t="shared" si="55"/>
        <v>902.2257560530079</v>
      </c>
    </row>
    <row r="211" spans="2:34" x14ac:dyDescent="0.25">
      <c r="B211" s="10">
        <v>796</v>
      </c>
      <c r="C211" s="10">
        <v>8</v>
      </c>
      <c r="D211" s="9" t="s">
        <v>308</v>
      </c>
      <c r="E211" s="8">
        <v>2.958658910887316</v>
      </c>
      <c r="F211" s="5">
        <v>16890.900000000001</v>
      </c>
      <c r="G211" s="5">
        <v>0</v>
      </c>
      <c r="H211" s="5">
        <f t="shared" si="45"/>
        <v>16890.900000000001</v>
      </c>
      <c r="I211" s="152">
        <f t="shared" si="46"/>
        <v>5708.9717026334538</v>
      </c>
      <c r="J211" s="6">
        <f t="shared" si="39"/>
        <v>1523.8797267844407</v>
      </c>
      <c r="K211" s="5">
        <f t="shared" si="47"/>
        <v>4508.6403327713142</v>
      </c>
      <c r="L211" s="259">
        <v>0.22179166666666669</v>
      </c>
      <c r="M211" s="154">
        <f t="shared" si="48"/>
        <v>1033.0447507633871</v>
      </c>
      <c r="N211" s="154">
        <f t="shared" si="49"/>
        <v>141.80489060888388</v>
      </c>
      <c r="O211" s="154">
        <f t="shared" si="50"/>
        <v>68.73621510391888</v>
      </c>
      <c r="P211" s="154">
        <f t="shared" si="51"/>
        <v>76.090719139326509</v>
      </c>
      <c r="Q211" s="154">
        <f t="shared" si="40"/>
        <v>1319.6765756155162</v>
      </c>
      <c r="R211" s="173">
        <f t="shared" si="41"/>
        <v>0.29269945664624664</v>
      </c>
      <c r="S211" s="153">
        <f t="shared" si="42"/>
        <v>1319.7100993909844</v>
      </c>
      <c r="T211" s="154"/>
      <c r="U211" s="154">
        <f>IFERROR(INDEX('2016 Clerical PYA'!$O$5:$O$241,MATCH('2017 Funding'!B211,'2016 Clerical PYA'!$A$5:$A$241,0)),0)</f>
        <v>585.01491820298111</v>
      </c>
      <c r="V211" s="154">
        <f>IFERROR(INDEX('Revised 2016 MFAM (2014 PYAs)'!$AD$26:$AD$262,MATCH('2017 Funding'!B211,'Revised 2016 MFAM (2014 PYAs)'!$B$26:$B$262,0)),0)</f>
        <v>131.24470755001221</v>
      </c>
      <c r="W211" s="154">
        <f t="shared" si="43"/>
        <v>-7.4954894292220381E-2</v>
      </c>
      <c r="X211" s="154">
        <f t="shared" si="52"/>
        <v>716.18467085870111</v>
      </c>
      <c r="Y211" s="154"/>
      <c r="Z211" s="155">
        <f t="shared" si="44"/>
        <v>2035.8947702496855</v>
      </c>
      <c r="AA211" s="156">
        <v>0</v>
      </c>
      <c r="AB211" s="157">
        <f t="shared" si="53"/>
        <v>0</v>
      </c>
      <c r="AC211" s="154">
        <f t="shared" si="54"/>
        <v>2035.8947702496855</v>
      </c>
      <c r="AD211" s="160"/>
      <c r="AE211" s="154">
        <f t="shared" si="55"/>
        <v>508.97369256242138</v>
      </c>
      <c r="AF211" s="154">
        <f t="shared" si="55"/>
        <v>508.97369256242138</v>
      </c>
      <c r="AG211" s="154">
        <f t="shared" si="55"/>
        <v>508.97369256242138</v>
      </c>
      <c r="AH211" s="154">
        <f t="shared" si="55"/>
        <v>508.97369256242138</v>
      </c>
    </row>
    <row r="212" spans="2:34" x14ac:dyDescent="0.25">
      <c r="B212" s="10">
        <v>797</v>
      </c>
      <c r="C212" s="10">
        <v>8</v>
      </c>
      <c r="D212" s="9" t="s">
        <v>309</v>
      </c>
      <c r="E212" s="8">
        <v>21.882111793736421</v>
      </c>
      <c r="F212" s="5">
        <v>29772.11</v>
      </c>
      <c r="G212" s="5">
        <v>2009.9</v>
      </c>
      <c r="H212" s="5">
        <f t="shared" si="45"/>
        <v>27762.21</v>
      </c>
      <c r="I212" s="152">
        <f t="shared" si="46"/>
        <v>1268.717126650761</v>
      </c>
      <c r="J212" s="6">
        <f t="shared" si="39"/>
        <v>1268.717126650761</v>
      </c>
      <c r="K212" s="5">
        <f t="shared" si="47"/>
        <v>27762.21</v>
      </c>
      <c r="L212" s="259">
        <v>0.20567410714285717</v>
      </c>
      <c r="M212" s="154">
        <f t="shared" si="48"/>
        <v>6361.031972683968</v>
      </c>
      <c r="N212" s="154">
        <f t="shared" si="49"/>
        <v>1048.7827636310935</v>
      </c>
      <c r="O212" s="154">
        <f t="shared" si="50"/>
        <v>392.48987144668274</v>
      </c>
      <c r="P212" s="154">
        <f t="shared" si="51"/>
        <v>468.53294294569503</v>
      </c>
      <c r="Q212" s="154">
        <f t="shared" si="40"/>
        <v>8270.8375507074397</v>
      </c>
      <c r="R212" s="173">
        <f t="shared" si="41"/>
        <v>0.29791711649423586</v>
      </c>
      <c r="S212" s="153">
        <f t="shared" si="42"/>
        <v>8271.0476549906452</v>
      </c>
      <c r="T212" s="154"/>
      <c r="U212" s="154">
        <f>IFERROR(INDEX('2016 Clerical PYA'!$O$5:$O$241,MATCH('2017 Funding'!B212,'2016 Clerical PYA'!$A$5:$A$241,0)),0)</f>
        <v>2010.3706984751652</v>
      </c>
      <c r="V212" s="154">
        <f>IFERROR(INDEX('Revised 2016 MFAM (2014 PYAs)'!$AD$26:$AD$262,MATCH('2017 Funding'!B212,'Revised 2016 MFAM (2014 PYAs)'!$B$26:$B$262,0)),0)</f>
        <v>-307.52575433477432</v>
      </c>
      <c r="W212" s="154">
        <f t="shared" si="43"/>
        <v>-0.46976643048487404</v>
      </c>
      <c r="X212" s="154">
        <f t="shared" si="52"/>
        <v>1702.375177709906</v>
      </c>
      <c r="Y212" s="154"/>
      <c r="Z212" s="155">
        <f t="shared" si="44"/>
        <v>9973.4228327005512</v>
      </c>
      <c r="AA212" s="156">
        <v>0</v>
      </c>
      <c r="AB212" s="157">
        <f t="shared" si="53"/>
        <v>0</v>
      </c>
      <c r="AC212" s="154">
        <f t="shared" si="54"/>
        <v>9973.4228327005512</v>
      </c>
      <c r="AD212" s="160"/>
      <c r="AE212" s="154">
        <f t="shared" si="55"/>
        <v>2493.3557081751378</v>
      </c>
      <c r="AF212" s="154">
        <f t="shared" si="55"/>
        <v>2493.3557081751378</v>
      </c>
      <c r="AG212" s="154">
        <f t="shared" si="55"/>
        <v>2493.3557081751378</v>
      </c>
      <c r="AH212" s="154">
        <f t="shared" si="55"/>
        <v>2493.3557081751378</v>
      </c>
    </row>
    <row r="213" spans="2:34" x14ac:dyDescent="0.25">
      <c r="B213" s="10">
        <v>801</v>
      </c>
      <c r="C213" s="10">
        <v>8</v>
      </c>
      <c r="D213" s="9" t="s">
        <v>310</v>
      </c>
      <c r="E213" s="8">
        <v>107.73632087997994</v>
      </c>
      <c r="F213" s="5">
        <v>47679.07</v>
      </c>
      <c r="G213" s="5">
        <v>0</v>
      </c>
      <c r="H213" s="5">
        <f t="shared" si="45"/>
        <v>47679.07</v>
      </c>
      <c r="I213" s="152">
        <f t="shared" si="46"/>
        <v>442.55335257935229</v>
      </c>
      <c r="J213" s="6">
        <f t="shared" si="39"/>
        <v>442.55335257935229</v>
      </c>
      <c r="K213" s="5">
        <f t="shared" si="47"/>
        <v>47679.07</v>
      </c>
      <c r="L213" s="259">
        <v>0.37578571428571428</v>
      </c>
      <c r="M213" s="154">
        <f t="shared" si="48"/>
        <v>10924.493716380541</v>
      </c>
      <c r="N213" s="154">
        <f t="shared" si="49"/>
        <v>5163.6696412589718</v>
      </c>
      <c r="O213" s="154">
        <f t="shared" si="50"/>
        <v>1231.5806023259577</v>
      </c>
      <c r="P213" s="154">
        <f t="shared" si="51"/>
        <v>804.66270459065765</v>
      </c>
      <c r="Q213" s="154">
        <f t="shared" si="40"/>
        <v>18124.406664556129</v>
      </c>
      <c r="R213" s="173">
        <f t="shared" si="41"/>
        <v>0.38013339321752981</v>
      </c>
      <c r="S213" s="153">
        <f t="shared" si="42"/>
        <v>18124.867079290118</v>
      </c>
      <c r="T213" s="154"/>
      <c r="U213" s="154">
        <f>IFERROR(INDEX('2016 Clerical PYA'!$O$5:$O$241,MATCH('2017 Funding'!B213,'2016 Clerical PYA'!$A$5:$A$241,0)),0)</f>
        <v>-604.94971336875824</v>
      </c>
      <c r="V213" s="154">
        <f>IFERROR(INDEX('Revised 2016 MFAM (2014 PYAs)'!$AD$26:$AD$262,MATCH('2017 Funding'!B213,'Revised 2016 MFAM (2014 PYAs)'!$B$26:$B$262,0)),0)</f>
        <v>106.94012823538287</v>
      </c>
      <c r="W213" s="154">
        <f t="shared" si="43"/>
        <v>-1.0294287333374761</v>
      </c>
      <c r="X213" s="154">
        <f t="shared" si="52"/>
        <v>-499.03901386671282</v>
      </c>
      <c r="Y213" s="154"/>
      <c r="Z213" s="155">
        <f t="shared" si="44"/>
        <v>17625.828065423404</v>
      </c>
      <c r="AA213" s="156">
        <v>0</v>
      </c>
      <c r="AB213" s="157">
        <f t="shared" si="53"/>
        <v>0</v>
      </c>
      <c r="AC213" s="154">
        <f t="shared" si="54"/>
        <v>17625.828065423404</v>
      </c>
      <c r="AD213" s="160"/>
      <c r="AE213" s="154">
        <f t="shared" si="55"/>
        <v>4406.457016355851</v>
      </c>
      <c r="AF213" s="154">
        <f t="shared" si="55"/>
        <v>4406.457016355851</v>
      </c>
      <c r="AG213" s="154">
        <f t="shared" si="55"/>
        <v>4406.457016355851</v>
      </c>
      <c r="AH213" s="154">
        <f t="shared" si="55"/>
        <v>4406.457016355851</v>
      </c>
    </row>
    <row r="214" spans="2:34" x14ac:dyDescent="0.25">
      <c r="B214" s="10">
        <v>810</v>
      </c>
      <c r="C214" s="10">
        <v>8</v>
      </c>
      <c r="D214" s="9" t="s">
        <v>311</v>
      </c>
      <c r="E214" s="8">
        <v>114.08999999999999</v>
      </c>
      <c r="F214" s="5">
        <v>106196.3</v>
      </c>
      <c r="G214" s="5">
        <v>0</v>
      </c>
      <c r="H214" s="5">
        <f t="shared" si="45"/>
        <v>106196.3</v>
      </c>
      <c r="I214" s="152">
        <f t="shared" si="46"/>
        <v>930.811639933386</v>
      </c>
      <c r="J214" s="6">
        <f t="shared" si="39"/>
        <v>930.811639933386</v>
      </c>
      <c r="K214" s="5">
        <f t="shared" si="47"/>
        <v>106196.3</v>
      </c>
      <c r="L214" s="259">
        <v>0.52546279761904757</v>
      </c>
      <c r="M214" s="154">
        <f t="shared" si="48"/>
        <v>24332.28693539666</v>
      </c>
      <c r="N214" s="154">
        <f t="shared" si="49"/>
        <v>5468.1936839808077</v>
      </c>
      <c r="O214" s="154">
        <f t="shared" si="50"/>
        <v>3835.7134696628791</v>
      </c>
      <c r="P214" s="154">
        <f t="shared" si="51"/>
        <v>1792.2371802873013</v>
      </c>
      <c r="Q214" s="154">
        <f t="shared" si="40"/>
        <v>35428.431269327652</v>
      </c>
      <c r="R214" s="173">
        <f t="shared" si="41"/>
        <v>0.33361267077410089</v>
      </c>
      <c r="S214" s="153">
        <f t="shared" si="42"/>
        <v>35429.331258610633</v>
      </c>
      <c r="T214" s="154"/>
      <c r="U214" s="154">
        <f>IFERROR(INDEX('2016 Clerical PYA'!$O$5:$O$241,MATCH('2017 Funding'!B214,'2016 Clerical PYA'!$A$5:$A$241,0)),0)</f>
        <v>-1446.6270880551965</v>
      </c>
      <c r="V214" s="154">
        <f>IFERROR(INDEX('Revised 2016 MFAM (2014 PYAs)'!$AD$26:$AD$262,MATCH('2017 Funding'!B214,'Revised 2016 MFAM (2014 PYAs)'!$B$26:$B$262,0)),0)</f>
        <v>236.8420154185369</v>
      </c>
      <c r="W214" s="154">
        <f t="shared" si="43"/>
        <v>-2.0122614660285754</v>
      </c>
      <c r="X214" s="154">
        <f t="shared" si="52"/>
        <v>-1211.7973341026882</v>
      </c>
      <c r="Y214" s="154"/>
      <c r="Z214" s="155">
        <f t="shared" si="44"/>
        <v>34217.533924507945</v>
      </c>
      <c r="AA214" s="156">
        <v>0</v>
      </c>
      <c r="AB214" s="157">
        <f t="shared" si="53"/>
        <v>0</v>
      </c>
      <c r="AC214" s="154">
        <f t="shared" si="54"/>
        <v>34217.533924507945</v>
      </c>
      <c r="AD214" s="160"/>
      <c r="AE214" s="154">
        <f t="shared" si="55"/>
        <v>8554.3834811269862</v>
      </c>
      <c r="AF214" s="154">
        <f t="shared" si="55"/>
        <v>8554.3834811269862</v>
      </c>
      <c r="AG214" s="154">
        <f t="shared" si="55"/>
        <v>8554.3834811269862</v>
      </c>
      <c r="AH214" s="154">
        <f t="shared" si="55"/>
        <v>8554.3834811269862</v>
      </c>
    </row>
    <row r="215" spans="2:34" x14ac:dyDescent="0.25">
      <c r="B215" s="10">
        <v>812</v>
      </c>
      <c r="C215" s="10">
        <v>8</v>
      </c>
      <c r="D215" s="9" t="s">
        <v>312</v>
      </c>
      <c r="E215" s="8">
        <v>56.55504253395555</v>
      </c>
      <c r="F215" s="5">
        <v>64854.26</v>
      </c>
      <c r="G215" s="5">
        <v>509.88</v>
      </c>
      <c r="H215" s="5">
        <f t="shared" si="45"/>
        <v>64344.380000000005</v>
      </c>
      <c r="I215" s="152">
        <f t="shared" si="46"/>
        <v>1137.730202596307</v>
      </c>
      <c r="J215" s="6">
        <f t="shared" si="39"/>
        <v>1137.730202596307</v>
      </c>
      <c r="K215" s="5">
        <f t="shared" si="47"/>
        <v>64344.380000000005</v>
      </c>
      <c r="L215" s="259">
        <v>0.41820238095238099</v>
      </c>
      <c r="M215" s="154">
        <f t="shared" si="48"/>
        <v>14742.942238479103</v>
      </c>
      <c r="N215" s="154">
        <f t="shared" si="49"/>
        <v>2710.6137819391861</v>
      </c>
      <c r="O215" s="154">
        <f t="shared" si="50"/>
        <v>1849.6600639126159</v>
      </c>
      <c r="P215" s="154">
        <f t="shared" si="51"/>
        <v>1085.9172134861067</v>
      </c>
      <c r="Q215" s="154">
        <f t="shared" si="40"/>
        <v>20389.133297817014</v>
      </c>
      <c r="R215" s="173">
        <f t="shared" si="41"/>
        <v>0.31687512254865169</v>
      </c>
      <c r="S215" s="153">
        <f t="shared" si="42"/>
        <v>20389.651243455584</v>
      </c>
      <c r="T215" s="154"/>
      <c r="U215" s="154">
        <f>IFERROR(INDEX('2016 Clerical PYA'!$O$5:$O$241,MATCH('2017 Funding'!B215,'2016 Clerical PYA'!$A$5:$A$241,0)),0)</f>
        <v>-586.95592324363315</v>
      </c>
      <c r="V215" s="154">
        <f>IFERROR(INDEX('Revised 2016 MFAM (2014 PYAs)'!$AD$26:$AD$262,MATCH('2017 Funding'!B215,'Revised 2016 MFAM (2014 PYAs)'!$B$26:$B$262,0)),0)</f>
        <v>136.29909512061204</v>
      </c>
      <c r="W215" s="154">
        <f t="shared" si="43"/>
        <v>-1.1580605121637926</v>
      </c>
      <c r="X215" s="154">
        <f t="shared" si="52"/>
        <v>-451.8148886351849</v>
      </c>
      <c r="Y215" s="154"/>
      <c r="Z215" s="155">
        <f t="shared" si="44"/>
        <v>19937.8363548204</v>
      </c>
      <c r="AA215" s="156">
        <v>0</v>
      </c>
      <c r="AB215" s="157">
        <f t="shared" si="53"/>
        <v>0</v>
      </c>
      <c r="AC215" s="154">
        <f t="shared" si="54"/>
        <v>19937.8363548204</v>
      </c>
      <c r="AD215" s="160"/>
      <c r="AE215" s="154">
        <f t="shared" si="55"/>
        <v>4984.4590887050999</v>
      </c>
      <c r="AF215" s="154">
        <f t="shared" si="55"/>
        <v>4984.4590887050999</v>
      </c>
      <c r="AG215" s="154">
        <f t="shared" si="55"/>
        <v>4984.4590887050999</v>
      </c>
      <c r="AH215" s="154">
        <f t="shared" si="55"/>
        <v>4984.4590887050999</v>
      </c>
    </row>
    <row r="216" spans="2:34" x14ac:dyDescent="0.25">
      <c r="B216" s="10">
        <v>818</v>
      </c>
      <c r="C216" s="10">
        <v>8</v>
      </c>
      <c r="D216" s="9" t="s">
        <v>313</v>
      </c>
      <c r="E216" s="8">
        <v>40.143224157778789</v>
      </c>
      <c r="F216" s="5">
        <v>18605.38</v>
      </c>
      <c r="G216" s="5">
        <v>0</v>
      </c>
      <c r="H216" s="5">
        <f t="shared" si="45"/>
        <v>18605.38</v>
      </c>
      <c r="I216" s="152">
        <f t="shared" si="46"/>
        <v>463.47497965966761</v>
      </c>
      <c r="J216" s="6">
        <f t="shared" si="39"/>
        <v>463.47497965966761</v>
      </c>
      <c r="K216" s="5">
        <f t="shared" si="47"/>
        <v>18605.38</v>
      </c>
      <c r="L216" s="259">
        <v>0.13926785714285714</v>
      </c>
      <c r="M216" s="154">
        <f t="shared" si="48"/>
        <v>4262.9681514524545</v>
      </c>
      <c r="N216" s="154">
        <f t="shared" si="49"/>
        <v>1924.0154684388801</v>
      </c>
      <c r="O216" s="154">
        <f t="shared" si="50"/>
        <v>178.10833185630906</v>
      </c>
      <c r="P216" s="154">
        <f t="shared" si="51"/>
        <v>313.99638018813977</v>
      </c>
      <c r="Q216" s="154">
        <f t="shared" si="40"/>
        <v>6679.0883319357827</v>
      </c>
      <c r="R216" s="173">
        <f t="shared" si="41"/>
        <v>0.35898693452838815</v>
      </c>
      <c r="S216" s="153">
        <f t="shared" si="42"/>
        <v>6679.2580009756894</v>
      </c>
      <c r="T216" s="154"/>
      <c r="U216" s="154">
        <f>IFERROR(INDEX('2016 Clerical PYA'!$O$5:$O$241,MATCH('2017 Funding'!B216,'2016 Clerical PYA'!$A$5:$A$241,0)),0)</f>
        <v>-205.11957852949763</v>
      </c>
      <c r="V216" s="154">
        <f>IFERROR(INDEX('Revised 2016 MFAM (2014 PYAs)'!$AD$26:$AD$262,MATCH('2017 Funding'!B216,'Revised 2016 MFAM (2014 PYAs)'!$B$26:$B$262,0)),0)</f>
        <v>37.591658507277316</v>
      </c>
      <c r="W216" s="154">
        <f t="shared" si="43"/>
        <v>-0.37935837396761241</v>
      </c>
      <c r="X216" s="154">
        <f t="shared" si="52"/>
        <v>-167.90727839618793</v>
      </c>
      <c r="Y216" s="154"/>
      <c r="Z216" s="155">
        <f t="shared" si="44"/>
        <v>6511.3507225795011</v>
      </c>
      <c r="AA216" s="156">
        <v>0</v>
      </c>
      <c r="AB216" s="157">
        <f t="shared" si="53"/>
        <v>0</v>
      </c>
      <c r="AC216" s="154">
        <f t="shared" si="54"/>
        <v>6511.3507225795011</v>
      </c>
      <c r="AD216" s="160"/>
      <c r="AE216" s="154">
        <f t="shared" si="55"/>
        <v>1627.8376806448753</v>
      </c>
      <c r="AF216" s="154">
        <f t="shared" si="55"/>
        <v>1627.8376806448753</v>
      </c>
      <c r="AG216" s="154">
        <f t="shared" si="55"/>
        <v>1627.8376806448753</v>
      </c>
      <c r="AH216" s="154">
        <f t="shared" si="55"/>
        <v>1627.8376806448753</v>
      </c>
    </row>
    <row r="217" spans="2:34" x14ac:dyDescent="0.25">
      <c r="B217" s="10">
        <v>833</v>
      </c>
      <c r="C217" s="10">
        <v>8</v>
      </c>
      <c r="D217" s="9" t="s">
        <v>314</v>
      </c>
      <c r="E217" s="8">
        <v>52.045401230515843</v>
      </c>
      <c r="F217" s="5">
        <v>29466.37</v>
      </c>
      <c r="G217" s="5">
        <v>0</v>
      </c>
      <c r="H217" s="5">
        <f t="shared" si="45"/>
        <v>29466.37</v>
      </c>
      <c r="I217" s="152">
        <f t="shared" si="46"/>
        <v>566.16664111185571</v>
      </c>
      <c r="J217" s="6">
        <f t="shared" si="39"/>
        <v>566.16664111185571</v>
      </c>
      <c r="K217" s="5">
        <f t="shared" si="47"/>
        <v>29466.369999999995</v>
      </c>
      <c r="L217" s="259">
        <v>0.23494494047619049</v>
      </c>
      <c r="M217" s="154">
        <f t="shared" si="48"/>
        <v>6751.4985906718402</v>
      </c>
      <c r="N217" s="154">
        <f t="shared" si="49"/>
        <v>2494.47220868572</v>
      </c>
      <c r="O217" s="154">
        <f t="shared" si="50"/>
        <v>475.86913035314387</v>
      </c>
      <c r="P217" s="154">
        <f t="shared" si="51"/>
        <v>497.29344508332508</v>
      </c>
      <c r="Q217" s="154">
        <f t="shared" si="40"/>
        <v>10219.13337479403</v>
      </c>
      <c r="R217" s="173">
        <f t="shared" si="41"/>
        <v>0.34680666043336966</v>
      </c>
      <c r="S217" s="153">
        <f t="shared" si="42"/>
        <v>10219.392971682439</v>
      </c>
      <c r="T217" s="154"/>
      <c r="U217" s="154">
        <f>IFERROR(INDEX('2016 Clerical PYA'!$O$5:$O$241,MATCH('2017 Funding'!B217,'2016 Clerical PYA'!$A$5:$A$241,0)),0)</f>
        <v>-364.86189803145862</v>
      </c>
      <c r="V217" s="154">
        <f>IFERROR(INDEX('Revised 2016 MFAM (2014 PYAs)'!$AD$26:$AD$262,MATCH('2017 Funding'!B217,'Revised 2016 MFAM (2014 PYAs)'!$B$26:$B$262,0)),0)</f>
        <v>63.744036995167335</v>
      </c>
      <c r="W217" s="154">
        <f t="shared" si="43"/>
        <v>-0.58042559519443349</v>
      </c>
      <c r="X217" s="154">
        <f t="shared" si="52"/>
        <v>-301.6982866314857</v>
      </c>
      <c r="Y217" s="154"/>
      <c r="Z217" s="155">
        <f t="shared" si="44"/>
        <v>9917.6946850509521</v>
      </c>
      <c r="AA217" s="156">
        <v>0</v>
      </c>
      <c r="AB217" s="157">
        <f t="shared" si="53"/>
        <v>0</v>
      </c>
      <c r="AC217" s="154">
        <f t="shared" si="54"/>
        <v>9917.6946850509521</v>
      </c>
      <c r="AD217" s="160"/>
      <c r="AE217" s="154">
        <f t="shared" si="55"/>
        <v>2479.423671262738</v>
      </c>
      <c r="AF217" s="154">
        <f t="shared" si="55"/>
        <v>2479.423671262738</v>
      </c>
      <c r="AG217" s="154">
        <f t="shared" si="55"/>
        <v>2479.423671262738</v>
      </c>
      <c r="AH217" s="154">
        <f t="shared" si="55"/>
        <v>2479.423671262738</v>
      </c>
    </row>
    <row r="218" spans="2:34" x14ac:dyDescent="0.25">
      <c r="B218" s="10">
        <v>834</v>
      </c>
      <c r="C218" s="10">
        <v>8</v>
      </c>
      <c r="D218" s="9" t="s">
        <v>315</v>
      </c>
      <c r="E218" s="8">
        <v>98.48</v>
      </c>
      <c r="F218" s="5">
        <v>58821.49</v>
      </c>
      <c r="G218" s="5">
        <v>6965.41</v>
      </c>
      <c r="H218" s="5">
        <f t="shared" si="45"/>
        <v>51856.08</v>
      </c>
      <c r="I218" s="152">
        <f t="shared" si="46"/>
        <v>526.56458164094227</v>
      </c>
      <c r="J218" s="6">
        <f t="shared" ref="J218:J269" si="56">MIN(I218,INDEX($N$3:$N$11,MATCH(C218,$K$3:$K$11,0)))</f>
        <v>526.56458164094227</v>
      </c>
      <c r="K218" s="5">
        <f t="shared" si="47"/>
        <v>51856.079999999994</v>
      </c>
      <c r="L218" s="259">
        <v>0.58405357142857139</v>
      </c>
      <c r="M218" s="154">
        <f t="shared" si="48"/>
        <v>11881.55348072281</v>
      </c>
      <c r="N218" s="154">
        <f t="shared" si="49"/>
        <v>4720.025541225612</v>
      </c>
      <c r="O218" s="154">
        <f t="shared" si="50"/>
        <v>2081.839123360719</v>
      </c>
      <c r="P218" s="154">
        <f t="shared" si="51"/>
        <v>875.15661656717509</v>
      </c>
      <c r="Q218" s="154">
        <f t="shared" ref="Q218:Q269" si="57">M218+N218+O218+P218</f>
        <v>19558.574761876316</v>
      </c>
      <c r="R218" s="173">
        <f t="shared" ref="R218:R269" si="58">IFERROR((Q218/K218),0)</f>
        <v>0.37717032914706083</v>
      </c>
      <c r="S218" s="153">
        <f t="shared" ref="S218:S269" si="59">IF(R218&gt;$R$19,$R$19*K218,Q218+($R$23*Q218/$R$22))</f>
        <v>19559.071608816626</v>
      </c>
      <c r="T218" s="154"/>
      <c r="U218" s="154">
        <f>IFERROR(INDEX('2016 Clerical PYA'!$O$5:$O$241,MATCH('2017 Funding'!B218,'2016 Clerical PYA'!$A$5:$A$241,0)),0)</f>
        <v>-540.21832557178277</v>
      </c>
      <c r="V218" s="154">
        <f>IFERROR(INDEX('Revised 2016 MFAM (2014 PYAs)'!$AD$26:$AD$262,MATCH('2017 Funding'!B218,'Revised 2016 MFAM (2014 PYAs)'!$B$26:$B$262,0)),0)</f>
        <v>-424.6886273702421</v>
      </c>
      <c r="W218" s="154">
        <f t="shared" ref="W218:W269" si="60">-$V$22*(S218/$E$17)</f>
        <v>-1.1108865087638309</v>
      </c>
      <c r="X218" s="154">
        <f t="shared" si="52"/>
        <v>-966.01783945078876</v>
      </c>
      <c r="Y218" s="154"/>
      <c r="Z218" s="155">
        <f t="shared" ref="Z218:Z269" si="61">S218+X218</f>
        <v>18593.053769365837</v>
      </c>
      <c r="AA218" s="156">
        <v>0</v>
      </c>
      <c r="AB218" s="157">
        <f t="shared" si="53"/>
        <v>0</v>
      </c>
      <c r="AC218" s="154">
        <f t="shared" si="54"/>
        <v>18593.053769365837</v>
      </c>
      <c r="AD218" s="160"/>
      <c r="AE218" s="154">
        <f t="shared" si="55"/>
        <v>4648.2634423414593</v>
      </c>
      <c r="AF218" s="154">
        <f t="shared" si="55"/>
        <v>4648.2634423414593</v>
      </c>
      <c r="AG218" s="154">
        <f t="shared" si="55"/>
        <v>4648.2634423414593</v>
      </c>
      <c r="AH218" s="154">
        <f t="shared" si="55"/>
        <v>4648.2634423414593</v>
      </c>
    </row>
    <row r="219" spans="2:34" x14ac:dyDescent="0.25">
      <c r="B219" s="10">
        <v>837</v>
      </c>
      <c r="C219" s="10">
        <v>8</v>
      </c>
      <c r="D219" s="9" t="s">
        <v>316</v>
      </c>
      <c r="E219" s="8">
        <v>164.78</v>
      </c>
      <c r="F219" s="5">
        <v>82185.350000000006</v>
      </c>
      <c r="G219" s="5">
        <v>0</v>
      </c>
      <c r="H219" s="5">
        <f t="shared" ref="H219:H268" si="62">F219-G219</f>
        <v>82185.350000000006</v>
      </c>
      <c r="I219" s="152">
        <f t="shared" ref="I219:I269" si="63">IFERROR(H219/E219,"n.a.")</f>
        <v>498.75804102439622</v>
      </c>
      <c r="J219" s="6">
        <f t="shared" si="56"/>
        <v>498.75804102439622</v>
      </c>
      <c r="K219" s="5">
        <f t="shared" ref="K219:K269" si="64">E219*J219</f>
        <v>82185.350000000006</v>
      </c>
      <c r="L219" s="259">
        <v>0.52792857142857141</v>
      </c>
      <c r="M219" s="154">
        <f t="shared" ref="M219:M269" si="65">$E$14*(K219/$K$24)</f>
        <v>18830.76451897102</v>
      </c>
      <c r="N219" s="154">
        <f t="shared" ref="N219:N269" si="66">$E$15*(E219/$E$24)</f>
        <v>7897.7031750929764</v>
      </c>
      <c r="O219" s="154">
        <f t="shared" ref="O219:O269" si="67">IFERROR(L219*$E$16*(K219/$K$24),0)</f>
        <v>2982.3895834224604</v>
      </c>
      <c r="P219" s="154">
        <f t="shared" ref="P219:P269" si="68">($O$23+$E$9)*(K219/$K$24)</f>
        <v>1387.0129180105614</v>
      </c>
      <c r="Q219" s="154">
        <f t="shared" si="57"/>
        <v>31097.87019549702</v>
      </c>
      <c r="R219" s="173">
        <f t="shared" si="58"/>
        <v>0.37838702634346655</v>
      </c>
      <c r="S219" s="153">
        <f t="shared" si="59"/>
        <v>31098.66017543395</v>
      </c>
      <c r="T219" s="154"/>
      <c r="U219" s="154">
        <f>IFERROR(INDEX('2016 Clerical PYA'!$O$5:$O$241,MATCH('2017 Funding'!B219,'2016 Clerical PYA'!$A$5:$A$241,0)),0)</f>
        <v>-991.65984138403292</v>
      </c>
      <c r="V219" s="154">
        <f>IFERROR(INDEX('Revised 2016 MFAM (2014 PYAs)'!$AD$26:$AD$262,MATCH('2017 Funding'!B219,'Revised 2016 MFAM (2014 PYAs)'!$B$26:$B$262,0)),0)</f>
        <v>174.44038708769585</v>
      </c>
      <c r="W219" s="154">
        <f t="shared" si="60"/>
        <v>-1.7662945726906512</v>
      </c>
      <c r="X219" s="154">
        <f t="shared" ref="X219:X269" si="69">SUM(U219:W219)</f>
        <v>-818.9857488690277</v>
      </c>
      <c r="Y219" s="154"/>
      <c r="Z219" s="155">
        <f t="shared" si="61"/>
        <v>30279.674426564921</v>
      </c>
      <c r="AA219" s="156">
        <v>0</v>
      </c>
      <c r="AB219" s="157">
        <f t="shared" ref="AB219:AB269" si="70">-$AA$24*AA219*Z219</f>
        <v>0</v>
      </c>
      <c r="AC219" s="154">
        <f t="shared" ref="AC219:AC269" si="71">Z219+AB219</f>
        <v>30279.674426564921</v>
      </c>
      <c r="AD219" s="160"/>
      <c r="AE219" s="154">
        <f t="shared" si="55"/>
        <v>7569.9186066412303</v>
      </c>
      <c r="AF219" s="154">
        <f t="shared" si="55"/>
        <v>7569.9186066412303</v>
      </c>
      <c r="AG219" s="154">
        <f t="shared" si="55"/>
        <v>7569.9186066412303</v>
      </c>
      <c r="AH219" s="154">
        <f t="shared" si="55"/>
        <v>7569.9186066412303</v>
      </c>
    </row>
    <row r="220" spans="2:34" x14ac:dyDescent="0.25">
      <c r="B220" s="10">
        <v>847</v>
      </c>
      <c r="C220" s="10">
        <v>8</v>
      </c>
      <c r="D220" s="9" t="s">
        <v>317</v>
      </c>
      <c r="E220" s="8">
        <v>73.045387579667249</v>
      </c>
      <c r="F220" s="5">
        <v>71503.289999999994</v>
      </c>
      <c r="G220" s="5">
        <v>0</v>
      </c>
      <c r="H220" s="5">
        <f t="shared" si="62"/>
        <v>71503.289999999994</v>
      </c>
      <c r="I220" s="152">
        <f t="shared" si="63"/>
        <v>978.88850164583823</v>
      </c>
      <c r="J220" s="6">
        <f t="shared" si="56"/>
        <v>978.88850164583823</v>
      </c>
      <c r="K220" s="5">
        <f t="shared" si="64"/>
        <v>71503.289999999994</v>
      </c>
      <c r="L220" s="259">
        <v>0.22241071428571429</v>
      </c>
      <c r="M220" s="154">
        <f t="shared" si="65"/>
        <v>16383.231516586533</v>
      </c>
      <c r="N220" s="154">
        <f t="shared" si="66"/>
        <v>3500.9757823390896</v>
      </c>
      <c r="O220" s="154">
        <f t="shared" si="67"/>
        <v>1093.141867173671</v>
      </c>
      <c r="P220" s="154">
        <f t="shared" si="68"/>
        <v>1206.7355910786457</v>
      </c>
      <c r="Q220" s="154">
        <f t="shared" si="57"/>
        <v>22184.084757177941</v>
      </c>
      <c r="R220" s="173">
        <f t="shared" si="58"/>
        <v>0.31025264372000144</v>
      </c>
      <c r="S220" s="153">
        <f t="shared" si="59"/>
        <v>22184.648300011169</v>
      </c>
      <c r="T220" s="154"/>
      <c r="U220" s="154">
        <f>IFERROR(INDEX('2016 Clerical PYA'!$O$5:$O$241,MATCH('2017 Funding'!B220,'2016 Clerical PYA'!$A$5:$A$241,0)),0)</f>
        <v>-801.62271178468291</v>
      </c>
      <c r="V220" s="154">
        <f>IFERROR(INDEX('Revised 2016 MFAM (2014 PYAs)'!$AD$26:$AD$262,MATCH('2017 Funding'!B220,'Revised 2016 MFAM (2014 PYAs)'!$B$26:$B$262,0)),0)</f>
        <v>132.52262504899409</v>
      </c>
      <c r="W220" s="154">
        <f t="shared" si="60"/>
        <v>-1.2600100347832373</v>
      </c>
      <c r="X220" s="154">
        <f t="shared" si="69"/>
        <v>-670.36009677047207</v>
      </c>
      <c r="Y220" s="154"/>
      <c r="Z220" s="155">
        <f t="shared" si="61"/>
        <v>21514.288203240696</v>
      </c>
      <c r="AA220" s="156">
        <v>0</v>
      </c>
      <c r="AB220" s="157">
        <f t="shared" si="70"/>
        <v>0</v>
      </c>
      <c r="AC220" s="154">
        <f t="shared" si="71"/>
        <v>21514.288203240696</v>
      </c>
      <c r="AD220" s="160"/>
      <c r="AE220" s="154">
        <f t="shared" si="55"/>
        <v>5378.572050810174</v>
      </c>
      <c r="AF220" s="154">
        <f t="shared" si="55"/>
        <v>5378.572050810174</v>
      </c>
      <c r="AG220" s="154">
        <f t="shared" si="55"/>
        <v>5378.572050810174</v>
      </c>
      <c r="AH220" s="154">
        <f t="shared" si="55"/>
        <v>5378.572050810174</v>
      </c>
    </row>
    <row r="221" spans="2:34" x14ac:dyDescent="0.25">
      <c r="B221" s="10">
        <v>866</v>
      </c>
      <c r="C221" s="10">
        <v>8</v>
      </c>
      <c r="D221" s="9" t="s">
        <v>318</v>
      </c>
      <c r="E221" s="8">
        <v>451.12615338481373</v>
      </c>
      <c r="F221" s="5">
        <v>55892.7</v>
      </c>
      <c r="G221" s="5">
        <v>0</v>
      </c>
      <c r="H221" s="5">
        <f t="shared" si="62"/>
        <v>55892.7</v>
      </c>
      <c r="I221" s="152">
        <f t="shared" si="63"/>
        <v>123.89594258864247</v>
      </c>
      <c r="J221" s="6">
        <f t="shared" si="56"/>
        <v>123.89594258864247</v>
      </c>
      <c r="K221" s="5">
        <f t="shared" si="64"/>
        <v>55892.7</v>
      </c>
      <c r="L221" s="259">
        <v>0.53751934523809519</v>
      </c>
      <c r="M221" s="154">
        <f t="shared" si="65"/>
        <v>12806.446307395312</v>
      </c>
      <c r="N221" s="154">
        <f t="shared" si="66"/>
        <v>21621.922890852802</v>
      </c>
      <c r="O221" s="154">
        <f t="shared" si="67"/>
        <v>2065.1137901933848</v>
      </c>
      <c r="P221" s="154">
        <f t="shared" si="68"/>
        <v>943.28121645145859</v>
      </c>
      <c r="Q221" s="154">
        <f t="shared" si="57"/>
        <v>37436.764204892956</v>
      </c>
      <c r="R221" s="173">
        <f t="shared" si="58"/>
        <v>0.66979702545937048</v>
      </c>
      <c r="S221" s="153">
        <f t="shared" si="59"/>
        <v>37437.715211905313</v>
      </c>
      <c r="T221" s="154"/>
      <c r="U221" s="154">
        <f>IFERROR(INDEX('2016 Clerical PYA'!$O$5:$O$241,MATCH('2017 Funding'!B221,'2016 Clerical PYA'!$A$5:$A$241,0)),0)</f>
        <v>-684.68211442449683</v>
      </c>
      <c r="V221" s="154">
        <f>IFERROR(INDEX('Revised 2016 MFAM (2014 PYAs)'!$AD$26:$AD$262,MATCH('2017 Funding'!B221,'Revised 2016 MFAM (2014 PYAs)'!$B$26:$B$262,0)),0)</f>
        <v>173.50407288924907</v>
      </c>
      <c r="W221" s="154">
        <f t="shared" si="60"/>
        <v>-2.1263306142353402</v>
      </c>
      <c r="X221" s="154">
        <f t="shared" si="69"/>
        <v>-513.30437214948313</v>
      </c>
      <c r="Y221" s="154"/>
      <c r="Z221" s="155">
        <f t="shared" si="61"/>
        <v>36924.41083975583</v>
      </c>
      <c r="AA221" s="156">
        <v>0</v>
      </c>
      <c r="AB221" s="157">
        <f t="shared" si="70"/>
        <v>0</v>
      </c>
      <c r="AC221" s="154">
        <f t="shared" si="71"/>
        <v>36924.41083975583</v>
      </c>
      <c r="AD221" s="160"/>
      <c r="AE221" s="154">
        <f t="shared" si="55"/>
        <v>9231.1027099389576</v>
      </c>
      <c r="AF221" s="154">
        <f t="shared" si="55"/>
        <v>9231.1027099389576</v>
      </c>
      <c r="AG221" s="154">
        <f t="shared" si="55"/>
        <v>9231.1027099389576</v>
      </c>
      <c r="AH221" s="154">
        <f t="shared" si="55"/>
        <v>9231.1027099389576</v>
      </c>
    </row>
    <row r="222" spans="2:34" x14ac:dyDescent="0.25">
      <c r="B222" s="10">
        <v>871</v>
      </c>
      <c r="C222" s="10">
        <v>8</v>
      </c>
      <c r="D222" s="9" t="s">
        <v>319</v>
      </c>
      <c r="E222" s="8">
        <v>15.799938858436702</v>
      </c>
      <c r="F222" s="5">
        <v>10503.23</v>
      </c>
      <c r="G222" s="5">
        <v>0</v>
      </c>
      <c r="H222" s="5">
        <f t="shared" si="62"/>
        <v>10503.23</v>
      </c>
      <c r="I222" s="152">
        <f t="shared" si="63"/>
        <v>664.76396485493888</v>
      </c>
      <c r="J222" s="6">
        <f t="shared" si="56"/>
        <v>664.76396485493888</v>
      </c>
      <c r="K222" s="5">
        <f t="shared" si="64"/>
        <v>10503.23</v>
      </c>
      <c r="L222" s="259">
        <v>9.7696428571428573E-2</v>
      </c>
      <c r="M222" s="154">
        <f t="shared" si="65"/>
        <v>2406.5584781057933</v>
      </c>
      <c r="N222" s="154">
        <f t="shared" si="66"/>
        <v>757.27167913915798</v>
      </c>
      <c r="O222" s="154">
        <f t="shared" si="67"/>
        <v>70.533650537768537</v>
      </c>
      <c r="P222" s="154">
        <f t="shared" si="68"/>
        <v>177.25927663307471</v>
      </c>
      <c r="Q222" s="154">
        <f t="shared" si="57"/>
        <v>3411.6230844157944</v>
      </c>
      <c r="R222" s="173">
        <f t="shared" si="58"/>
        <v>0.32481656446786317</v>
      </c>
      <c r="S222" s="153">
        <f t="shared" si="59"/>
        <v>3411.7097499582287</v>
      </c>
      <c r="T222" s="154"/>
      <c r="U222" s="154">
        <f>IFERROR(INDEX('2016 Clerical PYA'!$O$5:$O$241,MATCH('2017 Funding'!B222,'2016 Clerical PYA'!$A$5:$A$241,0)),0)</f>
        <v>-122.28817449561575</v>
      </c>
      <c r="V222" s="154">
        <f>IFERROR(INDEX('Revised 2016 MFAM (2014 PYAs)'!$AD$26:$AD$262,MATCH('2017 Funding'!B222,'Revised 2016 MFAM (2014 PYAs)'!$B$26:$B$262,0)),0)</f>
        <v>21.403769116499461</v>
      </c>
      <c r="W222" s="154">
        <f t="shared" si="60"/>
        <v>-0.19377312015863751</v>
      </c>
      <c r="X222" s="154">
        <f t="shared" si="69"/>
        <v>-101.07817849927493</v>
      </c>
      <c r="Y222" s="154"/>
      <c r="Z222" s="155">
        <f t="shared" si="61"/>
        <v>3310.6315714589537</v>
      </c>
      <c r="AA222" s="156">
        <v>0</v>
      </c>
      <c r="AB222" s="157">
        <f t="shared" si="70"/>
        <v>0</v>
      </c>
      <c r="AC222" s="154">
        <f t="shared" si="71"/>
        <v>3310.6315714589537</v>
      </c>
      <c r="AD222" s="160"/>
      <c r="AE222" s="154">
        <f t="shared" si="55"/>
        <v>827.65789286473841</v>
      </c>
      <c r="AF222" s="154">
        <f t="shared" si="55"/>
        <v>827.65789286473841</v>
      </c>
      <c r="AG222" s="154">
        <f t="shared" si="55"/>
        <v>827.65789286473841</v>
      </c>
      <c r="AH222" s="154">
        <f t="shared" si="55"/>
        <v>827.65789286473841</v>
      </c>
    </row>
    <row r="223" spans="2:34" x14ac:dyDescent="0.25">
      <c r="B223" s="10">
        <v>873</v>
      </c>
      <c r="C223" s="10">
        <v>8</v>
      </c>
      <c r="D223" s="9" t="s">
        <v>320</v>
      </c>
      <c r="E223" s="8">
        <v>136.9184707916597</v>
      </c>
      <c r="F223" s="5">
        <v>59308.39</v>
      </c>
      <c r="G223" s="5">
        <v>0</v>
      </c>
      <c r="H223" s="5">
        <f t="shared" si="62"/>
        <v>59308.39</v>
      </c>
      <c r="I223" s="152">
        <f t="shared" si="63"/>
        <v>433.16573474039069</v>
      </c>
      <c r="J223" s="6">
        <f t="shared" si="56"/>
        <v>433.16573474039069</v>
      </c>
      <c r="K223" s="5">
        <f t="shared" si="64"/>
        <v>59308.39</v>
      </c>
      <c r="L223" s="259">
        <v>0.30949702380952376</v>
      </c>
      <c r="M223" s="154">
        <f t="shared" si="65"/>
        <v>13589.06819876408</v>
      </c>
      <c r="N223" s="154">
        <f t="shared" si="66"/>
        <v>6562.3342729710275</v>
      </c>
      <c r="O223" s="154">
        <f t="shared" si="67"/>
        <v>1261.7328491586386</v>
      </c>
      <c r="P223" s="154">
        <f t="shared" si="68"/>
        <v>1000.9266015951551</v>
      </c>
      <c r="Q223" s="154">
        <f t="shared" si="57"/>
        <v>22414.061922488898</v>
      </c>
      <c r="R223" s="173">
        <f t="shared" si="58"/>
        <v>0.37792396526847044</v>
      </c>
      <c r="S223" s="153">
        <f t="shared" si="59"/>
        <v>22414.631307437528</v>
      </c>
      <c r="T223" s="154"/>
      <c r="U223" s="154">
        <f>IFERROR(INDEX('2016 Clerical PYA'!$O$5:$O$241,MATCH('2017 Funding'!B223,'2016 Clerical PYA'!$A$5:$A$241,0)),0)</f>
        <v>-709.30248544905771</v>
      </c>
      <c r="V223" s="154">
        <f>IFERROR(INDEX('Revised 2016 MFAM (2014 PYAs)'!$AD$26:$AD$262,MATCH('2017 Funding'!B223,'Revised 2016 MFAM (2014 PYAs)'!$B$26:$B$262,0)),0)</f>
        <v>131.55217030616041</v>
      </c>
      <c r="W223" s="154">
        <f t="shared" si="60"/>
        <v>-1.2730722611150693</v>
      </c>
      <c r="X223" s="154">
        <f t="shared" si="69"/>
        <v>-579.0233874040124</v>
      </c>
      <c r="Y223" s="154"/>
      <c r="Z223" s="155">
        <f t="shared" si="61"/>
        <v>21835.607920033515</v>
      </c>
      <c r="AA223" s="156">
        <v>0</v>
      </c>
      <c r="AB223" s="157">
        <f t="shared" si="70"/>
        <v>0</v>
      </c>
      <c r="AC223" s="154">
        <f t="shared" si="71"/>
        <v>21835.607920033515</v>
      </c>
      <c r="AD223" s="160"/>
      <c r="AE223" s="154">
        <f t="shared" si="55"/>
        <v>5458.9019800083788</v>
      </c>
      <c r="AF223" s="154">
        <f t="shared" si="55"/>
        <v>5458.9019800083788</v>
      </c>
      <c r="AG223" s="154">
        <f t="shared" si="55"/>
        <v>5458.9019800083788</v>
      </c>
      <c r="AH223" s="154">
        <f t="shared" si="55"/>
        <v>5458.9019800083788</v>
      </c>
    </row>
    <row r="224" spans="2:34" x14ac:dyDescent="0.25">
      <c r="B224" s="10">
        <v>895</v>
      </c>
      <c r="C224" s="10">
        <v>8</v>
      </c>
      <c r="D224" s="9" t="s">
        <v>321</v>
      </c>
      <c r="E224" s="8">
        <v>30.637000556525461</v>
      </c>
      <c r="F224" s="5">
        <v>12923.4</v>
      </c>
      <c r="G224" s="5">
        <v>0</v>
      </c>
      <c r="H224" s="5">
        <f t="shared" si="62"/>
        <v>12923.4</v>
      </c>
      <c r="I224" s="152">
        <f t="shared" si="63"/>
        <v>421.82327790725611</v>
      </c>
      <c r="J224" s="6">
        <f t="shared" si="56"/>
        <v>421.82327790725611</v>
      </c>
      <c r="K224" s="5">
        <f t="shared" si="64"/>
        <v>12923.4</v>
      </c>
      <c r="L224" s="259">
        <v>0.12471428571428572</v>
      </c>
      <c r="M224" s="154">
        <f t="shared" si="65"/>
        <v>2961.0812898463055</v>
      </c>
      <c r="N224" s="154">
        <f t="shared" si="66"/>
        <v>1468.3938376659571</v>
      </c>
      <c r="O224" s="154">
        <f t="shared" si="67"/>
        <v>110.78674140153532</v>
      </c>
      <c r="P224" s="154">
        <f t="shared" si="68"/>
        <v>218.10362485062953</v>
      </c>
      <c r="Q224" s="154">
        <f t="shared" si="57"/>
        <v>4758.3654937644278</v>
      </c>
      <c r="R224" s="173">
        <f t="shared" si="58"/>
        <v>0.36819764874293359</v>
      </c>
      <c r="S224" s="153">
        <f t="shared" si="59"/>
        <v>4758.4863706363494</v>
      </c>
      <c r="T224" s="154"/>
      <c r="U224" s="154">
        <f>IFERROR(INDEX('2016 Clerical PYA'!$O$5:$O$241,MATCH('2017 Funding'!B224,'2016 Clerical PYA'!$A$5:$A$241,0)),0)</f>
        <v>-159.06383353751426</v>
      </c>
      <c r="V224" s="154">
        <f>IFERROR(INDEX('Revised 2016 MFAM (2014 PYAs)'!$AD$26:$AD$262,MATCH('2017 Funding'!B224,'Revised 2016 MFAM (2014 PYAs)'!$B$26:$B$262,0)),0)</f>
        <v>28.743932510325976</v>
      </c>
      <c r="W224" s="154">
        <f t="shared" si="60"/>
        <v>-0.2702652977094096</v>
      </c>
      <c r="X224" s="154">
        <f t="shared" si="69"/>
        <v>-130.59016632489769</v>
      </c>
      <c r="Y224" s="154"/>
      <c r="Z224" s="155">
        <f t="shared" si="61"/>
        <v>4627.8962043114516</v>
      </c>
      <c r="AA224" s="156">
        <v>0</v>
      </c>
      <c r="AB224" s="157">
        <f t="shared" si="70"/>
        <v>0</v>
      </c>
      <c r="AC224" s="154">
        <f t="shared" si="71"/>
        <v>4627.8962043114516</v>
      </c>
      <c r="AD224" s="160"/>
      <c r="AE224" s="154">
        <f t="shared" si="55"/>
        <v>1156.9740510778629</v>
      </c>
      <c r="AF224" s="154">
        <f t="shared" si="55"/>
        <v>1156.9740510778629</v>
      </c>
      <c r="AG224" s="154">
        <f t="shared" si="55"/>
        <v>1156.9740510778629</v>
      </c>
      <c r="AH224" s="154">
        <f t="shared" si="55"/>
        <v>1156.9740510778629</v>
      </c>
    </row>
    <row r="225" spans="2:34" x14ac:dyDescent="0.25">
      <c r="B225" s="10">
        <v>897</v>
      </c>
      <c r="C225" s="10">
        <v>8</v>
      </c>
      <c r="D225" s="9" t="s">
        <v>322</v>
      </c>
      <c r="E225" s="8">
        <v>194.23862212959204</v>
      </c>
      <c r="F225" s="5">
        <v>328517.40999999997</v>
      </c>
      <c r="G225" s="5">
        <v>126</v>
      </c>
      <c r="H225" s="5">
        <f t="shared" si="62"/>
        <v>328391.40999999997</v>
      </c>
      <c r="I225" s="152">
        <f t="shared" si="63"/>
        <v>1690.6596968181948</v>
      </c>
      <c r="J225" s="6">
        <f t="shared" si="56"/>
        <v>1523.8797267844407</v>
      </c>
      <c r="K225" s="5">
        <f t="shared" si="64"/>
        <v>295996.29842182895</v>
      </c>
      <c r="L225" s="259">
        <v>0.3464672619047619</v>
      </c>
      <c r="M225" s="154">
        <f t="shared" si="65"/>
        <v>67820.318269235737</v>
      </c>
      <c r="N225" s="154">
        <f t="shared" si="66"/>
        <v>9309.6187809112998</v>
      </c>
      <c r="O225" s="154">
        <f t="shared" si="67"/>
        <v>7049.2559916754817</v>
      </c>
      <c r="P225" s="154">
        <f t="shared" si="68"/>
        <v>4995.4242403833014</v>
      </c>
      <c r="Q225" s="154">
        <f t="shared" si="57"/>
        <v>89174.617282205829</v>
      </c>
      <c r="R225" s="173">
        <f t="shared" si="58"/>
        <v>0.30126936639971658</v>
      </c>
      <c r="S225" s="153">
        <f t="shared" si="59"/>
        <v>89176.882587131637</v>
      </c>
      <c r="T225" s="154"/>
      <c r="U225" s="154">
        <f>IFERROR(INDEX('2016 Clerical PYA'!$O$5:$O$241,MATCH('2017 Funding'!B225,'2016 Clerical PYA'!$A$5:$A$241,0)),0)</f>
        <v>23447.273874914645</v>
      </c>
      <c r="V225" s="154">
        <f>IFERROR(INDEX('Revised 2016 MFAM (2014 PYAs)'!$AD$26:$AD$262,MATCH('2017 Funding'!B225,'Revised 2016 MFAM (2014 PYAs)'!$B$26:$B$262,0)),0)</f>
        <v>5423.0748568667768</v>
      </c>
      <c r="W225" s="154">
        <f t="shared" si="60"/>
        <v>-5.0649334355422635</v>
      </c>
      <c r="X225" s="154">
        <f t="shared" si="69"/>
        <v>28865.283798345878</v>
      </c>
      <c r="Y225" s="154"/>
      <c r="Z225" s="155">
        <f t="shared" si="61"/>
        <v>118042.16638547751</v>
      </c>
      <c r="AA225" s="156">
        <v>0</v>
      </c>
      <c r="AB225" s="157">
        <f t="shared" si="70"/>
        <v>0</v>
      </c>
      <c r="AC225" s="154">
        <f t="shared" si="71"/>
        <v>118042.16638547751</v>
      </c>
      <c r="AD225" s="160"/>
      <c r="AE225" s="154">
        <f t="shared" si="55"/>
        <v>29510.541596369378</v>
      </c>
      <c r="AF225" s="154">
        <f t="shared" si="55"/>
        <v>29510.541596369378</v>
      </c>
      <c r="AG225" s="154">
        <f t="shared" si="55"/>
        <v>29510.541596369378</v>
      </c>
      <c r="AH225" s="154">
        <f t="shared" si="55"/>
        <v>29510.541596369378</v>
      </c>
    </row>
    <row r="226" spans="2:34" x14ac:dyDescent="0.25">
      <c r="B226" s="10">
        <v>905</v>
      </c>
      <c r="C226" s="10">
        <v>8</v>
      </c>
      <c r="D226" s="9" t="s">
        <v>323</v>
      </c>
      <c r="E226" s="8">
        <v>96.357743464637792</v>
      </c>
      <c r="F226" s="5">
        <v>62281.79</v>
      </c>
      <c r="G226" s="5">
        <v>0</v>
      </c>
      <c r="H226" s="5">
        <f t="shared" si="62"/>
        <v>62281.79</v>
      </c>
      <c r="I226" s="152">
        <f t="shared" si="63"/>
        <v>646.35998893910084</v>
      </c>
      <c r="J226" s="6">
        <f t="shared" si="56"/>
        <v>646.35998893910084</v>
      </c>
      <c r="K226" s="5">
        <f t="shared" si="64"/>
        <v>62281.79</v>
      </c>
      <c r="L226" s="259">
        <v>0.19468452380952381</v>
      </c>
      <c r="M226" s="154">
        <f t="shared" si="65"/>
        <v>14270.350145250997</v>
      </c>
      <c r="N226" s="154">
        <f t="shared" si="66"/>
        <v>4618.3083900076736</v>
      </c>
      <c r="O226" s="154">
        <f t="shared" si="67"/>
        <v>833.46489678700777</v>
      </c>
      <c r="P226" s="154">
        <f t="shared" si="68"/>
        <v>1051.1076157346899</v>
      </c>
      <c r="Q226" s="154">
        <f t="shared" si="57"/>
        <v>20773.231047780369</v>
      </c>
      <c r="R226" s="173">
        <f t="shared" si="58"/>
        <v>0.33353619168267912</v>
      </c>
      <c r="S226" s="153">
        <f t="shared" si="59"/>
        <v>20773.758750663226</v>
      </c>
      <c r="T226" s="154"/>
      <c r="U226" s="154">
        <f>IFERROR(INDEX('2016 Clerical PYA'!$O$5:$O$241,MATCH('2017 Funding'!B226,'2016 Clerical PYA'!$A$5:$A$241,0)),0)</f>
        <v>-629.45346631299253</v>
      </c>
      <c r="V226" s="154">
        <f>IFERROR(INDEX('Revised 2016 MFAM (2014 PYAs)'!$AD$26:$AD$262,MATCH('2017 Funding'!B226,'Revised 2016 MFAM (2014 PYAs)'!$B$26:$B$262,0)),0)</f>
        <v>110.02102811193254</v>
      </c>
      <c r="W226" s="154">
        <f t="shared" si="60"/>
        <v>-1.179876468268761</v>
      </c>
      <c r="X226" s="154">
        <f t="shared" si="69"/>
        <v>-520.61231466932873</v>
      </c>
      <c r="Y226" s="154"/>
      <c r="Z226" s="155">
        <f t="shared" si="61"/>
        <v>20253.146435993898</v>
      </c>
      <c r="AA226" s="156">
        <v>0</v>
      </c>
      <c r="AB226" s="157">
        <f t="shared" si="70"/>
        <v>0</v>
      </c>
      <c r="AC226" s="154">
        <f t="shared" si="71"/>
        <v>20253.146435993898</v>
      </c>
      <c r="AD226" s="160"/>
      <c r="AE226" s="154">
        <f t="shared" si="55"/>
        <v>5063.2866089984745</v>
      </c>
      <c r="AF226" s="154">
        <f t="shared" si="55"/>
        <v>5063.2866089984745</v>
      </c>
      <c r="AG226" s="154">
        <f t="shared" si="55"/>
        <v>5063.2866089984745</v>
      </c>
      <c r="AH226" s="154">
        <f t="shared" si="55"/>
        <v>5063.2866089984745</v>
      </c>
    </row>
    <row r="227" spans="2:34" x14ac:dyDescent="0.25">
      <c r="B227" s="10">
        <v>907</v>
      </c>
      <c r="C227" s="10">
        <v>8</v>
      </c>
      <c r="D227" s="9" t="s">
        <v>324</v>
      </c>
      <c r="E227" s="8">
        <v>5.3746052404876101</v>
      </c>
      <c r="F227" s="5">
        <v>22247.05</v>
      </c>
      <c r="G227" s="5">
        <v>0</v>
      </c>
      <c r="H227" s="5">
        <f t="shared" si="62"/>
        <v>22247.05</v>
      </c>
      <c r="I227" s="152">
        <f t="shared" si="63"/>
        <v>4139.2900509994743</v>
      </c>
      <c r="J227" s="6">
        <f t="shared" si="56"/>
        <v>1523.8797267844407</v>
      </c>
      <c r="K227" s="5">
        <f t="shared" si="64"/>
        <v>8190.2519654484822</v>
      </c>
      <c r="L227" s="259">
        <v>7.6687500000000006E-2</v>
      </c>
      <c r="M227" s="154">
        <f t="shared" si="65"/>
        <v>1876.5960857062714</v>
      </c>
      <c r="N227" s="154">
        <f t="shared" si="66"/>
        <v>257.59823323625653</v>
      </c>
      <c r="O227" s="154">
        <f t="shared" si="67"/>
        <v>43.173438696779904</v>
      </c>
      <c r="P227" s="154">
        <f t="shared" si="68"/>
        <v>138.22396908741561</v>
      </c>
      <c r="Q227" s="154">
        <f t="shared" si="57"/>
        <v>2315.5917267267237</v>
      </c>
      <c r="R227" s="173">
        <f t="shared" si="58"/>
        <v>0.28272533451904935</v>
      </c>
      <c r="S227" s="153">
        <f t="shared" si="59"/>
        <v>2315.6505497584853</v>
      </c>
      <c r="T227" s="154"/>
      <c r="U227" s="154">
        <f>IFERROR(INDEX('2016 Clerical PYA'!$O$5:$O$241,MATCH('2017 Funding'!B227,'2016 Clerical PYA'!$A$5:$A$241,0)),0)</f>
        <v>1833.4755438951961</v>
      </c>
      <c r="V227" s="154">
        <f>IFERROR(INDEX('Revised 2016 MFAM (2014 PYAs)'!$AD$26:$AD$262,MATCH('2017 Funding'!B227,'Revised 2016 MFAM (2014 PYAs)'!$B$26:$B$262,0)),0)</f>
        <v>413.80706775977887</v>
      </c>
      <c r="W227" s="154">
        <f t="shared" si="60"/>
        <v>-0.13152081071060037</v>
      </c>
      <c r="X227" s="154">
        <f t="shared" si="69"/>
        <v>2247.1510908442642</v>
      </c>
      <c r="Y227" s="154"/>
      <c r="Z227" s="155">
        <f t="shared" si="61"/>
        <v>4562.8016406027491</v>
      </c>
      <c r="AA227" s="156">
        <v>0</v>
      </c>
      <c r="AB227" s="157">
        <f t="shared" si="70"/>
        <v>0</v>
      </c>
      <c r="AC227" s="154">
        <f t="shared" si="71"/>
        <v>4562.8016406027491</v>
      </c>
      <c r="AD227" s="160"/>
      <c r="AE227" s="154">
        <f t="shared" si="55"/>
        <v>1140.7004101506873</v>
      </c>
      <c r="AF227" s="154">
        <f t="shared" si="55"/>
        <v>1140.7004101506873</v>
      </c>
      <c r="AG227" s="154">
        <f t="shared" si="55"/>
        <v>1140.7004101506873</v>
      </c>
      <c r="AH227" s="154">
        <f t="shared" si="55"/>
        <v>1140.7004101506873</v>
      </c>
    </row>
    <row r="228" spans="2:34" x14ac:dyDescent="0.25">
      <c r="B228" s="10">
        <v>918</v>
      </c>
      <c r="C228" s="10">
        <v>8</v>
      </c>
      <c r="D228" s="9" t="s">
        <v>325</v>
      </c>
      <c r="E228" s="8">
        <v>61.54175167987492</v>
      </c>
      <c r="F228" s="5">
        <v>48604.24</v>
      </c>
      <c r="G228" s="5">
        <v>0</v>
      </c>
      <c r="H228" s="5">
        <f t="shared" si="62"/>
        <v>48604.24</v>
      </c>
      <c r="I228" s="152">
        <f t="shared" si="63"/>
        <v>789.77667474964505</v>
      </c>
      <c r="J228" s="6">
        <f t="shared" si="56"/>
        <v>789.77667474964505</v>
      </c>
      <c r="K228" s="5">
        <f t="shared" si="64"/>
        <v>48604.24</v>
      </c>
      <c r="L228" s="259">
        <v>0.42720386904761903</v>
      </c>
      <c r="M228" s="154">
        <f t="shared" si="65"/>
        <v>11136.473812711776</v>
      </c>
      <c r="N228" s="154">
        <f t="shared" si="66"/>
        <v>2949.620631405096</v>
      </c>
      <c r="O228" s="154">
        <f t="shared" si="67"/>
        <v>1427.2634101013882</v>
      </c>
      <c r="P228" s="154">
        <f t="shared" si="68"/>
        <v>820.27646959081676</v>
      </c>
      <c r="Q228" s="154">
        <f t="shared" si="57"/>
        <v>16333.634323809078</v>
      </c>
      <c r="R228" s="173">
        <f t="shared" si="58"/>
        <v>0.33605369251343253</v>
      </c>
      <c r="S228" s="153">
        <f t="shared" si="59"/>
        <v>16334.049247510662</v>
      </c>
      <c r="T228" s="154"/>
      <c r="U228" s="154">
        <f>IFERROR(INDEX('2016 Clerical PYA'!$O$5:$O$241,MATCH('2017 Funding'!B228,'2016 Clerical PYA'!$A$5:$A$241,0)),0)</f>
        <v>-577.84668005480307</v>
      </c>
      <c r="V228" s="154">
        <f>IFERROR(INDEX('Revised 2016 MFAM (2014 PYAs)'!$AD$26:$AD$262,MATCH('2017 Funding'!B228,'Revised 2016 MFAM (2014 PYAs)'!$B$26:$B$262,0)),0)</f>
        <v>98.544187425348355</v>
      </c>
      <c r="W228" s="154">
        <f t="shared" si="60"/>
        <v>-0.92771657599352864</v>
      </c>
      <c r="X228" s="154">
        <f t="shared" si="69"/>
        <v>-480.23020920544826</v>
      </c>
      <c r="Y228" s="154"/>
      <c r="Z228" s="155">
        <f t="shared" si="61"/>
        <v>15853.819038305213</v>
      </c>
      <c r="AA228" s="156">
        <v>0</v>
      </c>
      <c r="AB228" s="157">
        <f t="shared" si="70"/>
        <v>0</v>
      </c>
      <c r="AC228" s="154">
        <f t="shared" si="71"/>
        <v>15853.819038305213</v>
      </c>
      <c r="AD228" s="160"/>
      <c r="AE228" s="154">
        <f t="shared" si="55"/>
        <v>3963.4547595763033</v>
      </c>
      <c r="AF228" s="154">
        <f t="shared" si="55"/>
        <v>3963.4547595763033</v>
      </c>
      <c r="AG228" s="154">
        <f t="shared" si="55"/>
        <v>3963.4547595763033</v>
      </c>
      <c r="AH228" s="154">
        <f t="shared" si="55"/>
        <v>3963.4547595763033</v>
      </c>
    </row>
    <row r="229" spans="2:34" x14ac:dyDescent="0.25">
      <c r="B229" s="10">
        <v>922</v>
      </c>
      <c r="C229" s="10">
        <v>8</v>
      </c>
      <c r="D229" s="9" t="s">
        <v>326</v>
      </c>
      <c r="E229" s="8">
        <v>154.13</v>
      </c>
      <c r="F229" s="5">
        <v>117454.54</v>
      </c>
      <c r="G229" s="5">
        <v>9531.2900000000009</v>
      </c>
      <c r="H229" s="5">
        <f t="shared" si="62"/>
        <v>107923.25</v>
      </c>
      <c r="I229" s="152">
        <f t="shared" si="63"/>
        <v>700.20923895412966</v>
      </c>
      <c r="J229" s="6">
        <f t="shared" si="56"/>
        <v>700.20923895412966</v>
      </c>
      <c r="K229" s="5">
        <f t="shared" si="64"/>
        <v>107923.25</v>
      </c>
      <c r="L229" s="259">
        <v>0.77996130952380949</v>
      </c>
      <c r="M229" s="154">
        <f t="shared" si="65"/>
        <v>24727.975324945855</v>
      </c>
      <c r="N229" s="154">
        <f t="shared" si="66"/>
        <v>7387.2617452183549</v>
      </c>
      <c r="O229" s="154">
        <f t="shared" si="67"/>
        <v>5786.0592048951648</v>
      </c>
      <c r="P229" s="154">
        <f t="shared" si="68"/>
        <v>1821.3823011483589</v>
      </c>
      <c r="Q229" s="154">
        <f t="shared" si="57"/>
        <v>39722.678576207734</v>
      </c>
      <c r="R229" s="173">
        <f t="shared" si="58"/>
        <v>0.36806414351131694</v>
      </c>
      <c r="S229" s="153">
        <f t="shared" si="59"/>
        <v>39723.687652357286</v>
      </c>
      <c r="T229" s="154"/>
      <c r="U229" s="154">
        <f>IFERROR(INDEX('2016 Clerical PYA'!$O$5:$O$241,MATCH('2017 Funding'!B229,'2016 Clerical PYA'!$A$5:$A$241,0)),0)</f>
        <v>3077.7280187736287</v>
      </c>
      <c r="V229" s="154">
        <f>IFERROR(INDEX('Revised 2016 MFAM (2014 PYAs)'!$AD$26:$AD$262,MATCH('2017 Funding'!B229,'Revised 2016 MFAM (2014 PYAs)'!$B$26:$B$262,0)),0)</f>
        <v>233.78224306706397</v>
      </c>
      <c r="W229" s="154">
        <f t="shared" si="60"/>
        <v>-2.2561658126687525</v>
      </c>
      <c r="X229" s="154">
        <f t="shared" si="69"/>
        <v>3309.2540960280239</v>
      </c>
      <c r="Y229" s="154"/>
      <c r="Z229" s="155">
        <f t="shared" si="61"/>
        <v>43032.94174838531</v>
      </c>
      <c r="AA229" s="156">
        <v>0</v>
      </c>
      <c r="AB229" s="157">
        <f t="shared" si="70"/>
        <v>0</v>
      </c>
      <c r="AC229" s="154">
        <f t="shared" si="71"/>
        <v>43032.94174838531</v>
      </c>
      <c r="AD229" s="160"/>
      <c r="AE229" s="154">
        <f t="shared" si="55"/>
        <v>10758.235437096328</v>
      </c>
      <c r="AF229" s="154">
        <f t="shared" si="55"/>
        <v>10758.235437096328</v>
      </c>
      <c r="AG229" s="154">
        <f t="shared" si="55"/>
        <v>10758.235437096328</v>
      </c>
      <c r="AH229" s="154">
        <f t="shared" si="55"/>
        <v>10758.235437096328</v>
      </c>
    </row>
    <row r="230" spans="2:34" x14ac:dyDescent="0.25">
      <c r="B230" s="10">
        <v>924</v>
      </c>
      <c r="C230" s="10">
        <v>8</v>
      </c>
      <c r="D230" s="9" t="s">
        <v>327</v>
      </c>
      <c r="E230" s="8">
        <v>170.30421848518844</v>
      </c>
      <c r="F230" s="5">
        <v>70352.240000000005</v>
      </c>
      <c r="G230" s="5">
        <v>0</v>
      </c>
      <c r="H230" s="5">
        <f t="shared" si="62"/>
        <v>70352.240000000005</v>
      </c>
      <c r="I230" s="152">
        <f t="shared" si="63"/>
        <v>413.09745950960468</v>
      </c>
      <c r="J230" s="6">
        <f t="shared" si="56"/>
        <v>413.09745950960468</v>
      </c>
      <c r="K230" s="5">
        <f t="shared" si="64"/>
        <v>70352.240000000005</v>
      </c>
      <c r="L230" s="259">
        <v>0.35749553571428566</v>
      </c>
      <c r="M230" s="154">
        <f t="shared" si="65"/>
        <v>16119.496538277608</v>
      </c>
      <c r="N230" s="154">
        <f t="shared" si="66"/>
        <v>8162.4721875361138</v>
      </c>
      <c r="O230" s="154">
        <f t="shared" si="67"/>
        <v>1728.7944151188378</v>
      </c>
      <c r="P230" s="154">
        <f t="shared" si="68"/>
        <v>1187.3097296656804</v>
      </c>
      <c r="Q230" s="154">
        <f t="shared" si="57"/>
        <v>27198.07287059824</v>
      </c>
      <c r="R230" s="173">
        <f t="shared" si="58"/>
        <v>0.38659853432667157</v>
      </c>
      <c r="S230" s="153">
        <f t="shared" si="59"/>
        <v>27198.763783890881</v>
      </c>
      <c r="T230" s="154"/>
      <c r="U230" s="154">
        <f>IFERROR(INDEX('2016 Clerical PYA'!$O$5:$O$241,MATCH('2017 Funding'!B230,'2016 Clerical PYA'!$A$5:$A$241,0)),0)</f>
        <v>-532.02006485760649</v>
      </c>
      <c r="V230" s="154">
        <f>IFERROR(INDEX('Revised 2016 MFAM (2014 PYAs)'!$AD$26:$AD$262,MATCH('2017 Funding'!B230,'Revised 2016 MFAM (2014 PYAs)'!$B$26:$B$262,0)),0)</f>
        <v>109.47836508920955</v>
      </c>
      <c r="W230" s="154">
        <f t="shared" si="60"/>
        <v>-1.5447941674777035</v>
      </c>
      <c r="X230" s="154">
        <f t="shared" si="69"/>
        <v>-424.08649393587461</v>
      </c>
      <c r="Y230" s="154"/>
      <c r="Z230" s="155">
        <f t="shared" si="61"/>
        <v>26774.677289955005</v>
      </c>
      <c r="AA230" s="156">
        <v>0</v>
      </c>
      <c r="AB230" s="157">
        <f t="shared" si="70"/>
        <v>0</v>
      </c>
      <c r="AC230" s="154">
        <f t="shared" si="71"/>
        <v>26774.677289955005</v>
      </c>
      <c r="AD230" s="160"/>
      <c r="AE230" s="154">
        <f t="shared" si="55"/>
        <v>6693.6693224887513</v>
      </c>
      <c r="AF230" s="154">
        <f t="shared" si="55"/>
        <v>6693.6693224887513</v>
      </c>
      <c r="AG230" s="154">
        <f t="shared" si="55"/>
        <v>6693.6693224887513</v>
      </c>
      <c r="AH230" s="154">
        <f t="shared" si="55"/>
        <v>6693.6693224887513</v>
      </c>
    </row>
    <row r="231" spans="2:34" x14ac:dyDescent="0.25">
      <c r="B231" s="10">
        <v>929</v>
      </c>
      <c r="C231" s="10">
        <v>8</v>
      </c>
      <c r="D231" s="9" t="s">
        <v>328</v>
      </c>
      <c r="E231" s="8">
        <v>49.813083778912947</v>
      </c>
      <c r="F231" s="5">
        <v>32198.16</v>
      </c>
      <c r="G231" s="5">
        <v>0</v>
      </c>
      <c r="H231" s="5">
        <f t="shared" si="62"/>
        <v>32198.16</v>
      </c>
      <c r="I231" s="152">
        <f t="shared" si="63"/>
        <v>646.37957655675677</v>
      </c>
      <c r="J231" s="6">
        <f t="shared" si="56"/>
        <v>646.37957655675677</v>
      </c>
      <c r="K231" s="5">
        <f t="shared" si="64"/>
        <v>32198.16</v>
      </c>
      <c r="L231" s="259">
        <v>0.31721577380952382</v>
      </c>
      <c r="M231" s="154">
        <f t="shared" si="65"/>
        <v>7377.4215100884985</v>
      </c>
      <c r="N231" s="154">
        <f t="shared" si="66"/>
        <v>2387.479972823724</v>
      </c>
      <c r="O231" s="154">
        <f t="shared" si="67"/>
        <v>702.07034191252467</v>
      </c>
      <c r="P231" s="154">
        <f t="shared" si="68"/>
        <v>543.39689319533136</v>
      </c>
      <c r="Q231" s="154">
        <f t="shared" si="57"/>
        <v>11010.368718020078</v>
      </c>
      <c r="R231" s="173">
        <f t="shared" si="58"/>
        <v>0.34195645707767391</v>
      </c>
      <c r="S231" s="153">
        <f t="shared" si="59"/>
        <v>11010.648414678748</v>
      </c>
      <c r="T231" s="154"/>
      <c r="U231" s="154">
        <f>IFERROR(INDEX('2016 Clerical PYA'!$O$5:$O$241,MATCH('2017 Funding'!B231,'2016 Clerical PYA'!$A$5:$A$241,0)),0)</f>
        <v>961.18329848693247</v>
      </c>
      <c r="V231" s="154">
        <f>IFERROR(INDEX('Revised 2016 MFAM (2014 PYAs)'!$AD$26:$AD$262,MATCH('2017 Funding'!B231,'Revised 2016 MFAM (2014 PYAs)'!$B$26:$B$262,0)),0)</f>
        <v>40.783698591771099</v>
      </c>
      <c r="W231" s="154">
        <f t="shared" si="60"/>
        <v>-0.62536612275067627</v>
      </c>
      <c r="X231" s="154">
        <f t="shared" si="69"/>
        <v>1001.341630955953</v>
      </c>
      <c r="Y231" s="154"/>
      <c r="Z231" s="155">
        <f t="shared" si="61"/>
        <v>12011.9900456347</v>
      </c>
      <c r="AA231" s="156">
        <v>0</v>
      </c>
      <c r="AB231" s="157">
        <f t="shared" si="70"/>
        <v>0</v>
      </c>
      <c r="AC231" s="154">
        <f t="shared" si="71"/>
        <v>12011.9900456347</v>
      </c>
      <c r="AD231" s="160"/>
      <c r="AE231" s="154">
        <f t="shared" si="55"/>
        <v>3002.9975114086751</v>
      </c>
      <c r="AF231" s="154">
        <f t="shared" si="55"/>
        <v>3002.9975114086751</v>
      </c>
      <c r="AG231" s="154">
        <f t="shared" si="55"/>
        <v>3002.9975114086751</v>
      </c>
      <c r="AH231" s="154">
        <f t="shared" si="55"/>
        <v>3002.9975114086751</v>
      </c>
    </row>
    <row r="232" spans="2:34" x14ac:dyDescent="0.25">
      <c r="B232" s="10">
        <v>955</v>
      </c>
      <c r="C232" s="10">
        <v>8</v>
      </c>
      <c r="D232" s="9" t="s">
        <v>329</v>
      </c>
      <c r="E232" s="8">
        <v>48.660919932924358</v>
      </c>
      <c r="F232" s="5">
        <v>23483.31</v>
      </c>
      <c r="G232" s="5">
        <v>0</v>
      </c>
      <c r="H232" s="5">
        <f t="shared" si="62"/>
        <v>23483.31</v>
      </c>
      <c r="I232" s="152">
        <f t="shared" si="63"/>
        <v>482.59075316229297</v>
      </c>
      <c r="J232" s="6">
        <f t="shared" si="56"/>
        <v>482.59075316229297</v>
      </c>
      <c r="K232" s="5">
        <f t="shared" si="64"/>
        <v>23483.31</v>
      </c>
      <c r="L232" s="259">
        <v>0.13926785714285714</v>
      </c>
      <c r="M232" s="154">
        <f t="shared" si="65"/>
        <v>5380.6266048145726</v>
      </c>
      <c r="N232" s="154">
        <f t="shared" si="66"/>
        <v>2332.2581736691459</v>
      </c>
      <c r="O232" s="154">
        <f t="shared" si="67"/>
        <v>224.80450120151167</v>
      </c>
      <c r="P232" s="154">
        <f t="shared" si="68"/>
        <v>396.31946968220723</v>
      </c>
      <c r="Q232" s="154">
        <f t="shared" si="57"/>
        <v>8334.0087493674364</v>
      </c>
      <c r="R232" s="173">
        <f t="shared" si="58"/>
        <v>0.35489071810436584</v>
      </c>
      <c r="S232" s="153">
        <f t="shared" si="59"/>
        <v>8334.2204583901057</v>
      </c>
      <c r="T232" s="154"/>
      <c r="U232" s="154">
        <f>IFERROR(INDEX('2016 Clerical PYA'!$O$5:$O$241,MATCH('2017 Funding'!B232,'2016 Clerical PYA'!$A$5:$A$241,0)),0)</f>
        <v>-264.70699111319846</v>
      </c>
      <c r="V232" s="154">
        <f>IFERROR(INDEX('Revised 2016 MFAM (2014 PYAs)'!$AD$26:$AD$262,MATCH('2017 Funding'!B232,'Revised 2016 MFAM (2014 PYAs)'!$B$26:$B$262,0)),0)</f>
        <v>46.125502085935295</v>
      </c>
      <c r="W232" s="154">
        <f t="shared" si="60"/>
        <v>-0.47335442363816954</v>
      </c>
      <c r="X232" s="154">
        <f t="shared" si="69"/>
        <v>-219.05484345090133</v>
      </c>
      <c r="Y232" s="154"/>
      <c r="Z232" s="155">
        <f t="shared" si="61"/>
        <v>8115.1656149392047</v>
      </c>
      <c r="AA232" s="156">
        <v>0</v>
      </c>
      <c r="AB232" s="157">
        <f t="shared" si="70"/>
        <v>0</v>
      </c>
      <c r="AC232" s="154">
        <f t="shared" si="71"/>
        <v>8115.1656149392047</v>
      </c>
      <c r="AD232" s="160"/>
      <c r="AE232" s="154">
        <f t="shared" si="55"/>
        <v>2028.7914037348012</v>
      </c>
      <c r="AF232" s="154">
        <f t="shared" si="55"/>
        <v>2028.7914037348012</v>
      </c>
      <c r="AG232" s="154">
        <f t="shared" si="55"/>
        <v>2028.7914037348012</v>
      </c>
      <c r="AH232" s="154">
        <f t="shared" si="55"/>
        <v>2028.7914037348012</v>
      </c>
    </row>
    <row r="233" spans="2:34" x14ac:dyDescent="0.25">
      <c r="B233" s="10">
        <v>973</v>
      </c>
      <c r="C233" s="10">
        <v>8</v>
      </c>
      <c r="D233" s="9" t="s">
        <v>330</v>
      </c>
      <c r="E233" s="8">
        <v>1.7244254598958617</v>
      </c>
      <c r="F233" s="5">
        <v>8185.23</v>
      </c>
      <c r="G233" s="5">
        <v>0</v>
      </c>
      <c r="H233" s="5">
        <f t="shared" si="62"/>
        <v>8185.23</v>
      </c>
      <c r="I233" s="152">
        <f t="shared" si="63"/>
        <v>4746.6418180199607</v>
      </c>
      <c r="J233" s="6">
        <f t="shared" si="56"/>
        <v>1523.8797267844407</v>
      </c>
      <c r="K233" s="5">
        <f t="shared" si="64"/>
        <v>2627.816998686239</v>
      </c>
      <c r="L233" s="259">
        <v>0.13925000000000001</v>
      </c>
      <c r="M233" s="154">
        <f t="shared" si="65"/>
        <v>602.10004704256585</v>
      </c>
      <c r="N233" s="154">
        <f t="shared" si="66"/>
        <v>82.649596005769595</v>
      </c>
      <c r="O233" s="154">
        <f t="shared" si="67"/>
        <v>25.152729465203194</v>
      </c>
      <c r="P233" s="154">
        <f t="shared" si="68"/>
        <v>44.348732752802725</v>
      </c>
      <c r="Q233" s="154">
        <f t="shared" si="57"/>
        <v>754.25110526634126</v>
      </c>
      <c r="R233" s="173">
        <f t="shared" si="58"/>
        <v>0.28702573491358968</v>
      </c>
      <c r="S233" s="153">
        <f t="shared" si="59"/>
        <v>754.27026552512496</v>
      </c>
      <c r="T233" s="154"/>
      <c r="U233" s="154">
        <f>IFERROR(INDEX('2016 Clerical PYA'!$O$5:$O$241,MATCH('2017 Funding'!B233,'2016 Clerical PYA'!$A$5:$A$241,0)),0)</f>
        <v>0</v>
      </c>
      <c r="V233" s="154">
        <f>IFERROR(INDEX('Revised 2016 MFAM (2014 PYAs)'!$AD$26:$AD$262,MATCH('2017 Funding'!B233,'Revised 2016 MFAM (2014 PYAs)'!$B$26:$B$262,0)),0)</f>
        <v>0</v>
      </c>
      <c r="W233" s="154">
        <f t="shared" si="60"/>
        <v>-4.2839899494813975E-2</v>
      </c>
      <c r="X233" s="154">
        <f t="shared" si="69"/>
        <v>-4.2839899494813975E-2</v>
      </c>
      <c r="Y233" s="154"/>
      <c r="Z233" s="155">
        <f t="shared" si="61"/>
        <v>754.22742562563019</v>
      </c>
      <c r="AA233" s="156">
        <v>0</v>
      </c>
      <c r="AB233" s="157">
        <f t="shared" si="70"/>
        <v>0</v>
      </c>
      <c r="AC233" s="154">
        <f t="shared" si="71"/>
        <v>754.22742562563019</v>
      </c>
      <c r="AD233" s="160"/>
      <c r="AE233" s="154">
        <f t="shared" si="55"/>
        <v>188.55685640640755</v>
      </c>
      <c r="AF233" s="154">
        <f t="shared" si="55"/>
        <v>188.55685640640755</v>
      </c>
      <c r="AG233" s="154">
        <f t="shared" si="55"/>
        <v>188.55685640640755</v>
      </c>
      <c r="AH233" s="154">
        <f t="shared" si="55"/>
        <v>188.55685640640755</v>
      </c>
    </row>
    <row r="234" spans="2:34" x14ac:dyDescent="0.25">
      <c r="B234" s="10">
        <v>974</v>
      </c>
      <c r="C234" s="10">
        <v>8</v>
      </c>
      <c r="D234" s="9" t="s">
        <v>331</v>
      </c>
      <c r="E234" s="8">
        <v>12.83252651881895</v>
      </c>
      <c r="F234" s="5">
        <v>10931.07</v>
      </c>
      <c r="G234" s="5">
        <v>0</v>
      </c>
      <c r="H234" s="5">
        <f t="shared" si="62"/>
        <v>10931.07</v>
      </c>
      <c r="I234" s="152">
        <f t="shared" si="63"/>
        <v>851.82524142611692</v>
      </c>
      <c r="J234" s="6">
        <f t="shared" si="56"/>
        <v>851.82524142611692</v>
      </c>
      <c r="K234" s="5">
        <f t="shared" si="64"/>
        <v>10931.07</v>
      </c>
      <c r="L234" s="259">
        <v>0</v>
      </c>
      <c r="M234" s="154">
        <f t="shared" si="65"/>
        <v>2504.5875586146258</v>
      </c>
      <c r="N234" s="154">
        <f t="shared" si="66"/>
        <v>615.04724743379813</v>
      </c>
      <c r="O234" s="154">
        <f t="shared" si="67"/>
        <v>0</v>
      </c>
      <c r="P234" s="154">
        <f t="shared" si="68"/>
        <v>184.47978012720887</v>
      </c>
      <c r="Q234" s="154">
        <f t="shared" si="57"/>
        <v>3304.1145861756327</v>
      </c>
      <c r="R234" s="173">
        <f t="shared" si="58"/>
        <v>0.30226817559265767</v>
      </c>
      <c r="S234" s="153">
        <f t="shared" si="59"/>
        <v>3304.1985206771269</v>
      </c>
      <c r="T234" s="154"/>
      <c r="U234" s="154">
        <f>IFERROR(INDEX('2016 Clerical PYA'!$O$5:$O$241,MATCH('2017 Funding'!B234,'2016 Clerical PYA'!$A$5:$A$241,0)),0)</f>
        <v>1673.0845652968414</v>
      </c>
      <c r="V234" s="154">
        <f>IFERROR(INDEX('Revised 2016 MFAM (2014 PYAs)'!$AD$26:$AD$262,MATCH('2017 Funding'!B234,'Revised 2016 MFAM (2014 PYAs)'!$B$26:$B$262,0)),0)</f>
        <v>-1628.833348206972</v>
      </c>
      <c r="W234" s="154">
        <f t="shared" si="60"/>
        <v>-0.1876668602840556</v>
      </c>
      <c r="X234" s="154">
        <f t="shared" si="69"/>
        <v>44.063550229585388</v>
      </c>
      <c r="Y234" s="154"/>
      <c r="Z234" s="155">
        <f t="shared" si="61"/>
        <v>3348.2620709067123</v>
      </c>
      <c r="AA234" s="156">
        <v>0</v>
      </c>
      <c r="AB234" s="157">
        <f t="shared" si="70"/>
        <v>0</v>
      </c>
      <c r="AC234" s="154">
        <f t="shared" si="71"/>
        <v>3348.2620709067123</v>
      </c>
      <c r="AD234" s="160"/>
      <c r="AE234" s="154">
        <f t="shared" si="55"/>
        <v>837.06551772667808</v>
      </c>
      <c r="AF234" s="154">
        <f t="shared" si="55"/>
        <v>837.06551772667808</v>
      </c>
      <c r="AG234" s="154">
        <f t="shared" si="55"/>
        <v>837.06551772667808</v>
      </c>
      <c r="AH234" s="154">
        <f t="shared" si="55"/>
        <v>837.06551772667808</v>
      </c>
    </row>
    <row r="235" spans="2:34" x14ac:dyDescent="0.25">
      <c r="B235" s="10">
        <v>978</v>
      </c>
      <c r="C235" s="10">
        <v>8</v>
      </c>
      <c r="D235" s="9" t="s">
        <v>332</v>
      </c>
      <c r="E235" s="8">
        <v>34.888961461341992</v>
      </c>
      <c r="F235" s="5">
        <v>106850.54</v>
      </c>
      <c r="G235" s="5">
        <v>0</v>
      </c>
      <c r="H235" s="5">
        <f t="shared" si="62"/>
        <v>106850.54</v>
      </c>
      <c r="I235" s="152">
        <f t="shared" si="63"/>
        <v>3062.5887250439819</v>
      </c>
      <c r="J235" s="6">
        <f t="shared" si="56"/>
        <v>1523.8797267844407</v>
      </c>
      <c r="K235" s="5">
        <f t="shared" si="64"/>
        <v>53166.581059502714</v>
      </c>
      <c r="L235" s="259">
        <v>0.168375</v>
      </c>
      <c r="M235" s="154">
        <f t="shared" si="65"/>
        <v>12181.822772675183</v>
      </c>
      <c r="N235" s="154">
        <f t="shared" si="66"/>
        <v>1672.1851056495764</v>
      </c>
      <c r="O235" s="154">
        <f t="shared" si="67"/>
        <v>615.33432280475517</v>
      </c>
      <c r="P235" s="154">
        <f t="shared" si="68"/>
        <v>897.27347679344177</v>
      </c>
      <c r="Q235" s="154">
        <f t="shared" si="57"/>
        <v>15366.615677922957</v>
      </c>
      <c r="R235" s="173">
        <f t="shared" si="58"/>
        <v>0.28902771951284628</v>
      </c>
      <c r="S235" s="153">
        <f t="shared" si="59"/>
        <v>15367.006036426859</v>
      </c>
      <c r="T235" s="154"/>
      <c r="U235" s="154">
        <f>IFERROR(INDEX('2016 Clerical PYA'!$O$5:$O$241,MATCH('2017 Funding'!B235,'2016 Clerical PYA'!$A$5:$A$241,0)),0)</f>
        <v>3827.2676568907827</v>
      </c>
      <c r="V235" s="154">
        <f>IFERROR(INDEX('Revised 2016 MFAM (2014 PYAs)'!$AD$26:$AD$262,MATCH('2017 Funding'!B235,'Revised 2016 MFAM (2014 PYAs)'!$B$26:$B$262,0)),0)</f>
        <v>861.2933932969554</v>
      </c>
      <c r="W235" s="154">
        <f t="shared" si="60"/>
        <v>-0.8727919211801376</v>
      </c>
      <c r="X235" s="154">
        <f t="shared" si="69"/>
        <v>4687.6882582665576</v>
      </c>
      <c r="Y235" s="154"/>
      <c r="Z235" s="155">
        <f t="shared" si="61"/>
        <v>20054.694294693418</v>
      </c>
      <c r="AA235" s="156">
        <v>0</v>
      </c>
      <c r="AB235" s="157">
        <f t="shared" si="70"/>
        <v>0</v>
      </c>
      <c r="AC235" s="154">
        <f t="shared" si="71"/>
        <v>20054.694294693418</v>
      </c>
      <c r="AD235" s="160"/>
      <c r="AE235" s="154">
        <f t="shared" si="55"/>
        <v>5013.6735736733544</v>
      </c>
      <c r="AF235" s="154">
        <f t="shared" si="55"/>
        <v>5013.6735736733544</v>
      </c>
      <c r="AG235" s="154">
        <f t="shared" si="55"/>
        <v>5013.6735736733544</v>
      </c>
      <c r="AH235" s="154">
        <f t="shared" si="55"/>
        <v>5013.6735736733544</v>
      </c>
    </row>
    <row r="236" spans="2:34" x14ac:dyDescent="0.25">
      <c r="B236" s="91">
        <v>985</v>
      </c>
      <c r="C236" s="91">
        <v>8</v>
      </c>
      <c r="D236" s="92" t="s">
        <v>333</v>
      </c>
      <c r="E236" s="8">
        <v>19.590173498715423</v>
      </c>
      <c r="F236" s="5">
        <v>50275.8</v>
      </c>
      <c r="G236" s="5">
        <v>0</v>
      </c>
      <c r="H236" s="5">
        <f t="shared" si="62"/>
        <v>50275.8</v>
      </c>
      <c r="I236" s="152">
        <f t="shared" si="63"/>
        <v>2566.37849599937</v>
      </c>
      <c r="J236" s="6">
        <f t="shared" si="56"/>
        <v>1523.8797267844407</v>
      </c>
      <c r="K236" s="5">
        <f t="shared" si="64"/>
        <v>29853.06823888225</v>
      </c>
      <c r="L236" s="259">
        <v>0.11225</v>
      </c>
      <c r="M236" s="154">
        <f t="shared" si="65"/>
        <v>6840.1010420368648</v>
      </c>
      <c r="N236" s="154">
        <f t="shared" si="66"/>
        <v>938.93297391326064</v>
      </c>
      <c r="O236" s="154">
        <f t="shared" si="67"/>
        <v>230.34040259059142</v>
      </c>
      <c r="P236" s="154">
        <f t="shared" si="68"/>
        <v>503.81961370950506</v>
      </c>
      <c r="Q236" s="154">
        <f t="shared" si="57"/>
        <v>8513.1940322502214</v>
      </c>
      <c r="R236" s="173">
        <f t="shared" si="58"/>
        <v>0.28516981786020162</v>
      </c>
      <c r="S236" s="153">
        <f t="shared" si="59"/>
        <v>8513.4102931208981</v>
      </c>
      <c r="T236" s="154"/>
      <c r="U236" s="154">
        <f>IFERROR(INDEX('2016 Clerical PYA'!$O$5:$O$241,MATCH('2017 Funding'!B236,'2016 Clerical PYA'!$A$5:$A$241,0)),0)</f>
        <v>3185.271185460786</v>
      </c>
      <c r="V236" s="154">
        <f>IFERROR(INDEX('Revised 2016 MFAM (2014 PYAs)'!$AD$26:$AD$262,MATCH('2017 Funding'!B236,'Revised 2016 MFAM (2014 PYAs)'!$B$26:$B$262,0)),0)</f>
        <v>736.99131698968995</v>
      </c>
      <c r="W236" s="154">
        <f t="shared" si="60"/>
        <v>-0.48353177632091798</v>
      </c>
      <c r="X236" s="154">
        <f t="shared" si="69"/>
        <v>3921.7789706741551</v>
      </c>
      <c r="Y236" s="154"/>
      <c r="Z236" s="155">
        <f t="shared" si="61"/>
        <v>12435.189263795053</v>
      </c>
      <c r="AA236" s="156">
        <v>0</v>
      </c>
      <c r="AB236" s="157">
        <f t="shared" si="70"/>
        <v>0</v>
      </c>
      <c r="AC236" s="154">
        <f t="shared" si="71"/>
        <v>12435.189263795053</v>
      </c>
      <c r="AD236" s="160"/>
      <c r="AE236" s="154">
        <f t="shared" si="55"/>
        <v>3108.7973159487633</v>
      </c>
      <c r="AF236" s="154">
        <f t="shared" si="55"/>
        <v>3108.7973159487633</v>
      </c>
      <c r="AG236" s="154">
        <f t="shared" si="55"/>
        <v>3108.7973159487633</v>
      </c>
      <c r="AH236" s="154">
        <f t="shared" ref="AE236:AH269" si="72">$AC236/4</f>
        <v>3108.7973159487633</v>
      </c>
    </row>
    <row r="237" spans="2:34" x14ac:dyDescent="0.25">
      <c r="B237" s="91">
        <v>990</v>
      </c>
      <c r="C237" s="91">
        <v>8</v>
      </c>
      <c r="D237" s="92" t="s">
        <v>0</v>
      </c>
      <c r="E237" s="8">
        <v>4.5366451435800732</v>
      </c>
      <c r="F237" s="5">
        <v>3891.97</v>
      </c>
      <c r="G237" s="5">
        <v>0</v>
      </c>
      <c r="H237" s="5">
        <f t="shared" si="62"/>
        <v>3891.97</v>
      </c>
      <c r="I237" s="152">
        <f t="shared" si="63"/>
        <v>857.8960612574316</v>
      </c>
      <c r="J237" s="6">
        <f t="shared" si="56"/>
        <v>857.8960612574316</v>
      </c>
      <c r="K237" s="5">
        <f t="shared" si="64"/>
        <v>3891.9700000000003</v>
      </c>
      <c r="L237" s="259">
        <v>8.3125000000000004E-2</v>
      </c>
      <c r="M237" s="154">
        <f t="shared" si="65"/>
        <v>891.74981410798432</v>
      </c>
      <c r="N237" s="154">
        <f t="shared" si="66"/>
        <v>217.43583417115232</v>
      </c>
      <c r="O237" s="154">
        <f t="shared" si="67"/>
        <v>22.238010989317861</v>
      </c>
      <c r="P237" s="154">
        <f t="shared" si="68"/>
        <v>65.683393287362819</v>
      </c>
      <c r="Q237" s="154">
        <f t="shared" si="57"/>
        <v>1197.1070525558173</v>
      </c>
      <c r="R237" s="173">
        <f t="shared" si="58"/>
        <v>0.30758383352282193</v>
      </c>
      <c r="S237" s="153">
        <f t="shared" si="59"/>
        <v>1197.1374626947731</v>
      </c>
      <c r="T237" s="154"/>
      <c r="U237" s="154">
        <f>IFERROR(INDEX('2016 Clerical PYA'!$O$5:$O$241,MATCH('2017 Funding'!B237,'2016 Clerical PYA'!$A$5:$A$241,0)),0)</f>
        <v>178.30321206068174</v>
      </c>
      <c r="V237" s="154">
        <f>IFERROR(INDEX('Revised 2016 MFAM (2014 PYAs)'!$AD$26:$AD$262,MATCH('2017 Funding'!B237,'Revised 2016 MFAM (2014 PYAs)'!$B$26:$B$262,0)),0)</f>
        <v>10.804362033319194</v>
      </c>
      <c r="W237" s="154">
        <f t="shared" si="60"/>
        <v>-6.7993199423837525E-2</v>
      </c>
      <c r="X237" s="154">
        <f t="shared" si="69"/>
        <v>189.03958089457711</v>
      </c>
      <c r="Y237" s="154"/>
      <c r="Z237" s="155">
        <f t="shared" si="61"/>
        <v>1386.1770435893502</v>
      </c>
      <c r="AA237" s="156">
        <v>0</v>
      </c>
      <c r="AB237" s="157">
        <f t="shared" si="70"/>
        <v>0</v>
      </c>
      <c r="AC237" s="154">
        <f t="shared" si="71"/>
        <v>1386.1770435893502</v>
      </c>
      <c r="AD237" s="160"/>
      <c r="AE237" s="154">
        <f t="shared" si="72"/>
        <v>346.54426089733755</v>
      </c>
      <c r="AF237" s="154">
        <f t="shared" si="72"/>
        <v>346.54426089733755</v>
      </c>
      <c r="AG237" s="154">
        <f t="shared" si="72"/>
        <v>346.54426089733755</v>
      </c>
      <c r="AH237" s="154">
        <f t="shared" si="72"/>
        <v>346.54426089733755</v>
      </c>
    </row>
    <row r="238" spans="2:34" x14ac:dyDescent="0.25">
      <c r="B238" s="10">
        <v>100</v>
      </c>
      <c r="C238" s="10">
        <v>9</v>
      </c>
      <c r="D238" s="9" t="s">
        <v>334</v>
      </c>
      <c r="E238" s="8">
        <v>32.854672170768382</v>
      </c>
      <c r="F238" s="5">
        <v>29427.72</v>
      </c>
      <c r="G238" s="5">
        <v>0</v>
      </c>
      <c r="H238" s="5">
        <f t="shared" si="62"/>
        <v>29427.72</v>
      </c>
      <c r="I238" s="152">
        <f t="shared" si="63"/>
        <v>895.6936123740287</v>
      </c>
      <c r="J238" s="6">
        <f t="shared" si="56"/>
        <v>895.6936123740287</v>
      </c>
      <c r="K238" s="5">
        <f t="shared" si="64"/>
        <v>29427.72</v>
      </c>
      <c r="L238" s="259">
        <v>7.4833333333333335E-2</v>
      </c>
      <c r="M238" s="154">
        <f t="shared" si="65"/>
        <v>6742.642887694873</v>
      </c>
      <c r="N238" s="154">
        <f t="shared" si="66"/>
        <v>1574.6841165172734</v>
      </c>
      <c r="O238" s="154">
        <f t="shared" si="67"/>
        <v>151.3723328287499</v>
      </c>
      <c r="P238" s="154">
        <f t="shared" si="68"/>
        <v>496.64116278141728</v>
      </c>
      <c r="Q238" s="154">
        <f t="shared" si="57"/>
        <v>8965.3404998223141</v>
      </c>
      <c r="R238" s="173">
        <f t="shared" si="58"/>
        <v>0.30465630704051533</v>
      </c>
      <c r="S238" s="153">
        <f t="shared" si="59"/>
        <v>8965.5682465804712</v>
      </c>
      <c r="T238" s="154"/>
      <c r="U238" s="154">
        <f>IFERROR(INDEX('2016 Clerical PYA'!$O$5:$O$241,MATCH('2017 Funding'!B238,'2016 Clerical PYA'!$A$5:$A$241,0)),0)</f>
        <v>132.00574857487118</v>
      </c>
      <c r="V238" s="154">
        <f>IFERROR(INDEX('Revised 2016 MFAM (2014 PYAs)'!$AD$26:$AD$262,MATCH('2017 Funding'!B238,'Revised 2016 MFAM (2014 PYAs)'!$B$26:$B$262,0)),0)</f>
        <v>58.373505854990071</v>
      </c>
      <c r="W238" s="154">
        <f t="shared" si="60"/>
        <v>-0.50921275854617265</v>
      </c>
      <c r="X238" s="154">
        <f t="shared" si="69"/>
        <v>189.87004167131508</v>
      </c>
      <c r="Y238" s="154"/>
      <c r="Z238" s="155">
        <f t="shared" si="61"/>
        <v>9155.4382882517857</v>
      </c>
      <c r="AA238" s="156">
        <v>0</v>
      </c>
      <c r="AB238" s="157">
        <f t="shared" si="70"/>
        <v>0</v>
      </c>
      <c r="AC238" s="154">
        <f t="shared" si="71"/>
        <v>9155.4382882517857</v>
      </c>
      <c r="AD238" s="160"/>
      <c r="AE238" s="154">
        <f t="shared" si="72"/>
        <v>2288.8595720629464</v>
      </c>
      <c r="AF238" s="154">
        <f t="shared" si="72"/>
        <v>2288.8595720629464</v>
      </c>
      <c r="AG238" s="154">
        <f t="shared" si="72"/>
        <v>2288.8595720629464</v>
      </c>
      <c r="AH238" s="154">
        <f t="shared" si="72"/>
        <v>2288.8595720629464</v>
      </c>
    </row>
    <row r="239" spans="2:34" x14ac:dyDescent="0.25">
      <c r="B239" s="10">
        <v>159</v>
      </c>
      <c r="C239" s="10">
        <v>9</v>
      </c>
      <c r="D239" s="9" t="s">
        <v>335</v>
      </c>
      <c r="E239" s="8">
        <v>864.83875856706163</v>
      </c>
      <c r="F239" s="5">
        <v>216577.6</v>
      </c>
      <c r="G239" s="5">
        <v>0</v>
      </c>
      <c r="H239" s="5">
        <f t="shared" si="62"/>
        <v>216577.6</v>
      </c>
      <c r="I239" s="152">
        <f t="shared" si="63"/>
        <v>250.42540919285833</v>
      </c>
      <c r="J239" s="6">
        <f t="shared" si="56"/>
        <v>250.42540919285833</v>
      </c>
      <c r="K239" s="5">
        <f t="shared" si="64"/>
        <v>216577.6</v>
      </c>
      <c r="L239" s="259">
        <v>0.53376190476190477</v>
      </c>
      <c r="M239" s="154">
        <f t="shared" si="65"/>
        <v>49623.464348377143</v>
      </c>
      <c r="N239" s="154">
        <f t="shared" si="66"/>
        <v>41450.660331827596</v>
      </c>
      <c r="O239" s="154">
        <f t="shared" si="67"/>
        <v>7946.1344554422767</v>
      </c>
      <c r="P239" s="154">
        <f t="shared" si="68"/>
        <v>3655.103116939018</v>
      </c>
      <c r="Q239" s="154">
        <f t="shared" si="57"/>
        <v>102675.36225258604</v>
      </c>
      <c r="R239" s="173">
        <f t="shared" si="58"/>
        <v>0.47408117114875242</v>
      </c>
      <c r="S239" s="153">
        <f t="shared" si="59"/>
        <v>102677.97051725775</v>
      </c>
      <c r="T239" s="154"/>
      <c r="U239" s="154">
        <f>IFERROR(INDEX('2016 Clerical PYA'!$O$5:$O$241,MATCH('2017 Funding'!B239,'2016 Clerical PYA'!$A$5:$A$241,0)),0)</f>
        <v>-3405.778036085685</v>
      </c>
      <c r="V239" s="154">
        <f>IFERROR(INDEX('Revised 2016 MFAM (2014 PYAs)'!$AD$26:$AD$262,MATCH('2017 Funding'!B239,'Revised 2016 MFAM (2014 PYAs)'!$B$26:$B$262,0)),0)</f>
        <v>673.81917363288812</v>
      </c>
      <c r="W239" s="154">
        <f t="shared" si="60"/>
        <v>-5.8317477677956706</v>
      </c>
      <c r="X239" s="154">
        <f t="shared" si="69"/>
        <v>-2737.7906102205925</v>
      </c>
      <c r="Y239" s="154"/>
      <c r="Z239" s="155">
        <f t="shared" si="61"/>
        <v>99940.179907037164</v>
      </c>
      <c r="AA239" s="156">
        <v>0</v>
      </c>
      <c r="AB239" s="157">
        <f t="shared" si="70"/>
        <v>0</v>
      </c>
      <c r="AC239" s="154">
        <f t="shared" si="71"/>
        <v>99940.179907037164</v>
      </c>
      <c r="AD239" s="160"/>
      <c r="AE239" s="154">
        <f t="shared" si="72"/>
        <v>24985.044976759291</v>
      </c>
      <c r="AF239" s="154">
        <f t="shared" si="72"/>
        <v>24985.044976759291</v>
      </c>
      <c r="AG239" s="154">
        <f t="shared" si="72"/>
        <v>24985.044976759291</v>
      </c>
      <c r="AH239" s="154">
        <f t="shared" si="72"/>
        <v>24985.044976759291</v>
      </c>
    </row>
    <row r="240" spans="2:34" x14ac:dyDescent="0.25">
      <c r="B240" s="10">
        <v>173</v>
      </c>
      <c r="C240" s="10">
        <v>9</v>
      </c>
      <c r="D240" s="9" t="s">
        <v>336</v>
      </c>
      <c r="E240" s="8">
        <v>326.28000000000003</v>
      </c>
      <c r="F240" s="5">
        <v>190081.07</v>
      </c>
      <c r="G240" s="5">
        <v>430</v>
      </c>
      <c r="H240" s="5">
        <f t="shared" si="62"/>
        <v>189651.07</v>
      </c>
      <c r="I240" s="152">
        <f t="shared" si="63"/>
        <v>581.25251317886477</v>
      </c>
      <c r="J240" s="6">
        <f t="shared" si="56"/>
        <v>581.25251317886477</v>
      </c>
      <c r="K240" s="5">
        <f t="shared" si="64"/>
        <v>189651.07</v>
      </c>
      <c r="L240" s="259">
        <v>0.62185863095238092</v>
      </c>
      <c r="M240" s="154">
        <f t="shared" si="65"/>
        <v>43453.908025467907</v>
      </c>
      <c r="N240" s="154">
        <f t="shared" si="66"/>
        <v>15638.199975539124</v>
      </c>
      <c r="O240" s="154">
        <f t="shared" si="67"/>
        <v>8106.6563262744448</v>
      </c>
      <c r="P240" s="154">
        <f t="shared" si="68"/>
        <v>3200.6736480957393</v>
      </c>
      <c r="Q240" s="154">
        <f t="shared" si="57"/>
        <v>70399.437975377208</v>
      </c>
      <c r="R240" s="173">
        <f t="shared" si="58"/>
        <v>0.37120506610048237</v>
      </c>
      <c r="S240" s="153">
        <f t="shared" si="59"/>
        <v>70401.226333976112</v>
      </c>
      <c r="T240" s="154"/>
      <c r="U240" s="154">
        <f>IFERROR(INDEX('2016 Clerical PYA'!$O$5:$O$241,MATCH('2017 Funding'!B240,'2016 Clerical PYA'!$A$5:$A$241,0)),0)</f>
        <v>-2036.0222246381454</v>
      </c>
      <c r="V240" s="154">
        <f>IFERROR(INDEX('Revised 2016 MFAM (2014 PYAs)'!$AD$26:$AD$262,MATCH('2017 Funding'!B240,'Revised 2016 MFAM (2014 PYAs)'!$B$26:$B$262,0)),0)</f>
        <v>359.60020772219286</v>
      </c>
      <c r="W240" s="154">
        <f t="shared" si="60"/>
        <v>-3.9985421649353414</v>
      </c>
      <c r="X240" s="154">
        <f t="shared" si="69"/>
        <v>-1680.4205590808879</v>
      </c>
      <c r="Y240" s="154"/>
      <c r="Z240" s="155">
        <f t="shared" si="61"/>
        <v>68720.805774895227</v>
      </c>
      <c r="AA240" s="156">
        <v>0</v>
      </c>
      <c r="AB240" s="157">
        <f t="shared" si="70"/>
        <v>0</v>
      </c>
      <c r="AC240" s="154">
        <f t="shared" si="71"/>
        <v>68720.805774895227</v>
      </c>
      <c r="AD240" s="160"/>
      <c r="AE240" s="154">
        <f t="shared" si="72"/>
        <v>17180.201443723807</v>
      </c>
      <c r="AF240" s="154">
        <f t="shared" si="72"/>
        <v>17180.201443723807</v>
      </c>
      <c r="AG240" s="154">
        <f t="shared" si="72"/>
        <v>17180.201443723807</v>
      </c>
      <c r="AH240" s="154">
        <f t="shared" si="72"/>
        <v>17180.201443723807</v>
      </c>
    </row>
    <row r="241" spans="2:34" x14ac:dyDescent="0.25">
      <c r="B241" s="10">
        <v>204</v>
      </c>
      <c r="C241" s="10">
        <v>9</v>
      </c>
      <c r="D241" s="9" t="s">
        <v>337</v>
      </c>
      <c r="E241" s="8">
        <v>568.74587975616453</v>
      </c>
      <c r="F241" s="5">
        <v>317224.81</v>
      </c>
      <c r="G241" s="5">
        <v>1338.9099999999999</v>
      </c>
      <c r="H241" s="5">
        <f t="shared" si="62"/>
        <v>315885.90000000002</v>
      </c>
      <c r="I241" s="152">
        <f t="shared" si="63"/>
        <v>555.40780380761294</v>
      </c>
      <c r="J241" s="6">
        <f t="shared" si="56"/>
        <v>555.40780380761294</v>
      </c>
      <c r="K241" s="5">
        <f t="shared" si="64"/>
        <v>315885.90000000002</v>
      </c>
      <c r="L241" s="259">
        <v>0.54336160714285708</v>
      </c>
      <c r="M241" s="154">
        <f t="shared" si="65"/>
        <v>72377.534411707529</v>
      </c>
      <c r="N241" s="154">
        <f t="shared" si="66"/>
        <v>27259.29202798464</v>
      </c>
      <c r="O241" s="154">
        <f t="shared" si="67"/>
        <v>11798.152025694853</v>
      </c>
      <c r="P241" s="154">
        <f t="shared" si="68"/>
        <v>5331.0939713390817</v>
      </c>
      <c r="Q241" s="154">
        <f t="shared" si="57"/>
        <v>116766.07243672611</v>
      </c>
      <c r="R241" s="173">
        <f t="shared" si="58"/>
        <v>0.36964635786759115</v>
      </c>
      <c r="S241" s="153">
        <f t="shared" si="59"/>
        <v>116769.03864804409</v>
      </c>
      <c r="T241" s="154"/>
      <c r="U241" s="154">
        <f>IFERROR(INDEX('2016 Clerical PYA'!$O$5:$O$241,MATCH('2017 Funding'!B241,'2016 Clerical PYA'!$A$5:$A$241,0)),0)</f>
        <v>-4369.9683337996976</v>
      </c>
      <c r="V241" s="154">
        <f>IFERROR(INDEX('Revised 2016 MFAM (2014 PYAs)'!$AD$26:$AD$262,MATCH('2017 Funding'!B241,'Revised 2016 MFAM (2014 PYAs)'!$B$26:$B$262,0)),0)</f>
        <v>20.473240914187045</v>
      </c>
      <c r="W241" s="154">
        <f t="shared" si="60"/>
        <v>-6.6320709014103754</v>
      </c>
      <c r="X241" s="154">
        <f t="shared" si="69"/>
        <v>-4356.1271637869213</v>
      </c>
      <c r="Y241" s="154"/>
      <c r="Z241" s="155">
        <f t="shared" si="61"/>
        <v>112412.91148425717</v>
      </c>
      <c r="AA241" s="156">
        <v>0</v>
      </c>
      <c r="AB241" s="157">
        <f t="shared" si="70"/>
        <v>0</v>
      </c>
      <c r="AC241" s="154">
        <f t="shared" si="71"/>
        <v>112412.91148425717</v>
      </c>
      <c r="AD241" s="160"/>
      <c r="AE241" s="154">
        <f t="shared" si="72"/>
        <v>28103.227871064293</v>
      </c>
      <c r="AF241" s="154">
        <f t="shared" si="72"/>
        <v>28103.227871064293</v>
      </c>
      <c r="AG241" s="154">
        <f t="shared" si="72"/>
        <v>28103.227871064293</v>
      </c>
      <c r="AH241" s="154">
        <f t="shared" si="72"/>
        <v>28103.227871064293</v>
      </c>
    </row>
    <row r="242" spans="2:34" x14ac:dyDescent="0.25">
      <c r="B242" s="10">
        <v>218</v>
      </c>
      <c r="C242" s="10">
        <v>9</v>
      </c>
      <c r="D242" s="9" t="s">
        <v>338</v>
      </c>
      <c r="E242" s="8">
        <v>324.73918024789344</v>
      </c>
      <c r="F242" s="5">
        <v>200356.76</v>
      </c>
      <c r="G242" s="5">
        <v>58</v>
      </c>
      <c r="H242" s="5">
        <f t="shared" si="62"/>
        <v>200298.76</v>
      </c>
      <c r="I242" s="152">
        <f t="shared" si="63"/>
        <v>616.79887178103854</v>
      </c>
      <c r="J242" s="6">
        <f t="shared" si="56"/>
        <v>616.79887178103854</v>
      </c>
      <c r="K242" s="5">
        <f t="shared" si="64"/>
        <v>200298.75999999998</v>
      </c>
      <c r="L242" s="259">
        <v>0.4512916666666667</v>
      </c>
      <c r="M242" s="154">
        <f t="shared" si="65"/>
        <v>45893.565982281405</v>
      </c>
      <c r="N242" s="154">
        <f t="shared" si="66"/>
        <v>15564.350375779091</v>
      </c>
      <c r="O242" s="154">
        <f t="shared" si="67"/>
        <v>6213.4151644261246</v>
      </c>
      <c r="P242" s="154">
        <f t="shared" si="68"/>
        <v>3380.3709247633192</v>
      </c>
      <c r="Q242" s="154">
        <f t="shared" si="57"/>
        <v>71051.702447249947</v>
      </c>
      <c r="R242" s="173">
        <f t="shared" si="58"/>
        <v>0.35472861862574662</v>
      </c>
      <c r="S242" s="153">
        <f t="shared" si="59"/>
        <v>71053.507375338755</v>
      </c>
      <c r="T242" s="154"/>
      <c r="U242" s="154">
        <f>IFERROR(INDEX('2016 Clerical PYA'!$O$5:$O$241,MATCH('2017 Funding'!B242,'2016 Clerical PYA'!$A$5:$A$241,0)),0)</f>
        <v>-3875.9811928563577</v>
      </c>
      <c r="V242" s="154">
        <f>IFERROR(INDEX('Revised 2016 MFAM (2014 PYAs)'!$AD$26:$AD$262,MATCH('2017 Funding'!B242,'Revised 2016 MFAM (2014 PYAs)'!$B$26:$B$262,0)),0)</f>
        <v>-2284.1922513204336</v>
      </c>
      <c r="W242" s="154">
        <f t="shared" si="60"/>
        <v>-4.0355894350340691</v>
      </c>
      <c r="X242" s="154">
        <f t="shared" si="69"/>
        <v>-6164.2090336118254</v>
      </c>
      <c r="Y242" s="154"/>
      <c r="Z242" s="155">
        <f t="shared" si="61"/>
        <v>64889.298341726928</v>
      </c>
      <c r="AA242" s="156">
        <v>0</v>
      </c>
      <c r="AB242" s="157">
        <f t="shared" si="70"/>
        <v>0</v>
      </c>
      <c r="AC242" s="154">
        <f t="shared" si="71"/>
        <v>64889.298341726928</v>
      </c>
      <c r="AD242" s="160"/>
      <c r="AE242" s="154">
        <f t="shared" si="72"/>
        <v>16222.324585431732</v>
      </c>
      <c r="AF242" s="154">
        <f t="shared" si="72"/>
        <v>16222.324585431732</v>
      </c>
      <c r="AG242" s="154">
        <f t="shared" si="72"/>
        <v>16222.324585431732</v>
      </c>
      <c r="AH242" s="154">
        <f t="shared" si="72"/>
        <v>16222.324585431732</v>
      </c>
    </row>
    <row r="243" spans="2:34" x14ac:dyDescent="0.25">
      <c r="B243" s="10">
        <v>230</v>
      </c>
      <c r="C243" s="10">
        <v>9</v>
      </c>
      <c r="D243" s="9" t="s">
        <v>339</v>
      </c>
      <c r="E243" s="8">
        <v>130.17223865031147</v>
      </c>
      <c r="F243" s="5">
        <v>73068.070000000007</v>
      </c>
      <c r="G243" s="5">
        <v>231.88</v>
      </c>
      <c r="H243" s="5">
        <f t="shared" si="62"/>
        <v>72836.19</v>
      </c>
      <c r="I243" s="152">
        <f t="shared" si="63"/>
        <v>559.53704687881793</v>
      </c>
      <c r="J243" s="6">
        <f t="shared" si="56"/>
        <v>559.53704687881793</v>
      </c>
      <c r="K243" s="5">
        <f t="shared" si="64"/>
        <v>72836.19</v>
      </c>
      <c r="L243" s="259">
        <v>0.31142559523809521</v>
      </c>
      <c r="M243" s="154">
        <f t="shared" si="65"/>
        <v>16688.632978371836</v>
      </c>
      <c r="N243" s="154">
        <f t="shared" si="66"/>
        <v>6238.9956456944146</v>
      </c>
      <c r="O243" s="154">
        <f t="shared" si="67"/>
        <v>1559.1802376998662</v>
      </c>
      <c r="P243" s="154">
        <f t="shared" si="68"/>
        <v>1229.2304702562155</v>
      </c>
      <c r="Q243" s="154">
        <f t="shared" si="57"/>
        <v>25716.039332022334</v>
      </c>
      <c r="R243" s="173">
        <f t="shared" si="58"/>
        <v>0.3530667835868726</v>
      </c>
      <c r="S243" s="153">
        <f t="shared" si="59"/>
        <v>25716.692597181711</v>
      </c>
      <c r="T243" s="154"/>
      <c r="U243" s="154">
        <f>IFERROR(INDEX('2016 Clerical PYA'!$O$5:$O$241,MATCH('2017 Funding'!B243,'2016 Clerical PYA'!$A$5:$A$241,0)),0)</f>
        <v>-839.63458471922786</v>
      </c>
      <c r="V243" s="154">
        <f>IFERROR(INDEX('Revised 2016 MFAM (2014 PYAs)'!$AD$26:$AD$262,MATCH('2017 Funding'!B243,'Revised 2016 MFAM (2014 PYAs)'!$B$26:$B$262,0)),0)</f>
        <v>152.50671691601019</v>
      </c>
      <c r="W243" s="154">
        <f t="shared" si="60"/>
        <v>-1.460617734195427</v>
      </c>
      <c r="X243" s="154">
        <f t="shared" si="69"/>
        <v>-688.58848553741313</v>
      </c>
      <c r="Y243" s="154"/>
      <c r="Z243" s="155">
        <f t="shared" si="61"/>
        <v>25028.104111644298</v>
      </c>
      <c r="AA243" s="156">
        <v>0</v>
      </c>
      <c r="AB243" s="157">
        <f t="shared" si="70"/>
        <v>0</v>
      </c>
      <c r="AC243" s="154">
        <f t="shared" si="71"/>
        <v>25028.104111644298</v>
      </c>
      <c r="AD243" s="160"/>
      <c r="AE243" s="154">
        <f t="shared" si="72"/>
        <v>6257.0260279110744</v>
      </c>
      <c r="AF243" s="154">
        <f t="shared" si="72"/>
        <v>6257.0260279110744</v>
      </c>
      <c r="AG243" s="154">
        <f t="shared" si="72"/>
        <v>6257.0260279110744</v>
      </c>
      <c r="AH243" s="154">
        <f t="shared" si="72"/>
        <v>6257.0260279110744</v>
      </c>
    </row>
    <row r="244" spans="2:34" x14ac:dyDescent="0.25">
      <c r="B244" s="10">
        <v>277</v>
      </c>
      <c r="C244" s="10">
        <v>9</v>
      </c>
      <c r="D244" s="9" t="s">
        <v>340</v>
      </c>
      <c r="E244" s="8">
        <v>114.46027707492898</v>
      </c>
      <c r="F244" s="5">
        <v>65605.63</v>
      </c>
      <c r="G244" s="5">
        <v>0</v>
      </c>
      <c r="H244" s="5">
        <f t="shared" si="62"/>
        <v>65605.63</v>
      </c>
      <c r="I244" s="152">
        <f t="shared" si="63"/>
        <v>573.17378287536974</v>
      </c>
      <c r="J244" s="6">
        <f t="shared" si="56"/>
        <v>573.17378287536974</v>
      </c>
      <c r="K244" s="5">
        <f t="shared" si="64"/>
        <v>65605.63</v>
      </c>
      <c r="L244" s="259">
        <v>0.27438095238095239</v>
      </c>
      <c r="M244" s="154">
        <f t="shared" si="65"/>
        <v>15031.926853736593</v>
      </c>
      <c r="N244" s="154">
        <f t="shared" si="66"/>
        <v>5485.9406097626443</v>
      </c>
      <c r="O244" s="154">
        <f t="shared" si="67"/>
        <v>1237.342321874718</v>
      </c>
      <c r="P244" s="154">
        <f t="shared" si="68"/>
        <v>1107.2028811001135</v>
      </c>
      <c r="Q244" s="154">
        <f t="shared" si="57"/>
        <v>22862.412666474072</v>
      </c>
      <c r="R244" s="173">
        <f t="shared" si="58"/>
        <v>0.34848248033703921</v>
      </c>
      <c r="S244" s="153">
        <f t="shared" si="59"/>
        <v>22862.993440887327</v>
      </c>
      <c r="T244" s="154"/>
      <c r="U244" s="154">
        <f>IFERROR(INDEX('2016 Clerical PYA'!$O$5:$O$241,MATCH('2017 Funding'!B244,'2016 Clerical PYA'!$A$5:$A$241,0)),0)</f>
        <v>-749.09579967935497</v>
      </c>
      <c r="V244" s="154">
        <f>IFERROR(INDEX('Revised 2016 MFAM (2014 PYAs)'!$AD$26:$AD$262,MATCH('2017 Funding'!B244,'Revised 2016 MFAM (2014 PYAs)'!$B$26:$B$262,0)),0)</f>
        <v>132.69401416812616</v>
      </c>
      <c r="W244" s="154">
        <f t="shared" si="60"/>
        <v>-1.298537654107722</v>
      </c>
      <c r="X244" s="154">
        <f t="shared" si="69"/>
        <v>-617.7003231653365</v>
      </c>
      <c r="Y244" s="154"/>
      <c r="Z244" s="155">
        <f t="shared" si="61"/>
        <v>22245.293117721991</v>
      </c>
      <c r="AA244" s="156">
        <v>0</v>
      </c>
      <c r="AB244" s="157">
        <f t="shared" si="70"/>
        <v>0</v>
      </c>
      <c r="AC244" s="154">
        <f t="shared" si="71"/>
        <v>22245.293117721991</v>
      </c>
      <c r="AD244" s="160"/>
      <c r="AE244" s="154">
        <f t="shared" si="72"/>
        <v>5561.3232794304977</v>
      </c>
      <c r="AF244" s="154">
        <f t="shared" si="72"/>
        <v>5561.3232794304977</v>
      </c>
      <c r="AG244" s="154">
        <f t="shared" si="72"/>
        <v>5561.3232794304977</v>
      </c>
      <c r="AH244" s="154">
        <f t="shared" si="72"/>
        <v>5561.3232794304977</v>
      </c>
    </row>
    <row r="245" spans="2:34" x14ac:dyDescent="0.25">
      <c r="B245" s="10">
        <v>279</v>
      </c>
      <c r="C245" s="10">
        <v>9</v>
      </c>
      <c r="D245" s="9" t="s">
        <v>341</v>
      </c>
      <c r="E245" s="8">
        <v>525.26699782726371</v>
      </c>
      <c r="F245" s="5">
        <v>113636.19</v>
      </c>
      <c r="G245" s="5">
        <v>144</v>
      </c>
      <c r="H245" s="5">
        <f t="shared" si="62"/>
        <v>113492.19</v>
      </c>
      <c r="I245" s="152">
        <f t="shared" si="63"/>
        <v>216.06571604432378</v>
      </c>
      <c r="J245" s="6">
        <f t="shared" si="56"/>
        <v>216.06571604432378</v>
      </c>
      <c r="K245" s="5">
        <f t="shared" si="64"/>
        <v>113492.19</v>
      </c>
      <c r="L245" s="259">
        <v>0.46893005952380951</v>
      </c>
      <c r="M245" s="154">
        <f t="shared" si="65"/>
        <v>26003.961833006946</v>
      </c>
      <c r="N245" s="154">
        <f t="shared" si="66"/>
        <v>25175.402576234595</v>
      </c>
      <c r="O245" s="154">
        <f t="shared" si="67"/>
        <v>3658.2118110620454</v>
      </c>
      <c r="P245" s="154">
        <f t="shared" si="68"/>
        <v>1915.367320615037</v>
      </c>
      <c r="Q245" s="154">
        <f t="shared" si="57"/>
        <v>56752.943540918619</v>
      </c>
      <c r="R245" s="173">
        <f t="shared" si="58"/>
        <v>0.50006034371985086</v>
      </c>
      <c r="S245" s="153">
        <f t="shared" si="59"/>
        <v>56754.385237294518</v>
      </c>
      <c r="T245" s="154"/>
      <c r="U245" s="154">
        <f>IFERROR(INDEX('2016 Clerical PYA'!$O$5:$O$241,MATCH('2017 Funding'!B245,'2016 Clerical PYA'!$A$5:$A$241,0)),0)</f>
        <v>-1443.838498643694</v>
      </c>
      <c r="V245" s="154">
        <f>IFERROR(INDEX('Revised 2016 MFAM (2014 PYAs)'!$AD$26:$AD$262,MATCH('2017 Funding'!B245,'Revised 2016 MFAM (2014 PYAs)'!$B$26:$B$262,0)),0)</f>
        <v>299.87124718564155</v>
      </c>
      <c r="W245" s="154">
        <f t="shared" si="60"/>
        <v>-3.2234495652071575</v>
      </c>
      <c r="X245" s="154">
        <f t="shared" si="69"/>
        <v>-1147.1907010232596</v>
      </c>
      <c r="Y245" s="154"/>
      <c r="Z245" s="155">
        <f t="shared" si="61"/>
        <v>55607.194536271258</v>
      </c>
      <c r="AA245" s="156">
        <v>0</v>
      </c>
      <c r="AB245" s="157">
        <f t="shared" si="70"/>
        <v>0</v>
      </c>
      <c r="AC245" s="154">
        <f t="shared" si="71"/>
        <v>55607.194536271258</v>
      </c>
      <c r="AD245" s="160"/>
      <c r="AE245" s="154">
        <f t="shared" si="72"/>
        <v>13901.798634067814</v>
      </c>
      <c r="AF245" s="154">
        <f t="shared" si="72"/>
        <v>13901.798634067814</v>
      </c>
      <c r="AG245" s="154">
        <f t="shared" si="72"/>
        <v>13901.798634067814</v>
      </c>
      <c r="AH245" s="154">
        <f t="shared" si="72"/>
        <v>13901.798634067814</v>
      </c>
    </row>
    <row r="246" spans="2:34" x14ac:dyDescent="0.25">
      <c r="B246" s="10">
        <v>331</v>
      </c>
      <c r="C246" s="10">
        <v>9</v>
      </c>
      <c r="D246" s="9" t="s">
        <v>342</v>
      </c>
      <c r="E246" s="8">
        <v>737.493877396681</v>
      </c>
      <c r="F246" s="5">
        <v>127960.52</v>
      </c>
      <c r="G246" s="5">
        <v>10343.35</v>
      </c>
      <c r="H246" s="5">
        <f t="shared" si="62"/>
        <v>117617.17</v>
      </c>
      <c r="I246" s="152">
        <f t="shared" si="63"/>
        <v>159.48223246975707</v>
      </c>
      <c r="J246" s="6">
        <f t="shared" si="56"/>
        <v>159.48223246975707</v>
      </c>
      <c r="K246" s="5">
        <f t="shared" si="64"/>
        <v>117617.17</v>
      </c>
      <c r="L246" s="259">
        <v>0.53819791666666672</v>
      </c>
      <c r="M246" s="154">
        <f t="shared" si="65"/>
        <v>26949.100194350725</v>
      </c>
      <c r="N246" s="154">
        <f t="shared" si="66"/>
        <v>35347.176460294926</v>
      </c>
      <c r="O246" s="154">
        <f t="shared" si="67"/>
        <v>4351.1848741922468</v>
      </c>
      <c r="P246" s="154">
        <f t="shared" si="68"/>
        <v>1984.9831407890122</v>
      </c>
      <c r="Q246" s="154">
        <f t="shared" si="57"/>
        <v>68632.444669626915</v>
      </c>
      <c r="R246" s="173">
        <f t="shared" si="58"/>
        <v>0.58352402688847993</v>
      </c>
      <c r="S246" s="153">
        <f t="shared" si="59"/>
        <v>68634.188141252802</v>
      </c>
      <c r="T246" s="154"/>
      <c r="U246" s="154">
        <f>IFERROR(INDEX('2016 Clerical PYA'!$O$5:$O$241,MATCH('2017 Funding'!B246,'2016 Clerical PYA'!$A$5:$A$241,0)),0)</f>
        <v>-2428.9668651679676</v>
      </c>
      <c r="V246" s="154">
        <f>IFERROR(INDEX('Revised 2016 MFAM (2014 PYAs)'!$AD$26:$AD$262,MATCH('2017 Funding'!B246,'Revised 2016 MFAM (2014 PYAs)'!$B$26:$B$262,0)),0)</f>
        <v>177.03903764663846</v>
      </c>
      <c r="W246" s="154">
        <f t="shared" si="60"/>
        <v>-3.8981806074940413</v>
      </c>
      <c r="X246" s="154">
        <f t="shared" si="69"/>
        <v>-2255.8260081288231</v>
      </c>
      <c r="Y246" s="154"/>
      <c r="Z246" s="155">
        <f t="shared" si="61"/>
        <v>66378.362133123985</v>
      </c>
      <c r="AA246" s="156">
        <v>0</v>
      </c>
      <c r="AB246" s="157">
        <f t="shared" si="70"/>
        <v>0</v>
      </c>
      <c r="AC246" s="154">
        <f t="shared" si="71"/>
        <v>66378.362133123985</v>
      </c>
      <c r="AD246" s="160"/>
      <c r="AE246" s="154">
        <f t="shared" si="72"/>
        <v>16594.590533280996</v>
      </c>
      <c r="AF246" s="154">
        <f t="shared" si="72"/>
        <v>16594.590533280996</v>
      </c>
      <c r="AG246" s="154">
        <f t="shared" si="72"/>
        <v>16594.590533280996</v>
      </c>
      <c r="AH246" s="154">
        <f t="shared" si="72"/>
        <v>16594.590533280996</v>
      </c>
    </row>
    <row r="247" spans="2:34" x14ac:dyDescent="0.25">
      <c r="B247" s="10">
        <v>369</v>
      </c>
      <c r="C247" s="10">
        <v>9</v>
      </c>
      <c r="D247" s="9" t="s">
        <v>343</v>
      </c>
      <c r="E247" s="8">
        <v>339.40999999999997</v>
      </c>
      <c r="F247" s="5">
        <v>385576.36</v>
      </c>
      <c r="G247" s="5">
        <v>0</v>
      </c>
      <c r="H247" s="5">
        <f t="shared" si="62"/>
        <v>385576.36</v>
      </c>
      <c r="I247" s="152">
        <f t="shared" si="63"/>
        <v>1136.0194455083822</v>
      </c>
      <c r="J247" s="6">
        <f t="shared" si="56"/>
        <v>1044.6474423565719</v>
      </c>
      <c r="K247" s="5">
        <f t="shared" si="64"/>
        <v>354563.78841024404</v>
      </c>
      <c r="L247" s="259">
        <v>0.60441220238095239</v>
      </c>
      <c r="M247" s="154">
        <f t="shared" si="65"/>
        <v>81239.627336350954</v>
      </c>
      <c r="N247" s="154">
        <f t="shared" si="66"/>
        <v>16267.50476185403</v>
      </c>
      <c r="O247" s="154">
        <f t="shared" si="67"/>
        <v>14730.66662369151</v>
      </c>
      <c r="P247" s="154">
        <f t="shared" si="68"/>
        <v>5983.8469360265763</v>
      </c>
      <c r="Q247" s="154">
        <f t="shared" si="57"/>
        <v>118221.64565792306</v>
      </c>
      <c r="R247" s="173">
        <f t="shared" si="58"/>
        <v>0.33342842535610556</v>
      </c>
      <c r="S247" s="153">
        <f t="shared" si="59"/>
        <v>118224.64884520223</v>
      </c>
      <c r="T247" s="154"/>
      <c r="U247" s="154">
        <f>IFERROR(INDEX('2016 Clerical PYA'!$O$5:$O$241,MATCH('2017 Funding'!B247,'2016 Clerical PYA'!$A$5:$A$241,0)),0)</f>
        <v>27334.22384341422</v>
      </c>
      <c r="V247" s="154">
        <f>IFERROR(INDEX('Revised 2016 MFAM (2014 PYAs)'!$AD$26:$AD$262,MATCH('2017 Funding'!B247,'Revised 2016 MFAM (2014 PYAs)'!$B$26:$B$262,0)),0)</f>
        <v>1846.5989344874688</v>
      </c>
      <c r="W247" s="154">
        <f t="shared" si="60"/>
        <v>-6.7147444435080033</v>
      </c>
      <c r="X247" s="154">
        <f t="shared" si="69"/>
        <v>29174.108033458182</v>
      </c>
      <c r="Y247" s="154"/>
      <c r="Z247" s="155">
        <f t="shared" si="61"/>
        <v>147398.75687866041</v>
      </c>
      <c r="AA247" s="156">
        <v>0</v>
      </c>
      <c r="AB247" s="157">
        <f t="shared" si="70"/>
        <v>0</v>
      </c>
      <c r="AC247" s="154">
        <f t="shared" si="71"/>
        <v>147398.75687866041</v>
      </c>
      <c r="AD247" s="160"/>
      <c r="AE247" s="154">
        <f t="shared" si="72"/>
        <v>36849.689219665102</v>
      </c>
      <c r="AF247" s="154">
        <f t="shared" si="72"/>
        <v>36849.689219665102</v>
      </c>
      <c r="AG247" s="154">
        <f t="shared" si="72"/>
        <v>36849.689219665102</v>
      </c>
      <c r="AH247" s="154">
        <f t="shared" si="72"/>
        <v>36849.689219665102</v>
      </c>
    </row>
    <row r="248" spans="2:34" x14ac:dyDescent="0.25">
      <c r="B248" s="10">
        <v>416</v>
      </c>
      <c r="C248" s="10">
        <v>9</v>
      </c>
      <c r="D248" s="9" t="s">
        <v>344</v>
      </c>
      <c r="E248" s="8">
        <v>77.474017362685885</v>
      </c>
      <c r="F248" s="5">
        <v>58015.31</v>
      </c>
      <c r="G248" s="5">
        <v>45</v>
      </c>
      <c r="H248" s="5">
        <f t="shared" si="62"/>
        <v>57970.31</v>
      </c>
      <c r="I248" s="152">
        <f t="shared" si="63"/>
        <v>748.25485980181611</v>
      </c>
      <c r="J248" s="6">
        <f t="shared" si="56"/>
        <v>748.25485980181611</v>
      </c>
      <c r="K248" s="5">
        <f t="shared" si="64"/>
        <v>57970.30999999999</v>
      </c>
      <c r="L248" s="259">
        <v>0.41270833333333334</v>
      </c>
      <c r="M248" s="154">
        <f t="shared" si="65"/>
        <v>13282.47986656686</v>
      </c>
      <c r="N248" s="154">
        <f t="shared" si="66"/>
        <v>3713.2345728394998</v>
      </c>
      <c r="O248" s="154">
        <f t="shared" si="67"/>
        <v>1644.5370384793093</v>
      </c>
      <c r="P248" s="154">
        <f t="shared" si="68"/>
        <v>978.34430140014979</v>
      </c>
      <c r="Q248" s="154">
        <f t="shared" si="57"/>
        <v>19618.595779285821</v>
      </c>
      <c r="R248" s="173">
        <f t="shared" si="58"/>
        <v>0.33842488990115499</v>
      </c>
      <c r="S248" s="153">
        <f t="shared" si="59"/>
        <v>19619.094150941466</v>
      </c>
      <c r="T248" s="154"/>
      <c r="U248" s="154">
        <f>IFERROR(INDEX('2016 Clerical PYA'!$O$5:$O$241,MATCH('2017 Funding'!B248,'2016 Clerical PYA'!$A$5:$A$241,0)),0)</f>
        <v>-610.69044547399062</v>
      </c>
      <c r="V248" s="154">
        <f>IFERROR(INDEX('Revised 2016 MFAM (2014 PYAs)'!$AD$26:$AD$262,MATCH('2017 Funding'!B248,'Revised 2016 MFAM (2014 PYAs)'!$B$26:$B$262,0)),0)</f>
        <v>103.51904352261954</v>
      </c>
      <c r="W248" s="154">
        <f t="shared" si="60"/>
        <v>-1.1142955781512622</v>
      </c>
      <c r="X248" s="154">
        <f t="shared" si="69"/>
        <v>-508.28569752952234</v>
      </c>
      <c r="Y248" s="154"/>
      <c r="Z248" s="155">
        <f t="shared" si="61"/>
        <v>19110.808453411944</v>
      </c>
      <c r="AA248" s="156">
        <v>0</v>
      </c>
      <c r="AB248" s="157">
        <f t="shared" si="70"/>
        <v>0</v>
      </c>
      <c r="AC248" s="154">
        <f t="shared" si="71"/>
        <v>19110.808453411944</v>
      </c>
      <c r="AD248" s="160"/>
      <c r="AE248" s="154">
        <f t="shared" si="72"/>
        <v>4777.7021133529861</v>
      </c>
      <c r="AF248" s="154">
        <f t="shared" si="72"/>
        <v>4777.7021133529861</v>
      </c>
      <c r="AG248" s="154">
        <f t="shared" si="72"/>
        <v>4777.7021133529861</v>
      </c>
      <c r="AH248" s="154">
        <f t="shared" si="72"/>
        <v>4777.7021133529861</v>
      </c>
    </row>
    <row r="249" spans="2:34" x14ac:dyDescent="0.25">
      <c r="B249" s="10">
        <v>420</v>
      </c>
      <c r="C249" s="10">
        <v>9</v>
      </c>
      <c r="D249" s="9" t="s">
        <v>345</v>
      </c>
      <c r="E249" s="8">
        <v>369.22350623910916</v>
      </c>
      <c r="F249" s="5">
        <v>96275.54</v>
      </c>
      <c r="G249" s="5">
        <v>135.41</v>
      </c>
      <c r="H249" s="5">
        <f t="shared" si="62"/>
        <v>96140.12999999999</v>
      </c>
      <c r="I249" s="152">
        <f t="shared" si="63"/>
        <v>260.384640672741</v>
      </c>
      <c r="J249" s="6">
        <f t="shared" si="56"/>
        <v>260.384640672741</v>
      </c>
      <c r="K249" s="5">
        <f t="shared" si="64"/>
        <v>96140.129999999976</v>
      </c>
      <c r="L249" s="259">
        <v>0.55288482142857143</v>
      </c>
      <c r="M249" s="154">
        <f t="shared" si="65"/>
        <v>22028.161331104151</v>
      </c>
      <c r="N249" s="154">
        <f t="shared" si="66"/>
        <v>17696.42952751289</v>
      </c>
      <c r="O249" s="154">
        <f t="shared" si="67"/>
        <v>3653.7108131841846</v>
      </c>
      <c r="P249" s="154">
        <f t="shared" si="68"/>
        <v>1622.5227762516636</v>
      </c>
      <c r="Q249" s="154">
        <f t="shared" si="57"/>
        <v>45000.824448052888</v>
      </c>
      <c r="R249" s="173">
        <f t="shared" si="58"/>
        <v>0.4680753442714598</v>
      </c>
      <c r="S249" s="153">
        <f t="shared" si="59"/>
        <v>45001.967605067686</v>
      </c>
      <c r="T249" s="154"/>
      <c r="U249" s="154">
        <f>IFERROR(INDEX('2016 Clerical PYA'!$O$5:$O$241,MATCH('2017 Funding'!B249,'2016 Clerical PYA'!$A$5:$A$241,0)),0)</f>
        <v>-1346.4283303669945</v>
      </c>
      <c r="V249" s="154">
        <f>IFERROR(INDEX('Revised 2016 MFAM (2014 PYAs)'!$AD$26:$AD$262,MATCH('2017 Funding'!B249,'Revised 2016 MFAM (2014 PYAs)'!$B$26:$B$262,0)),0)</f>
        <v>261.0594947157806</v>
      </c>
      <c r="W249" s="154">
        <f t="shared" si="60"/>
        <v>-2.5559535585401596</v>
      </c>
      <c r="X249" s="154">
        <f t="shared" si="69"/>
        <v>-1087.924789209754</v>
      </c>
      <c r="Y249" s="154"/>
      <c r="Z249" s="155">
        <f t="shared" si="61"/>
        <v>43914.042815857931</v>
      </c>
      <c r="AA249" s="156">
        <v>0</v>
      </c>
      <c r="AB249" s="157">
        <f t="shared" si="70"/>
        <v>0</v>
      </c>
      <c r="AC249" s="154">
        <f t="shared" si="71"/>
        <v>43914.042815857931</v>
      </c>
      <c r="AD249" s="160"/>
      <c r="AE249" s="154">
        <f t="shared" si="72"/>
        <v>10978.510703964483</v>
      </c>
      <c r="AF249" s="154">
        <f t="shared" si="72"/>
        <v>10978.510703964483</v>
      </c>
      <c r="AG249" s="154">
        <f t="shared" si="72"/>
        <v>10978.510703964483</v>
      </c>
      <c r="AH249" s="154">
        <f t="shared" si="72"/>
        <v>10978.510703964483</v>
      </c>
    </row>
    <row r="250" spans="2:34" x14ac:dyDescent="0.25">
      <c r="B250" s="10">
        <v>508</v>
      </c>
      <c r="C250" s="10">
        <v>9</v>
      </c>
      <c r="D250" s="9" t="s">
        <v>346</v>
      </c>
      <c r="E250" s="8">
        <v>86.151245564949591</v>
      </c>
      <c r="F250" s="5">
        <v>49105.2</v>
      </c>
      <c r="G250" s="5">
        <v>0</v>
      </c>
      <c r="H250" s="5">
        <f t="shared" si="62"/>
        <v>49105.2</v>
      </c>
      <c r="I250" s="152">
        <f t="shared" si="63"/>
        <v>569.98827675659652</v>
      </c>
      <c r="J250" s="6">
        <f t="shared" si="56"/>
        <v>569.98827675659652</v>
      </c>
      <c r="K250" s="5">
        <f t="shared" si="64"/>
        <v>49105.2</v>
      </c>
      <c r="L250" s="259">
        <v>0.40720238095238098</v>
      </c>
      <c r="M250" s="154">
        <f t="shared" si="65"/>
        <v>11251.256554324775</v>
      </c>
      <c r="N250" s="154">
        <f t="shared" si="66"/>
        <v>4129.1234715166711</v>
      </c>
      <c r="O250" s="154">
        <f t="shared" si="67"/>
        <v>1374.461537288139</v>
      </c>
      <c r="P250" s="154">
        <f t="shared" si="68"/>
        <v>828.73099331562389</v>
      </c>
      <c r="Q250" s="154">
        <f t="shared" si="57"/>
        <v>17583.572556445208</v>
      </c>
      <c r="R250" s="173">
        <f t="shared" si="58"/>
        <v>0.35807964444590817</v>
      </c>
      <c r="S250" s="153">
        <f t="shared" si="59"/>
        <v>17584.019232357474</v>
      </c>
      <c r="T250" s="154"/>
      <c r="U250" s="154">
        <f>IFERROR(INDEX('2016 Clerical PYA'!$O$5:$O$241,MATCH('2017 Funding'!B250,'2016 Clerical PYA'!$A$5:$A$241,0)),0)</f>
        <v>486.01124886443358</v>
      </c>
      <c r="V250" s="154">
        <f>IFERROR(INDEX('Revised 2016 MFAM (2014 PYAs)'!$AD$26:$AD$262,MATCH('2017 Funding'!B250,'Revised 2016 MFAM (2014 PYAs)'!$B$26:$B$262,0)),0)</f>
        <v>105.14221887154235</v>
      </c>
      <c r="W250" s="154">
        <f t="shared" si="60"/>
        <v>-0.99871047694638004</v>
      </c>
      <c r="X250" s="154">
        <f t="shared" si="69"/>
        <v>590.15475725902957</v>
      </c>
      <c r="Y250" s="154"/>
      <c r="Z250" s="155">
        <f t="shared" si="61"/>
        <v>18174.173989616502</v>
      </c>
      <c r="AA250" s="156">
        <v>0</v>
      </c>
      <c r="AB250" s="157">
        <f t="shared" si="70"/>
        <v>0</v>
      </c>
      <c r="AC250" s="154">
        <f t="shared" si="71"/>
        <v>18174.173989616502</v>
      </c>
      <c r="AD250" s="160"/>
      <c r="AE250" s="154">
        <f t="shared" si="72"/>
        <v>4543.5434974041254</v>
      </c>
      <c r="AF250" s="154">
        <f t="shared" si="72"/>
        <v>4543.5434974041254</v>
      </c>
      <c r="AG250" s="154">
        <f t="shared" si="72"/>
        <v>4543.5434974041254</v>
      </c>
      <c r="AH250" s="154">
        <f t="shared" si="72"/>
        <v>4543.5434974041254</v>
      </c>
    </row>
    <row r="251" spans="2:34" x14ac:dyDescent="0.25">
      <c r="B251" s="10">
        <v>512</v>
      </c>
      <c r="C251" s="10">
        <v>9</v>
      </c>
      <c r="D251" s="9" t="s">
        <v>347</v>
      </c>
      <c r="E251" s="8">
        <v>237.39075867388348</v>
      </c>
      <c r="F251" s="5">
        <v>276481.19</v>
      </c>
      <c r="G251" s="5">
        <v>6876.5</v>
      </c>
      <c r="H251" s="5">
        <f t="shared" si="62"/>
        <v>269604.69</v>
      </c>
      <c r="I251" s="152">
        <f t="shared" si="63"/>
        <v>1135.7000226380781</v>
      </c>
      <c r="J251" s="6">
        <f t="shared" si="56"/>
        <v>1044.6474423565719</v>
      </c>
      <c r="K251" s="5">
        <f t="shared" si="64"/>
        <v>247989.64888775858</v>
      </c>
      <c r="L251" s="259">
        <v>0.47127083333333336</v>
      </c>
      <c r="M251" s="154">
        <f t="shared" si="65"/>
        <v>56820.767707963583</v>
      </c>
      <c r="N251" s="154">
        <f t="shared" si="66"/>
        <v>11377.847727372618</v>
      </c>
      <c r="O251" s="154">
        <f t="shared" si="67"/>
        <v>8033.3911645115259</v>
      </c>
      <c r="P251" s="154">
        <f t="shared" si="68"/>
        <v>4185.2330925186125</v>
      </c>
      <c r="Q251" s="154">
        <f t="shared" si="57"/>
        <v>80417.239692366347</v>
      </c>
      <c r="R251" s="173">
        <f t="shared" si="58"/>
        <v>0.32427659804770165</v>
      </c>
      <c r="S251" s="153">
        <f t="shared" si="59"/>
        <v>80419.282533420759</v>
      </c>
      <c r="T251" s="154"/>
      <c r="U251" s="154">
        <f>IFERROR(INDEX('2016 Clerical PYA'!$O$5:$O$241,MATCH('2017 Funding'!B251,'2016 Clerical PYA'!$A$5:$A$241,0)),0)</f>
        <v>19167.400381988133</v>
      </c>
      <c r="V251" s="154">
        <f>IFERROR(INDEX('Revised 2016 MFAM (2014 PYAs)'!$AD$26:$AD$262,MATCH('2017 Funding'!B251,'Revised 2016 MFAM (2014 PYAs)'!$B$26:$B$262,0)),0)</f>
        <v>526.31592303419893</v>
      </c>
      <c r="W251" s="154">
        <f t="shared" si="60"/>
        <v>-4.5675325392527162</v>
      </c>
      <c r="X251" s="154">
        <f t="shared" si="69"/>
        <v>19689.14877248308</v>
      </c>
      <c r="Y251" s="154"/>
      <c r="Z251" s="155">
        <f t="shared" si="61"/>
        <v>100108.43130590384</v>
      </c>
      <c r="AA251" s="156">
        <v>0</v>
      </c>
      <c r="AB251" s="157">
        <f t="shared" si="70"/>
        <v>0</v>
      </c>
      <c r="AC251" s="154">
        <f t="shared" si="71"/>
        <v>100108.43130590384</v>
      </c>
      <c r="AD251" s="160"/>
      <c r="AE251" s="154">
        <f t="shared" si="72"/>
        <v>25027.10782647596</v>
      </c>
      <c r="AF251" s="154">
        <f t="shared" si="72"/>
        <v>25027.10782647596</v>
      </c>
      <c r="AG251" s="154">
        <f t="shared" si="72"/>
        <v>25027.10782647596</v>
      </c>
      <c r="AH251" s="154">
        <f t="shared" si="72"/>
        <v>25027.10782647596</v>
      </c>
    </row>
    <row r="252" spans="2:34" x14ac:dyDescent="0.25">
      <c r="B252" s="10">
        <v>516</v>
      </c>
      <c r="C252" s="10">
        <v>9</v>
      </c>
      <c r="D252" s="9" t="s">
        <v>348</v>
      </c>
      <c r="E252" s="8">
        <v>333.94748973575537</v>
      </c>
      <c r="F252" s="5">
        <v>179866.55</v>
      </c>
      <c r="G252" s="5">
        <v>48</v>
      </c>
      <c r="H252" s="5">
        <f t="shared" si="62"/>
        <v>179818.55</v>
      </c>
      <c r="I252" s="152">
        <f t="shared" si="63"/>
        <v>538.46354749450609</v>
      </c>
      <c r="J252" s="6">
        <f t="shared" si="56"/>
        <v>538.46354749450609</v>
      </c>
      <c r="K252" s="5">
        <f t="shared" si="64"/>
        <v>179818.55</v>
      </c>
      <c r="L252" s="259">
        <v>0.52414285714285713</v>
      </c>
      <c r="M252" s="154">
        <f t="shared" si="65"/>
        <v>41201.026353149507</v>
      </c>
      <c r="N252" s="154">
        <f t="shared" si="66"/>
        <v>16005.693348709821</v>
      </c>
      <c r="O252" s="154">
        <f t="shared" si="67"/>
        <v>6478.5671009873804</v>
      </c>
      <c r="P252" s="154">
        <f t="shared" si="68"/>
        <v>3034.7337055561361</v>
      </c>
      <c r="Q252" s="154">
        <f t="shared" si="57"/>
        <v>66720.020508402842</v>
      </c>
      <c r="R252" s="173">
        <f t="shared" si="58"/>
        <v>0.37104081035245168</v>
      </c>
      <c r="S252" s="153">
        <f t="shared" si="59"/>
        <v>66721.715398672226</v>
      </c>
      <c r="T252" s="154"/>
      <c r="U252" s="154">
        <f>IFERROR(INDEX('2016 Clerical PYA'!$O$5:$O$241,MATCH('2017 Funding'!B252,'2016 Clerical PYA'!$A$5:$A$241,0)),0)</f>
        <v>4743.4847837229609</v>
      </c>
      <c r="V252" s="154">
        <f>IFERROR(INDEX('Revised 2016 MFAM (2014 PYAs)'!$AD$26:$AD$262,MATCH('2017 Funding'!B252,'Revised 2016 MFAM (2014 PYAs)'!$B$26:$B$262,0)),0)</f>
        <v>514.74310150530073</v>
      </c>
      <c r="W252" s="154">
        <f t="shared" si="60"/>
        <v>-3.7895588788863477</v>
      </c>
      <c r="X252" s="154">
        <f t="shared" si="69"/>
        <v>5254.4383263493755</v>
      </c>
      <c r="Y252" s="154"/>
      <c r="Z252" s="155">
        <f t="shared" si="61"/>
        <v>71976.153725021606</v>
      </c>
      <c r="AA252" s="156">
        <v>0</v>
      </c>
      <c r="AB252" s="157">
        <f t="shared" si="70"/>
        <v>0</v>
      </c>
      <c r="AC252" s="154">
        <f t="shared" si="71"/>
        <v>71976.153725021606</v>
      </c>
      <c r="AD252" s="160"/>
      <c r="AE252" s="154">
        <f t="shared" si="72"/>
        <v>17994.038431255402</v>
      </c>
      <c r="AF252" s="154">
        <f t="shared" si="72"/>
        <v>17994.038431255402</v>
      </c>
      <c r="AG252" s="154">
        <f t="shared" si="72"/>
        <v>17994.038431255402</v>
      </c>
      <c r="AH252" s="154">
        <f t="shared" si="72"/>
        <v>17994.038431255402</v>
      </c>
    </row>
    <row r="253" spans="2:34" x14ac:dyDescent="0.25">
      <c r="B253" s="10">
        <v>521</v>
      </c>
      <c r="C253" s="10">
        <v>9</v>
      </c>
      <c r="D253" s="9" t="s">
        <v>349</v>
      </c>
      <c r="E253" s="8">
        <v>123.09071480738888</v>
      </c>
      <c r="F253" s="5">
        <v>349225.33</v>
      </c>
      <c r="G253" s="5">
        <v>35.4</v>
      </c>
      <c r="H253" s="5">
        <f t="shared" si="62"/>
        <v>349189.93</v>
      </c>
      <c r="I253" s="152">
        <f t="shared" si="63"/>
        <v>2836.8502900191042</v>
      </c>
      <c r="J253" s="6">
        <f t="shared" si="56"/>
        <v>1044.6474423565719</v>
      </c>
      <c r="K253" s="5">
        <f t="shared" si="64"/>
        <v>128586.400401381</v>
      </c>
      <c r="L253" s="259">
        <v>0.25151785714285713</v>
      </c>
      <c r="M253" s="154">
        <f t="shared" si="65"/>
        <v>29462.431276383519</v>
      </c>
      <c r="N253" s="154">
        <f t="shared" si="66"/>
        <v>5899.5868986453406</v>
      </c>
      <c r="O253" s="154">
        <f t="shared" si="67"/>
        <v>2223.0982742564029</v>
      </c>
      <c r="P253" s="154">
        <f t="shared" si="68"/>
        <v>2170.1069404363898</v>
      </c>
      <c r="Q253" s="154">
        <f t="shared" si="57"/>
        <v>39755.22338972165</v>
      </c>
      <c r="R253" s="173">
        <f t="shared" si="58"/>
        <v>0.30917129078678746</v>
      </c>
      <c r="S253" s="153">
        <f t="shared" si="59"/>
        <v>39756.233292607882</v>
      </c>
      <c r="T253" s="154"/>
      <c r="U253" s="154">
        <f>IFERROR(INDEX('2016 Clerical PYA'!$O$5:$O$241,MATCH('2017 Funding'!B253,'2016 Clerical PYA'!$A$5:$A$241,0)),0)</f>
        <v>10951.820418821233</v>
      </c>
      <c r="V253" s="154">
        <f>IFERROR(INDEX('Revised 2016 MFAM (2014 PYAs)'!$AD$26:$AD$262,MATCH('2017 Funding'!B253,'Revised 2016 MFAM (2014 PYAs)'!$B$26:$B$262,0)),0)</f>
        <v>731.10259519155079</v>
      </c>
      <c r="W253" s="154">
        <f t="shared" si="60"/>
        <v>-2.2580142906229499</v>
      </c>
      <c r="X253" s="154">
        <f t="shared" si="69"/>
        <v>11680.664999722161</v>
      </c>
      <c r="Y253" s="154"/>
      <c r="Z253" s="155">
        <f t="shared" si="61"/>
        <v>51436.898292330043</v>
      </c>
      <c r="AA253" s="156">
        <v>0</v>
      </c>
      <c r="AB253" s="157">
        <f t="shared" si="70"/>
        <v>0</v>
      </c>
      <c r="AC253" s="154">
        <f t="shared" si="71"/>
        <v>51436.898292330043</v>
      </c>
      <c r="AD253" s="160"/>
      <c r="AE253" s="154">
        <f t="shared" si="72"/>
        <v>12859.224573082511</v>
      </c>
      <c r="AF253" s="154">
        <f t="shared" si="72"/>
        <v>12859.224573082511</v>
      </c>
      <c r="AG253" s="154">
        <f t="shared" si="72"/>
        <v>12859.224573082511</v>
      </c>
      <c r="AH253" s="154">
        <f t="shared" si="72"/>
        <v>12859.224573082511</v>
      </c>
    </row>
    <row r="254" spans="2:34" x14ac:dyDescent="0.25">
      <c r="B254" s="10">
        <v>522</v>
      </c>
      <c r="C254" s="10">
        <v>9</v>
      </c>
      <c r="D254" s="9" t="s">
        <v>350</v>
      </c>
      <c r="E254" s="8">
        <v>103.99178838051702</v>
      </c>
      <c r="F254" s="5">
        <v>91617.600000000006</v>
      </c>
      <c r="G254" s="5">
        <v>18</v>
      </c>
      <c r="H254" s="5">
        <f t="shared" si="62"/>
        <v>91599.6</v>
      </c>
      <c r="I254" s="152">
        <f t="shared" si="63"/>
        <v>880.83493347404817</v>
      </c>
      <c r="J254" s="6">
        <f t="shared" si="56"/>
        <v>880.83493347404817</v>
      </c>
      <c r="K254" s="5">
        <f t="shared" si="64"/>
        <v>91599.6</v>
      </c>
      <c r="L254" s="259">
        <v>0.56782291666666673</v>
      </c>
      <c r="M254" s="154">
        <f t="shared" si="65"/>
        <v>20987.80984241033</v>
      </c>
      <c r="N254" s="154">
        <f t="shared" si="66"/>
        <v>4984.1987940065919</v>
      </c>
      <c r="O254" s="154">
        <f t="shared" si="67"/>
        <v>3575.2078197488422</v>
      </c>
      <c r="P254" s="154">
        <f t="shared" si="68"/>
        <v>1545.8938665419105</v>
      </c>
      <c r="Q254" s="154">
        <f t="shared" si="57"/>
        <v>31093.110322707675</v>
      </c>
      <c r="R254" s="173">
        <f t="shared" si="58"/>
        <v>0.33944591813400576</v>
      </c>
      <c r="S254" s="153">
        <f t="shared" si="59"/>
        <v>31093.900181729441</v>
      </c>
      <c r="T254" s="154"/>
      <c r="U254" s="154">
        <f>IFERROR(INDEX('2016 Clerical PYA'!$O$5:$O$241,MATCH('2017 Funding'!B254,'2016 Clerical PYA'!$A$5:$A$241,0)),0)</f>
        <v>6755.9110374757183</v>
      </c>
      <c r="V254" s="154">
        <f>IFERROR(INDEX('Revised 2016 MFAM (2014 PYAs)'!$AD$26:$AD$262,MATCH('2017 Funding'!B254,'Revised 2016 MFAM (2014 PYAs)'!$B$26:$B$262,0)),0)</f>
        <v>203.55614873140439</v>
      </c>
      <c r="W254" s="154">
        <f t="shared" si="60"/>
        <v>-1.7660242217816766</v>
      </c>
      <c r="X254" s="154">
        <f t="shared" si="69"/>
        <v>6957.7011619853411</v>
      </c>
      <c r="Y254" s="154"/>
      <c r="Z254" s="155">
        <f t="shared" si="61"/>
        <v>38051.601343714785</v>
      </c>
      <c r="AA254" s="156">
        <v>0</v>
      </c>
      <c r="AB254" s="157">
        <f t="shared" si="70"/>
        <v>0</v>
      </c>
      <c r="AC254" s="154">
        <f t="shared" si="71"/>
        <v>38051.601343714785</v>
      </c>
      <c r="AD254" s="160"/>
      <c r="AE254" s="154">
        <f t="shared" si="72"/>
        <v>9512.9003359286962</v>
      </c>
      <c r="AF254" s="154">
        <f t="shared" si="72"/>
        <v>9512.9003359286962</v>
      </c>
      <c r="AG254" s="154">
        <f t="shared" si="72"/>
        <v>9512.9003359286962</v>
      </c>
      <c r="AH254" s="154">
        <f t="shared" si="72"/>
        <v>9512.9003359286962</v>
      </c>
    </row>
    <row r="255" spans="2:34" x14ac:dyDescent="0.25">
      <c r="B255" s="10">
        <v>523</v>
      </c>
      <c r="C255" s="10">
        <v>9</v>
      </c>
      <c r="D255" s="9" t="s">
        <v>351</v>
      </c>
      <c r="E255" s="8">
        <v>987.1613814509584</v>
      </c>
      <c r="F255" s="5">
        <v>249998.93</v>
      </c>
      <c r="G255" s="5">
        <v>275</v>
      </c>
      <c r="H255" s="5">
        <f t="shared" si="62"/>
        <v>249723.93</v>
      </c>
      <c r="I255" s="152">
        <f t="shared" si="63"/>
        <v>252.97173764329042</v>
      </c>
      <c r="J255" s="6">
        <f t="shared" si="56"/>
        <v>252.97173764329042</v>
      </c>
      <c r="K255" s="5">
        <f t="shared" si="64"/>
        <v>249723.93</v>
      </c>
      <c r="L255" s="259">
        <v>0.85837648809523803</v>
      </c>
      <c r="M255" s="154">
        <f t="shared" si="65"/>
        <v>57218.13584272626</v>
      </c>
      <c r="N255" s="154">
        <f t="shared" si="66"/>
        <v>47313.433527214489</v>
      </c>
      <c r="O255" s="154">
        <f t="shared" si="67"/>
        <v>14734.410750010687</v>
      </c>
      <c r="P255" s="154">
        <f t="shared" si="68"/>
        <v>4214.5019379532378</v>
      </c>
      <c r="Q255" s="154">
        <f t="shared" si="57"/>
        <v>123480.48205790468</v>
      </c>
      <c r="R255" s="173">
        <f t="shared" si="58"/>
        <v>0.49446795930972526</v>
      </c>
      <c r="S255" s="153">
        <f t="shared" si="59"/>
        <v>123483.61883553011</v>
      </c>
      <c r="T255" s="154"/>
      <c r="U255" s="154">
        <f>IFERROR(INDEX('2016 Clerical PYA'!$O$5:$O$241,MATCH('2017 Funding'!B255,'2016 Clerical PYA'!$A$5:$A$241,0)),0)</f>
        <v>-3090.0366993356001</v>
      </c>
      <c r="V255" s="154">
        <f>IFERROR(INDEX('Revised 2016 MFAM (2014 PYAs)'!$AD$26:$AD$262,MATCH('2017 Funding'!B255,'Revised 2016 MFAM (2014 PYAs)'!$B$26:$B$262,0)),0)</f>
        <v>626.68775749509223</v>
      </c>
      <c r="W255" s="154">
        <f t="shared" si="60"/>
        <v>-7.0134354513989736</v>
      </c>
      <c r="X255" s="154">
        <f t="shared" si="69"/>
        <v>-2470.3623772919068</v>
      </c>
      <c r="Y255" s="154"/>
      <c r="Z255" s="155">
        <f t="shared" si="61"/>
        <v>121013.2564582382</v>
      </c>
      <c r="AA255" s="156">
        <v>0</v>
      </c>
      <c r="AB255" s="157">
        <f t="shared" si="70"/>
        <v>0</v>
      </c>
      <c r="AC255" s="154">
        <f t="shared" si="71"/>
        <v>121013.2564582382</v>
      </c>
      <c r="AD255" s="160"/>
      <c r="AE255" s="154">
        <f t="shared" si="72"/>
        <v>30253.314114559551</v>
      </c>
      <c r="AF255" s="154">
        <f t="shared" si="72"/>
        <v>30253.314114559551</v>
      </c>
      <c r="AG255" s="154">
        <f t="shared" si="72"/>
        <v>30253.314114559551</v>
      </c>
      <c r="AH255" s="154">
        <f t="shared" si="72"/>
        <v>30253.314114559551</v>
      </c>
    </row>
    <row r="256" spans="2:34" x14ac:dyDescent="0.25">
      <c r="B256" s="10">
        <v>527</v>
      </c>
      <c r="C256" s="10">
        <v>9</v>
      </c>
      <c r="D256" s="9" t="s">
        <v>352</v>
      </c>
      <c r="E256" s="8">
        <v>222.29561203542357</v>
      </c>
      <c r="F256" s="5">
        <v>90807.56</v>
      </c>
      <c r="G256" s="5">
        <v>0</v>
      </c>
      <c r="H256" s="5">
        <f t="shared" si="62"/>
        <v>90807.56</v>
      </c>
      <c r="I256" s="152">
        <f t="shared" si="63"/>
        <v>408.49911146932357</v>
      </c>
      <c r="J256" s="6">
        <f t="shared" si="56"/>
        <v>408.49911146932357</v>
      </c>
      <c r="K256" s="5">
        <f t="shared" si="64"/>
        <v>90807.56</v>
      </c>
      <c r="L256" s="259">
        <v>0.56330654761904764</v>
      </c>
      <c r="M256" s="154">
        <f t="shared" si="65"/>
        <v>20806.333232167675</v>
      </c>
      <c r="N256" s="154">
        <f t="shared" si="66"/>
        <v>10654.355874386463</v>
      </c>
      <c r="O256" s="154">
        <f t="shared" si="67"/>
        <v>3516.1031224871499</v>
      </c>
      <c r="P256" s="154">
        <f t="shared" si="68"/>
        <v>1532.5268891964213</v>
      </c>
      <c r="Q256" s="154">
        <f t="shared" si="57"/>
        <v>36509.319118237712</v>
      </c>
      <c r="R256" s="173">
        <f t="shared" si="58"/>
        <v>0.40205153753980077</v>
      </c>
      <c r="S256" s="153">
        <f t="shared" si="59"/>
        <v>36510.246565340458</v>
      </c>
      <c r="T256" s="154"/>
      <c r="U256" s="154">
        <f>IFERROR(INDEX('2016 Clerical PYA'!$O$5:$O$241,MATCH('2017 Funding'!B256,'2016 Clerical PYA'!$A$5:$A$241,0)),0)</f>
        <v>-1652.0719058824398</v>
      </c>
      <c r="V256" s="154">
        <f>IFERROR(INDEX('Revised 2016 MFAM (2014 PYAs)'!$AD$26:$AD$262,MATCH('2017 Funding'!B256,'Revised 2016 MFAM (2014 PYAs)'!$B$26:$B$262,0)),0)</f>
        <v>326.13565760884376</v>
      </c>
      <c r="W256" s="154">
        <f t="shared" si="60"/>
        <v>-2.0736536555648728</v>
      </c>
      <c r="X256" s="154">
        <f t="shared" si="69"/>
        <v>-1328.0099019291608</v>
      </c>
      <c r="Y256" s="154"/>
      <c r="Z256" s="155">
        <f t="shared" si="61"/>
        <v>35182.236663411299</v>
      </c>
      <c r="AA256" s="156">
        <v>0</v>
      </c>
      <c r="AB256" s="157">
        <f t="shared" si="70"/>
        <v>0</v>
      </c>
      <c r="AC256" s="154">
        <f t="shared" si="71"/>
        <v>35182.236663411299</v>
      </c>
      <c r="AD256" s="160"/>
      <c r="AE256" s="154">
        <f t="shared" si="72"/>
        <v>8795.5591658528247</v>
      </c>
      <c r="AF256" s="154">
        <f t="shared" si="72"/>
        <v>8795.5591658528247</v>
      </c>
      <c r="AG256" s="154">
        <f t="shared" si="72"/>
        <v>8795.5591658528247</v>
      </c>
      <c r="AH256" s="154">
        <f t="shared" si="72"/>
        <v>8795.5591658528247</v>
      </c>
    </row>
    <row r="257" spans="2:34" x14ac:dyDescent="0.25">
      <c r="B257" s="10">
        <v>543</v>
      </c>
      <c r="C257" s="10">
        <v>9</v>
      </c>
      <c r="D257" s="9" t="s">
        <v>353</v>
      </c>
      <c r="E257" s="8">
        <v>98.591020352445511</v>
      </c>
      <c r="F257" s="5">
        <v>24446.48</v>
      </c>
      <c r="G257" s="5">
        <v>0</v>
      </c>
      <c r="H257" s="5">
        <f t="shared" si="62"/>
        <v>24446.48</v>
      </c>
      <c r="I257" s="152">
        <f t="shared" si="63"/>
        <v>247.95848458214698</v>
      </c>
      <c r="J257" s="6">
        <f t="shared" si="56"/>
        <v>247.95848458214698</v>
      </c>
      <c r="K257" s="5">
        <f t="shared" si="64"/>
        <v>24446.48</v>
      </c>
      <c r="L257" s="259">
        <v>0.26502678571428573</v>
      </c>
      <c r="M257" s="154">
        <f t="shared" si="65"/>
        <v>5601.3134725073824</v>
      </c>
      <c r="N257" s="154">
        <f t="shared" si="66"/>
        <v>4725.3466104695062</v>
      </c>
      <c r="O257" s="154">
        <f t="shared" si="67"/>
        <v>445.34943161902675</v>
      </c>
      <c r="P257" s="154">
        <f t="shared" si="68"/>
        <v>412.57454716548415</v>
      </c>
      <c r="Q257" s="154">
        <f t="shared" si="57"/>
        <v>11184.584061761399</v>
      </c>
      <c r="R257" s="173">
        <f t="shared" si="58"/>
        <v>0.45751306780204753</v>
      </c>
      <c r="S257" s="153">
        <f t="shared" si="59"/>
        <v>11184.868184016594</v>
      </c>
      <c r="T257" s="154"/>
      <c r="U257" s="154">
        <f>IFERROR(INDEX('2016 Clerical PYA'!$O$5:$O$241,MATCH('2017 Funding'!B257,'2016 Clerical PYA'!$A$5:$A$241,0)),0)</f>
        <v>-223.23411125181337</v>
      </c>
      <c r="V257" s="154">
        <f>IFERROR(INDEX('Revised 2016 MFAM (2014 PYAs)'!$AD$26:$AD$262,MATCH('2017 Funding'!B257,'Revised 2016 MFAM (2014 PYAs)'!$B$26:$B$262,0)),0)</f>
        <v>51.698603651695521</v>
      </c>
      <c r="W257" s="154">
        <f t="shared" si="60"/>
        <v>-0.63526119319104002</v>
      </c>
      <c r="X257" s="154">
        <f t="shared" si="69"/>
        <v>-172.17076879330889</v>
      </c>
      <c r="Y257" s="154"/>
      <c r="Z257" s="155">
        <f t="shared" si="61"/>
        <v>11012.697415223285</v>
      </c>
      <c r="AA257" s="156">
        <v>0</v>
      </c>
      <c r="AB257" s="157">
        <f t="shared" si="70"/>
        <v>0</v>
      </c>
      <c r="AC257" s="154">
        <f t="shared" si="71"/>
        <v>11012.697415223285</v>
      </c>
      <c r="AD257" s="160"/>
      <c r="AE257" s="154">
        <f t="shared" si="72"/>
        <v>2753.1743538058213</v>
      </c>
      <c r="AF257" s="154">
        <f t="shared" si="72"/>
        <v>2753.1743538058213</v>
      </c>
      <c r="AG257" s="154">
        <f t="shared" si="72"/>
        <v>2753.1743538058213</v>
      </c>
      <c r="AH257" s="154">
        <f t="shared" si="72"/>
        <v>2753.1743538058213</v>
      </c>
    </row>
    <row r="258" spans="2:34" x14ac:dyDescent="0.25">
      <c r="B258" s="93">
        <v>547</v>
      </c>
      <c r="C258" s="93">
        <v>9</v>
      </c>
      <c r="D258" s="94" t="s">
        <v>354</v>
      </c>
      <c r="E258" s="8">
        <v>282.44688484497351</v>
      </c>
      <c r="F258" s="5">
        <v>93717.8</v>
      </c>
      <c r="G258" s="5">
        <v>0</v>
      </c>
      <c r="H258" s="5">
        <f t="shared" si="62"/>
        <v>93717.8</v>
      </c>
      <c r="I258" s="152">
        <f t="shared" si="63"/>
        <v>331.806810513909</v>
      </c>
      <c r="J258" s="6">
        <f t="shared" si="56"/>
        <v>331.806810513909</v>
      </c>
      <c r="K258" s="5">
        <f t="shared" si="64"/>
        <v>93717.8</v>
      </c>
      <c r="L258" s="259">
        <v>0.54157738095238095</v>
      </c>
      <c r="M258" s="154">
        <f t="shared" si="65"/>
        <v>21473.14360814941</v>
      </c>
      <c r="N258" s="154">
        <f t="shared" si="66"/>
        <v>13537.3325599907</v>
      </c>
      <c r="O258" s="154">
        <f t="shared" si="67"/>
        <v>3488.8106628347755</v>
      </c>
      <c r="P258" s="154">
        <f t="shared" si="68"/>
        <v>1581.6419744824373</v>
      </c>
      <c r="Q258" s="154">
        <f t="shared" si="57"/>
        <v>40080.928805457326</v>
      </c>
      <c r="R258" s="173">
        <f t="shared" si="58"/>
        <v>0.42767679998311231</v>
      </c>
      <c r="S258" s="153">
        <f t="shared" si="59"/>
        <v>40081.946982245987</v>
      </c>
      <c r="T258" s="154"/>
      <c r="U258" s="154">
        <f>IFERROR(INDEX('2016 Clerical PYA'!$O$5:$O$241,MATCH('2017 Funding'!B258,'2016 Clerical PYA'!$A$5:$A$241,0)),0)</f>
        <v>-1445.5185960424715</v>
      </c>
      <c r="V258" s="154">
        <f>IFERROR(INDEX('Revised 2016 MFAM (2014 PYAs)'!$AD$26:$AD$262,MATCH('2017 Funding'!B258,'Revised 2016 MFAM (2014 PYAs)'!$B$26:$B$262,0)),0)</f>
        <v>260.15432300087559</v>
      </c>
      <c r="W258" s="154">
        <f t="shared" si="60"/>
        <v>-2.2765136831695552</v>
      </c>
      <c r="X258" s="154">
        <f t="shared" si="69"/>
        <v>-1187.6407867247653</v>
      </c>
      <c r="Y258" s="154"/>
      <c r="Z258" s="155">
        <f t="shared" si="61"/>
        <v>38894.306195521218</v>
      </c>
      <c r="AA258" s="156">
        <v>0</v>
      </c>
      <c r="AB258" s="157">
        <f t="shared" si="70"/>
        <v>0</v>
      </c>
      <c r="AC258" s="154">
        <f t="shared" si="71"/>
        <v>38894.306195521218</v>
      </c>
      <c r="AD258" s="160"/>
      <c r="AE258" s="154">
        <f t="shared" si="72"/>
        <v>9723.5765488803045</v>
      </c>
      <c r="AF258" s="154">
        <f t="shared" si="72"/>
        <v>9723.5765488803045</v>
      </c>
      <c r="AG258" s="154">
        <f t="shared" si="72"/>
        <v>9723.5765488803045</v>
      </c>
      <c r="AH258" s="154">
        <f t="shared" si="72"/>
        <v>9723.5765488803045</v>
      </c>
    </row>
    <row r="259" spans="2:34" x14ac:dyDescent="0.25">
      <c r="B259" s="93">
        <v>552</v>
      </c>
      <c r="C259" s="93">
        <v>9</v>
      </c>
      <c r="D259" s="94" t="s">
        <v>355</v>
      </c>
      <c r="E259" s="8">
        <v>144.71</v>
      </c>
      <c r="F259" s="5">
        <v>103060.69</v>
      </c>
      <c r="G259" s="5">
        <v>60</v>
      </c>
      <c r="H259" s="5">
        <f t="shared" si="62"/>
        <v>103000.69</v>
      </c>
      <c r="I259" s="152">
        <f t="shared" si="63"/>
        <v>711.7731324718402</v>
      </c>
      <c r="J259" s="6">
        <f t="shared" si="56"/>
        <v>711.7731324718402</v>
      </c>
      <c r="K259" s="5">
        <f t="shared" si="64"/>
        <v>103000.69</v>
      </c>
      <c r="L259" s="259">
        <v>0.52985267857142859</v>
      </c>
      <c r="M259" s="154">
        <f t="shared" si="65"/>
        <v>23600.09099774513</v>
      </c>
      <c r="N259" s="154">
        <f t="shared" si="66"/>
        <v>6935.7727058362962</v>
      </c>
      <c r="O259" s="154">
        <f t="shared" si="67"/>
        <v>3751.3714289054146</v>
      </c>
      <c r="P259" s="154">
        <f t="shared" si="68"/>
        <v>1738.306007019514</v>
      </c>
      <c r="Q259" s="154">
        <f t="shared" si="57"/>
        <v>36025.541139506349</v>
      </c>
      <c r="R259" s="173">
        <f t="shared" si="58"/>
        <v>0.34976019228129779</v>
      </c>
      <c r="S259" s="153">
        <f t="shared" si="59"/>
        <v>36026.456297185585</v>
      </c>
      <c r="T259" s="154"/>
      <c r="U259" s="154">
        <f>IFERROR(INDEX('2016 Clerical PYA'!$O$5:$O$241,MATCH('2017 Funding'!B259,'2016 Clerical PYA'!$A$5:$A$241,0)),0)</f>
        <v>-1169.0853165233093</v>
      </c>
      <c r="V259" s="154">
        <f>IFERROR(INDEX('Revised 2016 MFAM (2014 PYAs)'!$AD$26:$AD$262,MATCH('2017 Funding'!B259,'Revised 2016 MFAM (2014 PYAs)'!$B$26:$B$262,0)),0)</f>
        <v>200.39628951204213</v>
      </c>
      <c r="W259" s="154">
        <f t="shared" si="60"/>
        <v>-2.0461760690662261</v>
      </c>
      <c r="X259" s="154">
        <f t="shared" si="69"/>
        <v>-970.73520308033335</v>
      </c>
      <c r="Y259" s="154"/>
      <c r="Z259" s="155">
        <f t="shared" si="61"/>
        <v>35055.721094105254</v>
      </c>
      <c r="AA259" s="156">
        <v>0</v>
      </c>
      <c r="AB259" s="157">
        <f t="shared" si="70"/>
        <v>0</v>
      </c>
      <c r="AC259" s="154">
        <f t="shared" si="71"/>
        <v>35055.721094105254</v>
      </c>
      <c r="AD259" s="160"/>
      <c r="AE259" s="154">
        <f t="shared" si="72"/>
        <v>8763.9302735263136</v>
      </c>
      <c r="AF259" s="154">
        <f t="shared" si="72"/>
        <v>8763.9302735263136</v>
      </c>
      <c r="AG259" s="154">
        <f t="shared" si="72"/>
        <v>8763.9302735263136</v>
      </c>
      <c r="AH259" s="154">
        <f t="shared" si="72"/>
        <v>8763.9302735263136</v>
      </c>
    </row>
    <row r="260" spans="2:34" x14ac:dyDescent="0.25">
      <c r="B260" s="93">
        <v>567</v>
      </c>
      <c r="C260" s="93">
        <v>9</v>
      </c>
      <c r="D260" s="94" t="s">
        <v>356</v>
      </c>
      <c r="E260" s="8">
        <v>347.80946100780557</v>
      </c>
      <c r="F260" s="5">
        <v>216661.49</v>
      </c>
      <c r="G260" s="5">
        <v>310</v>
      </c>
      <c r="H260" s="5">
        <f t="shared" si="62"/>
        <v>216351.49</v>
      </c>
      <c r="I260" s="152">
        <f t="shared" si="63"/>
        <v>622.04026702753958</v>
      </c>
      <c r="J260" s="6">
        <f t="shared" si="56"/>
        <v>622.04026702753958</v>
      </c>
      <c r="K260" s="5">
        <f t="shared" si="64"/>
        <v>216351.49</v>
      </c>
      <c r="L260" s="259">
        <v>0.49585119047619047</v>
      </c>
      <c r="M260" s="154">
        <f t="shared" si="65"/>
        <v>49571.656767520159</v>
      </c>
      <c r="N260" s="154">
        <f t="shared" si="66"/>
        <v>16670.080619788343</v>
      </c>
      <c r="O260" s="154">
        <f t="shared" si="67"/>
        <v>7374.0495066155918</v>
      </c>
      <c r="P260" s="154">
        <f t="shared" si="68"/>
        <v>3651.2871388980238</v>
      </c>
      <c r="Q260" s="154">
        <f t="shared" si="57"/>
        <v>77267.074032822115</v>
      </c>
      <c r="R260" s="173">
        <f t="shared" si="58"/>
        <v>0.35713677790165493</v>
      </c>
      <c r="S260" s="153">
        <f t="shared" si="59"/>
        <v>77269.036850143282</v>
      </c>
      <c r="T260" s="154"/>
      <c r="U260" s="154">
        <f>IFERROR(INDEX('2016 Clerical PYA'!$O$5:$O$241,MATCH('2017 Funding'!B260,'2016 Clerical PYA'!$A$5:$A$241,0)),0)</f>
        <v>-2803.1273260552116</v>
      </c>
      <c r="V260" s="154">
        <f>IFERROR(INDEX('Revised 2016 MFAM (2014 PYAs)'!$AD$26:$AD$262,MATCH('2017 Funding'!B260,'Revised 2016 MFAM (2014 PYAs)'!$B$26:$B$262,0)),0)</f>
        <v>475.27106663267477</v>
      </c>
      <c r="W260" s="154">
        <f t="shared" si="60"/>
        <v>-4.3886096589219878</v>
      </c>
      <c r="X260" s="154">
        <f t="shared" si="69"/>
        <v>-2332.244869081459</v>
      </c>
      <c r="Y260" s="154"/>
      <c r="Z260" s="155">
        <f t="shared" si="61"/>
        <v>74936.791981061819</v>
      </c>
      <c r="AA260" s="156">
        <v>0</v>
      </c>
      <c r="AB260" s="157">
        <f t="shared" si="70"/>
        <v>0</v>
      </c>
      <c r="AC260" s="154">
        <f t="shared" si="71"/>
        <v>74936.791981061819</v>
      </c>
      <c r="AD260" s="160"/>
      <c r="AE260" s="154">
        <f t="shared" si="72"/>
        <v>18734.197995265455</v>
      </c>
      <c r="AF260" s="154">
        <f t="shared" si="72"/>
        <v>18734.197995265455</v>
      </c>
      <c r="AG260" s="154">
        <f t="shared" si="72"/>
        <v>18734.197995265455</v>
      </c>
      <c r="AH260" s="154">
        <f t="shared" si="72"/>
        <v>18734.197995265455</v>
      </c>
    </row>
    <row r="261" spans="2:34" x14ac:dyDescent="0.25">
      <c r="B261" s="93">
        <v>629</v>
      </c>
      <c r="C261" s="93">
        <v>9</v>
      </c>
      <c r="D261" s="94" t="s">
        <v>357</v>
      </c>
      <c r="E261" s="8">
        <v>271.91966893335399</v>
      </c>
      <c r="F261" s="5">
        <v>196610.17</v>
      </c>
      <c r="G261" s="5">
        <v>2752.07</v>
      </c>
      <c r="H261" s="5">
        <f t="shared" si="62"/>
        <v>193858.1</v>
      </c>
      <c r="I261" s="152">
        <f t="shared" si="63"/>
        <v>712.9241542564306</v>
      </c>
      <c r="J261" s="6">
        <f t="shared" si="56"/>
        <v>712.9241542564306</v>
      </c>
      <c r="K261" s="5">
        <f t="shared" si="64"/>
        <v>193858.1</v>
      </c>
      <c r="L261" s="259">
        <v>0.25151785714285713</v>
      </c>
      <c r="M261" s="154">
        <f t="shared" si="65"/>
        <v>44417.846139185822</v>
      </c>
      <c r="N261" s="154">
        <f t="shared" si="66"/>
        <v>13032.776020786388</v>
      </c>
      <c r="O261" s="154">
        <f t="shared" si="67"/>
        <v>3351.5644439487446</v>
      </c>
      <c r="P261" s="154">
        <f t="shared" si="68"/>
        <v>3271.6741969339205</v>
      </c>
      <c r="Q261" s="154">
        <f t="shared" si="57"/>
        <v>64073.860800854876</v>
      </c>
      <c r="R261" s="173">
        <f t="shared" si="58"/>
        <v>0.33051938918649709</v>
      </c>
      <c r="S261" s="153">
        <f t="shared" si="59"/>
        <v>64075.48847066622</v>
      </c>
      <c r="T261" s="154"/>
      <c r="U261" s="154">
        <f>IFERROR(INDEX('2016 Clerical PYA'!$O$5:$O$241,MATCH('2017 Funding'!B261,'2016 Clerical PYA'!$A$5:$A$241,0)),0)</f>
        <v>7178.3115871125556</v>
      </c>
      <c r="V261" s="154">
        <f>IFERROR(INDEX('Revised 2016 MFAM (2014 PYAs)'!$AD$26:$AD$262,MATCH('2017 Funding'!B261,'Revised 2016 MFAM (2014 PYAs)'!$B$26:$B$262,0)),0)</f>
        <v>-489.47407666128129</v>
      </c>
      <c r="W261" s="154">
        <f t="shared" si="60"/>
        <v>-3.639262492010586</v>
      </c>
      <c r="X261" s="154">
        <f t="shared" si="69"/>
        <v>6685.1982479592634</v>
      </c>
      <c r="Y261" s="154"/>
      <c r="Z261" s="155">
        <f t="shared" si="61"/>
        <v>70760.686718625482</v>
      </c>
      <c r="AA261" s="156">
        <v>0</v>
      </c>
      <c r="AB261" s="157">
        <f t="shared" si="70"/>
        <v>0</v>
      </c>
      <c r="AC261" s="154">
        <f t="shared" si="71"/>
        <v>70760.686718625482</v>
      </c>
      <c r="AD261" s="160"/>
      <c r="AE261" s="154">
        <f t="shared" si="72"/>
        <v>17690.171679656371</v>
      </c>
      <c r="AF261" s="154">
        <f t="shared" si="72"/>
        <v>17690.171679656371</v>
      </c>
      <c r="AG261" s="154">
        <f t="shared" si="72"/>
        <v>17690.171679656371</v>
      </c>
      <c r="AH261" s="154">
        <f t="shared" si="72"/>
        <v>17690.171679656371</v>
      </c>
    </row>
    <row r="262" spans="2:34" x14ac:dyDescent="0.25">
      <c r="B262" s="93">
        <v>630</v>
      </c>
      <c r="C262" s="93">
        <v>9</v>
      </c>
      <c r="D262" s="94" t="s">
        <v>358</v>
      </c>
      <c r="E262" s="8">
        <v>170.30421848518847</v>
      </c>
      <c r="F262" s="5">
        <v>209074.16</v>
      </c>
      <c r="G262" s="5">
        <v>2843.24</v>
      </c>
      <c r="H262" s="5">
        <f t="shared" si="62"/>
        <v>206230.92</v>
      </c>
      <c r="I262" s="152">
        <f t="shared" si="63"/>
        <v>1210.9560281851511</v>
      </c>
      <c r="J262" s="6">
        <f t="shared" si="56"/>
        <v>1044.6474423565719</v>
      </c>
      <c r="K262" s="5">
        <f t="shared" si="64"/>
        <v>177907.86626308694</v>
      </c>
      <c r="L262" s="259">
        <v>0.61126636904761911</v>
      </c>
      <c r="M262" s="154">
        <f t="shared" si="65"/>
        <v>40763.239867844801</v>
      </c>
      <c r="N262" s="154">
        <f t="shared" si="66"/>
        <v>8162.4721875361147</v>
      </c>
      <c r="O262" s="154">
        <f t="shared" si="67"/>
        <v>7475.1592873903919</v>
      </c>
      <c r="P262" s="154">
        <f t="shared" si="68"/>
        <v>3002.4877757726513</v>
      </c>
      <c r="Q262" s="154">
        <f t="shared" si="57"/>
        <v>59403.359118543958</v>
      </c>
      <c r="R262" s="173">
        <f t="shared" si="58"/>
        <v>0.33389956479326971</v>
      </c>
      <c r="S262" s="153">
        <f t="shared" si="59"/>
        <v>59404.868143489875</v>
      </c>
      <c r="T262" s="154"/>
      <c r="U262" s="154">
        <f>IFERROR(INDEX('2016 Clerical PYA'!$O$5:$O$241,MATCH('2017 Funding'!B262,'2016 Clerical PYA'!$A$5:$A$241,0)),0)</f>
        <v>2347.5982351489511</v>
      </c>
      <c r="V262" s="154">
        <f>IFERROR(INDEX('Revised 2016 MFAM (2014 PYAs)'!$AD$26:$AD$262,MATCH('2017 Funding'!B262,'Revised 2016 MFAM (2014 PYAs)'!$B$26:$B$262,0)),0)</f>
        <v>287.58429063366202</v>
      </c>
      <c r="W262" s="154">
        <f t="shared" si="60"/>
        <v>-3.3739876766824657</v>
      </c>
      <c r="X262" s="154">
        <f t="shared" si="69"/>
        <v>2631.8085381059304</v>
      </c>
      <c r="Y262" s="154"/>
      <c r="Z262" s="155">
        <f t="shared" si="61"/>
        <v>62036.676681595804</v>
      </c>
      <c r="AA262" s="156">
        <v>0</v>
      </c>
      <c r="AB262" s="157">
        <f t="shared" si="70"/>
        <v>0</v>
      </c>
      <c r="AC262" s="154">
        <f t="shared" si="71"/>
        <v>62036.676681595804</v>
      </c>
      <c r="AD262" s="160"/>
      <c r="AE262" s="154">
        <f t="shared" si="72"/>
        <v>15509.169170398951</v>
      </c>
      <c r="AF262" s="154">
        <f t="shared" si="72"/>
        <v>15509.169170398951</v>
      </c>
      <c r="AG262" s="154">
        <f t="shared" si="72"/>
        <v>15509.169170398951</v>
      </c>
      <c r="AH262" s="154">
        <f t="shared" si="72"/>
        <v>15509.169170398951</v>
      </c>
    </row>
    <row r="263" spans="2:34" x14ac:dyDescent="0.25">
      <c r="B263" s="93">
        <v>695</v>
      </c>
      <c r="C263" s="93">
        <v>9</v>
      </c>
      <c r="D263" s="94" t="s">
        <v>359</v>
      </c>
      <c r="E263" s="8">
        <v>31.288449442627645</v>
      </c>
      <c r="F263" s="5">
        <v>15992.82</v>
      </c>
      <c r="G263" s="5">
        <v>0</v>
      </c>
      <c r="H263" s="5">
        <f t="shared" si="62"/>
        <v>15992.82</v>
      </c>
      <c r="I263" s="152">
        <f t="shared" si="63"/>
        <v>511.14134081093988</v>
      </c>
      <c r="J263" s="6">
        <f t="shared" si="56"/>
        <v>511.14134081093988</v>
      </c>
      <c r="K263" s="5">
        <f t="shared" si="64"/>
        <v>15992.82</v>
      </c>
      <c r="L263" s="259">
        <v>4.1571428571428572E-2</v>
      </c>
      <c r="M263" s="154">
        <f t="shared" si="65"/>
        <v>3664.3638728105439</v>
      </c>
      <c r="N263" s="154">
        <f t="shared" si="66"/>
        <v>1499.6169832915186</v>
      </c>
      <c r="O263" s="154">
        <f t="shared" si="67"/>
        <v>45.699852299480071</v>
      </c>
      <c r="P263" s="154">
        <f t="shared" si="68"/>
        <v>269.90513437513692</v>
      </c>
      <c r="Q263" s="154">
        <f t="shared" si="57"/>
        <v>5479.5858427766798</v>
      </c>
      <c r="R263" s="173">
        <f t="shared" si="58"/>
        <v>0.34262786942994916</v>
      </c>
      <c r="S263" s="153">
        <f t="shared" si="59"/>
        <v>5479.7250408262971</v>
      </c>
      <c r="T263" s="154"/>
      <c r="U263" s="154">
        <f>IFERROR(INDEX('2016 Clerical PYA'!$O$5:$O$241,MATCH('2017 Funding'!B263,'2016 Clerical PYA'!$A$5:$A$241,0)),0)</f>
        <v>-148.70953750495573</v>
      </c>
      <c r="V263" s="154">
        <f>IFERROR(INDEX('Revised 2016 MFAM (2014 PYAs)'!$AD$26:$AD$262,MATCH('2017 Funding'!B263,'Revised 2016 MFAM (2014 PYAs)'!$B$26:$B$262,0)),0)</f>
        <v>30.607028379643452</v>
      </c>
      <c r="W263" s="154">
        <f t="shared" si="60"/>
        <v>-0.31122911870956466</v>
      </c>
      <c r="X263" s="154">
        <f t="shared" si="69"/>
        <v>-118.41373824402184</v>
      </c>
      <c r="Y263" s="154"/>
      <c r="Z263" s="155">
        <f t="shared" si="61"/>
        <v>5361.3113025822749</v>
      </c>
      <c r="AA263" s="156">
        <v>0</v>
      </c>
      <c r="AB263" s="157">
        <f t="shared" si="70"/>
        <v>0</v>
      </c>
      <c r="AC263" s="154">
        <f t="shared" si="71"/>
        <v>5361.3113025822749</v>
      </c>
      <c r="AD263" s="160"/>
      <c r="AE263" s="154">
        <f t="shared" si="72"/>
        <v>1340.3278256455687</v>
      </c>
      <c r="AF263" s="154">
        <f t="shared" si="72"/>
        <v>1340.3278256455687</v>
      </c>
      <c r="AG263" s="154">
        <f t="shared" si="72"/>
        <v>1340.3278256455687</v>
      </c>
      <c r="AH263" s="154">
        <f t="shared" si="72"/>
        <v>1340.3278256455687</v>
      </c>
    </row>
    <row r="264" spans="2:34" x14ac:dyDescent="0.25">
      <c r="B264" s="93">
        <v>771</v>
      </c>
      <c r="C264" s="93">
        <v>9</v>
      </c>
      <c r="D264" s="94" t="s">
        <v>360</v>
      </c>
      <c r="E264" s="8">
        <v>185.835291947153</v>
      </c>
      <c r="F264" s="5">
        <v>63131.15</v>
      </c>
      <c r="G264" s="5">
        <v>30</v>
      </c>
      <c r="H264" s="5">
        <f t="shared" si="62"/>
        <v>63101.15</v>
      </c>
      <c r="I264" s="152">
        <f t="shared" si="63"/>
        <v>339.55417907350142</v>
      </c>
      <c r="J264" s="6">
        <f t="shared" si="56"/>
        <v>339.55417907350142</v>
      </c>
      <c r="K264" s="5">
        <f t="shared" si="64"/>
        <v>63101.15</v>
      </c>
      <c r="L264" s="259">
        <v>0.47255505952380955</v>
      </c>
      <c r="M264" s="154">
        <f t="shared" si="65"/>
        <v>14458.086465851493</v>
      </c>
      <c r="N264" s="154">
        <f t="shared" si="66"/>
        <v>8906.8574781852203</v>
      </c>
      <c r="O264" s="154">
        <f t="shared" si="67"/>
        <v>2049.6725731412512</v>
      </c>
      <c r="P264" s="154">
        <f t="shared" si="68"/>
        <v>1064.9356630022519</v>
      </c>
      <c r="Q264" s="154">
        <f t="shared" si="57"/>
        <v>26479.552180180217</v>
      </c>
      <c r="R264" s="173">
        <f t="shared" si="58"/>
        <v>0.4196366021883946</v>
      </c>
      <c r="S264" s="153">
        <f t="shared" si="59"/>
        <v>26480.224840874653</v>
      </c>
      <c r="T264" s="154"/>
      <c r="U264" s="154">
        <f>IFERROR(INDEX('2016 Clerical PYA'!$O$5:$O$241,MATCH('2017 Funding'!B264,'2016 Clerical PYA'!$A$5:$A$241,0)),0)</f>
        <v>-862.32825564909945</v>
      </c>
      <c r="V264" s="154">
        <f>IFERROR(INDEX('Revised 2016 MFAM (2014 PYAs)'!$AD$26:$AD$262,MATCH('2017 Funding'!B264,'Revised 2016 MFAM (2014 PYAs)'!$B$26:$B$262,0)),0)</f>
        <v>-518.19798479736346</v>
      </c>
      <c r="W264" s="154">
        <f t="shared" si="60"/>
        <v>-1.503983681490304</v>
      </c>
      <c r="X264" s="154">
        <f t="shared" si="69"/>
        <v>-1382.0302241279533</v>
      </c>
      <c r="Y264" s="154"/>
      <c r="Z264" s="155">
        <f t="shared" si="61"/>
        <v>25098.194616746699</v>
      </c>
      <c r="AA264" s="156">
        <v>0</v>
      </c>
      <c r="AB264" s="157">
        <f t="shared" si="70"/>
        <v>0</v>
      </c>
      <c r="AC264" s="154">
        <f t="shared" si="71"/>
        <v>25098.194616746699</v>
      </c>
      <c r="AD264" s="160"/>
      <c r="AE264" s="154">
        <f t="shared" si="72"/>
        <v>6274.5486541866749</v>
      </c>
      <c r="AF264" s="154">
        <f t="shared" si="72"/>
        <v>6274.5486541866749</v>
      </c>
      <c r="AG264" s="154">
        <f t="shared" si="72"/>
        <v>6274.5486541866749</v>
      </c>
      <c r="AH264" s="154">
        <f t="shared" si="72"/>
        <v>6274.5486541866749</v>
      </c>
    </row>
    <row r="265" spans="2:34" x14ac:dyDescent="0.25">
      <c r="B265" s="93">
        <v>830</v>
      </c>
      <c r="C265" s="93">
        <v>9</v>
      </c>
      <c r="D265" s="94" t="s">
        <v>361</v>
      </c>
      <c r="E265" s="8">
        <v>21.846106673549283</v>
      </c>
      <c r="F265" s="5">
        <v>1029.9100000000001</v>
      </c>
      <c r="G265" s="5">
        <v>0</v>
      </c>
      <c r="H265" s="5">
        <f t="shared" si="62"/>
        <v>1029.9100000000001</v>
      </c>
      <c r="I265" s="152">
        <f t="shared" si="63"/>
        <v>47.143869403832454</v>
      </c>
      <c r="J265" s="6">
        <f t="shared" si="56"/>
        <v>47.143869403832454</v>
      </c>
      <c r="K265" s="5">
        <f t="shared" si="64"/>
        <v>1029.9100000000001</v>
      </c>
      <c r="L265" s="259">
        <v>0.49319940476190477</v>
      </c>
      <c r="M265" s="154">
        <f t="shared" si="65"/>
        <v>235.97870771047931</v>
      </c>
      <c r="N265" s="154">
        <f t="shared" si="66"/>
        <v>1047.0570824075132</v>
      </c>
      <c r="O265" s="154">
        <f t="shared" si="67"/>
        <v>34.915367453787574</v>
      </c>
      <c r="P265" s="154">
        <f t="shared" si="68"/>
        <v>17.381424723363192</v>
      </c>
      <c r="Q265" s="154">
        <f t="shared" si="57"/>
        <v>1335.3325822951433</v>
      </c>
      <c r="R265" s="173">
        <f t="shared" si="58"/>
        <v>1.2965526912984078</v>
      </c>
      <c r="S265" s="153">
        <f t="shared" si="59"/>
        <v>772.43250000000012</v>
      </c>
      <c r="T265" s="154"/>
      <c r="U265" s="154">
        <f>IFERROR(INDEX('2016 Clerical PYA'!$O$5:$O$241,MATCH('2017 Funding'!B265,'2016 Clerical PYA'!$A$5:$A$241,0)),0)</f>
        <v>0</v>
      </c>
      <c r="V265" s="154">
        <f>IFERROR(INDEX('Revised 2016 MFAM (2014 PYAs)'!$AD$26:$AD$262,MATCH('2017 Funding'!B265,'Revised 2016 MFAM (2014 PYAs)'!$B$26:$B$262,0)),0)</f>
        <v>0</v>
      </c>
      <c r="W265" s="154">
        <f t="shared" si="60"/>
        <v>-4.3871450564858083E-2</v>
      </c>
      <c r="X265" s="154">
        <f t="shared" si="69"/>
        <v>-4.3871450564858083E-2</v>
      </c>
      <c r="Y265" s="154"/>
      <c r="Z265" s="155">
        <f t="shared" si="61"/>
        <v>772.38862854943523</v>
      </c>
      <c r="AA265" s="156">
        <v>0</v>
      </c>
      <c r="AB265" s="157">
        <f t="shared" si="70"/>
        <v>0</v>
      </c>
      <c r="AC265" s="154">
        <f t="shared" si="71"/>
        <v>772.38862854943523</v>
      </c>
      <c r="AD265" s="160"/>
      <c r="AE265" s="154">
        <f t="shared" si="72"/>
        <v>193.09715713735881</v>
      </c>
      <c r="AF265" s="154">
        <f t="shared" si="72"/>
        <v>193.09715713735881</v>
      </c>
      <c r="AG265" s="154">
        <f t="shared" si="72"/>
        <v>193.09715713735881</v>
      </c>
      <c r="AH265" s="154">
        <f t="shared" si="72"/>
        <v>193.09715713735881</v>
      </c>
    </row>
    <row r="266" spans="2:34" x14ac:dyDescent="0.25">
      <c r="B266" s="93">
        <v>936</v>
      </c>
      <c r="C266" s="93">
        <v>9</v>
      </c>
      <c r="D266" s="94" t="s">
        <v>362</v>
      </c>
      <c r="E266" s="8">
        <v>30.127284316592274</v>
      </c>
      <c r="F266" s="5">
        <v>49010.21</v>
      </c>
      <c r="G266" s="5">
        <v>0</v>
      </c>
      <c r="H266" s="5">
        <f t="shared" si="62"/>
        <v>49010.21</v>
      </c>
      <c r="I266" s="152">
        <f t="shared" si="63"/>
        <v>1626.7715830267568</v>
      </c>
      <c r="J266" s="6">
        <f t="shared" si="56"/>
        <v>1044.6474423565719</v>
      </c>
      <c r="K266" s="5">
        <f t="shared" si="64"/>
        <v>31472.390506477379</v>
      </c>
      <c r="L266" s="259">
        <v>0.31332291666666667</v>
      </c>
      <c r="M266" s="154">
        <f t="shared" si="65"/>
        <v>7211.1291668962231</v>
      </c>
      <c r="N266" s="154">
        <f t="shared" si="66"/>
        <v>1443.9637638310453</v>
      </c>
      <c r="O266" s="154">
        <f t="shared" si="67"/>
        <v>677.82360690959842</v>
      </c>
      <c r="P266" s="154">
        <f t="shared" si="68"/>
        <v>531.14833961474972</v>
      </c>
      <c r="Q266" s="154">
        <f t="shared" si="57"/>
        <v>9864.0648772516179</v>
      </c>
      <c r="R266" s="173">
        <f t="shared" si="58"/>
        <v>0.31341962648885791</v>
      </c>
      <c r="S266" s="153">
        <f t="shared" si="59"/>
        <v>9864.31545432653</v>
      </c>
      <c r="T266" s="154"/>
      <c r="U266" s="154">
        <f>IFERROR(INDEX('2016 Clerical PYA'!$O$5:$O$241,MATCH('2017 Funding'!B266,'2016 Clerical PYA'!$A$5:$A$241,0)),0)</f>
        <v>2526.9042436763521</v>
      </c>
      <c r="V266" s="154">
        <f>IFERROR(INDEX('Revised 2016 MFAM (2014 PYAs)'!$AD$26:$AD$262,MATCH('2017 Funding'!B266,'Revised 2016 MFAM (2014 PYAs)'!$B$26:$B$262,0)),0)</f>
        <v>168.92327346799902</v>
      </c>
      <c r="W266" s="154">
        <f t="shared" si="60"/>
        <v>-0.56025844046004269</v>
      </c>
      <c r="X266" s="154">
        <f t="shared" si="69"/>
        <v>2695.267258703891</v>
      </c>
      <c r="Y266" s="154"/>
      <c r="Z266" s="155">
        <f t="shared" si="61"/>
        <v>12559.582713030421</v>
      </c>
      <c r="AA266" s="156">
        <v>0</v>
      </c>
      <c r="AB266" s="157">
        <f t="shared" si="70"/>
        <v>0</v>
      </c>
      <c r="AC266" s="154">
        <f t="shared" si="71"/>
        <v>12559.582713030421</v>
      </c>
      <c r="AD266" s="160"/>
      <c r="AE266" s="154">
        <f t="shared" si="72"/>
        <v>3139.8956782576051</v>
      </c>
      <c r="AF266" s="154">
        <f t="shared" si="72"/>
        <v>3139.8956782576051</v>
      </c>
      <c r="AG266" s="154">
        <f t="shared" si="72"/>
        <v>3139.8956782576051</v>
      </c>
      <c r="AH266" s="154">
        <f t="shared" si="72"/>
        <v>3139.8956782576051</v>
      </c>
    </row>
    <row r="267" spans="2:34" x14ac:dyDescent="0.25">
      <c r="B267" s="93">
        <v>952</v>
      </c>
      <c r="C267" s="93">
        <v>9</v>
      </c>
      <c r="D267" s="94" t="s">
        <v>363</v>
      </c>
      <c r="E267" s="8">
        <v>72.757346618170089</v>
      </c>
      <c r="F267" s="5">
        <v>95781.79</v>
      </c>
      <c r="G267" s="5">
        <v>3406.5</v>
      </c>
      <c r="H267" s="5">
        <f t="shared" si="62"/>
        <v>92375.29</v>
      </c>
      <c r="I267" s="152">
        <f t="shared" si="63"/>
        <v>1269.6352230213217</v>
      </c>
      <c r="J267" s="6">
        <f t="shared" si="56"/>
        <v>1044.6474423565719</v>
      </c>
      <c r="K267" s="5">
        <f t="shared" si="64"/>
        <v>76005.776057321957</v>
      </c>
      <c r="L267" s="259">
        <v>0.5600059523809523</v>
      </c>
      <c r="M267" s="154">
        <f t="shared" si="65"/>
        <v>17414.866165527983</v>
      </c>
      <c r="N267" s="154">
        <f t="shared" si="66"/>
        <v>3487.1703325504441</v>
      </c>
      <c r="O267" s="154">
        <f t="shared" si="67"/>
        <v>2925.7286137839965</v>
      </c>
      <c r="P267" s="154">
        <f t="shared" si="68"/>
        <v>1282.7224467003348</v>
      </c>
      <c r="Q267" s="154">
        <f t="shared" si="57"/>
        <v>25110.487558562763</v>
      </c>
      <c r="R267" s="173">
        <f t="shared" si="58"/>
        <v>0.33037604325788295</v>
      </c>
      <c r="S267" s="153">
        <f t="shared" si="59"/>
        <v>25111.125440876021</v>
      </c>
      <c r="T267" s="154"/>
      <c r="U267" s="154">
        <f>IFERROR(INDEX('2016 Clerical PYA'!$O$5:$O$241,MATCH('2017 Funding'!B267,'2016 Clerical PYA'!$A$5:$A$241,0)),0)</f>
        <v>5774.6996852978555</v>
      </c>
      <c r="V267" s="154">
        <f>IFERROR(INDEX('Revised 2016 MFAM (2014 PYAs)'!$AD$26:$AD$262,MATCH('2017 Funding'!B267,'Revised 2016 MFAM (2014 PYAs)'!$B$26:$B$262,0)),0)</f>
        <v>390.3961807447522</v>
      </c>
      <c r="W267" s="154">
        <f t="shared" si="60"/>
        <v>-1.4262236485483748</v>
      </c>
      <c r="X267" s="154">
        <f t="shared" si="69"/>
        <v>6163.6696423940593</v>
      </c>
      <c r="Y267" s="154"/>
      <c r="Z267" s="155">
        <f t="shared" si="61"/>
        <v>31274.795083270081</v>
      </c>
      <c r="AA267" s="156">
        <v>0</v>
      </c>
      <c r="AB267" s="157">
        <f t="shared" si="70"/>
        <v>0</v>
      </c>
      <c r="AC267" s="154">
        <f t="shared" si="71"/>
        <v>31274.795083270081</v>
      </c>
      <c r="AD267" s="160"/>
      <c r="AE267" s="154">
        <f t="shared" si="72"/>
        <v>7818.6987708175202</v>
      </c>
      <c r="AF267" s="154">
        <f t="shared" si="72"/>
        <v>7818.6987708175202</v>
      </c>
      <c r="AG267" s="154">
        <f t="shared" si="72"/>
        <v>7818.6987708175202</v>
      </c>
      <c r="AH267" s="154">
        <f t="shared" si="72"/>
        <v>7818.6987708175202</v>
      </c>
    </row>
    <row r="268" spans="2:34" x14ac:dyDescent="0.25">
      <c r="B268" s="1">
        <v>982</v>
      </c>
      <c r="C268" s="1">
        <v>9</v>
      </c>
      <c r="D268" t="s">
        <v>364</v>
      </c>
      <c r="E268" s="8">
        <v>70.90277271653035</v>
      </c>
      <c r="F268" s="5">
        <v>13878.06</v>
      </c>
      <c r="G268" s="5">
        <v>0</v>
      </c>
      <c r="H268" s="5">
        <f t="shared" si="62"/>
        <v>13878.06</v>
      </c>
      <c r="I268" s="152">
        <f t="shared" si="63"/>
        <v>195.73367117086599</v>
      </c>
      <c r="J268" s="6">
        <f t="shared" si="56"/>
        <v>195.73367117086599</v>
      </c>
      <c r="K268" s="5">
        <f t="shared" si="64"/>
        <v>13878.06</v>
      </c>
      <c r="L268" s="259">
        <v>0.12471428571428572</v>
      </c>
      <c r="M268" s="154">
        <f t="shared" si="65"/>
        <v>3179.8182990052474</v>
      </c>
      <c r="N268" s="154">
        <f t="shared" si="66"/>
        <v>3398.282881455501</v>
      </c>
      <c r="O268" s="154">
        <f t="shared" si="67"/>
        <v>118.97063035849632</v>
      </c>
      <c r="P268" s="154">
        <f t="shared" si="68"/>
        <v>234.21508209097667</v>
      </c>
      <c r="Q268" s="154">
        <f t="shared" si="57"/>
        <v>6931.2868929102206</v>
      </c>
      <c r="R268" s="173">
        <f t="shared" si="58"/>
        <v>0.49944206127587149</v>
      </c>
      <c r="S268" s="153">
        <f t="shared" si="59"/>
        <v>6931.4629685561758</v>
      </c>
      <c r="T268" s="154"/>
      <c r="U268" s="154">
        <f>IFERROR(INDEX('2016 Clerical PYA'!$O$5:$O$241,MATCH('2017 Funding'!B268,'2016 Clerical PYA'!$A$5:$A$241,0)),0)</f>
        <v>-311.07930462672812</v>
      </c>
      <c r="V268" s="154">
        <f>IFERROR(INDEX('Revised 2016 MFAM (2014 PYAs)'!$AD$26:$AD$262,MATCH('2017 Funding'!B268,'Revised 2016 MFAM (2014 PYAs)'!$B$26:$B$262,0)),0)</f>
        <v>66.906451386505069</v>
      </c>
      <c r="W268" s="154">
        <f t="shared" si="60"/>
        <v>-0.39368272951637423</v>
      </c>
      <c r="X268" s="154">
        <f t="shared" si="69"/>
        <v>-244.56653596973942</v>
      </c>
      <c r="Y268" s="154"/>
      <c r="Z268" s="155">
        <f t="shared" si="61"/>
        <v>6686.8964325864363</v>
      </c>
      <c r="AA268" s="156">
        <v>0</v>
      </c>
      <c r="AB268" s="157">
        <f t="shared" si="70"/>
        <v>0</v>
      </c>
      <c r="AC268" s="154">
        <f t="shared" si="71"/>
        <v>6686.8964325864363</v>
      </c>
      <c r="AD268" s="160"/>
      <c r="AE268" s="154">
        <f t="shared" si="72"/>
        <v>1671.7241081466091</v>
      </c>
      <c r="AF268" s="154">
        <f t="shared" si="72"/>
        <v>1671.7241081466091</v>
      </c>
      <c r="AG268" s="154">
        <f t="shared" si="72"/>
        <v>1671.7241081466091</v>
      </c>
      <c r="AH268" s="154">
        <f t="shared" si="72"/>
        <v>1671.7241081466091</v>
      </c>
    </row>
    <row r="269" spans="2:34" x14ac:dyDescent="0.25">
      <c r="B269" s="1">
        <v>987</v>
      </c>
      <c r="C269" s="1">
        <v>9</v>
      </c>
      <c r="D269" t="s">
        <v>365</v>
      </c>
      <c r="E269" s="8">
        <v>179.59000000000003</v>
      </c>
      <c r="F269" s="5">
        <v>48445.67</v>
      </c>
      <c r="G269" s="5">
        <v>0</v>
      </c>
      <c r="H269" s="5">
        <f t="shared" ref="H269" si="73">F269-G269</f>
        <v>48445.67</v>
      </c>
      <c r="I269" s="152">
        <f t="shared" si="63"/>
        <v>269.75705774263594</v>
      </c>
      <c r="J269" s="6">
        <f t="shared" si="56"/>
        <v>269.75705774263594</v>
      </c>
      <c r="K269" s="5">
        <f t="shared" si="64"/>
        <v>48445.67</v>
      </c>
      <c r="L269" s="259">
        <v>0.49146428571428574</v>
      </c>
      <c r="M269" s="154">
        <f t="shared" si="65"/>
        <v>11100.141372322179</v>
      </c>
      <c r="N269" s="154">
        <f t="shared" si="66"/>
        <v>8607.5282996416299</v>
      </c>
      <c r="O269" s="154">
        <f t="shared" si="67"/>
        <v>1636.5969152627733</v>
      </c>
      <c r="P269" s="154">
        <f t="shared" si="68"/>
        <v>817.60034010534366</v>
      </c>
      <c r="Q269" s="154">
        <f t="shared" si="57"/>
        <v>22161.866927331925</v>
      </c>
      <c r="R269" s="173">
        <f t="shared" si="58"/>
        <v>0.4574581572993402</v>
      </c>
      <c r="S269" s="153">
        <f t="shared" si="59"/>
        <v>22162.42990576509</v>
      </c>
      <c r="T269" s="154"/>
      <c r="U269" s="154">
        <f>IFERROR(INDEX('2016 Clerical PYA'!$O$5:$O$241,MATCH('2017 Funding'!B269,'2016 Clerical PYA'!$A$5:$A$241,0)),0)</f>
        <v>-371.53041622272212</v>
      </c>
      <c r="V269" s="154">
        <f>IFERROR(INDEX('Revised 2016 MFAM (2014 PYAs)'!$AD$26:$AD$262,MATCH('2017 Funding'!B269,'Revised 2016 MFAM (2014 PYAs)'!$B$26:$B$262,0)),0)</f>
        <v>94.796451445425191</v>
      </c>
      <c r="W269" s="154">
        <f t="shared" si="60"/>
        <v>-1.2587481080973488</v>
      </c>
      <c r="X269" s="154">
        <f t="shared" si="69"/>
        <v>-277.99271288539427</v>
      </c>
      <c r="Y269" s="154"/>
      <c r="Z269" s="155">
        <f t="shared" si="61"/>
        <v>21884.437192879694</v>
      </c>
      <c r="AA269" s="156">
        <v>0</v>
      </c>
      <c r="AB269" s="157">
        <f t="shared" si="70"/>
        <v>0</v>
      </c>
      <c r="AC269" s="154">
        <f t="shared" si="71"/>
        <v>21884.437192879694</v>
      </c>
      <c r="AD269" s="160"/>
      <c r="AE269" s="154">
        <f t="shared" si="72"/>
        <v>5471.1092982199234</v>
      </c>
      <c r="AF269" s="154">
        <f t="shared" si="72"/>
        <v>5471.1092982199234</v>
      </c>
      <c r="AG269" s="154">
        <f t="shared" si="72"/>
        <v>5471.1092982199234</v>
      </c>
      <c r="AH269" s="154">
        <f t="shared" si="72"/>
        <v>5471.1092982199234</v>
      </c>
    </row>
  </sheetData>
  <mergeCells count="5">
    <mergeCell ref="B2:G2"/>
    <mergeCell ref="P2:Q2"/>
    <mergeCell ref="R24:S24"/>
    <mergeCell ref="U24:X24"/>
    <mergeCell ref="M18:S18"/>
  </mergeCells>
  <conditionalFormatting sqref="B71:D97 B172:D184 B186:D191 B235:D257 B104:D170 B99:D101 B193:D203 B205:D233 B27:D69 Y27:Y69 Y71:Y97 Y104:Y170 Y186:Y191 Y193:Y203 Y235:Y265 Y267:Y269 Y172:Y184 Y205:Y233 Y99:Y102 T267:T269 T99:T102 T205:T233 T172:T184 T235:T265 T193:T203 T186:T191 T104:T170 T71:T97 T27:T69 E27:S269 B26:Y26 U27:X269">
    <cfRule type="expression" dxfId="22" priority="8">
      <formula>$C26&lt;&gt;$C25</formula>
    </cfRule>
  </conditionalFormatting>
  <conditionalFormatting sqref="R26:R269">
    <cfRule type="expression" dxfId="21" priority="7">
      <formula>R26&gt;75%</formula>
    </cfRule>
  </conditionalFormatting>
  <conditionalFormatting sqref="AA186:AA191 AA267:AA269 Z26:AC26 Z27:Z269 AE26:AH269 AA71:AA170 AA27:AA69 AA193:AA233 AA235:AA265 AA172:AA184 AB27:AC269">
    <cfRule type="expression" dxfId="20" priority="6">
      <formula>$C26&lt;&gt;$C25=TRUE</formula>
    </cfRule>
  </conditionalFormatting>
  <conditionalFormatting sqref="B70:D70 B98:D98 B185:D185 B234:D234 B102:D102 B204:D204 Y70 Y185 Y234 Y266 Y204 Y98 T98 T204 T266 T234 T185 T70">
    <cfRule type="expression" dxfId="19" priority="9">
      <formula>$C70&lt;&gt;$C68</formula>
    </cfRule>
  </conditionalFormatting>
  <conditionalFormatting sqref="AA70 AA185 AA234 AA266">
    <cfRule type="expression" dxfId="18" priority="10">
      <formula>$C70&lt;&gt;$C68=TRUE</formula>
    </cfRule>
  </conditionalFormatting>
  <conditionalFormatting sqref="B171:D171 B192:D192 Y171 Y192 T192 T171">
    <cfRule type="expression" dxfId="17" priority="11">
      <formula>$C171&lt;&gt;#REF!</formula>
    </cfRule>
  </conditionalFormatting>
  <conditionalFormatting sqref="AA171 AA192">
    <cfRule type="expression" dxfId="16" priority="12">
      <formula>$C171&lt;&gt;#REF!=TRUE</formula>
    </cfRule>
  </conditionalFormatting>
  <conditionalFormatting sqref="B103:D103 Y103 T103">
    <cfRule type="expression" dxfId="15" priority="13">
      <formula>$C103&lt;&gt;$C100</formula>
    </cfRule>
  </conditionalFormatting>
  <conditionalFormatting sqref="N3:N11">
    <cfRule type="expression" dxfId="14" priority="5">
      <formula>$C3&lt;&gt;$C2</formula>
    </cfRule>
  </conditionalFormatting>
  <conditionalFormatting sqref="V23">
    <cfRule type="expression" dxfId="13" priority="2">
      <formula>$C23&lt;&gt;$C22</formula>
    </cfRule>
  </conditionalFormatting>
  <conditionalFormatting sqref="W23">
    <cfRule type="expression" dxfId="12" priority="1">
      <formula>$C23&lt;&gt;$C22</formula>
    </cfRule>
  </conditionalFormatting>
  <pageMargins left="0.7" right="0.7" top="0.75" bottom="0.75" header="0.3" footer="0.3"/>
  <pageSetup orientation="portrait" r:id="rId1"/>
  <ignoredErrors>
    <ignoredError sqref="O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S248"/>
  <sheetViews>
    <sheetView topLeftCell="B1" workbookViewId="0">
      <selection activeCell="O14" sqref="O14"/>
    </sheetView>
  </sheetViews>
  <sheetFormatPr defaultRowHeight="15" x14ac:dyDescent="0.25"/>
  <cols>
    <col min="1" max="1" width="5.5703125" customWidth="1"/>
    <col min="2" max="3" width="6.5703125" style="1" customWidth="1"/>
    <col min="4" max="4" width="50.5703125" customWidth="1"/>
    <col min="5" max="11" width="14.5703125" customWidth="1"/>
    <col min="12" max="12" width="5.5703125" customWidth="1"/>
    <col min="13" max="19" width="12.5703125" customWidth="1"/>
  </cols>
  <sheetData>
    <row r="2" spans="2:19" x14ac:dyDescent="0.25">
      <c r="B2" s="23" t="s">
        <v>14</v>
      </c>
      <c r="E2" s="22"/>
      <c r="F2" s="22"/>
      <c r="G2" s="22"/>
      <c r="I2" t="s">
        <v>13</v>
      </c>
      <c r="J2" s="21">
        <v>0</v>
      </c>
    </row>
    <row r="3" spans="2:19" x14ac:dyDescent="0.25">
      <c r="D3" s="19"/>
      <c r="E3" s="20"/>
      <c r="F3" s="20"/>
      <c r="G3" s="20"/>
      <c r="H3" s="19"/>
      <c r="K3" s="17"/>
    </row>
    <row r="4" spans="2:19" ht="15.75" thickBot="1" x14ac:dyDescent="0.3">
      <c r="E4" s="18">
        <f>SUM(E6:E250)</f>
        <v>852437.06335098401</v>
      </c>
      <c r="F4" s="17">
        <f>SUM(F6:F250)</f>
        <v>343490141.01999986</v>
      </c>
      <c r="G4" s="17">
        <f>SUM(G6:G250)</f>
        <v>85792840.999999985</v>
      </c>
      <c r="H4" s="17">
        <f>SUM(H6:H250)</f>
        <v>257697300.02000007</v>
      </c>
      <c r="J4" t="s">
        <v>12</v>
      </c>
      <c r="K4" s="17">
        <f>SUM(K6:K250)</f>
        <v>254734078.78706068</v>
      </c>
      <c r="Q4" s="16">
        <v>0.1</v>
      </c>
      <c r="R4" s="15">
        <f>100%-Q4</f>
        <v>0.9</v>
      </c>
    </row>
    <row r="5" spans="2:19" ht="60.75" thickBot="1" x14ac:dyDescent="0.3">
      <c r="B5" s="14" t="s">
        <v>11</v>
      </c>
      <c r="C5" s="14" t="s">
        <v>10</v>
      </c>
      <c r="D5" s="14" t="s">
        <v>9</v>
      </c>
      <c r="E5" s="14" t="str">
        <f>"2015"&amp;CHAR(10)&amp;"Marketed Tonnes"&amp;CHAR(10)&amp;TEXT(SUM(E6:E280),"#,##0")&amp;" T"</f>
        <v>2015
Marketed Tonnes
852,437 T</v>
      </c>
      <c r="F5" s="14" t="str">
        <f>"2015 Reported Gross Cost"&amp;CHAR(10)&amp;TEXT(SUM(F6:F250),"$#,##0")</f>
        <v>2015 Reported Gross Cost
$343,490,141</v>
      </c>
      <c r="G5" s="14" t="str">
        <f>"2015 Reported Revenue"&amp;CHAR(10)&amp;TEXT(SUM(G6:G250),"$#,##0")</f>
        <v>2015 Reported Revenue
$85,792,841</v>
      </c>
      <c r="H5" s="14" t="str">
        <f>"2015 Reported Net Cost"&amp;CHAR(10)&amp;TEXT(SUM(H6:H250),"$#,##0")</f>
        <v>2015 Reported Net Cost
$257,697,300</v>
      </c>
      <c r="I5" s="14" t="s">
        <v>8</v>
      </c>
      <c r="J5" s="14" t="s">
        <v>1</v>
      </c>
      <c r="K5" s="14" t="str">
        <f>"Adjusted Net Cost"&amp;CHAR(10)&amp;TEXT(SUM(K6:K250),"$#,##0")</f>
        <v>Adjusted Net Cost
$254,734,079</v>
      </c>
      <c r="M5" s="14" t="s">
        <v>7</v>
      </c>
      <c r="N5" s="14" t="s">
        <v>6</v>
      </c>
      <c r="O5" s="13" t="s">
        <v>5</v>
      </c>
      <c r="P5" s="13" t="s">
        <v>4</v>
      </c>
      <c r="Q5" s="13" t="s">
        <v>3</v>
      </c>
      <c r="R5" s="13" t="s">
        <v>2</v>
      </c>
      <c r="S5" s="13" t="s">
        <v>1</v>
      </c>
    </row>
    <row r="6" spans="2:19" x14ac:dyDescent="0.25">
      <c r="B6" s="12">
        <v>1</v>
      </c>
      <c r="C6" s="12">
        <v>1</v>
      </c>
      <c r="D6" s="11" t="s">
        <v>125</v>
      </c>
      <c r="E6" s="8">
        <f>INDEX('From 2015 DataLockdown'!$M$5:$M$247,MATCH('Cost Bands for 2017 MFAM'!B6,'From 2015 DataLockdown'!$A$5:$A$247,0))</f>
        <v>43108.04</v>
      </c>
      <c r="F6" s="7">
        <f>INDEX('2015 Data Summary-Datalockdown'!$E$5:$E$247,MATCH('Cost Bands for 2017 MFAM'!B6,'2015 Data Summary-Datalockdown'!$B$5:$B$247,0))</f>
        <v>8761281.5399999991</v>
      </c>
      <c r="G6" s="7">
        <f>INDEX('2015 Data Summary-Datalockdown'!$F$5:$F$247,MATCH('Cost Bands for 2017 MFAM'!B6,'2015 Data Summary-Datalockdown'!$B$5:$B$247,0))</f>
        <v>1291701.44</v>
      </c>
      <c r="H6" s="7">
        <f>F6-G6</f>
        <v>7469580.0999999996</v>
      </c>
      <c r="I6" s="6">
        <f>H6/E6</f>
        <v>173.27579959562067</v>
      </c>
      <c r="J6" s="6">
        <f>IF(ISERROR(IF($J$2=1,MAX(MIN(I6,R6),Q6),MIN(I6,R6))),R6,IF($J$2=1,MAX(MIN(I6,R6),Q6),MIN(I6,R6)))</f>
        <v>173.27579959562067</v>
      </c>
      <c r="K6" s="5">
        <f>J6*E6</f>
        <v>7469580.0999999996</v>
      </c>
      <c r="L6" s="4">
        <f t="shared" ref="L6:L69" si="0">IF(ISERROR(I6),1,0)</f>
        <v>0</v>
      </c>
      <c r="M6" s="2">
        <f t="shared" ref="M6:M69" si="1">SUMPRODUCT(--($L$6:$L$300&lt;&gt;1),--($C$6:$C$300=$C6),$H$6:$H$300)/SUMPRODUCT(--($L$6:$L$300&lt;&gt;1),--($C$6:$C$300=$C6),$E$6:$E$300)</f>
        <v>321.30652870765465</v>
      </c>
      <c r="N6" s="1">
        <f t="shared" ref="N6:N69" si="2">SUMPRODUCT(--($L$6:$L$300&lt;&gt;1),--($C$6:$C$300=$C6),--($L$6:$L$300&lt;&gt;1))</f>
        <v>6</v>
      </c>
      <c r="O6" s="3">
        <f t="shared" ref="O6:O69" si="3">IF(ISERROR((I6-M6)^2),0,(I6-M6)^2)</f>
        <v>21913.096761440385</v>
      </c>
      <c r="P6" s="2">
        <f t="shared" ref="P6:P69" si="4">SQRT(SUMPRODUCT(--($L$6:$L$300&lt;&gt;1),--($C$6:$C$300=$C6),$E$6:$E$300,$O$6:$O$300)/((N6-1)*SUMPRODUCT(--($L$6:$L$300&lt;&gt;1),--($C$6:$C$300=$C6),$E$6:$E$300)/N6))</f>
        <v>87.291452753935161</v>
      </c>
      <c r="Q6" s="2">
        <f t="shared" ref="Q6:R25" si="5">NORMINV(Q$4,$M6,$P6)</f>
        <v>209.43803077218649</v>
      </c>
      <c r="R6" s="2">
        <f t="shared" si="5"/>
        <v>433.17502664312281</v>
      </c>
      <c r="S6" s="2">
        <f t="shared" ref="S6:S69" si="6">IF(ISERROR(MAX(MIN(I6,R6),Q6)),R6,MAX(MIN(I6,R6),Q6))</f>
        <v>209.43803077218649</v>
      </c>
    </row>
    <row r="7" spans="2:19" x14ac:dyDescent="0.25">
      <c r="B7" s="10">
        <v>20</v>
      </c>
      <c r="C7" s="10">
        <v>1</v>
      </c>
      <c r="D7" s="9" t="s">
        <v>126</v>
      </c>
      <c r="E7" s="8">
        <f>INDEX('From 2015 DataLockdown'!$M$5:$M$247,MATCH('Cost Bands for 2017 MFAM'!B7,'From 2015 DataLockdown'!$A$5:$A$247,0))</f>
        <v>136458.23000000004</v>
      </c>
      <c r="F7" s="7">
        <f>INDEX('2015 Data Summary-Datalockdown'!$E$5:$E$247,MATCH('Cost Bands for 2017 MFAM'!B7,'2015 Data Summary-Datalockdown'!$B$5:$B$247,0))</f>
        <v>70036332.519999996</v>
      </c>
      <c r="G7" s="7">
        <f>INDEX('2015 Data Summary-Datalockdown'!$F$5:$F$247,MATCH('Cost Bands for 2017 MFAM'!B7,'2015 Data Summary-Datalockdown'!$B$5:$B$247,0))</f>
        <v>17293469.969999999</v>
      </c>
      <c r="H7" s="7">
        <f t="shared" ref="H7:H70" si="7">F7-G7</f>
        <v>52742862.549999997</v>
      </c>
      <c r="I7" s="6">
        <f t="shared" ref="I7:I70" si="8">H7/E7</f>
        <v>386.51287320669468</v>
      </c>
      <c r="J7" s="6">
        <f t="shared" ref="J7:J70" si="9">IF(ISERROR(IF($J$2=1,MAX(MIN(I7,R7),Q7),MIN(I7,R7))),R7,IF($J$2=1,MAX(MIN(I7,R7),Q7),MIN(I7,R7)))</f>
        <v>386.51287320669468</v>
      </c>
      <c r="K7" s="5">
        <f t="shared" ref="K7:K70" si="10">J7*E7</f>
        <v>52742862.549999997</v>
      </c>
      <c r="L7" s="4">
        <f t="shared" si="0"/>
        <v>0</v>
      </c>
      <c r="M7" s="2">
        <f t="shared" si="1"/>
        <v>321.30652870765465</v>
      </c>
      <c r="N7" s="1">
        <f t="shared" si="2"/>
        <v>6</v>
      </c>
      <c r="O7" s="3">
        <f t="shared" si="3"/>
        <v>4251.8673629274881</v>
      </c>
      <c r="P7" s="2">
        <f t="shared" si="4"/>
        <v>87.291452753935161</v>
      </c>
      <c r="Q7" s="2">
        <f t="shared" si="5"/>
        <v>209.43803077218649</v>
      </c>
      <c r="R7" s="2">
        <f t="shared" si="5"/>
        <v>433.17502664312281</v>
      </c>
      <c r="S7" s="2">
        <f t="shared" si="6"/>
        <v>386.51287320669468</v>
      </c>
    </row>
    <row r="8" spans="2:19" x14ac:dyDescent="0.25">
      <c r="B8" s="10">
        <v>50</v>
      </c>
      <c r="C8" s="10">
        <v>1</v>
      </c>
      <c r="D8" s="9" t="s">
        <v>127</v>
      </c>
      <c r="E8" s="8">
        <f>INDEX('From 2015 DataLockdown'!$M$5:$M$247,MATCH('Cost Bands for 2017 MFAM'!B8,'From 2015 DataLockdown'!$A$5:$A$247,0))</f>
        <v>23338.46</v>
      </c>
      <c r="F8" s="7">
        <f>INDEX('2015 Data Summary-Datalockdown'!$E$5:$E$247,MATCH('Cost Bands for 2017 MFAM'!B8,'2015 Data Summary-Datalockdown'!$B$5:$B$247,0))</f>
        <v>9682901.0099999998</v>
      </c>
      <c r="G8" s="7">
        <f>INDEX('2015 Data Summary-Datalockdown'!$F$5:$F$247,MATCH('Cost Bands for 2017 MFAM'!B8,'2015 Data Summary-Datalockdown'!$B$5:$B$247,0))</f>
        <v>3089888.33</v>
      </c>
      <c r="H8" s="7">
        <f t="shared" si="7"/>
        <v>6593012.6799999997</v>
      </c>
      <c r="I8" s="6">
        <f t="shared" si="8"/>
        <v>282.49561796279619</v>
      </c>
      <c r="J8" s="6">
        <f t="shared" si="9"/>
        <v>282.49561796279619</v>
      </c>
      <c r="K8" s="5">
        <f t="shared" si="10"/>
        <v>6593012.6799999997</v>
      </c>
      <c r="L8" s="4">
        <f t="shared" si="0"/>
        <v>0</v>
      </c>
      <c r="M8" s="2">
        <f t="shared" si="1"/>
        <v>321.30652870765465</v>
      </c>
      <c r="N8" s="1">
        <f t="shared" si="2"/>
        <v>6</v>
      </c>
      <c r="O8" s="3">
        <f t="shared" si="3"/>
        <v>1506.28679284537</v>
      </c>
      <c r="P8" s="2">
        <f t="shared" si="4"/>
        <v>87.291452753935161</v>
      </c>
      <c r="Q8" s="2">
        <f t="shared" si="5"/>
        <v>209.43803077218649</v>
      </c>
      <c r="R8" s="2">
        <f t="shared" si="5"/>
        <v>433.17502664312281</v>
      </c>
      <c r="S8" s="2">
        <f t="shared" si="6"/>
        <v>282.49561796279619</v>
      </c>
    </row>
    <row r="9" spans="2:19" x14ac:dyDescent="0.25">
      <c r="B9" s="10">
        <v>97</v>
      </c>
      <c r="C9" s="10">
        <v>1</v>
      </c>
      <c r="D9" s="9" t="s">
        <v>128</v>
      </c>
      <c r="E9" s="8">
        <f>INDEX('From 2015 DataLockdown'!$M$5:$M$247,MATCH('Cost Bands for 2017 MFAM'!B9,'From 2015 DataLockdown'!$A$5:$A$247,0))</f>
        <v>72832.329999999987</v>
      </c>
      <c r="F9" s="7">
        <f>INDEX('2015 Data Summary-Datalockdown'!$E$5:$E$247,MATCH('Cost Bands for 2017 MFAM'!B9,'2015 Data Summary-Datalockdown'!$B$5:$B$247,0))</f>
        <v>24993003.41</v>
      </c>
      <c r="G9" s="7">
        <f>INDEX('2015 Data Summary-Datalockdown'!$F$5:$F$247,MATCH('Cost Bands for 2017 MFAM'!B9,'2015 Data Summary-Datalockdown'!$B$5:$B$247,0))</f>
        <v>7535896.7399999993</v>
      </c>
      <c r="H9" s="7">
        <f t="shared" si="7"/>
        <v>17457106.670000002</v>
      </c>
      <c r="I9" s="6">
        <f t="shared" si="8"/>
        <v>239.68897699689143</v>
      </c>
      <c r="J9" s="6">
        <f t="shared" si="9"/>
        <v>239.68897699689143</v>
      </c>
      <c r="K9" s="5">
        <f t="shared" si="10"/>
        <v>17457106.670000002</v>
      </c>
      <c r="L9" s="4">
        <f t="shared" si="0"/>
        <v>0</v>
      </c>
      <c r="M9" s="2">
        <f t="shared" si="1"/>
        <v>321.30652870765465</v>
      </c>
      <c r="N9" s="1">
        <f t="shared" si="2"/>
        <v>6</v>
      </c>
      <c r="O9" s="3">
        <f t="shared" si="3"/>
        <v>6661.4247472591087</v>
      </c>
      <c r="P9" s="2">
        <f t="shared" si="4"/>
        <v>87.291452753935161</v>
      </c>
      <c r="Q9" s="2">
        <f t="shared" si="5"/>
        <v>209.43803077218649</v>
      </c>
      <c r="R9" s="2">
        <f t="shared" si="5"/>
        <v>433.17502664312281</v>
      </c>
      <c r="S9" s="2">
        <f t="shared" si="6"/>
        <v>239.68897699689143</v>
      </c>
    </row>
    <row r="10" spans="2:19" x14ac:dyDescent="0.25">
      <c r="B10" s="10">
        <v>172</v>
      </c>
      <c r="C10" s="10">
        <v>1</v>
      </c>
      <c r="D10" s="9" t="s">
        <v>129</v>
      </c>
      <c r="E10" s="8">
        <f>INDEX('From 2015 DataLockdown'!$M$5:$M$247,MATCH('Cost Bands for 2017 MFAM'!B10,'From 2015 DataLockdown'!$A$5:$A$247,0))</f>
        <v>38132.259999999995</v>
      </c>
      <c r="F10" s="7">
        <f>INDEX('2015 Data Summary-Datalockdown'!$E$5:$E$247,MATCH('Cost Bands for 2017 MFAM'!B10,'2015 Data Summary-Datalockdown'!$B$5:$B$247,0))</f>
        <v>14680885.050000001</v>
      </c>
      <c r="G10" s="7">
        <f>INDEX('2015 Data Summary-Datalockdown'!$F$5:$F$247,MATCH('Cost Bands for 2017 MFAM'!B10,'2015 Data Summary-Datalockdown'!$B$5:$B$247,0))</f>
        <v>4055316.6399999997</v>
      </c>
      <c r="H10" s="7">
        <f t="shared" si="7"/>
        <v>10625568.41</v>
      </c>
      <c r="I10" s="6">
        <f t="shared" si="8"/>
        <v>278.65037136534789</v>
      </c>
      <c r="J10" s="6">
        <f t="shared" si="9"/>
        <v>278.65037136534789</v>
      </c>
      <c r="K10" s="5">
        <f t="shared" si="10"/>
        <v>10625568.41</v>
      </c>
      <c r="L10" s="4">
        <f t="shared" si="0"/>
        <v>0</v>
      </c>
      <c r="M10" s="2">
        <f t="shared" si="1"/>
        <v>321.30652870765465</v>
      </c>
      <c r="N10" s="1">
        <f t="shared" si="2"/>
        <v>6</v>
      </c>
      <c r="O10" s="3">
        <f t="shared" si="3"/>
        <v>1819.5477592116306</v>
      </c>
      <c r="P10" s="2">
        <f t="shared" si="4"/>
        <v>87.291452753935161</v>
      </c>
      <c r="Q10" s="2">
        <f t="shared" si="5"/>
        <v>209.43803077218649</v>
      </c>
      <c r="R10" s="2">
        <f t="shared" si="5"/>
        <v>433.17502664312281</v>
      </c>
      <c r="S10" s="2">
        <f t="shared" si="6"/>
        <v>278.65037136534789</v>
      </c>
    </row>
    <row r="11" spans="2:19" x14ac:dyDescent="0.25">
      <c r="B11" s="10">
        <v>270</v>
      </c>
      <c r="C11" s="10">
        <v>1</v>
      </c>
      <c r="D11" s="9" t="s">
        <v>130</v>
      </c>
      <c r="E11" s="8">
        <f>INDEX('From 2015 DataLockdown'!$M$5:$M$247,MATCH('Cost Bands for 2017 MFAM'!B11,'From 2015 DataLockdown'!$A$5:$A$247,0))</f>
        <v>84973.780000000013</v>
      </c>
      <c r="F11" s="7">
        <f>INDEX('2015 Data Summary-Datalockdown'!$E$5:$E$247,MATCH('Cost Bands for 2017 MFAM'!B11,'2015 Data Summary-Datalockdown'!$B$5:$B$247,0))</f>
        <v>42659563.340000004</v>
      </c>
      <c r="G11" s="7">
        <f>INDEX('2015 Data Summary-Datalockdown'!$F$5:$F$247,MATCH('Cost Bands for 2017 MFAM'!B11,'2015 Data Summary-Datalockdown'!$B$5:$B$247,0))</f>
        <v>9396801.7899999991</v>
      </c>
      <c r="H11" s="7">
        <f t="shared" si="7"/>
        <v>33262761.550000004</v>
      </c>
      <c r="I11" s="6">
        <f t="shared" si="8"/>
        <v>391.44735646690071</v>
      </c>
      <c r="J11" s="6">
        <f t="shared" si="9"/>
        <v>391.44735646690071</v>
      </c>
      <c r="K11" s="5">
        <f t="shared" si="10"/>
        <v>33262761.550000004</v>
      </c>
      <c r="L11" s="4">
        <f t="shared" si="0"/>
        <v>0</v>
      </c>
      <c r="M11" s="2">
        <f t="shared" si="1"/>
        <v>321.30652870765465</v>
      </c>
      <c r="N11" s="1">
        <f t="shared" si="2"/>
        <v>6</v>
      </c>
      <c r="O11" s="3">
        <f t="shared" si="3"/>
        <v>4919.735718752223</v>
      </c>
      <c r="P11" s="2">
        <f t="shared" si="4"/>
        <v>87.291452753935161</v>
      </c>
      <c r="Q11" s="2">
        <f t="shared" si="5"/>
        <v>209.43803077218649</v>
      </c>
      <c r="R11" s="2">
        <f t="shared" si="5"/>
        <v>433.17502664312281</v>
      </c>
      <c r="S11" s="2">
        <f t="shared" si="6"/>
        <v>391.44735646690071</v>
      </c>
    </row>
    <row r="12" spans="2:19" x14ac:dyDescent="0.25">
      <c r="B12" s="10">
        <v>6</v>
      </c>
      <c r="C12" s="10">
        <v>2</v>
      </c>
      <c r="D12" s="9" t="s">
        <v>131</v>
      </c>
      <c r="E12" s="8">
        <f>INDEX('From 2015 DataLockdown'!$M$5:$M$247,MATCH('Cost Bands for 2017 MFAM'!B12,'From 2015 DataLockdown'!$A$5:$A$247,0))</f>
        <v>44091</v>
      </c>
      <c r="F12" s="7">
        <f>INDEX('2015 Data Summary-Datalockdown'!$E$5:$E$247,MATCH('Cost Bands for 2017 MFAM'!B12,'2015 Data Summary-Datalockdown'!$B$5:$B$247,0))</f>
        <v>18360462.57</v>
      </c>
      <c r="G12" s="7">
        <f>INDEX('2015 Data Summary-Datalockdown'!$F$5:$F$247,MATCH('Cost Bands for 2017 MFAM'!B12,'2015 Data Summary-Datalockdown'!$B$5:$B$247,0))</f>
        <v>4976633.7300000004</v>
      </c>
      <c r="H12" s="7">
        <f t="shared" si="7"/>
        <v>13383828.84</v>
      </c>
      <c r="I12" s="6">
        <f t="shared" si="8"/>
        <v>303.55013131931685</v>
      </c>
      <c r="J12" s="6">
        <f t="shared" si="9"/>
        <v>286.56696244505764</v>
      </c>
      <c r="K12" s="5">
        <f t="shared" si="10"/>
        <v>12635023.941165036</v>
      </c>
      <c r="L12" s="4">
        <f t="shared" si="0"/>
        <v>0</v>
      </c>
      <c r="M12" s="2">
        <f t="shared" si="1"/>
        <v>219.09782147796781</v>
      </c>
      <c r="N12" s="1">
        <f t="shared" si="2"/>
        <v>6</v>
      </c>
      <c r="O12" s="3">
        <f t="shared" si="3"/>
        <v>7132.1926375392186</v>
      </c>
      <c r="P12" s="2">
        <f t="shared" si="4"/>
        <v>52.646450428562005</v>
      </c>
      <c r="Q12" s="2">
        <f t="shared" si="5"/>
        <v>151.62868051087798</v>
      </c>
      <c r="R12" s="2">
        <f t="shared" si="5"/>
        <v>286.56696244505764</v>
      </c>
      <c r="S12" s="2">
        <f t="shared" si="6"/>
        <v>286.56696244505764</v>
      </c>
    </row>
    <row r="13" spans="2:19" x14ac:dyDescent="0.25">
      <c r="B13" s="10">
        <v>18</v>
      </c>
      <c r="C13" s="10">
        <v>2</v>
      </c>
      <c r="D13" s="9" t="s">
        <v>132</v>
      </c>
      <c r="E13" s="8">
        <f>INDEX('From 2015 DataLockdown'!$M$5:$M$247,MATCH('Cost Bands for 2017 MFAM'!B13,'From 2015 DataLockdown'!$A$5:$A$247,0))</f>
        <v>23715.48</v>
      </c>
      <c r="F13" s="7">
        <f>INDEX('2015 Data Summary-Datalockdown'!$E$5:$E$247,MATCH('Cost Bands for 2017 MFAM'!B13,'2015 Data Summary-Datalockdown'!$B$5:$B$247,0))</f>
        <v>7426551.8700000001</v>
      </c>
      <c r="G13" s="7">
        <f>INDEX('2015 Data Summary-Datalockdown'!$F$5:$F$247,MATCH('Cost Bands for 2017 MFAM'!B13,'2015 Data Summary-Datalockdown'!$B$5:$B$247,0))</f>
        <v>3042927.1600000006</v>
      </c>
      <c r="H13" s="7">
        <f t="shared" si="7"/>
        <v>4383624.709999999</v>
      </c>
      <c r="I13" s="6">
        <f t="shared" si="8"/>
        <v>184.84233547033412</v>
      </c>
      <c r="J13" s="6">
        <f t="shared" si="9"/>
        <v>184.84233547033412</v>
      </c>
      <c r="K13" s="5">
        <f t="shared" si="10"/>
        <v>4383624.709999999</v>
      </c>
      <c r="L13" s="4">
        <f t="shared" si="0"/>
        <v>0</v>
      </c>
      <c r="M13" s="2">
        <f t="shared" si="1"/>
        <v>219.09782147796781</v>
      </c>
      <c r="N13" s="1">
        <f t="shared" si="2"/>
        <v>6</v>
      </c>
      <c r="O13" s="3">
        <f t="shared" si="3"/>
        <v>1173.4383216191877</v>
      </c>
      <c r="P13" s="2">
        <f t="shared" si="4"/>
        <v>52.646450428562005</v>
      </c>
      <c r="Q13" s="2">
        <f t="shared" si="5"/>
        <v>151.62868051087798</v>
      </c>
      <c r="R13" s="2">
        <f t="shared" si="5"/>
        <v>286.56696244505764</v>
      </c>
      <c r="S13" s="2">
        <f t="shared" si="6"/>
        <v>184.84233547033412</v>
      </c>
    </row>
    <row r="14" spans="2:19" x14ac:dyDescent="0.25">
      <c r="B14" s="10">
        <v>53</v>
      </c>
      <c r="C14" s="10">
        <v>2</v>
      </c>
      <c r="D14" s="9" t="s">
        <v>133</v>
      </c>
      <c r="E14" s="8">
        <f>INDEX('From 2015 DataLockdown'!$M$5:$M$247,MATCH('Cost Bands for 2017 MFAM'!B14,'From 2015 DataLockdown'!$A$5:$A$247,0))</f>
        <v>33158.055</v>
      </c>
      <c r="F14" s="7">
        <f>INDEX('2015 Data Summary-Datalockdown'!$E$5:$E$247,MATCH('Cost Bands for 2017 MFAM'!B14,'2015 Data Summary-Datalockdown'!$B$5:$B$247,0))</f>
        <v>10938241.77</v>
      </c>
      <c r="G14" s="7">
        <f>INDEX('2015 Data Summary-Datalockdown'!$F$5:$F$247,MATCH('Cost Bands for 2017 MFAM'!B14,'2015 Data Summary-Datalockdown'!$B$5:$B$247,0))</f>
        <v>3629057.59</v>
      </c>
      <c r="H14" s="7">
        <f t="shared" si="7"/>
        <v>7309184.1799999997</v>
      </c>
      <c r="I14" s="6">
        <f t="shared" si="8"/>
        <v>220.43464793094768</v>
      </c>
      <c r="J14" s="6">
        <f t="shared" si="9"/>
        <v>220.43464793094768</v>
      </c>
      <c r="K14" s="5">
        <f t="shared" si="10"/>
        <v>7309184.1799999997</v>
      </c>
      <c r="L14" s="4">
        <f t="shared" si="0"/>
        <v>0</v>
      </c>
      <c r="M14" s="2">
        <f t="shared" si="1"/>
        <v>219.09782147796781</v>
      </c>
      <c r="N14" s="1">
        <f t="shared" si="2"/>
        <v>6</v>
      </c>
      <c r="O14" s="3">
        <f t="shared" si="3"/>
        <v>1.7871049653867237</v>
      </c>
      <c r="P14" s="2">
        <f t="shared" si="4"/>
        <v>52.646450428562005</v>
      </c>
      <c r="Q14" s="2">
        <f t="shared" si="5"/>
        <v>151.62868051087798</v>
      </c>
      <c r="R14" s="2">
        <f t="shared" si="5"/>
        <v>286.56696244505764</v>
      </c>
      <c r="S14" s="2">
        <f t="shared" si="6"/>
        <v>220.43464793094768</v>
      </c>
    </row>
    <row r="15" spans="2:19" x14ac:dyDescent="0.25">
      <c r="B15" s="10">
        <v>335</v>
      </c>
      <c r="C15" s="10">
        <v>2</v>
      </c>
      <c r="D15" s="9" t="s">
        <v>134</v>
      </c>
      <c r="E15" s="8">
        <f>INDEX('From 2015 DataLockdown'!$M$5:$M$247,MATCH('Cost Bands for 2017 MFAM'!B15,'From 2015 DataLockdown'!$A$5:$A$247,0))</f>
        <v>24977.67</v>
      </c>
      <c r="F15" s="7">
        <f>INDEX('2015 Data Summary-Datalockdown'!$E$5:$E$247,MATCH('Cost Bands for 2017 MFAM'!B15,'2015 Data Summary-Datalockdown'!$B$5:$B$247,0))</f>
        <v>9073517.4499999993</v>
      </c>
      <c r="G15" s="7">
        <f>INDEX('2015 Data Summary-Datalockdown'!$F$5:$F$247,MATCH('Cost Bands for 2017 MFAM'!B15,'2015 Data Summary-Datalockdown'!$B$5:$B$247,0))</f>
        <v>3011298.2499999995</v>
      </c>
      <c r="H15" s="7">
        <f t="shared" si="7"/>
        <v>6062219.1999999993</v>
      </c>
      <c r="I15" s="6">
        <f t="shared" si="8"/>
        <v>242.70555259958192</v>
      </c>
      <c r="J15" s="6">
        <f t="shared" si="9"/>
        <v>242.70555259958192</v>
      </c>
      <c r="K15" s="5">
        <f t="shared" si="10"/>
        <v>6062219.1999999993</v>
      </c>
      <c r="L15" s="4">
        <f t="shared" si="0"/>
        <v>0</v>
      </c>
      <c r="M15" s="2">
        <f t="shared" si="1"/>
        <v>219.09782147796781</v>
      </c>
      <c r="N15" s="1">
        <f t="shared" si="2"/>
        <v>6</v>
      </c>
      <c r="O15" s="3">
        <f t="shared" si="3"/>
        <v>557.32496871042736</v>
      </c>
      <c r="P15" s="2">
        <f t="shared" si="4"/>
        <v>52.646450428562005</v>
      </c>
      <c r="Q15" s="2">
        <f t="shared" si="5"/>
        <v>151.62868051087798</v>
      </c>
      <c r="R15" s="2">
        <f t="shared" si="5"/>
        <v>286.56696244505764</v>
      </c>
      <c r="S15" s="2">
        <f t="shared" si="6"/>
        <v>242.70555259958192</v>
      </c>
    </row>
    <row r="16" spans="2:19" x14ac:dyDescent="0.25">
      <c r="B16" s="10">
        <v>357</v>
      </c>
      <c r="C16" s="10">
        <v>2</v>
      </c>
      <c r="D16" s="9" t="s">
        <v>135</v>
      </c>
      <c r="E16" s="8">
        <f>INDEX('From 2015 DataLockdown'!$M$5:$M$247,MATCH('Cost Bands for 2017 MFAM'!B16,'From 2015 DataLockdown'!$A$5:$A$247,0))</f>
        <v>37374.909999999996</v>
      </c>
      <c r="F16" s="7">
        <f>INDEX('2015 Data Summary-Datalockdown'!$E$5:$E$247,MATCH('Cost Bands for 2017 MFAM'!B16,'2015 Data Summary-Datalockdown'!$B$5:$B$247,0))</f>
        <v>11830375.369999999</v>
      </c>
      <c r="G16" s="7">
        <f>INDEX('2015 Data Summary-Datalockdown'!$F$5:$F$247,MATCH('Cost Bands for 2017 MFAM'!B16,'2015 Data Summary-Datalockdown'!$B$5:$B$247,0))</f>
        <v>4240599.0500000007</v>
      </c>
      <c r="H16" s="7">
        <f t="shared" si="7"/>
        <v>7589776.3199999984</v>
      </c>
      <c r="I16" s="6">
        <f t="shared" si="8"/>
        <v>203.07142732918953</v>
      </c>
      <c r="J16" s="6">
        <f t="shared" si="9"/>
        <v>203.07142732918953</v>
      </c>
      <c r="K16" s="5">
        <f t="shared" si="10"/>
        <v>7589776.3199999984</v>
      </c>
      <c r="L16" s="4">
        <f t="shared" si="0"/>
        <v>0</v>
      </c>
      <c r="M16" s="2">
        <f t="shared" si="1"/>
        <v>219.09782147796781</v>
      </c>
      <c r="N16" s="1">
        <f t="shared" si="2"/>
        <v>6</v>
      </c>
      <c r="O16" s="3">
        <f t="shared" si="3"/>
        <v>256.84530941199472</v>
      </c>
      <c r="P16" s="2">
        <f t="shared" si="4"/>
        <v>52.646450428562005</v>
      </c>
      <c r="Q16" s="2">
        <f t="shared" si="5"/>
        <v>151.62868051087798</v>
      </c>
      <c r="R16" s="2">
        <f t="shared" si="5"/>
        <v>286.56696244505764</v>
      </c>
      <c r="S16" s="2">
        <f t="shared" si="6"/>
        <v>203.07142732918953</v>
      </c>
    </row>
    <row r="17" spans="2:19" x14ac:dyDescent="0.25">
      <c r="B17" s="10">
        <v>441</v>
      </c>
      <c r="C17" s="10">
        <v>2</v>
      </c>
      <c r="D17" s="9" t="s">
        <v>136</v>
      </c>
      <c r="E17" s="8">
        <f>INDEX('From 2015 DataLockdown'!$M$5:$M$247,MATCH('Cost Bands for 2017 MFAM'!B17,'From 2015 DataLockdown'!$A$5:$A$247,0))</f>
        <v>58897.530000000006</v>
      </c>
      <c r="F17" s="7">
        <f>INDEX('2015 Data Summary-Datalockdown'!$E$5:$E$247,MATCH('Cost Bands for 2017 MFAM'!B17,'2015 Data Summary-Datalockdown'!$B$5:$B$247,0))</f>
        <v>17288203.829999998</v>
      </c>
      <c r="G17" s="7">
        <f>INDEX('2015 Data Summary-Datalockdown'!$F$5:$F$247,MATCH('Cost Bands for 2017 MFAM'!B17,'2015 Data Summary-Datalockdown'!$B$5:$B$247,0))</f>
        <v>7330092.459999999</v>
      </c>
      <c r="H17" s="7">
        <f t="shared" si="7"/>
        <v>9958111.3699999992</v>
      </c>
      <c r="I17" s="6">
        <f t="shared" si="8"/>
        <v>169.07519500393306</v>
      </c>
      <c r="J17" s="6">
        <f t="shared" si="9"/>
        <v>169.07519500393306</v>
      </c>
      <c r="K17" s="5">
        <f t="shared" si="10"/>
        <v>9958111.3699999992</v>
      </c>
      <c r="L17" s="4">
        <f t="shared" si="0"/>
        <v>0</v>
      </c>
      <c r="M17" s="2">
        <f t="shared" si="1"/>
        <v>219.09782147796781</v>
      </c>
      <c r="N17" s="1">
        <f t="shared" si="2"/>
        <v>6</v>
      </c>
      <c r="O17" s="3">
        <f t="shared" si="3"/>
        <v>2502.2631593608025</v>
      </c>
      <c r="P17" s="2">
        <f t="shared" si="4"/>
        <v>52.646450428562005</v>
      </c>
      <c r="Q17" s="2">
        <f t="shared" si="5"/>
        <v>151.62868051087798</v>
      </c>
      <c r="R17" s="2">
        <f t="shared" si="5"/>
        <v>286.56696244505764</v>
      </c>
      <c r="S17" s="2">
        <f t="shared" si="6"/>
        <v>169.07519500393306</v>
      </c>
    </row>
    <row r="18" spans="2:19" x14ac:dyDescent="0.25">
      <c r="B18" s="10">
        <v>14</v>
      </c>
      <c r="C18" s="10">
        <v>3</v>
      </c>
      <c r="D18" s="9" t="s">
        <v>137</v>
      </c>
      <c r="E18" s="8">
        <f>INDEX('From 2015 DataLockdown'!$M$5:$M$247,MATCH('Cost Bands for 2017 MFAM'!B18,'From 2015 DataLockdown'!$A$5:$A$247,0))</f>
        <v>11973.29</v>
      </c>
      <c r="F18" s="7">
        <f>INDEX('2015 Data Summary-Datalockdown'!$E$5:$E$247,MATCH('Cost Bands for 2017 MFAM'!B18,'2015 Data Summary-Datalockdown'!$B$5:$B$247,0))</f>
        <v>2475549.2200000002</v>
      </c>
      <c r="G18" s="7">
        <f>INDEX('2015 Data Summary-Datalockdown'!$F$5:$F$247,MATCH('Cost Bands for 2017 MFAM'!B18,'2015 Data Summary-Datalockdown'!$B$5:$B$247,0))</f>
        <v>233073.87</v>
      </c>
      <c r="H18" s="7">
        <f t="shared" si="7"/>
        <v>2242475.35</v>
      </c>
      <c r="I18" s="6">
        <f t="shared" si="8"/>
        <v>187.28982176160437</v>
      </c>
      <c r="J18" s="6">
        <f t="shared" si="9"/>
        <v>187.28982176160437</v>
      </c>
      <c r="K18" s="5">
        <f t="shared" si="10"/>
        <v>2242475.35</v>
      </c>
      <c r="L18" s="4">
        <f t="shared" si="0"/>
        <v>0</v>
      </c>
      <c r="M18" s="2">
        <f t="shared" si="1"/>
        <v>202.66997564903573</v>
      </c>
      <c r="N18" s="1">
        <f t="shared" si="2"/>
        <v>7</v>
      </c>
      <c r="O18" s="3">
        <f t="shared" si="3"/>
        <v>236.54913360107005</v>
      </c>
      <c r="P18" s="2">
        <f t="shared" si="4"/>
        <v>73.988330298257239</v>
      </c>
      <c r="Q18" s="2">
        <f t="shared" si="5"/>
        <v>107.85011512327317</v>
      </c>
      <c r="R18" s="2">
        <f t="shared" si="5"/>
        <v>297.48983617479831</v>
      </c>
      <c r="S18" s="2">
        <f t="shared" si="6"/>
        <v>187.28982176160437</v>
      </c>
    </row>
    <row r="19" spans="2:19" x14ac:dyDescent="0.25">
      <c r="B19" s="10">
        <v>36</v>
      </c>
      <c r="C19" s="10">
        <v>3</v>
      </c>
      <c r="D19" s="9" t="s">
        <v>138</v>
      </c>
      <c r="E19" s="8">
        <f>INDEX('From 2015 DataLockdown'!$M$5:$M$247,MATCH('Cost Bands for 2017 MFAM'!B19,'From 2015 DataLockdown'!$A$5:$A$247,0))</f>
        <v>7185.76</v>
      </c>
      <c r="F19" s="7">
        <f>INDEX('2015 Data Summary-Datalockdown'!$E$5:$E$247,MATCH('Cost Bands for 2017 MFAM'!B19,'2015 Data Summary-Datalockdown'!$B$5:$B$247,0))</f>
        <v>3554918.99</v>
      </c>
      <c r="G19" s="7">
        <f>INDEX('2015 Data Summary-Datalockdown'!$F$5:$F$247,MATCH('Cost Bands for 2017 MFAM'!B19,'2015 Data Summary-Datalockdown'!$B$5:$B$247,0))</f>
        <v>1096757.4100000001</v>
      </c>
      <c r="H19" s="7">
        <f t="shared" si="7"/>
        <v>2458161.58</v>
      </c>
      <c r="I19" s="6">
        <f t="shared" si="8"/>
        <v>342.08790441094607</v>
      </c>
      <c r="J19" s="6">
        <f t="shared" si="9"/>
        <v>297.48983617479831</v>
      </c>
      <c r="K19" s="5">
        <f t="shared" si="10"/>
        <v>2137690.5651914189</v>
      </c>
      <c r="L19" s="4">
        <f t="shared" si="0"/>
        <v>0</v>
      </c>
      <c r="M19" s="2">
        <f t="shared" si="1"/>
        <v>202.66997564903573</v>
      </c>
      <c r="N19" s="1">
        <f t="shared" si="2"/>
        <v>7</v>
      </c>
      <c r="O19" s="3">
        <f t="shared" si="3"/>
        <v>19437.358860261105</v>
      </c>
      <c r="P19" s="2">
        <f t="shared" si="4"/>
        <v>73.988330298257239</v>
      </c>
      <c r="Q19" s="2">
        <f t="shared" si="5"/>
        <v>107.85011512327317</v>
      </c>
      <c r="R19" s="2">
        <f t="shared" si="5"/>
        <v>297.48983617479831</v>
      </c>
      <c r="S19" s="2">
        <f t="shared" si="6"/>
        <v>297.48983617479831</v>
      </c>
    </row>
    <row r="20" spans="2:19" x14ac:dyDescent="0.25">
      <c r="B20" s="10">
        <v>55</v>
      </c>
      <c r="C20" s="10">
        <v>3</v>
      </c>
      <c r="D20" s="9" t="s">
        <v>139</v>
      </c>
      <c r="E20" s="8">
        <f>INDEX('From 2015 DataLockdown'!$M$5:$M$247,MATCH('Cost Bands for 2017 MFAM'!B20,'From 2015 DataLockdown'!$A$5:$A$247,0))</f>
        <v>5599.76</v>
      </c>
      <c r="F20" s="7">
        <f>INDEX('2015 Data Summary-Datalockdown'!$E$5:$E$247,MATCH('Cost Bands for 2017 MFAM'!B20,'2015 Data Summary-Datalockdown'!$B$5:$B$247,0))</f>
        <v>1572127.35</v>
      </c>
      <c r="G20" s="7">
        <f>INDEX('2015 Data Summary-Datalockdown'!$F$5:$F$247,MATCH('Cost Bands for 2017 MFAM'!B20,'2015 Data Summary-Datalockdown'!$B$5:$B$247,0))</f>
        <v>200211.81000000003</v>
      </c>
      <c r="H20" s="7">
        <f t="shared" si="7"/>
        <v>1371915.54</v>
      </c>
      <c r="I20" s="6">
        <f t="shared" si="8"/>
        <v>244.99541766075689</v>
      </c>
      <c r="J20" s="6">
        <f t="shared" si="9"/>
        <v>244.99541766075689</v>
      </c>
      <c r="K20" s="5">
        <f t="shared" si="10"/>
        <v>1371915.54</v>
      </c>
      <c r="L20" s="4">
        <f t="shared" si="0"/>
        <v>0</v>
      </c>
      <c r="M20" s="2">
        <f t="shared" si="1"/>
        <v>202.66997564903573</v>
      </c>
      <c r="N20" s="1">
        <f t="shared" si="2"/>
        <v>7</v>
      </c>
      <c r="O20" s="3">
        <f t="shared" si="3"/>
        <v>1791.4430414875699</v>
      </c>
      <c r="P20" s="2">
        <f t="shared" si="4"/>
        <v>73.988330298257239</v>
      </c>
      <c r="Q20" s="2">
        <f t="shared" si="5"/>
        <v>107.85011512327317</v>
      </c>
      <c r="R20" s="2">
        <f t="shared" si="5"/>
        <v>297.48983617479831</v>
      </c>
      <c r="S20" s="2">
        <f t="shared" si="6"/>
        <v>244.99541766075689</v>
      </c>
    </row>
    <row r="21" spans="2:19" x14ac:dyDescent="0.25">
      <c r="B21" s="10">
        <v>103</v>
      </c>
      <c r="C21" s="10">
        <v>3</v>
      </c>
      <c r="D21" s="9" t="s">
        <v>140</v>
      </c>
      <c r="E21" s="8">
        <f>INDEX('From 2015 DataLockdown'!$M$5:$M$247,MATCH('Cost Bands for 2017 MFAM'!B21,'From 2015 DataLockdown'!$A$5:$A$247,0))</f>
        <v>4420.41</v>
      </c>
      <c r="F21" s="7">
        <f>INDEX('2015 Data Summary-Datalockdown'!$E$5:$E$247,MATCH('Cost Bands for 2017 MFAM'!B21,'2015 Data Summary-Datalockdown'!$B$5:$B$247,0))</f>
        <v>1440290.07</v>
      </c>
      <c r="G21" s="7">
        <f>INDEX('2015 Data Summary-Datalockdown'!$F$5:$F$247,MATCH('Cost Bands for 2017 MFAM'!B21,'2015 Data Summary-Datalockdown'!$B$5:$B$247,0))</f>
        <v>693780.46</v>
      </c>
      <c r="H21" s="7">
        <f t="shared" si="7"/>
        <v>746509.6100000001</v>
      </c>
      <c r="I21" s="6">
        <f t="shared" si="8"/>
        <v>168.87791177741434</v>
      </c>
      <c r="J21" s="6">
        <f t="shared" si="9"/>
        <v>168.87791177741434</v>
      </c>
      <c r="K21" s="5">
        <f t="shared" si="10"/>
        <v>746509.6100000001</v>
      </c>
      <c r="L21" s="4">
        <f t="shared" si="0"/>
        <v>0</v>
      </c>
      <c r="M21" s="2">
        <f t="shared" si="1"/>
        <v>202.66997564903573</v>
      </c>
      <c r="N21" s="1">
        <f t="shared" si="2"/>
        <v>7</v>
      </c>
      <c r="O21" s="3">
        <f t="shared" si="3"/>
        <v>1141.9035807037399</v>
      </c>
      <c r="P21" s="2">
        <f t="shared" si="4"/>
        <v>73.988330298257239</v>
      </c>
      <c r="Q21" s="2">
        <f t="shared" si="5"/>
        <v>107.85011512327317</v>
      </c>
      <c r="R21" s="2">
        <f t="shared" si="5"/>
        <v>297.48983617479831</v>
      </c>
      <c r="S21" s="2">
        <f t="shared" si="6"/>
        <v>168.87791177741434</v>
      </c>
    </row>
    <row r="22" spans="2:19" x14ac:dyDescent="0.25">
      <c r="B22" s="10">
        <v>123</v>
      </c>
      <c r="C22" s="10">
        <v>3</v>
      </c>
      <c r="D22" s="9" t="s">
        <v>141</v>
      </c>
      <c r="E22" s="8">
        <f>INDEX('From 2015 DataLockdown'!$M$5:$M$247,MATCH('Cost Bands for 2017 MFAM'!B22,'From 2015 DataLockdown'!$A$5:$A$247,0))</f>
        <v>5930.89</v>
      </c>
      <c r="F22" s="7">
        <f>INDEX('2015 Data Summary-Datalockdown'!$E$5:$E$247,MATCH('Cost Bands for 2017 MFAM'!B22,'2015 Data Summary-Datalockdown'!$B$5:$B$247,0))</f>
        <v>857326.11</v>
      </c>
      <c r="G22" s="7">
        <f>INDEX('2015 Data Summary-Datalockdown'!$F$5:$F$247,MATCH('Cost Bands for 2017 MFAM'!B22,'2015 Data Summary-Datalockdown'!$B$5:$B$247,0))</f>
        <v>3</v>
      </c>
      <c r="H22" s="7">
        <f t="shared" si="7"/>
        <v>857323.11</v>
      </c>
      <c r="I22" s="6">
        <f t="shared" si="8"/>
        <v>144.5521852538152</v>
      </c>
      <c r="J22" s="6">
        <f t="shared" si="9"/>
        <v>144.5521852538152</v>
      </c>
      <c r="K22" s="5">
        <f t="shared" si="10"/>
        <v>857323.1100000001</v>
      </c>
      <c r="L22" s="4">
        <f t="shared" si="0"/>
        <v>0</v>
      </c>
      <c r="M22" s="2">
        <f t="shared" si="1"/>
        <v>202.66997564903573</v>
      </c>
      <c r="N22" s="1">
        <f t="shared" si="2"/>
        <v>7</v>
      </c>
      <c r="O22" s="3">
        <f t="shared" si="3"/>
        <v>3377.6775604227887</v>
      </c>
      <c r="P22" s="2">
        <f t="shared" si="4"/>
        <v>73.988330298257239</v>
      </c>
      <c r="Q22" s="2">
        <f t="shared" si="5"/>
        <v>107.85011512327317</v>
      </c>
      <c r="R22" s="2">
        <f t="shared" si="5"/>
        <v>297.48983617479831</v>
      </c>
      <c r="S22" s="2">
        <f t="shared" si="6"/>
        <v>144.5521852538152</v>
      </c>
    </row>
    <row r="23" spans="2:19" x14ac:dyDescent="0.25">
      <c r="B23" s="10">
        <v>179</v>
      </c>
      <c r="C23" s="10">
        <v>3</v>
      </c>
      <c r="D23" s="9" t="s">
        <v>142</v>
      </c>
      <c r="E23" s="8">
        <f>INDEX('From 2015 DataLockdown'!$M$5:$M$247,MATCH('Cost Bands for 2017 MFAM'!B23,'From 2015 DataLockdown'!$A$5:$A$247,0))</f>
        <v>6705.9000000000005</v>
      </c>
      <c r="F23" s="7">
        <f>INDEX('2015 Data Summary-Datalockdown'!$E$5:$E$247,MATCH('Cost Bands for 2017 MFAM'!B23,'2015 Data Summary-Datalockdown'!$B$5:$B$247,0))</f>
        <v>2222318.2200000002</v>
      </c>
      <c r="G23" s="7">
        <f>INDEX('2015 Data Summary-Datalockdown'!$F$5:$F$247,MATCH('Cost Bands for 2017 MFAM'!B23,'2015 Data Summary-Datalockdown'!$B$5:$B$247,0))</f>
        <v>751425.40000000014</v>
      </c>
      <c r="H23" s="7">
        <f t="shared" si="7"/>
        <v>1470892.82</v>
      </c>
      <c r="I23" s="6">
        <f t="shared" si="8"/>
        <v>219.34308892169582</v>
      </c>
      <c r="J23" s="6">
        <f t="shared" si="9"/>
        <v>219.34308892169582</v>
      </c>
      <c r="K23" s="5">
        <f t="shared" si="10"/>
        <v>1470892.82</v>
      </c>
      <c r="L23" s="4">
        <f t="shared" si="0"/>
        <v>0</v>
      </c>
      <c r="M23" s="2">
        <f t="shared" si="1"/>
        <v>202.66997564903573</v>
      </c>
      <c r="N23" s="1">
        <f t="shared" si="2"/>
        <v>7</v>
      </c>
      <c r="O23" s="3">
        <f t="shared" si="3"/>
        <v>277.99270620295403</v>
      </c>
      <c r="P23" s="2">
        <f t="shared" si="4"/>
        <v>73.988330298257239</v>
      </c>
      <c r="Q23" s="2">
        <f t="shared" si="5"/>
        <v>107.85011512327317</v>
      </c>
      <c r="R23" s="2">
        <f t="shared" si="5"/>
        <v>297.48983617479831</v>
      </c>
      <c r="S23" s="2">
        <f t="shared" si="6"/>
        <v>219.34308892169582</v>
      </c>
    </row>
    <row r="24" spans="2:19" x14ac:dyDescent="0.25">
      <c r="B24" s="10">
        <v>293</v>
      </c>
      <c r="C24" s="10">
        <v>3</v>
      </c>
      <c r="D24" s="9" t="s">
        <v>143</v>
      </c>
      <c r="E24" s="8">
        <f>INDEX('From 2015 DataLockdown'!$M$5:$M$247,MATCH('Cost Bands for 2017 MFAM'!B24,'From 2015 DataLockdown'!$A$5:$A$247,0))</f>
        <v>8194.33</v>
      </c>
      <c r="F24" s="7">
        <f>INDEX('2015 Data Summary-Datalockdown'!$E$5:$E$247,MATCH('Cost Bands for 2017 MFAM'!B24,'2015 Data Summary-Datalockdown'!$B$5:$B$247,0))</f>
        <v>1888483.23</v>
      </c>
      <c r="G24" s="7">
        <f>INDEX('2015 Data Summary-Datalockdown'!$F$5:$F$247,MATCH('Cost Bands for 2017 MFAM'!B24,'2015 Data Summary-Datalockdown'!$B$5:$B$247,0))</f>
        <v>900166.85</v>
      </c>
      <c r="H24" s="7">
        <f t="shared" si="7"/>
        <v>988316.38</v>
      </c>
      <c r="I24" s="6">
        <f t="shared" si="8"/>
        <v>120.60978505869302</v>
      </c>
      <c r="J24" s="6">
        <f t="shared" si="9"/>
        <v>120.60978505869302</v>
      </c>
      <c r="K24" s="5">
        <f t="shared" si="10"/>
        <v>988316.38</v>
      </c>
      <c r="L24" s="4">
        <f t="shared" si="0"/>
        <v>0</v>
      </c>
      <c r="M24" s="2">
        <f t="shared" si="1"/>
        <v>202.66997564903573</v>
      </c>
      <c r="N24" s="1">
        <f t="shared" si="2"/>
        <v>7</v>
      </c>
      <c r="O24" s="3">
        <f t="shared" si="3"/>
        <v>6733.8748797233711</v>
      </c>
      <c r="P24" s="2">
        <f t="shared" si="4"/>
        <v>73.988330298257239</v>
      </c>
      <c r="Q24" s="2">
        <f t="shared" si="5"/>
        <v>107.85011512327317</v>
      </c>
      <c r="R24" s="2">
        <f t="shared" si="5"/>
        <v>297.48983617479831</v>
      </c>
      <c r="S24" s="2">
        <f t="shared" si="6"/>
        <v>120.60978505869302</v>
      </c>
    </row>
    <row r="25" spans="2:19" x14ac:dyDescent="0.25">
      <c r="B25" s="10">
        <v>12</v>
      </c>
      <c r="C25" s="10">
        <v>4</v>
      </c>
      <c r="D25" s="9" t="s">
        <v>144</v>
      </c>
      <c r="E25" s="8">
        <f>INDEX('From 2015 DataLockdown'!$M$5:$M$247,MATCH('Cost Bands for 2017 MFAM'!B25,'From 2015 DataLockdown'!$A$5:$A$247,0))</f>
        <v>5579.48</v>
      </c>
      <c r="F25" s="7">
        <f>INDEX('2015 Data Summary-Datalockdown'!$E$5:$E$247,MATCH('Cost Bands for 2017 MFAM'!B25,'2015 Data Summary-Datalockdown'!$B$5:$B$247,0))</f>
        <v>3032437.8</v>
      </c>
      <c r="G25" s="7">
        <f>INDEX('2015 Data Summary-Datalockdown'!$F$5:$F$247,MATCH('Cost Bands for 2017 MFAM'!B25,'2015 Data Summary-Datalockdown'!$B$5:$B$247,0))</f>
        <v>527106.92000000004</v>
      </c>
      <c r="H25" s="7">
        <f t="shared" si="7"/>
        <v>2505330.88</v>
      </c>
      <c r="I25" s="6">
        <f t="shared" si="8"/>
        <v>449.02587337888122</v>
      </c>
      <c r="J25" s="6">
        <f t="shared" si="9"/>
        <v>449.02587337888122</v>
      </c>
      <c r="K25" s="5">
        <f t="shared" si="10"/>
        <v>2505330.88</v>
      </c>
      <c r="L25" s="4">
        <f t="shared" si="0"/>
        <v>0</v>
      </c>
      <c r="M25" s="2">
        <f t="shared" si="1"/>
        <v>350.13305203730488</v>
      </c>
      <c r="N25" s="1">
        <f t="shared" si="2"/>
        <v>15</v>
      </c>
      <c r="O25" s="3">
        <f t="shared" si="3"/>
        <v>9779.790112896937</v>
      </c>
      <c r="P25" s="2">
        <f t="shared" si="4"/>
        <v>97.128320278153083</v>
      </c>
      <c r="Q25" s="2">
        <f t="shared" si="5"/>
        <v>225.65810112612041</v>
      </c>
      <c r="R25" s="2">
        <f t="shared" si="5"/>
        <v>474.60800294848934</v>
      </c>
      <c r="S25" s="2">
        <f t="shared" si="6"/>
        <v>449.02587337888122</v>
      </c>
    </row>
    <row r="26" spans="2:19" x14ac:dyDescent="0.25">
      <c r="B26" s="10">
        <v>21</v>
      </c>
      <c r="C26" s="10">
        <v>4</v>
      </c>
      <c r="D26" s="9" t="s">
        <v>145</v>
      </c>
      <c r="E26" s="8">
        <f>INDEX('From 2015 DataLockdown'!$M$5:$M$247,MATCH('Cost Bands for 2017 MFAM'!B26,'From 2015 DataLockdown'!$A$5:$A$247,0))</f>
        <v>4620.2</v>
      </c>
      <c r="F26" s="7">
        <f>INDEX('2015 Data Summary-Datalockdown'!$E$5:$E$247,MATCH('Cost Bands for 2017 MFAM'!B26,'2015 Data Summary-Datalockdown'!$B$5:$B$247,0))</f>
        <v>2170997.58</v>
      </c>
      <c r="G26" s="7">
        <f>INDEX('2015 Data Summary-Datalockdown'!$F$5:$F$247,MATCH('Cost Bands for 2017 MFAM'!B26,'2015 Data Summary-Datalockdown'!$B$5:$B$247,0))</f>
        <v>658540.66999999981</v>
      </c>
      <c r="H26" s="7">
        <f t="shared" si="7"/>
        <v>1512456.9100000001</v>
      </c>
      <c r="I26" s="6">
        <f t="shared" si="8"/>
        <v>327.35745422276096</v>
      </c>
      <c r="J26" s="6">
        <f t="shared" si="9"/>
        <v>327.35745422276096</v>
      </c>
      <c r="K26" s="5">
        <f t="shared" si="10"/>
        <v>1512456.9100000001</v>
      </c>
      <c r="L26" s="4">
        <f t="shared" si="0"/>
        <v>0</v>
      </c>
      <c r="M26" s="2">
        <f t="shared" si="1"/>
        <v>350.13305203730488</v>
      </c>
      <c r="N26" s="1">
        <f t="shared" si="2"/>
        <v>15</v>
      </c>
      <c r="O26" s="3">
        <f t="shared" si="3"/>
        <v>518.72785580985749</v>
      </c>
      <c r="P26" s="2">
        <f t="shared" si="4"/>
        <v>97.128320278153083</v>
      </c>
      <c r="Q26" s="2">
        <f t="shared" ref="Q26:R45" si="11">NORMINV(Q$4,$M26,$P26)</f>
        <v>225.65810112612041</v>
      </c>
      <c r="R26" s="2">
        <f t="shared" si="11"/>
        <v>474.60800294848934</v>
      </c>
      <c r="S26" s="2">
        <f t="shared" si="6"/>
        <v>327.35745422276096</v>
      </c>
    </row>
    <row r="27" spans="2:19" x14ac:dyDescent="0.25">
      <c r="B27" s="10">
        <v>34</v>
      </c>
      <c r="C27" s="10">
        <v>4</v>
      </c>
      <c r="D27" s="9" t="s">
        <v>146</v>
      </c>
      <c r="E27" s="8">
        <f>INDEX('From 2015 DataLockdown'!$M$5:$M$247,MATCH('Cost Bands for 2017 MFAM'!B27,'From 2015 DataLockdown'!$A$5:$A$247,0))</f>
        <v>4914.88</v>
      </c>
      <c r="F27" s="7">
        <f>INDEX('2015 Data Summary-Datalockdown'!$E$5:$E$247,MATCH('Cost Bands for 2017 MFAM'!B27,'2015 Data Summary-Datalockdown'!$B$5:$B$247,0))</f>
        <v>2506601.4900000002</v>
      </c>
      <c r="G27" s="7">
        <f>INDEX('2015 Data Summary-Datalockdown'!$F$5:$F$247,MATCH('Cost Bands for 2017 MFAM'!B27,'2015 Data Summary-Datalockdown'!$B$5:$B$247,0))</f>
        <v>468753.65</v>
      </c>
      <c r="H27" s="7">
        <f t="shared" si="7"/>
        <v>2037847.8400000003</v>
      </c>
      <c r="I27" s="6">
        <f t="shared" si="8"/>
        <v>414.62819845042003</v>
      </c>
      <c r="J27" s="6">
        <f t="shared" si="9"/>
        <v>414.62819845042003</v>
      </c>
      <c r="K27" s="5">
        <f t="shared" si="10"/>
        <v>2037847.8400000005</v>
      </c>
      <c r="L27" s="4">
        <f t="shared" si="0"/>
        <v>0</v>
      </c>
      <c r="M27" s="2">
        <f t="shared" si="1"/>
        <v>350.13305203730488</v>
      </c>
      <c r="N27" s="1">
        <f t="shared" si="2"/>
        <v>15</v>
      </c>
      <c r="O27" s="3">
        <f t="shared" si="3"/>
        <v>4159.62391084916</v>
      </c>
      <c r="P27" s="2">
        <f t="shared" si="4"/>
        <v>97.128320278153083</v>
      </c>
      <c r="Q27" s="2">
        <f t="shared" si="11"/>
        <v>225.65810112612041</v>
      </c>
      <c r="R27" s="2">
        <f t="shared" si="11"/>
        <v>474.60800294848934</v>
      </c>
      <c r="S27" s="2">
        <f t="shared" si="6"/>
        <v>414.62819845042003</v>
      </c>
    </row>
    <row r="28" spans="2:19" x14ac:dyDescent="0.25">
      <c r="B28" s="10">
        <v>87</v>
      </c>
      <c r="C28" s="10">
        <v>4</v>
      </c>
      <c r="D28" s="9" t="s">
        <v>147</v>
      </c>
      <c r="E28" s="8">
        <f>INDEX('From 2015 DataLockdown'!$M$5:$M$247,MATCH('Cost Bands for 2017 MFAM'!B28,'From 2015 DataLockdown'!$A$5:$A$247,0))</f>
        <v>12026.400000000001</v>
      </c>
      <c r="F28" s="7">
        <f>INDEX('2015 Data Summary-Datalockdown'!$E$5:$E$247,MATCH('Cost Bands for 2017 MFAM'!B28,'2015 Data Summary-Datalockdown'!$B$5:$B$247,0))</f>
        <v>4866732.33</v>
      </c>
      <c r="G28" s="7">
        <f>INDEX('2015 Data Summary-Datalockdown'!$F$5:$F$247,MATCH('Cost Bands for 2017 MFAM'!B28,'2015 Data Summary-Datalockdown'!$B$5:$B$247,0))</f>
        <v>1343901.0299999998</v>
      </c>
      <c r="H28" s="7">
        <f t="shared" si="7"/>
        <v>3522831.3000000003</v>
      </c>
      <c r="I28" s="6">
        <f t="shared" si="8"/>
        <v>292.92484035122726</v>
      </c>
      <c r="J28" s="6">
        <f t="shared" si="9"/>
        <v>292.92484035122726</v>
      </c>
      <c r="K28" s="5">
        <f t="shared" si="10"/>
        <v>3522831.3</v>
      </c>
      <c r="L28" s="4">
        <f t="shared" si="0"/>
        <v>0</v>
      </c>
      <c r="M28" s="2">
        <f t="shared" si="1"/>
        <v>350.13305203730488</v>
      </c>
      <c r="N28" s="1">
        <f t="shared" si="2"/>
        <v>15</v>
      </c>
      <c r="O28" s="3">
        <f t="shared" si="3"/>
        <v>3272.7794843190677</v>
      </c>
      <c r="P28" s="2">
        <f t="shared" si="4"/>
        <v>97.128320278153083</v>
      </c>
      <c r="Q28" s="2">
        <f t="shared" si="11"/>
        <v>225.65810112612041</v>
      </c>
      <c r="R28" s="2">
        <f t="shared" si="11"/>
        <v>474.60800294848934</v>
      </c>
      <c r="S28" s="2">
        <f t="shared" si="6"/>
        <v>292.92484035122726</v>
      </c>
    </row>
    <row r="29" spans="2:19" x14ac:dyDescent="0.25">
      <c r="B29" s="10">
        <v>88</v>
      </c>
      <c r="C29" s="10">
        <v>4</v>
      </c>
      <c r="D29" s="9" t="s">
        <v>148</v>
      </c>
      <c r="E29" s="8">
        <f>INDEX('From 2015 DataLockdown'!$M$5:$M$247,MATCH('Cost Bands for 2017 MFAM'!B29,'From 2015 DataLockdown'!$A$5:$A$247,0))</f>
        <v>5057.1000000000004</v>
      </c>
      <c r="F29" s="7">
        <f>INDEX('2015 Data Summary-Datalockdown'!$E$5:$E$247,MATCH('Cost Bands for 2017 MFAM'!B29,'2015 Data Summary-Datalockdown'!$B$5:$B$247,0))</f>
        <v>2005124.97</v>
      </c>
      <c r="G29" s="7">
        <f>INDEX('2015 Data Summary-Datalockdown'!$F$5:$F$247,MATCH('Cost Bands for 2017 MFAM'!B29,'2015 Data Summary-Datalockdown'!$B$5:$B$247,0))</f>
        <v>613335.13</v>
      </c>
      <c r="H29" s="7">
        <f t="shared" si="7"/>
        <v>1391789.8399999999</v>
      </c>
      <c r="I29" s="6">
        <f t="shared" si="8"/>
        <v>275.21501255660354</v>
      </c>
      <c r="J29" s="6">
        <f t="shared" si="9"/>
        <v>275.21501255660354</v>
      </c>
      <c r="K29" s="5">
        <f t="shared" si="10"/>
        <v>1391789.8399999999</v>
      </c>
      <c r="L29" s="4">
        <f t="shared" si="0"/>
        <v>0</v>
      </c>
      <c r="M29" s="2">
        <f t="shared" si="1"/>
        <v>350.13305203730488</v>
      </c>
      <c r="N29" s="1">
        <f t="shared" si="2"/>
        <v>15</v>
      </c>
      <c r="O29" s="3">
        <f t="shared" si="3"/>
        <v>5612.7126396319245</v>
      </c>
      <c r="P29" s="2">
        <f t="shared" si="4"/>
        <v>97.128320278153083</v>
      </c>
      <c r="Q29" s="2">
        <f t="shared" si="11"/>
        <v>225.65810112612041</v>
      </c>
      <c r="R29" s="2">
        <f t="shared" si="11"/>
        <v>474.60800294848934</v>
      </c>
      <c r="S29" s="2">
        <f t="shared" si="6"/>
        <v>275.21501255660354</v>
      </c>
    </row>
    <row r="30" spans="2:19" x14ac:dyDescent="0.25">
      <c r="B30" s="10">
        <v>89</v>
      </c>
      <c r="C30" s="10">
        <v>4</v>
      </c>
      <c r="D30" s="9" t="s">
        <v>149</v>
      </c>
      <c r="E30" s="8">
        <f>INDEX('From 2015 DataLockdown'!$M$5:$M$247,MATCH('Cost Bands for 2017 MFAM'!B30,'From 2015 DataLockdown'!$A$5:$A$247,0))</f>
        <v>5659.9800000000005</v>
      </c>
      <c r="F30" s="7">
        <f>INDEX('2015 Data Summary-Datalockdown'!$E$5:$E$247,MATCH('Cost Bands for 2017 MFAM'!B30,'2015 Data Summary-Datalockdown'!$B$5:$B$247,0))</f>
        <v>3584803.82</v>
      </c>
      <c r="G30" s="7">
        <f>INDEX('2015 Data Summary-Datalockdown'!$F$5:$F$247,MATCH('Cost Bands for 2017 MFAM'!B30,'2015 Data Summary-Datalockdown'!$B$5:$B$247,0))</f>
        <v>462428.63000000006</v>
      </c>
      <c r="H30" s="7">
        <f t="shared" si="7"/>
        <v>3122375.19</v>
      </c>
      <c r="I30" s="6">
        <f t="shared" si="8"/>
        <v>551.65834331570068</v>
      </c>
      <c r="J30" s="6">
        <f t="shared" si="9"/>
        <v>474.60800294848934</v>
      </c>
      <c r="K30" s="5">
        <f t="shared" si="10"/>
        <v>2686271.804528391</v>
      </c>
      <c r="L30" s="4">
        <f t="shared" si="0"/>
        <v>0</v>
      </c>
      <c r="M30" s="2">
        <f t="shared" si="1"/>
        <v>350.13305203730488</v>
      </c>
      <c r="N30" s="1">
        <f t="shared" si="2"/>
        <v>15</v>
      </c>
      <c r="O30" s="3">
        <f t="shared" si="3"/>
        <v>40612.443024842272</v>
      </c>
      <c r="P30" s="2">
        <f t="shared" si="4"/>
        <v>97.128320278153083</v>
      </c>
      <c r="Q30" s="2">
        <f t="shared" si="11"/>
        <v>225.65810112612041</v>
      </c>
      <c r="R30" s="2">
        <f t="shared" si="11"/>
        <v>474.60800294848934</v>
      </c>
      <c r="S30" s="2">
        <f t="shared" si="6"/>
        <v>474.60800294848934</v>
      </c>
    </row>
    <row r="31" spans="2:19" x14ac:dyDescent="0.25">
      <c r="B31" s="10">
        <v>143</v>
      </c>
      <c r="C31" s="10">
        <v>4</v>
      </c>
      <c r="D31" s="9" t="s">
        <v>150</v>
      </c>
      <c r="E31" s="8">
        <f>INDEX('From 2015 DataLockdown'!$M$5:$M$247,MATCH('Cost Bands for 2017 MFAM'!B31,'From 2015 DataLockdown'!$A$5:$A$247,0))</f>
        <v>3083.89</v>
      </c>
      <c r="F31" s="7">
        <f>INDEX('2015 Data Summary-Datalockdown'!$E$5:$E$247,MATCH('Cost Bands for 2017 MFAM'!B31,'2015 Data Summary-Datalockdown'!$B$5:$B$247,0))</f>
        <v>948628.87</v>
      </c>
      <c r="G31" s="7">
        <f>INDEX('2015 Data Summary-Datalockdown'!$F$5:$F$247,MATCH('Cost Bands for 2017 MFAM'!B31,'2015 Data Summary-Datalockdown'!$B$5:$B$247,0))</f>
        <v>322597.75</v>
      </c>
      <c r="H31" s="7">
        <f t="shared" si="7"/>
        <v>626031.12</v>
      </c>
      <c r="I31" s="6">
        <f t="shared" si="8"/>
        <v>203.00047018538277</v>
      </c>
      <c r="J31" s="6">
        <f t="shared" si="9"/>
        <v>203.00047018538277</v>
      </c>
      <c r="K31" s="5">
        <f t="shared" si="10"/>
        <v>626031.12</v>
      </c>
      <c r="L31" s="4">
        <f t="shared" si="0"/>
        <v>0</v>
      </c>
      <c r="M31" s="2">
        <f t="shared" si="1"/>
        <v>350.13305203730488</v>
      </c>
      <c r="N31" s="1">
        <f t="shared" si="2"/>
        <v>15</v>
      </c>
      <c r="O31" s="3">
        <f t="shared" si="3"/>
        <v>21647.99664241256</v>
      </c>
      <c r="P31" s="2">
        <f t="shared" si="4"/>
        <v>97.128320278153083</v>
      </c>
      <c r="Q31" s="2">
        <f t="shared" si="11"/>
        <v>225.65810112612041</v>
      </c>
      <c r="R31" s="2">
        <f t="shared" si="11"/>
        <v>474.60800294848934</v>
      </c>
      <c r="S31" s="2">
        <f t="shared" si="6"/>
        <v>225.65810112612041</v>
      </c>
    </row>
    <row r="32" spans="2:19" x14ac:dyDescent="0.25">
      <c r="B32" s="10">
        <v>183</v>
      </c>
      <c r="C32" s="10">
        <v>4</v>
      </c>
      <c r="D32" s="9" t="s">
        <v>151</v>
      </c>
      <c r="E32" s="8">
        <f>INDEX('From 2015 DataLockdown'!$M$5:$M$247,MATCH('Cost Bands for 2017 MFAM'!B32,'From 2015 DataLockdown'!$A$5:$A$247,0))</f>
        <v>12702.630000000001</v>
      </c>
      <c r="F32" s="7">
        <f>INDEX('2015 Data Summary-Datalockdown'!$E$5:$E$247,MATCH('Cost Bands for 2017 MFAM'!B32,'2015 Data Summary-Datalockdown'!$B$5:$B$247,0))</f>
        <v>5504591.5700000003</v>
      </c>
      <c r="G32" s="7">
        <f>INDEX('2015 Data Summary-Datalockdown'!$F$5:$F$247,MATCH('Cost Bands for 2017 MFAM'!B32,'2015 Data Summary-Datalockdown'!$B$5:$B$247,0))</f>
        <v>700215.74000000011</v>
      </c>
      <c r="H32" s="7">
        <f t="shared" si="7"/>
        <v>4804375.83</v>
      </c>
      <c r="I32" s="6">
        <f t="shared" si="8"/>
        <v>378.21898535972468</v>
      </c>
      <c r="J32" s="6">
        <f t="shared" si="9"/>
        <v>378.21898535972468</v>
      </c>
      <c r="K32" s="5">
        <f t="shared" si="10"/>
        <v>4804375.83</v>
      </c>
      <c r="L32" s="4">
        <f t="shared" si="0"/>
        <v>0</v>
      </c>
      <c r="M32" s="2">
        <f t="shared" si="1"/>
        <v>350.13305203730488</v>
      </c>
      <c r="N32" s="1">
        <f t="shared" si="2"/>
        <v>15</v>
      </c>
      <c r="O32" s="3">
        <f t="shared" si="3"/>
        <v>788.81965059141123</v>
      </c>
      <c r="P32" s="2">
        <f t="shared" si="4"/>
        <v>97.128320278153083</v>
      </c>
      <c r="Q32" s="2">
        <f t="shared" si="11"/>
        <v>225.65810112612041</v>
      </c>
      <c r="R32" s="2">
        <f t="shared" si="11"/>
        <v>474.60800294848934</v>
      </c>
      <c r="S32" s="2">
        <f t="shared" si="6"/>
        <v>378.21898535972468</v>
      </c>
    </row>
    <row r="33" spans="2:19" x14ac:dyDescent="0.25">
      <c r="B33" s="10">
        <v>186</v>
      </c>
      <c r="C33" s="10">
        <v>4</v>
      </c>
      <c r="D33" s="9" t="s">
        <v>152</v>
      </c>
      <c r="E33" s="8">
        <f>INDEX('From 2015 DataLockdown'!$M$5:$M$247,MATCH('Cost Bands for 2017 MFAM'!B33,'From 2015 DataLockdown'!$A$5:$A$247,0))</f>
        <v>12278.68</v>
      </c>
      <c r="F33" s="7">
        <f>INDEX('2015 Data Summary-Datalockdown'!$E$5:$E$247,MATCH('Cost Bands for 2017 MFAM'!B33,'2015 Data Summary-Datalockdown'!$B$5:$B$247,0))</f>
        <v>6268228.2599999998</v>
      </c>
      <c r="G33" s="7">
        <f>INDEX('2015 Data Summary-Datalockdown'!$F$5:$F$247,MATCH('Cost Bands for 2017 MFAM'!B33,'2015 Data Summary-Datalockdown'!$B$5:$B$247,0))</f>
        <v>1009484.7500000001</v>
      </c>
      <c r="H33" s="7">
        <f t="shared" si="7"/>
        <v>5258743.51</v>
      </c>
      <c r="I33" s="6">
        <f t="shared" si="8"/>
        <v>428.28247906126717</v>
      </c>
      <c r="J33" s="6">
        <f t="shared" si="9"/>
        <v>428.28247906126717</v>
      </c>
      <c r="K33" s="5">
        <f t="shared" si="10"/>
        <v>5258743.51</v>
      </c>
      <c r="L33" s="4">
        <f t="shared" si="0"/>
        <v>0</v>
      </c>
      <c r="M33" s="2">
        <f t="shared" si="1"/>
        <v>350.13305203730488</v>
      </c>
      <c r="N33" s="1">
        <f t="shared" si="2"/>
        <v>15</v>
      </c>
      <c r="O33" s="3">
        <f t="shared" si="3"/>
        <v>6107.3329441736078</v>
      </c>
      <c r="P33" s="2">
        <f t="shared" si="4"/>
        <v>97.128320278153083</v>
      </c>
      <c r="Q33" s="2">
        <f t="shared" si="11"/>
        <v>225.65810112612041</v>
      </c>
      <c r="R33" s="2">
        <f t="shared" si="11"/>
        <v>474.60800294848934</v>
      </c>
      <c r="S33" s="2">
        <f t="shared" si="6"/>
        <v>428.28247906126717</v>
      </c>
    </row>
    <row r="34" spans="2:19" x14ac:dyDescent="0.25">
      <c r="B34" s="10">
        <v>190</v>
      </c>
      <c r="C34" s="10">
        <v>4</v>
      </c>
      <c r="D34" s="9" t="s">
        <v>153</v>
      </c>
      <c r="E34" s="8">
        <f>INDEX('From 2015 DataLockdown'!$M$5:$M$247,MATCH('Cost Bands for 2017 MFAM'!B34,'From 2015 DataLockdown'!$A$5:$A$247,0))</f>
        <v>3470.1099999999992</v>
      </c>
      <c r="F34" s="7">
        <f>INDEX('2015 Data Summary-Datalockdown'!$E$5:$E$247,MATCH('Cost Bands for 2017 MFAM'!B34,'2015 Data Summary-Datalockdown'!$B$5:$B$247,0))</f>
        <v>1856742.77</v>
      </c>
      <c r="G34" s="7">
        <f>INDEX('2015 Data Summary-Datalockdown'!$F$5:$F$247,MATCH('Cost Bands for 2017 MFAM'!B34,'2015 Data Summary-Datalockdown'!$B$5:$B$247,0))</f>
        <v>529858.61</v>
      </c>
      <c r="H34" s="7">
        <f t="shared" si="7"/>
        <v>1326884.1600000001</v>
      </c>
      <c r="I34" s="6">
        <f t="shared" si="8"/>
        <v>382.37524458878841</v>
      </c>
      <c r="J34" s="6">
        <f t="shared" si="9"/>
        <v>382.37524458878841</v>
      </c>
      <c r="K34" s="5">
        <f t="shared" si="10"/>
        <v>1326884.1600000001</v>
      </c>
      <c r="L34" s="4">
        <f t="shared" si="0"/>
        <v>0</v>
      </c>
      <c r="M34" s="2">
        <f t="shared" si="1"/>
        <v>350.13305203730488</v>
      </c>
      <c r="N34" s="1">
        <f t="shared" si="2"/>
        <v>15</v>
      </c>
      <c r="O34" s="3">
        <f t="shared" si="3"/>
        <v>1039.5589805269399</v>
      </c>
      <c r="P34" s="2">
        <f t="shared" si="4"/>
        <v>97.128320278153083</v>
      </c>
      <c r="Q34" s="2">
        <f t="shared" si="11"/>
        <v>225.65810112612041</v>
      </c>
      <c r="R34" s="2">
        <f t="shared" si="11"/>
        <v>474.60800294848934</v>
      </c>
      <c r="S34" s="2">
        <f t="shared" si="6"/>
        <v>382.37524458878841</v>
      </c>
    </row>
    <row r="35" spans="2:19" x14ac:dyDescent="0.25">
      <c r="B35" s="10">
        <v>324</v>
      </c>
      <c r="C35" s="10">
        <v>4</v>
      </c>
      <c r="D35" s="9" t="s">
        <v>154</v>
      </c>
      <c r="E35" s="8">
        <f>INDEX('From 2015 DataLockdown'!$M$5:$M$247,MATCH('Cost Bands for 2017 MFAM'!B35,'From 2015 DataLockdown'!$A$5:$A$247,0))</f>
        <v>8435.36</v>
      </c>
      <c r="F35" s="7">
        <f>INDEX('2015 Data Summary-Datalockdown'!$E$5:$E$247,MATCH('Cost Bands for 2017 MFAM'!B35,'2015 Data Summary-Datalockdown'!$B$5:$B$247,0))</f>
        <v>3854312.14</v>
      </c>
      <c r="G35" s="7">
        <f>INDEX('2015 Data Summary-Datalockdown'!$F$5:$F$247,MATCH('Cost Bands for 2017 MFAM'!B35,'2015 Data Summary-Datalockdown'!$B$5:$B$247,0))</f>
        <v>1038953.11</v>
      </c>
      <c r="H35" s="7">
        <f t="shared" si="7"/>
        <v>2815359.0300000003</v>
      </c>
      <c r="I35" s="6">
        <f t="shared" si="8"/>
        <v>333.75683195500847</v>
      </c>
      <c r="J35" s="6">
        <f t="shared" si="9"/>
        <v>333.75683195500847</v>
      </c>
      <c r="K35" s="5">
        <f t="shared" si="10"/>
        <v>2815359.0300000003</v>
      </c>
      <c r="L35" s="4">
        <f t="shared" si="0"/>
        <v>0</v>
      </c>
      <c r="M35" s="2">
        <f t="shared" si="1"/>
        <v>350.13305203730488</v>
      </c>
      <c r="N35" s="1">
        <f t="shared" si="2"/>
        <v>15</v>
      </c>
      <c r="O35" s="3">
        <f t="shared" si="3"/>
        <v>268.18058418380832</v>
      </c>
      <c r="P35" s="2">
        <f t="shared" si="4"/>
        <v>97.128320278153083</v>
      </c>
      <c r="Q35" s="2">
        <f t="shared" si="11"/>
        <v>225.65810112612041</v>
      </c>
      <c r="R35" s="2">
        <f t="shared" si="11"/>
        <v>474.60800294848934</v>
      </c>
      <c r="S35" s="2">
        <f t="shared" si="6"/>
        <v>333.75683195500847</v>
      </c>
    </row>
    <row r="36" spans="2:19" x14ac:dyDescent="0.25">
      <c r="B36" s="10">
        <v>429</v>
      </c>
      <c r="C36" s="10">
        <v>4</v>
      </c>
      <c r="D36" s="9" t="s">
        <v>155</v>
      </c>
      <c r="E36" s="8">
        <f>INDEX('From 2015 DataLockdown'!$M$5:$M$247,MATCH('Cost Bands for 2017 MFAM'!B36,'From 2015 DataLockdown'!$A$5:$A$247,0))</f>
        <v>4185.235170553553</v>
      </c>
      <c r="F36" s="7">
        <f>INDEX('2015 Data Summary-Datalockdown'!$E$5:$E$247,MATCH('Cost Bands for 2017 MFAM'!B36,'2015 Data Summary-Datalockdown'!$B$5:$B$247,0))</f>
        <v>1676238.46</v>
      </c>
      <c r="G36" s="7">
        <f>INDEX('2015 Data Summary-Datalockdown'!$F$5:$F$247,MATCH('Cost Bands for 2017 MFAM'!B36,'2015 Data Summary-Datalockdown'!$B$5:$B$247,0))</f>
        <v>410710.27</v>
      </c>
      <c r="H36" s="7">
        <f t="shared" si="7"/>
        <v>1265528.19</v>
      </c>
      <c r="I36" s="6">
        <f t="shared" si="8"/>
        <v>302.37923042031042</v>
      </c>
      <c r="J36" s="6">
        <f t="shared" si="9"/>
        <v>302.37923042031042</v>
      </c>
      <c r="K36" s="5">
        <f t="shared" si="10"/>
        <v>1265528.19</v>
      </c>
      <c r="L36" s="4">
        <f t="shared" si="0"/>
        <v>0</v>
      </c>
      <c r="M36" s="2">
        <f t="shared" si="1"/>
        <v>350.13305203730488</v>
      </c>
      <c r="N36" s="1">
        <f t="shared" si="2"/>
        <v>15</v>
      </c>
      <c r="O36" s="3">
        <f t="shared" si="3"/>
        <v>2280.4274790277273</v>
      </c>
      <c r="P36" s="2">
        <f t="shared" si="4"/>
        <v>97.128320278153083</v>
      </c>
      <c r="Q36" s="2">
        <f t="shared" si="11"/>
        <v>225.65810112612041</v>
      </c>
      <c r="R36" s="2">
        <f t="shared" si="11"/>
        <v>474.60800294848934</v>
      </c>
      <c r="S36" s="2">
        <f t="shared" si="6"/>
        <v>302.37923042031042</v>
      </c>
    </row>
    <row r="37" spans="2:19" x14ac:dyDescent="0.25">
      <c r="B37" s="10">
        <v>601</v>
      </c>
      <c r="C37" s="10">
        <v>4</v>
      </c>
      <c r="D37" s="9" t="s">
        <v>156</v>
      </c>
      <c r="E37" s="8">
        <f>INDEX('From 2015 DataLockdown'!$M$5:$M$247,MATCH('Cost Bands for 2017 MFAM'!B37,'From 2015 DataLockdown'!$A$5:$A$247,0))</f>
        <v>5590.9599999999982</v>
      </c>
      <c r="F37" s="7">
        <f>INDEX('2015 Data Summary-Datalockdown'!$E$5:$E$247,MATCH('Cost Bands for 2017 MFAM'!B37,'2015 Data Summary-Datalockdown'!$B$5:$B$247,0))</f>
        <v>2604638.9</v>
      </c>
      <c r="G37" s="7">
        <f>INDEX('2015 Data Summary-Datalockdown'!$F$5:$F$247,MATCH('Cost Bands for 2017 MFAM'!B37,'2015 Data Summary-Datalockdown'!$B$5:$B$247,0))</f>
        <v>334681.01</v>
      </c>
      <c r="H37" s="7">
        <f t="shared" si="7"/>
        <v>2269957.8899999997</v>
      </c>
      <c r="I37" s="6">
        <f t="shared" si="8"/>
        <v>406.00503133630008</v>
      </c>
      <c r="J37" s="6">
        <f t="shared" si="9"/>
        <v>406.00503133630008</v>
      </c>
      <c r="K37" s="5">
        <f t="shared" si="10"/>
        <v>2269957.8899999997</v>
      </c>
      <c r="L37" s="4">
        <f t="shared" si="0"/>
        <v>0</v>
      </c>
      <c r="M37" s="2">
        <f t="shared" si="1"/>
        <v>350.13305203730488</v>
      </c>
      <c r="N37" s="1">
        <f t="shared" si="2"/>
        <v>15</v>
      </c>
      <c r="O37" s="3">
        <f t="shared" si="3"/>
        <v>3121.6780707873481</v>
      </c>
      <c r="P37" s="2">
        <f t="shared" si="4"/>
        <v>97.128320278153083</v>
      </c>
      <c r="Q37" s="2">
        <f t="shared" si="11"/>
        <v>225.65810112612041</v>
      </c>
      <c r="R37" s="2">
        <f t="shared" si="11"/>
        <v>474.60800294848934</v>
      </c>
      <c r="S37" s="2">
        <f t="shared" si="6"/>
        <v>406.00503133630008</v>
      </c>
    </row>
    <row r="38" spans="2:19" x14ac:dyDescent="0.25">
      <c r="B38" s="10">
        <v>760</v>
      </c>
      <c r="C38" s="10">
        <v>4</v>
      </c>
      <c r="D38" s="9" t="s">
        <v>157</v>
      </c>
      <c r="E38" s="8">
        <f>INDEX('From 2015 DataLockdown'!$M$5:$M$247,MATCH('Cost Bands for 2017 MFAM'!B38,'From 2015 DataLockdown'!$A$5:$A$247,0))</f>
        <v>5125.9099999999989</v>
      </c>
      <c r="F38" s="7">
        <f>INDEX('2015 Data Summary-Datalockdown'!$E$5:$E$247,MATCH('Cost Bands for 2017 MFAM'!B38,'2015 Data Summary-Datalockdown'!$B$5:$B$247,0))</f>
        <v>1409267.45</v>
      </c>
      <c r="G38" s="7">
        <f>INDEX('2015 Data Summary-Datalockdown'!$F$5:$F$247,MATCH('Cost Bands for 2017 MFAM'!B38,'2015 Data Summary-Datalockdown'!$B$5:$B$247,0))</f>
        <v>780999.8600000001</v>
      </c>
      <c r="H38" s="7">
        <f t="shared" si="7"/>
        <v>628267.58999999985</v>
      </c>
      <c r="I38" s="6">
        <f t="shared" si="8"/>
        <v>122.56703492648134</v>
      </c>
      <c r="J38" s="6">
        <f t="shared" si="9"/>
        <v>122.56703492648134</v>
      </c>
      <c r="K38" s="5">
        <f t="shared" si="10"/>
        <v>628267.58999999985</v>
      </c>
      <c r="L38" s="4">
        <f t="shared" si="0"/>
        <v>0</v>
      </c>
      <c r="M38" s="2">
        <f t="shared" si="1"/>
        <v>350.13305203730488</v>
      </c>
      <c r="N38" s="1">
        <f t="shared" si="2"/>
        <v>15</v>
      </c>
      <c r="O38" s="3">
        <f t="shared" si="3"/>
        <v>51786.292143683633</v>
      </c>
      <c r="P38" s="2">
        <f t="shared" si="4"/>
        <v>97.128320278153083</v>
      </c>
      <c r="Q38" s="2">
        <f t="shared" si="11"/>
        <v>225.65810112612041</v>
      </c>
      <c r="R38" s="2">
        <f t="shared" si="11"/>
        <v>474.60800294848934</v>
      </c>
      <c r="S38" s="2">
        <f t="shared" si="6"/>
        <v>225.65810112612041</v>
      </c>
    </row>
    <row r="39" spans="2:19" x14ac:dyDescent="0.25">
      <c r="B39" s="10">
        <v>878</v>
      </c>
      <c r="C39" s="10">
        <v>4</v>
      </c>
      <c r="D39" s="9" t="s">
        <v>158</v>
      </c>
      <c r="E39" s="8">
        <f>INDEX('From 2015 DataLockdown'!$M$5:$M$247,MATCH('Cost Bands for 2017 MFAM'!B39,'From 2015 DataLockdown'!$A$5:$A$247,0))</f>
        <v>7110.8</v>
      </c>
      <c r="F39" s="7">
        <f>INDEX('2015 Data Summary-Datalockdown'!$E$5:$E$247,MATCH('Cost Bands for 2017 MFAM'!B39,'2015 Data Summary-Datalockdown'!$B$5:$B$247,0))</f>
        <v>2671507.41</v>
      </c>
      <c r="G39" s="7">
        <f>INDEX('2015 Data Summary-Datalockdown'!$F$5:$F$247,MATCH('Cost Bands for 2017 MFAM'!B39,'2015 Data Summary-Datalockdown'!$B$5:$B$247,0))</f>
        <v>801437.25000000012</v>
      </c>
      <c r="H39" s="7">
        <f t="shared" si="7"/>
        <v>1870070.1600000001</v>
      </c>
      <c r="I39" s="6">
        <f t="shared" si="8"/>
        <v>262.9901220678405</v>
      </c>
      <c r="J39" s="6">
        <f t="shared" si="9"/>
        <v>262.9901220678405</v>
      </c>
      <c r="K39" s="5">
        <f t="shared" si="10"/>
        <v>1870070.1600000004</v>
      </c>
      <c r="L39" s="4">
        <f t="shared" si="0"/>
        <v>0</v>
      </c>
      <c r="M39" s="2">
        <f t="shared" si="1"/>
        <v>350.13305203730488</v>
      </c>
      <c r="N39" s="1">
        <f t="shared" si="2"/>
        <v>15</v>
      </c>
      <c r="O39" s="3">
        <f t="shared" si="3"/>
        <v>7593.8902436629724</v>
      </c>
      <c r="P39" s="2">
        <f t="shared" si="4"/>
        <v>97.128320278153083</v>
      </c>
      <c r="Q39" s="2">
        <f t="shared" si="11"/>
        <v>225.65810112612041</v>
      </c>
      <c r="R39" s="2">
        <f t="shared" si="11"/>
        <v>474.60800294848934</v>
      </c>
      <c r="S39" s="2">
        <f t="shared" si="6"/>
        <v>262.9901220678405</v>
      </c>
    </row>
    <row r="40" spans="2:19" x14ac:dyDescent="0.25">
      <c r="B40" s="10">
        <v>8</v>
      </c>
      <c r="C40" s="10">
        <v>5</v>
      </c>
      <c r="D40" s="9" t="s">
        <v>159</v>
      </c>
      <c r="E40" s="8">
        <f>INDEX('From 2015 DataLockdown'!$M$5:$M$247,MATCH('Cost Bands for 2017 MFAM'!B40,'From 2015 DataLockdown'!$A$5:$A$247,0))</f>
        <v>2138.94</v>
      </c>
      <c r="F40" s="7">
        <f>INDEX('2015 Data Summary-Datalockdown'!$E$5:$E$247,MATCH('Cost Bands for 2017 MFAM'!B40,'2015 Data Summary-Datalockdown'!$B$5:$B$247,0))</f>
        <v>586397.65</v>
      </c>
      <c r="G40" s="7">
        <f>INDEX('2015 Data Summary-Datalockdown'!$F$5:$F$247,MATCH('Cost Bands for 2017 MFAM'!B40,'2015 Data Summary-Datalockdown'!$B$5:$B$247,0))</f>
        <v>19313.48</v>
      </c>
      <c r="H40" s="7">
        <f t="shared" si="7"/>
        <v>567084.17000000004</v>
      </c>
      <c r="I40" s="6">
        <f t="shared" si="8"/>
        <v>265.12392586982338</v>
      </c>
      <c r="J40" s="6">
        <f t="shared" si="9"/>
        <v>265.12392586982338</v>
      </c>
      <c r="K40" s="5">
        <f t="shared" si="10"/>
        <v>567084.17000000004</v>
      </c>
      <c r="L40" s="4">
        <f t="shared" si="0"/>
        <v>0</v>
      </c>
      <c r="M40" s="2">
        <f t="shared" si="1"/>
        <v>267.33287863911858</v>
      </c>
      <c r="N40" s="1">
        <f t="shared" si="2"/>
        <v>21</v>
      </c>
      <c r="O40" s="3">
        <f t="shared" si="3"/>
        <v>4.8794723369769093</v>
      </c>
      <c r="P40" s="2">
        <f t="shared" si="4"/>
        <v>119.04108404476057</v>
      </c>
      <c r="Q40" s="2">
        <f t="shared" si="11"/>
        <v>114.77559101742929</v>
      </c>
      <c r="R40" s="2">
        <f t="shared" si="11"/>
        <v>419.89016626080786</v>
      </c>
      <c r="S40" s="2">
        <f t="shared" si="6"/>
        <v>265.12392586982338</v>
      </c>
    </row>
    <row r="41" spans="2:19" x14ac:dyDescent="0.25">
      <c r="B41" s="10">
        <v>41</v>
      </c>
      <c r="C41" s="10">
        <v>5</v>
      </c>
      <c r="D41" s="9" t="s">
        <v>160</v>
      </c>
      <c r="E41" s="8">
        <f>INDEX('From 2015 DataLockdown'!$M$5:$M$247,MATCH('Cost Bands for 2017 MFAM'!B41,'From 2015 DataLockdown'!$A$5:$A$247,0))</f>
        <v>1798.58</v>
      </c>
      <c r="F41" s="7">
        <f>INDEX('2015 Data Summary-Datalockdown'!$E$5:$E$247,MATCH('Cost Bands for 2017 MFAM'!B41,'2015 Data Summary-Datalockdown'!$B$5:$B$247,0))</f>
        <v>508491.99</v>
      </c>
      <c r="G41" s="7">
        <f>INDEX('2015 Data Summary-Datalockdown'!$F$5:$F$247,MATCH('Cost Bands for 2017 MFAM'!B41,'2015 Data Summary-Datalockdown'!$B$5:$B$247,0))</f>
        <v>193941.84</v>
      </c>
      <c r="H41" s="7">
        <f t="shared" si="7"/>
        <v>314550.15000000002</v>
      </c>
      <c r="I41" s="6">
        <f t="shared" si="8"/>
        <v>174.88805057323</v>
      </c>
      <c r="J41" s="6">
        <f t="shared" si="9"/>
        <v>174.88805057323</v>
      </c>
      <c r="K41" s="5">
        <f t="shared" si="10"/>
        <v>314550.15000000002</v>
      </c>
      <c r="L41" s="4">
        <f t="shared" si="0"/>
        <v>0</v>
      </c>
      <c r="M41" s="2">
        <f t="shared" si="1"/>
        <v>267.33287863911858</v>
      </c>
      <c r="N41" s="1">
        <f t="shared" si="2"/>
        <v>21</v>
      </c>
      <c r="O41" s="3">
        <f t="shared" si="3"/>
        <v>8546.0462361316986</v>
      </c>
      <c r="P41" s="2">
        <f t="shared" si="4"/>
        <v>119.04108404476057</v>
      </c>
      <c r="Q41" s="2">
        <f t="shared" si="11"/>
        <v>114.77559101742929</v>
      </c>
      <c r="R41" s="2">
        <f t="shared" si="11"/>
        <v>419.89016626080786</v>
      </c>
      <c r="S41" s="2">
        <f t="shared" si="6"/>
        <v>174.88805057323</v>
      </c>
    </row>
    <row r="42" spans="2:19" x14ac:dyDescent="0.25">
      <c r="B42" s="10">
        <v>56</v>
      </c>
      <c r="C42" s="10">
        <v>5</v>
      </c>
      <c r="D42" s="9" t="s">
        <v>161</v>
      </c>
      <c r="E42" s="8">
        <f>INDEX('From 2015 DataLockdown'!$M$5:$M$247,MATCH('Cost Bands for 2017 MFAM'!B42,'From 2015 DataLockdown'!$A$5:$A$247,0))</f>
        <v>2998.76</v>
      </c>
      <c r="F42" s="7">
        <f>INDEX('2015 Data Summary-Datalockdown'!$E$5:$E$247,MATCH('Cost Bands for 2017 MFAM'!B42,'2015 Data Summary-Datalockdown'!$B$5:$B$247,0))</f>
        <v>475980.56</v>
      </c>
      <c r="G42" s="7">
        <f>INDEX('2015 Data Summary-Datalockdown'!$F$5:$F$247,MATCH('Cost Bands for 2017 MFAM'!B42,'2015 Data Summary-Datalockdown'!$B$5:$B$247,0))</f>
        <v>1913.22</v>
      </c>
      <c r="H42" s="7">
        <f t="shared" si="7"/>
        <v>474067.34</v>
      </c>
      <c r="I42" s="6">
        <f t="shared" si="8"/>
        <v>158.08778961970947</v>
      </c>
      <c r="J42" s="6">
        <f t="shared" si="9"/>
        <v>158.08778961970947</v>
      </c>
      <c r="K42" s="5">
        <f t="shared" si="10"/>
        <v>474067.34</v>
      </c>
      <c r="L42" s="4">
        <f t="shared" si="0"/>
        <v>0</v>
      </c>
      <c r="M42" s="2">
        <f t="shared" si="1"/>
        <v>267.33287863911858</v>
      </c>
      <c r="N42" s="1">
        <f t="shared" si="2"/>
        <v>21</v>
      </c>
      <c r="O42" s="3">
        <f t="shared" si="3"/>
        <v>11934.489474858621</v>
      </c>
      <c r="P42" s="2">
        <f t="shared" si="4"/>
        <v>119.04108404476057</v>
      </c>
      <c r="Q42" s="2">
        <f t="shared" si="11"/>
        <v>114.77559101742929</v>
      </c>
      <c r="R42" s="2">
        <f t="shared" si="11"/>
        <v>419.89016626080786</v>
      </c>
      <c r="S42" s="2">
        <f t="shared" si="6"/>
        <v>158.08778961970947</v>
      </c>
    </row>
    <row r="43" spans="2:19" x14ac:dyDescent="0.25">
      <c r="B43" s="10">
        <v>67</v>
      </c>
      <c r="C43" s="10">
        <v>5</v>
      </c>
      <c r="D43" s="9" t="s">
        <v>162</v>
      </c>
      <c r="E43" s="8">
        <f>INDEX('From 2015 DataLockdown'!$M$5:$M$247,MATCH('Cost Bands for 2017 MFAM'!B43,'From 2015 DataLockdown'!$A$5:$A$247,0))</f>
        <v>1410.48373847878</v>
      </c>
      <c r="F43" s="7">
        <f>INDEX('2015 Data Summary-Datalockdown'!$E$5:$E$247,MATCH('Cost Bands for 2017 MFAM'!B43,'2015 Data Summary-Datalockdown'!$B$5:$B$247,0))</f>
        <v>193582.3</v>
      </c>
      <c r="G43" s="7">
        <f>INDEX('2015 Data Summary-Datalockdown'!$F$5:$F$247,MATCH('Cost Bands for 2017 MFAM'!B43,'2015 Data Summary-Datalockdown'!$B$5:$B$247,0))</f>
        <v>0</v>
      </c>
      <c r="H43" s="7">
        <f t="shared" si="7"/>
        <v>193582.3</v>
      </c>
      <c r="I43" s="6">
        <f t="shared" si="8"/>
        <v>137.2453256418116</v>
      </c>
      <c r="J43" s="6">
        <f t="shared" si="9"/>
        <v>137.2453256418116</v>
      </c>
      <c r="K43" s="5">
        <f t="shared" si="10"/>
        <v>193582.3</v>
      </c>
      <c r="L43" s="4">
        <f t="shared" si="0"/>
        <v>0</v>
      </c>
      <c r="M43" s="2">
        <f t="shared" si="1"/>
        <v>267.33287863911858</v>
      </c>
      <c r="N43" s="1">
        <f t="shared" si="2"/>
        <v>21</v>
      </c>
      <c r="O43" s="3">
        <f t="shared" si="3"/>
        <v>16922.771444827151</v>
      </c>
      <c r="P43" s="2">
        <f t="shared" si="4"/>
        <v>119.04108404476057</v>
      </c>
      <c r="Q43" s="2">
        <f t="shared" si="11"/>
        <v>114.77559101742929</v>
      </c>
      <c r="R43" s="2">
        <f t="shared" si="11"/>
        <v>419.89016626080786</v>
      </c>
      <c r="S43" s="2">
        <f t="shared" si="6"/>
        <v>137.2453256418116</v>
      </c>
    </row>
    <row r="44" spans="2:19" x14ac:dyDescent="0.25">
      <c r="B44" s="10">
        <v>157</v>
      </c>
      <c r="C44" s="10">
        <v>5</v>
      </c>
      <c r="D44" s="9" t="s">
        <v>163</v>
      </c>
      <c r="E44" s="8">
        <f>INDEX('From 2015 DataLockdown'!$M$5:$M$247,MATCH('Cost Bands for 2017 MFAM'!B44,'From 2015 DataLockdown'!$A$5:$A$247,0))</f>
        <v>499.84704079407811</v>
      </c>
      <c r="F44" s="7">
        <f>INDEX('2015 Data Summary-Datalockdown'!$E$5:$E$247,MATCH('Cost Bands for 2017 MFAM'!B44,'2015 Data Summary-Datalockdown'!$B$5:$B$247,0))</f>
        <v>149003.76</v>
      </c>
      <c r="G44" s="7">
        <f>INDEX('2015 Data Summary-Datalockdown'!$F$5:$F$247,MATCH('Cost Bands for 2017 MFAM'!B44,'2015 Data Summary-Datalockdown'!$B$5:$B$247,0))</f>
        <v>140</v>
      </c>
      <c r="H44" s="7">
        <f t="shared" si="7"/>
        <v>148863.76</v>
      </c>
      <c r="I44" s="6">
        <f t="shared" si="8"/>
        <v>297.81862820175701</v>
      </c>
      <c r="J44" s="6">
        <f t="shared" si="9"/>
        <v>297.81862820175701</v>
      </c>
      <c r="K44" s="5">
        <f t="shared" si="10"/>
        <v>148863.76</v>
      </c>
      <c r="L44" s="4">
        <f t="shared" si="0"/>
        <v>0</v>
      </c>
      <c r="M44" s="2">
        <f t="shared" si="1"/>
        <v>267.33287863911858</v>
      </c>
      <c r="N44" s="1">
        <f t="shared" si="2"/>
        <v>21</v>
      </c>
      <c r="O44" s="3">
        <f t="shared" si="3"/>
        <v>929.38092639590934</v>
      </c>
      <c r="P44" s="2">
        <f t="shared" si="4"/>
        <v>119.04108404476057</v>
      </c>
      <c r="Q44" s="2">
        <f t="shared" si="11"/>
        <v>114.77559101742929</v>
      </c>
      <c r="R44" s="2">
        <f t="shared" si="11"/>
        <v>419.89016626080786</v>
      </c>
      <c r="S44" s="2">
        <f t="shared" si="6"/>
        <v>297.81862820175701</v>
      </c>
    </row>
    <row r="45" spans="2:19" x14ac:dyDescent="0.25">
      <c r="B45" s="10">
        <v>214</v>
      </c>
      <c r="C45" s="10">
        <v>5</v>
      </c>
      <c r="D45" s="9" t="s">
        <v>164</v>
      </c>
      <c r="E45" s="8">
        <f>INDEX('From 2015 DataLockdown'!$M$5:$M$247,MATCH('Cost Bands for 2017 MFAM'!B45,'From 2015 DataLockdown'!$A$5:$A$247,0))</f>
        <v>2891.9099999999994</v>
      </c>
      <c r="F45" s="7">
        <f>INDEX('2015 Data Summary-Datalockdown'!$E$5:$E$247,MATCH('Cost Bands for 2017 MFAM'!B45,'2015 Data Summary-Datalockdown'!$B$5:$B$247,0))</f>
        <v>1537766.99</v>
      </c>
      <c r="G45" s="7">
        <f>INDEX('2015 Data Summary-Datalockdown'!$F$5:$F$247,MATCH('Cost Bands for 2017 MFAM'!B45,'2015 Data Summary-Datalockdown'!$B$5:$B$247,0))</f>
        <v>311344.71000000002</v>
      </c>
      <c r="H45" s="7">
        <f t="shared" si="7"/>
        <v>1226422.28</v>
      </c>
      <c r="I45" s="6">
        <f t="shared" si="8"/>
        <v>424.08729178985527</v>
      </c>
      <c r="J45" s="6">
        <f t="shared" si="9"/>
        <v>419.89016626080786</v>
      </c>
      <c r="K45" s="5">
        <f t="shared" si="10"/>
        <v>1214284.5707112926</v>
      </c>
      <c r="L45" s="4">
        <f t="shared" si="0"/>
        <v>0</v>
      </c>
      <c r="M45" s="2">
        <f t="shared" si="1"/>
        <v>267.33287863911858</v>
      </c>
      <c r="N45" s="1">
        <f t="shared" si="2"/>
        <v>21</v>
      </c>
      <c r="O45" s="3">
        <f t="shared" si="3"/>
        <v>24571.946042231855</v>
      </c>
      <c r="P45" s="2">
        <f t="shared" si="4"/>
        <v>119.04108404476057</v>
      </c>
      <c r="Q45" s="2">
        <f t="shared" si="11"/>
        <v>114.77559101742929</v>
      </c>
      <c r="R45" s="2">
        <f t="shared" si="11"/>
        <v>419.89016626080786</v>
      </c>
      <c r="S45" s="2">
        <f t="shared" si="6"/>
        <v>419.89016626080786</v>
      </c>
    </row>
    <row r="46" spans="2:19" x14ac:dyDescent="0.25">
      <c r="B46" s="10">
        <v>223</v>
      </c>
      <c r="C46" s="10">
        <v>5</v>
      </c>
      <c r="D46" s="9" t="s">
        <v>165</v>
      </c>
      <c r="E46" s="8">
        <f>INDEX('From 2015 DataLockdown'!$M$5:$M$247,MATCH('Cost Bands for 2017 MFAM'!B46,'From 2015 DataLockdown'!$A$5:$A$247,0))</f>
        <v>337.05</v>
      </c>
      <c r="F46" s="7">
        <f>INDEX('2015 Data Summary-Datalockdown'!$E$5:$E$247,MATCH('Cost Bands for 2017 MFAM'!B46,'2015 Data Summary-Datalockdown'!$B$5:$B$247,0))</f>
        <v>210970.04</v>
      </c>
      <c r="G46" s="7">
        <f>INDEX('2015 Data Summary-Datalockdown'!$F$5:$F$247,MATCH('Cost Bands for 2017 MFAM'!B46,'2015 Data Summary-Datalockdown'!$B$5:$B$247,0))</f>
        <v>3068.98</v>
      </c>
      <c r="H46" s="7">
        <f t="shared" si="7"/>
        <v>207901.06</v>
      </c>
      <c r="I46" s="6">
        <f t="shared" si="8"/>
        <v>616.82557484052813</v>
      </c>
      <c r="J46" s="6">
        <f t="shared" si="9"/>
        <v>419.89016626080786</v>
      </c>
      <c r="K46" s="5">
        <f t="shared" si="10"/>
        <v>141523.9805382053</v>
      </c>
      <c r="L46" s="4">
        <f t="shared" si="0"/>
        <v>0</v>
      </c>
      <c r="M46" s="2">
        <f t="shared" si="1"/>
        <v>267.33287863911858</v>
      </c>
      <c r="N46" s="1">
        <f t="shared" si="2"/>
        <v>21</v>
      </c>
      <c r="O46" s="3">
        <f t="shared" si="3"/>
        <v>122145.14469813075</v>
      </c>
      <c r="P46" s="2">
        <f t="shared" si="4"/>
        <v>119.04108404476057</v>
      </c>
      <c r="Q46" s="2">
        <f t="shared" ref="Q46:R65" si="12">NORMINV(Q$4,$M46,$P46)</f>
        <v>114.77559101742929</v>
      </c>
      <c r="R46" s="2">
        <f t="shared" si="12"/>
        <v>419.89016626080786</v>
      </c>
      <c r="S46" s="2">
        <f t="shared" si="6"/>
        <v>419.89016626080786</v>
      </c>
    </row>
    <row r="47" spans="2:19" x14ac:dyDescent="0.25">
      <c r="B47" s="10">
        <v>224</v>
      </c>
      <c r="C47" s="10">
        <v>5</v>
      </c>
      <c r="D47" s="9" t="s">
        <v>166</v>
      </c>
      <c r="E47" s="8">
        <f>INDEX('From 2015 DataLockdown'!$M$5:$M$247,MATCH('Cost Bands for 2017 MFAM'!B47,'From 2015 DataLockdown'!$A$5:$A$247,0))</f>
        <v>252.28256943989149</v>
      </c>
      <c r="F47" s="7">
        <f>INDEX('2015 Data Summary-Datalockdown'!$E$5:$E$247,MATCH('Cost Bands for 2017 MFAM'!B47,'2015 Data Summary-Datalockdown'!$B$5:$B$247,0))</f>
        <v>83041.2</v>
      </c>
      <c r="G47" s="7">
        <f>INDEX('2015 Data Summary-Datalockdown'!$F$5:$F$247,MATCH('Cost Bands for 2017 MFAM'!B47,'2015 Data Summary-Datalockdown'!$B$5:$B$247,0))</f>
        <v>0</v>
      </c>
      <c r="H47" s="7">
        <f t="shared" si="7"/>
        <v>83041.2</v>
      </c>
      <c r="I47" s="6">
        <f t="shared" si="8"/>
        <v>329.15948249760191</v>
      </c>
      <c r="J47" s="6">
        <f t="shared" si="9"/>
        <v>329.15948249760191</v>
      </c>
      <c r="K47" s="5">
        <f t="shared" si="10"/>
        <v>83041.2</v>
      </c>
      <c r="L47" s="4">
        <f t="shared" si="0"/>
        <v>0</v>
      </c>
      <c r="M47" s="2">
        <f t="shared" si="1"/>
        <v>267.33287863911858</v>
      </c>
      <c r="N47" s="1">
        <f t="shared" si="2"/>
        <v>21</v>
      </c>
      <c r="O47" s="3">
        <f t="shared" si="3"/>
        <v>3822.5289446738266</v>
      </c>
      <c r="P47" s="2">
        <f t="shared" si="4"/>
        <v>119.04108404476057</v>
      </c>
      <c r="Q47" s="2">
        <f t="shared" si="12"/>
        <v>114.77559101742929</v>
      </c>
      <c r="R47" s="2">
        <f t="shared" si="12"/>
        <v>419.89016626080786</v>
      </c>
      <c r="S47" s="2">
        <f t="shared" si="6"/>
        <v>329.15948249760191</v>
      </c>
    </row>
    <row r="48" spans="2:19" x14ac:dyDescent="0.25">
      <c r="B48" s="10">
        <v>233</v>
      </c>
      <c r="C48" s="10">
        <v>5</v>
      </c>
      <c r="D48" s="9" t="s">
        <v>167</v>
      </c>
      <c r="E48" s="8">
        <f>INDEX('From 2015 DataLockdown'!$M$5:$M$247,MATCH('Cost Bands for 2017 MFAM'!B48,'From 2015 DataLockdown'!$A$5:$A$247,0))</f>
        <v>1996.99</v>
      </c>
      <c r="F48" s="7">
        <f>INDEX('2015 Data Summary-Datalockdown'!$E$5:$E$247,MATCH('Cost Bands for 2017 MFAM'!B48,'2015 Data Summary-Datalockdown'!$B$5:$B$247,0))</f>
        <v>593473.82999999996</v>
      </c>
      <c r="G48" s="7">
        <f>INDEX('2015 Data Summary-Datalockdown'!$F$5:$F$247,MATCH('Cost Bands for 2017 MFAM'!B48,'2015 Data Summary-Datalockdown'!$B$5:$B$247,0))</f>
        <v>233631.95</v>
      </c>
      <c r="H48" s="7">
        <f t="shared" si="7"/>
        <v>359841.87999999995</v>
      </c>
      <c r="I48" s="6">
        <f t="shared" si="8"/>
        <v>180.19212915437731</v>
      </c>
      <c r="J48" s="6">
        <f t="shared" si="9"/>
        <v>180.19212915437731</v>
      </c>
      <c r="K48" s="5">
        <f t="shared" si="10"/>
        <v>359841.87999999995</v>
      </c>
      <c r="L48" s="4">
        <f t="shared" si="0"/>
        <v>0</v>
      </c>
      <c r="M48" s="2">
        <f t="shared" si="1"/>
        <v>267.33287863911858</v>
      </c>
      <c r="N48" s="1">
        <f t="shared" si="2"/>
        <v>21</v>
      </c>
      <c r="O48" s="3">
        <f t="shared" si="3"/>
        <v>7593.510220762435</v>
      </c>
      <c r="P48" s="2">
        <f t="shared" si="4"/>
        <v>119.04108404476057</v>
      </c>
      <c r="Q48" s="2">
        <f t="shared" si="12"/>
        <v>114.77559101742929</v>
      </c>
      <c r="R48" s="2">
        <f t="shared" si="12"/>
        <v>419.89016626080786</v>
      </c>
      <c r="S48" s="2">
        <f t="shared" si="6"/>
        <v>180.19212915437731</v>
      </c>
    </row>
    <row r="49" spans="2:19" x14ac:dyDescent="0.25">
      <c r="B49" s="10">
        <v>272</v>
      </c>
      <c r="C49" s="10">
        <v>5</v>
      </c>
      <c r="D49" s="83" t="s">
        <v>168</v>
      </c>
      <c r="E49" s="8">
        <f>INDEX('From 2015 DataLockdown'!$M$5:$M$247,MATCH('Cost Bands for 2017 MFAM'!B49,'From 2015 DataLockdown'!$A$5:$A$247,0))</f>
        <v>440.78368261105675</v>
      </c>
      <c r="F49" s="7">
        <f>INDEX('2015 Data Summary-Datalockdown'!$E$5:$E$247,MATCH('Cost Bands for 2017 MFAM'!B49,'2015 Data Summary-Datalockdown'!$B$5:$B$247,0))</f>
        <v>90539.03</v>
      </c>
      <c r="G49" s="7">
        <f>INDEX('2015 Data Summary-Datalockdown'!$F$5:$F$247,MATCH('Cost Bands for 2017 MFAM'!B49,'2015 Data Summary-Datalockdown'!$B$5:$B$247,0))</f>
        <v>0</v>
      </c>
      <c r="H49" s="7">
        <f t="shared" si="7"/>
        <v>90539.03</v>
      </c>
      <c r="I49" s="6">
        <f t="shared" si="8"/>
        <v>205.40467710527923</v>
      </c>
      <c r="J49" s="6">
        <f t="shared" si="9"/>
        <v>205.40467710527923</v>
      </c>
      <c r="K49" s="5">
        <f t="shared" si="10"/>
        <v>90539.03</v>
      </c>
      <c r="L49" s="4">
        <f t="shared" si="0"/>
        <v>0</v>
      </c>
      <c r="M49" s="2">
        <f t="shared" si="1"/>
        <v>267.33287863911858</v>
      </c>
      <c r="N49" s="1">
        <f t="shared" si="2"/>
        <v>21</v>
      </c>
      <c r="O49" s="3">
        <f t="shared" si="3"/>
        <v>3835.1021452158216</v>
      </c>
      <c r="P49" s="2">
        <f t="shared" si="4"/>
        <v>119.04108404476057</v>
      </c>
      <c r="Q49" s="2">
        <f t="shared" si="12"/>
        <v>114.77559101742929</v>
      </c>
      <c r="R49" s="2">
        <f t="shared" si="12"/>
        <v>419.89016626080786</v>
      </c>
      <c r="S49" s="2">
        <f t="shared" si="6"/>
        <v>205.40467710527923</v>
      </c>
    </row>
    <row r="50" spans="2:19" x14ac:dyDescent="0.25">
      <c r="B50" s="10">
        <v>427</v>
      </c>
      <c r="C50" s="10">
        <v>5</v>
      </c>
      <c r="D50" s="9" t="s">
        <v>169</v>
      </c>
      <c r="E50" s="8">
        <f>INDEX('From 2015 DataLockdown'!$M$5:$M$247,MATCH('Cost Bands for 2017 MFAM'!B50,'From 2015 DataLockdown'!$A$5:$A$247,0))</f>
        <v>422.92</v>
      </c>
      <c r="F50" s="7">
        <f>INDEX('2015 Data Summary-Datalockdown'!$E$5:$E$247,MATCH('Cost Bands for 2017 MFAM'!B50,'2015 Data Summary-Datalockdown'!$B$5:$B$247,0))</f>
        <v>194689.8</v>
      </c>
      <c r="G50" s="7">
        <f>INDEX('2015 Data Summary-Datalockdown'!$F$5:$F$247,MATCH('Cost Bands for 2017 MFAM'!B50,'2015 Data Summary-Datalockdown'!$B$5:$B$247,0))</f>
        <v>49957.020000000004</v>
      </c>
      <c r="H50" s="7">
        <f t="shared" si="7"/>
        <v>144732.77999999997</v>
      </c>
      <c r="I50" s="6">
        <f t="shared" si="8"/>
        <v>342.22259528988928</v>
      </c>
      <c r="J50" s="6">
        <f t="shared" si="9"/>
        <v>342.22259528988928</v>
      </c>
      <c r="K50" s="5">
        <f t="shared" si="10"/>
        <v>144732.77999999997</v>
      </c>
      <c r="L50" s="4">
        <f t="shared" si="0"/>
        <v>0</v>
      </c>
      <c r="M50" s="2">
        <f t="shared" si="1"/>
        <v>267.33287863911858</v>
      </c>
      <c r="N50" s="1">
        <f t="shared" si="2"/>
        <v>21</v>
      </c>
      <c r="O50" s="3">
        <f t="shared" si="3"/>
        <v>5608.4696600327234</v>
      </c>
      <c r="P50" s="2">
        <f t="shared" si="4"/>
        <v>119.04108404476057</v>
      </c>
      <c r="Q50" s="2">
        <f t="shared" si="12"/>
        <v>114.77559101742929</v>
      </c>
      <c r="R50" s="2">
        <f t="shared" si="12"/>
        <v>419.89016626080786</v>
      </c>
      <c r="S50" s="2">
        <f t="shared" si="6"/>
        <v>342.22259528988928</v>
      </c>
    </row>
    <row r="51" spans="2:19" x14ac:dyDescent="0.25">
      <c r="B51" s="10">
        <v>524</v>
      </c>
      <c r="C51" s="10">
        <v>5</v>
      </c>
      <c r="D51" s="9" t="s">
        <v>170</v>
      </c>
      <c r="E51" s="8">
        <f>INDEX('From 2015 DataLockdown'!$M$5:$M$247,MATCH('Cost Bands for 2017 MFAM'!B51,'From 2015 DataLockdown'!$A$5:$A$247,0))</f>
        <v>546.4137039600887</v>
      </c>
      <c r="F51" s="7">
        <f>INDEX('2015 Data Summary-Datalockdown'!$E$5:$E$247,MATCH('Cost Bands for 2017 MFAM'!B51,'2015 Data Summary-Datalockdown'!$B$5:$B$247,0))</f>
        <v>215132.64</v>
      </c>
      <c r="G51" s="7">
        <f>INDEX('2015 Data Summary-Datalockdown'!$F$5:$F$247,MATCH('Cost Bands for 2017 MFAM'!B51,'2015 Data Summary-Datalockdown'!$B$5:$B$247,0))</f>
        <v>154.80000000000001</v>
      </c>
      <c r="H51" s="7">
        <f t="shared" si="7"/>
        <v>214977.84000000003</v>
      </c>
      <c r="I51" s="6">
        <f t="shared" si="8"/>
        <v>393.43420276974331</v>
      </c>
      <c r="J51" s="6">
        <f t="shared" si="9"/>
        <v>393.43420276974331</v>
      </c>
      <c r="K51" s="5">
        <f t="shared" si="10"/>
        <v>214977.84000000003</v>
      </c>
      <c r="L51" s="4">
        <f t="shared" si="0"/>
        <v>0</v>
      </c>
      <c r="M51" s="2">
        <f t="shared" si="1"/>
        <v>267.33287863911858</v>
      </c>
      <c r="N51" s="1">
        <f t="shared" si="2"/>
        <v>21</v>
      </c>
      <c r="O51" s="3">
        <f t="shared" si="3"/>
        <v>15901.543947496879</v>
      </c>
      <c r="P51" s="2">
        <f t="shared" si="4"/>
        <v>119.04108404476057</v>
      </c>
      <c r="Q51" s="2">
        <f t="shared" si="12"/>
        <v>114.77559101742929</v>
      </c>
      <c r="R51" s="2">
        <f t="shared" si="12"/>
        <v>419.89016626080786</v>
      </c>
      <c r="S51" s="2">
        <f t="shared" si="6"/>
        <v>393.43420276974331</v>
      </c>
    </row>
    <row r="52" spans="2:19" x14ac:dyDescent="0.25">
      <c r="B52" s="10">
        <v>565</v>
      </c>
      <c r="C52" s="10">
        <v>5</v>
      </c>
      <c r="D52" s="9" t="s">
        <v>171</v>
      </c>
      <c r="E52" s="8">
        <f>INDEX('From 2015 DataLockdown'!$M$5:$M$247,MATCH('Cost Bands for 2017 MFAM'!B52,'From 2015 DataLockdown'!$A$5:$A$247,0))</f>
        <v>448.32675529026324</v>
      </c>
      <c r="F52" s="7">
        <f>INDEX('2015 Data Summary-Datalockdown'!$E$5:$E$247,MATCH('Cost Bands for 2017 MFAM'!B52,'2015 Data Summary-Datalockdown'!$B$5:$B$247,0))</f>
        <v>221214.39</v>
      </c>
      <c r="G52" s="7">
        <f>INDEX('2015 Data Summary-Datalockdown'!$F$5:$F$247,MATCH('Cost Bands for 2017 MFAM'!B52,'2015 Data Summary-Datalockdown'!$B$5:$B$247,0))</f>
        <v>1029.3699999999999</v>
      </c>
      <c r="H52" s="7">
        <f t="shared" si="7"/>
        <v>220185.02000000002</v>
      </c>
      <c r="I52" s="6">
        <f t="shared" si="8"/>
        <v>491.12620962682485</v>
      </c>
      <c r="J52" s="6">
        <f t="shared" si="9"/>
        <v>419.89016626080786</v>
      </c>
      <c r="K52" s="5">
        <f t="shared" si="10"/>
        <v>188247.99581799714</v>
      </c>
      <c r="L52" s="4">
        <f t="shared" si="0"/>
        <v>0</v>
      </c>
      <c r="M52" s="2">
        <f t="shared" si="1"/>
        <v>267.33287863911858</v>
      </c>
      <c r="N52" s="1">
        <f t="shared" si="2"/>
        <v>21</v>
      </c>
      <c r="O52" s="3">
        <f t="shared" si="3"/>
        <v>50083.454994573054</v>
      </c>
      <c r="P52" s="2">
        <f t="shared" si="4"/>
        <v>119.04108404476057</v>
      </c>
      <c r="Q52" s="2">
        <f t="shared" si="12"/>
        <v>114.77559101742929</v>
      </c>
      <c r="R52" s="2">
        <f t="shared" si="12"/>
        <v>419.89016626080786</v>
      </c>
      <c r="S52" s="2">
        <f t="shared" si="6"/>
        <v>419.89016626080786</v>
      </c>
    </row>
    <row r="53" spans="2:19" x14ac:dyDescent="0.25">
      <c r="B53" s="10">
        <v>613</v>
      </c>
      <c r="C53" s="10">
        <v>5</v>
      </c>
      <c r="D53" s="9" t="s">
        <v>172</v>
      </c>
      <c r="E53" s="8">
        <f>INDEX('From 2015 DataLockdown'!$M$5:$M$247,MATCH('Cost Bands for 2017 MFAM'!B53,'From 2015 DataLockdown'!$A$5:$A$247,0))</f>
        <v>131.66907496321599</v>
      </c>
      <c r="F53" s="7">
        <f>INDEX('2015 Data Summary-Datalockdown'!$E$5:$E$247,MATCH('Cost Bands for 2017 MFAM'!B53,'2015 Data Summary-Datalockdown'!$B$5:$B$247,0))</f>
        <v>72097.259999999995</v>
      </c>
      <c r="G53" s="7">
        <f>INDEX('2015 Data Summary-Datalockdown'!$F$5:$F$247,MATCH('Cost Bands for 2017 MFAM'!B53,'2015 Data Summary-Datalockdown'!$B$5:$B$247,0))</f>
        <v>0</v>
      </c>
      <c r="H53" s="7">
        <f t="shared" si="7"/>
        <v>72097.259999999995</v>
      </c>
      <c r="I53" s="6">
        <f t="shared" si="8"/>
        <v>547.5641111638522</v>
      </c>
      <c r="J53" s="6">
        <f t="shared" si="9"/>
        <v>419.89016626080786</v>
      </c>
      <c r="K53" s="5">
        <f t="shared" si="10"/>
        <v>55286.549777711538</v>
      </c>
      <c r="L53" s="4">
        <f t="shared" si="0"/>
        <v>0</v>
      </c>
      <c r="M53" s="2">
        <f t="shared" si="1"/>
        <v>267.33287863911858</v>
      </c>
      <c r="N53" s="1">
        <f t="shared" si="2"/>
        <v>21</v>
      </c>
      <c r="O53" s="3">
        <f t="shared" si="3"/>
        <v>78529.543682331321</v>
      </c>
      <c r="P53" s="2">
        <f t="shared" si="4"/>
        <v>119.04108404476057</v>
      </c>
      <c r="Q53" s="2">
        <f t="shared" si="12"/>
        <v>114.77559101742929</v>
      </c>
      <c r="R53" s="2">
        <f t="shared" si="12"/>
        <v>419.89016626080786</v>
      </c>
      <c r="S53" s="2">
        <f t="shared" si="6"/>
        <v>419.89016626080786</v>
      </c>
    </row>
    <row r="54" spans="2:19" x14ac:dyDescent="0.25">
      <c r="B54" s="10">
        <v>696</v>
      </c>
      <c r="C54" s="10">
        <v>5</v>
      </c>
      <c r="D54" s="9" t="s">
        <v>173</v>
      </c>
      <c r="E54" s="8">
        <f>INDEX('From 2015 DataLockdown'!$M$5:$M$247,MATCH('Cost Bands for 2017 MFAM'!B54,'From 2015 DataLockdown'!$A$5:$A$247,0))</f>
        <v>353.57</v>
      </c>
      <c r="F54" s="7">
        <f>INDEX('2015 Data Summary-Datalockdown'!$E$5:$E$247,MATCH('Cost Bands for 2017 MFAM'!B54,'2015 Data Summary-Datalockdown'!$B$5:$B$247,0))</f>
        <v>125334.03</v>
      </c>
      <c r="G54" s="7">
        <f>INDEX('2015 Data Summary-Datalockdown'!$F$5:$F$247,MATCH('Cost Bands for 2017 MFAM'!B54,'2015 Data Summary-Datalockdown'!$B$5:$B$247,0))</f>
        <v>115.5</v>
      </c>
      <c r="H54" s="7">
        <f t="shared" si="7"/>
        <v>125218.53</v>
      </c>
      <c r="I54" s="6">
        <f t="shared" si="8"/>
        <v>354.15484911050146</v>
      </c>
      <c r="J54" s="6">
        <f t="shared" si="9"/>
        <v>354.15484911050146</v>
      </c>
      <c r="K54" s="5">
        <f t="shared" si="10"/>
        <v>125218.53</v>
      </c>
      <c r="L54" s="4">
        <f t="shared" si="0"/>
        <v>0</v>
      </c>
      <c r="M54" s="2">
        <f t="shared" si="1"/>
        <v>267.33287863911858</v>
      </c>
      <c r="N54" s="1">
        <f t="shared" si="2"/>
        <v>21</v>
      </c>
      <c r="O54" s="3">
        <f t="shared" si="3"/>
        <v>7538.0545565336815</v>
      </c>
      <c r="P54" s="2">
        <f t="shared" si="4"/>
        <v>119.04108404476057</v>
      </c>
      <c r="Q54" s="2">
        <f t="shared" si="12"/>
        <v>114.77559101742929</v>
      </c>
      <c r="R54" s="2">
        <f t="shared" si="12"/>
        <v>419.89016626080786</v>
      </c>
      <c r="S54" s="2">
        <f t="shared" si="6"/>
        <v>354.15484911050146</v>
      </c>
    </row>
    <row r="55" spans="2:19" x14ac:dyDescent="0.25">
      <c r="B55" s="10">
        <v>731</v>
      </c>
      <c r="C55" s="10">
        <v>5</v>
      </c>
      <c r="D55" s="9" t="s">
        <v>174</v>
      </c>
      <c r="E55" s="8">
        <f>INDEX('From 2015 DataLockdown'!$M$5:$M$247,MATCH('Cost Bands for 2017 MFAM'!B55,'From 2015 DataLockdown'!$A$5:$A$247,0))</f>
        <v>876.62</v>
      </c>
      <c r="F55" s="7">
        <f>INDEX('2015 Data Summary-Datalockdown'!$E$5:$E$247,MATCH('Cost Bands for 2017 MFAM'!B55,'2015 Data Summary-Datalockdown'!$B$5:$B$247,0))</f>
        <v>223605.15</v>
      </c>
      <c r="G55" s="7">
        <f>INDEX('2015 Data Summary-Datalockdown'!$F$5:$F$247,MATCH('Cost Bands for 2017 MFAM'!B55,'2015 Data Summary-Datalockdown'!$B$5:$B$247,0))</f>
        <v>0</v>
      </c>
      <c r="H55" s="7">
        <f t="shared" si="7"/>
        <v>223605.15</v>
      </c>
      <c r="I55" s="6">
        <f t="shared" si="8"/>
        <v>255.07648696128311</v>
      </c>
      <c r="J55" s="6">
        <f t="shared" si="9"/>
        <v>255.07648696128311</v>
      </c>
      <c r="K55" s="5">
        <f t="shared" si="10"/>
        <v>223605.15</v>
      </c>
      <c r="L55" s="4">
        <f t="shared" si="0"/>
        <v>0</v>
      </c>
      <c r="M55" s="2">
        <f t="shared" si="1"/>
        <v>267.33287863911858</v>
      </c>
      <c r="N55" s="1">
        <f t="shared" si="2"/>
        <v>21</v>
      </c>
      <c r="O55" s="3">
        <f t="shared" si="3"/>
        <v>150.21913696051448</v>
      </c>
      <c r="P55" s="2">
        <f t="shared" si="4"/>
        <v>119.04108404476057</v>
      </c>
      <c r="Q55" s="2">
        <f t="shared" si="12"/>
        <v>114.77559101742929</v>
      </c>
      <c r="R55" s="2">
        <f t="shared" si="12"/>
        <v>419.89016626080786</v>
      </c>
      <c r="S55" s="2">
        <f t="shared" si="6"/>
        <v>255.07648696128311</v>
      </c>
    </row>
    <row r="56" spans="2:19" x14ac:dyDescent="0.25">
      <c r="B56" s="10">
        <v>732</v>
      </c>
      <c r="C56" s="10">
        <v>5</v>
      </c>
      <c r="D56" s="9" t="s">
        <v>175</v>
      </c>
      <c r="E56" s="8">
        <f>INDEX('From 2015 DataLockdown'!$M$5:$M$247,MATCH('Cost Bands for 2017 MFAM'!B56,'From 2015 DataLockdown'!$A$5:$A$247,0))</f>
        <v>236.84152115940267</v>
      </c>
      <c r="F56" s="7">
        <f>INDEX('2015 Data Summary-Datalockdown'!$E$5:$E$247,MATCH('Cost Bands for 2017 MFAM'!B56,'2015 Data Summary-Datalockdown'!$B$5:$B$247,0))</f>
        <v>78310.98</v>
      </c>
      <c r="G56" s="7">
        <f>INDEX('2015 Data Summary-Datalockdown'!$F$5:$F$247,MATCH('Cost Bands for 2017 MFAM'!B56,'2015 Data Summary-Datalockdown'!$B$5:$B$247,0))</f>
        <v>0</v>
      </c>
      <c r="H56" s="7">
        <f t="shared" si="7"/>
        <v>78310.98</v>
      </c>
      <c r="I56" s="6">
        <f t="shared" si="8"/>
        <v>330.64717544730661</v>
      </c>
      <c r="J56" s="6">
        <f t="shared" si="9"/>
        <v>330.64717544730661</v>
      </c>
      <c r="K56" s="5">
        <f t="shared" si="10"/>
        <v>78310.98</v>
      </c>
      <c r="L56" s="4">
        <f t="shared" si="0"/>
        <v>0</v>
      </c>
      <c r="M56" s="2">
        <f t="shared" si="1"/>
        <v>267.33287863911858</v>
      </c>
      <c r="N56" s="1">
        <f t="shared" si="2"/>
        <v>21</v>
      </c>
      <c r="O56" s="3">
        <f t="shared" si="3"/>
        <v>4008.7001803153294</v>
      </c>
      <c r="P56" s="2">
        <f t="shared" si="4"/>
        <v>119.04108404476057</v>
      </c>
      <c r="Q56" s="2">
        <f t="shared" si="12"/>
        <v>114.77559101742929</v>
      </c>
      <c r="R56" s="2">
        <f t="shared" si="12"/>
        <v>419.89016626080786</v>
      </c>
      <c r="S56" s="2">
        <f t="shared" si="6"/>
        <v>330.64717544730661</v>
      </c>
    </row>
    <row r="57" spans="2:19" x14ac:dyDescent="0.25">
      <c r="B57" s="10">
        <v>754</v>
      </c>
      <c r="C57" s="10">
        <v>5</v>
      </c>
      <c r="D57" s="9" t="s">
        <v>176</v>
      </c>
      <c r="E57" s="8">
        <f>INDEX('From 2015 DataLockdown'!$M$5:$M$247,MATCH('Cost Bands for 2017 MFAM'!B57,'From 2015 DataLockdown'!$A$5:$A$247,0))</f>
        <v>111.0757957773375</v>
      </c>
      <c r="F57" s="7">
        <f>INDEX('2015 Data Summary-Datalockdown'!$E$5:$E$247,MATCH('Cost Bands for 2017 MFAM'!B57,'2015 Data Summary-Datalockdown'!$B$5:$B$247,0))</f>
        <v>29843.97</v>
      </c>
      <c r="G57" s="7">
        <f>INDEX('2015 Data Summary-Datalockdown'!$F$5:$F$247,MATCH('Cost Bands for 2017 MFAM'!B57,'2015 Data Summary-Datalockdown'!$B$5:$B$247,0))</f>
        <v>80</v>
      </c>
      <c r="H57" s="7">
        <f t="shared" si="7"/>
        <v>29763.97</v>
      </c>
      <c r="I57" s="6">
        <f t="shared" si="8"/>
        <v>267.96089815701021</v>
      </c>
      <c r="J57" s="6">
        <f t="shared" si="9"/>
        <v>267.96089815701021</v>
      </c>
      <c r="K57" s="5">
        <f t="shared" si="10"/>
        <v>29763.969999999998</v>
      </c>
      <c r="L57" s="4">
        <f t="shared" si="0"/>
        <v>0</v>
      </c>
      <c r="M57" s="2">
        <f t="shared" si="1"/>
        <v>267.33287863911858</v>
      </c>
      <c r="N57" s="1">
        <f t="shared" si="2"/>
        <v>21</v>
      </c>
      <c r="O57" s="3">
        <f t="shared" si="3"/>
        <v>0.39440851485283551</v>
      </c>
      <c r="P57" s="2">
        <f t="shared" si="4"/>
        <v>119.04108404476057</v>
      </c>
      <c r="Q57" s="2">
        <f t="shared" si="12"/>
        <v>114.77559101742929</v>
      </c>
      <c r="R57" s="2">
        <f t="shared" si="12"/>
        <v>419.89016626080786</v>
      </c>
      <c r="S57" s="2">
        <f t="shared" si="6"/>
        <v>267.96089815701021</v>
      </c>
    </row>
    <row r="58" spans="2:19" x14ac:dyDescent="0.25">
      <c r="B58" s="10">
        <v>885</v>
      </c>
      <c r="C58" s="10">
        <v>5</v>
      </c>
      <c r="D58" s="9" t="s">
        <v>177</v>
      </c>
      <c r="E58" s="8">
        <f>INDEX('From 2015 DataLockdown'!$M$5:$M$247,MATCH('Cost Bands for 2017 MFAM'!B58,'From 2015 DataLockdown'!$A$5:$A$247,0))</f>
        <v>414.7</v>
      </c>
      <c r="F58" s="7">
        <f>INDEX('2015 Data Summary-Datalockdown'!$E$5:$E$247,MATCH('Cost Bands for 2017 MFAM'!B58,'2015 Data Summary-Datalockdown'!$B$5:$B$247,0))</f>
        <v>169727.54</v>
      </c>
      <c r="G58" s="7">
        <f>INDEX('2015 Data Summary-Datalockdown'!$F$5:$F$247,MATCH('Cost Bands for 2017 MFAM'!B58,'2015 Data Summary-Datalockdown'!$B$5:$B$247,0))</f>
        <v>56852.329999999987</v>
      </c>
      <c r="H58" s="7">
        <f t="shared" si="7"/>
        <v>112875.21000000002</v>
      </c>
      <c r="I58" s="6">
        <f t="shared" si="8"/>
        <v>272.18521823004585</v>
      </c>
      <c r="J58" s="6">
        <f t="shared" si="9"/>
        <v>272.18521823004585</v>
      </c>
      <c r="K58" s="5">
        <f t="shared" si="10"/>
        <v>112875.21</v>
      </c>
      <c r="L58" s="4">
        <f t="shared" si="0"/>
        <v>0</v>
      </c>
      <c r="M58" s="2">
        <f t="shared" si="1"/>
        <v>267.33287863911858</v>
      </c>
      <c r="N58" s="1">
        <f t="shared" si="2"/>
        <v>21</v>
      </c>
      <c r="O58" s="3">
        <f t="shared" si="3"/>
        <v>23.545199505680248</v>
      </c>
      <c r="P58" s="2">
        <f t="shared" si="4"/>
        <v>119.04108404476057</v>
      </c>
      <c r="Q58" s="2">
        <f t="shared" si="12"/>
        <v>114.77559101742929</v>
      </c>
      <c r="R58" s="2">
        <f t="shared" si="12"/>
        <v>419.89016626080786</v>
      </c>
      <c r="S58" s="2">
        <f t="shared" si="6"/>
        <v>272.18521823004585</v>
      </c>
    </row>
    <row r="59" spans="2:19" x14ac:dyDescent="0.25">
      <c r="B59" s="10">
        <v>909</v>
      </c>
      <c r="C59" s="10">
        <v>5</v>
      </c>
      <c r="D59" s="9" t="s">
        <v>178</v>
      </c>
      <c r="E59" s="8">
        <f>INDEX('From 2015 DataLockdown'!$M$5:$M$247,MATCH('Cost Bands for 2017 MFAM'!B59,'From 2015 DataLockdown'!$A$5:$A$247,0))</f>
        <v>539.5</v>
      </c>
      <c r="F59" s="7">
        <f>INDEX('2015 Data Summary-Datalockdown'!$E$5:$E$247,MATCH('Cost Bands for 2017 MFAM'!B59,'2015 Data Summary-Datalockdown'!$B$5:$B$247,0))</f>
        <v>217526.92</v>
      </c>
      <c r="G59" s="7">
        <f>INDEX('2015 Data Summary-Datalockdown'!$F$5:$F$247,MATCH('Cost Bands for 2017 MFAM'!B59,'2015 Data Summary-Datalockdown'!$B$5:$B$247,0))</f>
        <v>78119.689999999988</v>
      </c>
      <c r="H59" s="7">
        <f t="shared" si="7"/>
        <v>139407.23000000004</v>
      </c>
      <c r="I59" s="6">
        <f t="shared" si="8"/>
        <v>258.40079703429109</v>
      </c>
      <c r="J59" s="6">
        <f t="shared" si="9"/>
        <v>258.40079703429109</v>
      </c>
      <c r="K59" s="5">
        <f t="shared" si="10"/>
        <v>139407.23000000004</v>
      </c>
      <c r="L59" s="4">
        <f t="shared" si="0"/>
        <v>0</v>
      </c>
      <c r="M59" s="2">
        <f t="shared" si="1"/>
        <v>267.33287863911858</v>
      </c>
      <c r="N59" s="1">
        <f t="shared" si="2"/>
        <v>21</v>
      </c>
      <c r="O59" s="3">
        <f t="shared" si="3"/>
        <v>79.782081795297586</v>
      </c>
      <c r="P59" s="2">
        <f t="shared" si="4"/>
        <v>119.04108404476057</v>
      </c>
      <c r="Q59" s="2">
        <f t="shared" si="12"/>
        <v>114.77559101742929</v>
      </c>
      <c r="R59" s="2">
        <f t="shared" si="12"/>
        <v>419.89016626080786</v>
      </c>
      <c r="S59" s="2">
        <f t="shared" si="6"/>
        <v>258.40079703429109</v>
      </c>
    </row>
    <row r="60" spans="2:19" x14ac:dyDescent="0.25">
      <c r="B60" s="10">
        <v>923</v>
      </c>
      <c r="C60" s="10">
        <v>5</v>
      </c>
      <c r="D60" s="9" t="s">
        <v>179</v>
      </c>
      <c r="E60" s="8">
        <f>INDEX('From 2015 DataLockdown'!$M$5:$M$247,MATCH('Cost Bands for 2017 MFAM'!B60,'From 2015 DataLockdown'!$A$5:$A$247,0))</f>
        <v>64.422161294846376</v>
      </c>
      <c r="F60" s="7">
        <f>INDEX('2015 Data Summary-Datalockdown'!$E$5:$E$247,MATCH('Cost Bands for 2017 MFAM'!B60,'2015 Data Summary-Datalockdown'!$B$5:$B$247,0))</f>
        <v>28648.33</v>
      </c>
      <c r="G60" s="7">
        <f>INDEX('2015 Data Summary-Datalockdown'!$F$5:$F$247,MATCH('Cost Bands for 2017 MFAM'!B60,'2015 Data Summary-Datalockdown'!$B$5:$B$247,0))</f>
        <v>0</v>
      </c>
      <c r="H60" s="7">
        <f t="shared" si="7"/>
        <v>28648.33</v>
      </c>
      <c r="I60" s="6">
        <f t="shared" si="8"/>
        <v>444.69681588114929</v>
      </c>
      <c r="J60" s="6">
        <f t="shared" si="9"/>
        <v>419.89016626080786</v>
      </c>
      <c r="K60" s="5">
        <f t="shared" si="10"/>
        <v>27050.232016973627</v>
      </c>
      <c r="L60" s="4">
        <f t="shared" si="0"/>
        <v>0</v>
      </c>
      <c r="M60" s="2">
        <f t="shared" si="1"/>
        <v>267.33287863911858</v>
      </c>
      <c r="N60" s="1">
        <f t="shared" si="2"/>
        <v>21</v>
      </c>
      <c r="O60" s="3">
        <f t="shared" si="3"/>
        <v>31457.966233995012</v>
      </c>
      <c r="P60" s="2">
        <f t="shared" si="4"/>
        <v>119.04108404476057</v>
      </c>
      <c r="Q60" s="2">
        <f t="shared" si="12"/>
        <v>114.77559101742929</v>
      </c>
      <c r="R60" s="2">
        <f t="shared" si="12"/>
        <v>419.89016626080786</v>
      </c>
      <c r="S60" s="2">
        <f t="shared" si="6"/>
        <v>419.89016626080786</v>
      </c>
    </row>
    <row r="61" spans="2:19" x14ac:dyDescent="0.25">
      <c r="B61" s="10">
        <v>394</v>
      </c>
      <c r="C61" s="10">
        <v>6</v>
      </c>
      <c r="D61" s="9" t="s">
        <v>180</v>
      </c>
      <c r="E61" s="8">
        <f>INDEX('From 2015 DataLockdown'!$M$5:$M$247,MATCH('Cost Bands for 2017 MFAM'!B61,'From 2015 DataLockdown'!$A$5:$A$247,0))</f>
        <v>774</v>
      </c>
      <c r="F61" s="7">
        <f>INDEX('2015 Data Summary-Datalockdown'!$E$5:$E$247,MATCH('Cost Bands for 2017 MFAM'!B61,'2015 Data Summary-Datalockdown'!$B$5:$B$247,0))</f>
        <v>399852.09</v>
      </c>
      <c r="G61" s="7">
        <f>INDEX('2015 Data Summary-Datalockdown'!$F$5:$F$247,MATCH('Cost Bands for 2017 MFAM'!B61,'2015 Data Summary-Datalockdown'!$B$5:$B$247,0))</f>
        <v>48487.89</v>
      </c>
      <c r="H61" s="7">
        <f t="shared" si="7"/>
        <v>351364.2</v>
      </c>
      <c r="I61" s="6">
        <f t="shared" si="8"/>
        <v>453.9589147286822</v>
      </c>
      <c r="J61" s="6">
        <f t="shared" si="9"/>
        <v>453.9589147286822</v>
      </c>
      <c r="K61" s="5">
        <f t="shared" si="10"/>
        <v>351364.2</v>
      </c>
      <c r="L61" s="4">
        <f t="shared" si="0"/>
        <v>0</v>
      </c>
      <c r="M61" s="2">
        <f t="shared" si="1"/>
        <v>605.76522091524942</v>
      </c>
      <c r="N61" s="1">
        <f t="shared" si="2"/>
        <v>45</v>
      </c>
      <c r="O61" s="3">
        <f t="shared" si="3"/>
        <v>23045.154598009794</v>
      </c>
      <c r="P61" s="2">
        <f t="shared" si="4"/>
        <v>260.99930759693552</v>
      </c>
      <c r="Q61" s="2">
        <f t="shared" si="12"/>
        <v>271.28114965833993</v>
      </c>
      <c r="R61" s="2">
        <f t="shared" si="12"/>
        <v>940.2492921721589</v>
      </c>
      <c r="S61" s="2">
        <f t="shared" si="6"/>
        <v>453.9589147286822</v>
      </c>
    </row>
    <row r="62" spans="2:19" x14ac:dyDescent="0.25">
      <c r="B62" s="10">
        <v>414</v>
      </c>
      <c r="C62" s="10">
        <v>6</v>
      </c>
      <c r="D62" s="9" t="s">
        <v>181</v>
      </c>
      <c r="E62" s="8">
        <f>INDEX('From 2015 DataLockdown'!$M$5:$M$247,MATCH('Cost Bands for 2017 MFAM'!B62,'From 2015 DataLockdown'!$A$5:$A$247,0))</f>
        <v>273.54890062182221</v>
      </c>
      <c r="F62" s="7">
        <f>INDEX('2015 Data Summary-Datalockdown'!$E$5:$E$247,MATCH('Cost Bands for 2017 MFAM'!B62,'2015 Data Summary-Datalockdown'!$B$5:$B$247,0))</f>
        <v>172270.15</v>
      </c>
      <c r="G62" s="7">
        <f>INDEX('2015 Data Summary-Datalockdown'!$F$5:$F$247,MATCH('Cost Bands for 2017 MFAM'!B62,'2015 Data Summary-Datalockdown'!$B$5:$B$247,0))</f>
        <v>163.68</v>
      </c>
      <c r="H62" s="7">
        <f t="shared" si="7"/>
        <v>172106.47</v>
      </c>
      <c r="I62" s="6">
        <f t="shared" si="8"/>
        <v>629.16162195780475</v>
      </c>
      <c r="J62" s="6">
        <f t="shared" si="9"/>
        <v>629.16162195780475</v>
      </c>
      <c r="K62" s="5">
        <f t="shared" si="10"/>
        <v>172106.47</v>
      </c>
      <c r="L62" s="4">
        <f t="shared" si="0"/>
        <v>0</v>
      </c>
      <c r="M62" s="2">
        <f t="shared" si="1"/>
        <v>605.76522091524942</v>
      </c>
      <c r="N62" s="1">
        <f t="shared" si="2"/>
        <v>45</v>
      </c>
      <c r="O62" s="3">
        <f t="shared" si="3"/>
        <v>547.39158174408453</v>
      </c>
      <c r="P62" s="2">
        <f t="shared" si="4"/>
        <v>260.99930759693552</v>
      </c>
      <c r="Q62" s="2">
        <f t="shared" si="12"/>
        <v>271.28114965833993</v>
      </c>
      <c r="R62" s="2">
        <f t="shared" si="12"/>
        <v>940.2492921721589</v>
      </c>
      <c r="S62" s="2">
        <f t="shared" si="6"/>
        <v>629.16162195780475</v>
      </c>
    </row>
    <row r="63" spans="2:19" x14ac:dyDescent="0.25">
      <c r="B63" s="10">
        <v>426</v>
      </c>
      <c r="C63" s="10">
        <v>6</v>
      </c>
      <c r="D63" s="9" t="s">
        <v>182</v>
      </c>
      <c r="E63" s="8">
        <f>INDEX('From 2015 DataLockdown'!$M$5:$M$247,MATCH('Cost Bands for 2017 MFAM'!B63,'From 2015 DataLockdown'!$A$5:$A$247,0))</f>
        <v>406.28177619172652</v>
      </c>
      <c r="F63" s="7">
        <f>INDEX('2015 Data Summary-Datalockdown'!$E$5:$E$247,MATCH('Cost Bands for 2017 MFAM'!B63,'2015 Data Summary-Datalockdown'!$B$5:$B$247,0))</f>
        <v>135594.26999999999</v>
      </c>
      <c r="G63" s="7">
        <f>INDEX('2015 Data Summary-Datalockdown'!$F$5:$F$247,MATCH('Cost Bands for 2017 MFAM'!B63,'2015 Data Summary-Datalockdown'!$B$5:$B$247,0))</f>
        <v>0</v>
      </c>
      <c r="H63" s="7">
        <f t="shared" si="7"/>
        <v>135594.26999999999</v>
      </c>
      <c r="I63" s="6">
        <f t="shared" si="8"/>
        <v>333.74440584313174</v>
      </c>
      <c r="J63" s="6">
        <f t="shared" si="9"/>
        <v>333.74440584313174</v>
      </c>
      <c r="K63" s="5">
        <f t="shared" si="10"/>
        <v>135594.26999999999</v>
      </c>
      <c r="L63" s="4">
        <f t="shared" si="0"/>
        <v>0</v>
      </c>
      <c r="M63" s="2">
        <f t="shared" si="1"/>
        <v>605.76522091524942</v>
      </c>
      <c r="N63" s="1">
        <f t="shared" si="2"/>
        <v>45</v>
      </c>
      <c r="O63" s="3">
        <f t="shared" si="3"/>
        <v>73995.323832499242</v>
      </c>
      <c r="P63" s="2">
        <f t="shared" si="4"/>
        <v>260.99930759693552</v>
      </c>
      <c r="Q63" s="2">
        <f t="shared" si="12"/>
        <v>271.28114965833993</v>
      </c>
      <c r="R63" s="2">
        <f t="shared" si="12"/>
        <v>940.2492921721589</v>
      </c>
      <c r="S63" s="2">
        <f t="shared" si="6"/>
        <v>333.74440584313174</v>
      </c>
    </row>
    <row r="64" spans="2:19" x14ac:dyDescent="0.25">
      <c r="B64" s="10">
        <v>430</v>
      </c>
      <c r="C64" s="10">
        <v>6</v>
      </c>
      <c r="D64" s="9" t="s">
        <v>183</v>
      </c>
      <c r="E64" s="8">
        <f>INDEX('From 2015 DataLockdown'!$M$5:$M$247,MATCH('Cost Bands for 2017 MFAM'!B64,'From 2015 DataLockdown'!$A$5:$A$247,0))</f>
        <v>2942.9027391725313</v>
      </c>
      <c r="F64" s="7">
        <f>INDEX('2015 Data Summary-Datalockdown'!$E$5:$E$247,MATCH('Cost Bands for 2017 MFAM'!B64,'2015 Data Summary-Datalockdown'!$B$5:$B$247,0))</f>
        <v>1765459.74</v>
      </c>
      <c r="G64" s="7">
        <f>INDEX('2015 Data Summary-Datalockdown'!$F$5:$F$247,MATCH('Cost Bands for 2017 MFAM'!B64,'2015 Data Summary-Datalockdown'!$B$5:$B$247,0))</f>
        <v>605</v>
      </c>
      <c r="H64" s="7">
        <f t="shared" si="7"/>
        <v>1764854.74</v>
      </c>
      <c r="I64" s="6">
        <f t="shared" si="8"/>
        <v>599.69862969247561</v>
      </c>
      <c r="J64" s="6">
        <f t="shared" si="9"/>
        <v>599.69862969247561</v>
      </c>
      <c r="K64" s="5">
        <f t="shared" si="10"/>
        <v>1764854.74</v>
      </c>
      <c r="L64" s="4">
        <f t="shared" si="0"/>
        <v>0</v>
      </c>
      <c r="M64" s="2">
        <f t="shared" si="1"/>
        <v>605.76522091524942</v>
      </c>
      <c r="N64" s="1">
        <f t="shared" si="2"/>
        <v>45</v>
      </c>
      <c r="O64" s="3">
        <f t="shared" si="3"/>
        <v>36.803529064236223</v>
      </c>
      <c r="P64" s="2">
        <f t="shared" si="4"/>
        <v>260.99930759693552</v>
      </c>
      <c r="Q64" s="2">
        <f t="shared" si="12"/>
        <v>271.28114965833993</v>
      </c>
      <c r="R64" s="2">
        <f t="shared" si="12"/>
        <v>940.2492921721589</v>
      </c>
      <c r="S64" s="2">
        <f t="shared" si="6"/>
        <v>599.69862969247561</v>
      </c>
    </row>
    <row r="65" spans="2:19" x14ac:dyDescent="0.25">
      <c r="B65" s="10">
        <v>562</v>
      </c>
      <c r="C65" s="10">
        <v>6</v>
      </c>
      <c r="D65" s="9" t="s">
        <v>184</v>
      </c>
      <c r="E65" s="8">
        <f>INDEX('From 2015 DataLockdown'!$M$5:$M$247,MATCH('Cost Bands for 2017 MFAM'!B65,'From 2015 DataLockdown'!$A$5:$A$247,0))</f>
        <v>34.514769484108541</v>
      </c>
      <c r="F65" s="7">
        <f>INDEX('2015 Data Summary-Datalockdown'!$E$5:$E$247,MATCH('Cost Bands for 2017 MFAM'!B65,'2015 Data Summary-Datalockdown'!$B$5:$B$247,0))</f>
        <v>37076.800000000003</v>
      </c>
      <c r="G65" s="7">
        <f>INDEX('2015 Data Summary-Datalockdown'!$F$5:$F$247,MATCH('Cost Bands for 2017 MFAM'!B65,'2015 Data Summary-Datalockdown'!$B$5:$B$247,0))</f>
        <v>0</v>
      </c>
      <c r="H65" s="7">
        <f t="shared" si="7"/>
        <v>37076.800000000003</v>
      </c>
      <c r="I65" s="6">
        <f t="shared" si="8"/>
        <v>1074.2299761576296</v>
      </c>
      <c r="J65" s="6">
        <f t="shared" si="9"/>
        <v>940.2492921721589</v>
      </c>
      <c r="K65" s="5">
        <f t="shared" si="10"/>
        <v>32452.487576918287</v>
      </c>
      <c r="L65" s="4">
        <f t="shared" si="0"/>
        <v>0</v>
      </c>
      <c r="M65" s="2">
        <f t="shared" si="1"/>
        <v>605.76522091524942</v>
      </c>
      <c r="N65" s="1">
        <f t="shared" si="2"/>
        <v>45</v>
      </c>
      <c r="O65" s="3">
        <f t="shared" si="3"/>
        <v>219459.22690430318</v>
      </c>
      <c r="P65" s="2">
        <f t="shared" si="4"/>
        <v>260.99930759693552</v>
      </c>
      <c r="Q65" s="2">
        <f t="shared" si="12"/>
        <v>271.28114965833993</v>
      </c>
      <c r="R65" s="2">
        <f t="shared" si="12"/>
        <v>940.2492921721589</v>
      </c>
      <c r="S65" s="2">
        <f t="shared" si="6"/>
        <v>940.2492921721589</v>
      </c>
    </row>
    <row r="66" spans="2:19" x14ac:dyDescent="0.25">
      <c r="B66" s="10">
        <v>603</v>
      </c>
      <c r="C66" s="10">
        <v>6</v>
      </c>
      <c r="D66" s="9" t="s">
        <v>185</v>
      </c>
      <c r="E66" s="8">
        <f>INDEX('From 2015 DataLockdown'!$M$5:$M$247,MATCH('Cost Bands for 2017 MFAM'!B66,'From 2015 DataLockdown'!$A$5:$A$247,0))</f>
        <v>98.978075394457292</v>
      </c>
      <c r="F66" s="7">
        <f>INDEX('2015 Data Summary-Datalockdown'!$E$5:$E$247,MATCH('Cost Bands for 2017 MFAM'!B66,'2015 Data Summary-Datalockdown'!$B$5:$B$247,0))</f>
        <v>84084.39</v>
      </c>
      <c r="G66" s="7">
        <f>INDEX('2015 Data Summary-Datalockdown'!$F$5:$F$247,MATCH('Cost Bands for 2017 MFAM'!B66,'2015 Data Summary-Datalockdown'!$B$5:$B$247,0))</f>
        <v>0</v>
      </c>
      <c r="H66" s="7">
        <f t="shared" si="7"/>
        <v>84084.39</v>
      </c>
      <c r="I66" s="6">
        <f t="shared" si="8"/>
        <v>849.52540918681746</v>
      </c>
      <c r="J66" s="6">
        <f t="shared" si="9"/>
        <v>849.52540918681746</v>
      </c>
      <c r="K66" s="5">
        <f t="shared" si="10"/>
        <v>84084.39</v>
      </c>
      <c r="L66" s="4">
        <f t="shared" si="0"/>
        <v>0</v>
      </c>
      <c r="M66" s="2">
        <f t="shared" si="1"/>
        <v>605.76522091524942</v>
      </c>
      <c r="N66" s="1">
        <f t="shared" si="2"/>
        <v>45</v>
      </c>
      <c r="O66" s="3">
        <f t="shared" si="3"/>
        <v>59419.029386190297</v>
      </c>
      <c r="P66" s="2">
        <f t="shared" si="4"/>
        <v>260.99930759693552</v>
      </c>
      <c r="Q66" s="2">
        <f t="shared" ref="Q66:R85" si="13">NORMINV(Q$4,$M66,$P66)</f>
        <v>271.28114965833993</v>
      </c>
      <c r="R66" s="2">
        <f t="shared" si="13"/>
        <v>940.2492921721589</v>
      </c>
      <c r="S66" s="2">
        <f t="shared" si="6"/>
        <v>849.52540918681746</v>
      </c>
    </row>
    <row r="67" spans="2:19" x14ac:dyDescent="0.25">
      <c r="B67" s="10">
        <v>618</v>
      </c>
      <c r="C67" s="10">
        <v>6</v>
      </c>
      <c r="D67" s="9" t="s">
        <v>186</v>
      </c>
      <c r="E67" s="8">
        <f>INDEX('From 2015 DataLockdown'!$M$5:$M$247,MATCH('Cost Bands for 2017 MFAM'!B67,'From 2015 DataLockdown'!$A$5:$A$247,0))</f>
        <v>18.968680058854481</v>
      </c>
      <c r="F67" s="7">
        <f>INDEX('2015 Data Summary-Datalockdown'!$E$5:$E$247,MATCH('Cost Bands for 2017 MFAM'!B67,'2015 Data Summary-Datalockdown'!$B$5:$B$247,0))</f>
        <v>14927.7</v>
      </c>
      <c r="G67" s="7">
        <f>INDEX('2015 Data Summary-Datalockdown'!$F$5:$F$247,MATCH('Cost Bands for 2017 MFAM'!B67,'2015 Data Summary-Datalockdown'!$B$5:$B$247,0))</f>
        <v>0</v>
      </c>
      <c r="H67" s="7">
        <f t="shared" si="7"/>
        <v>14927.7</v>
      </c>
      <c r="I67" s="6">
        <f t="shared" si="8"/>
        <v>786.96566939204752</v>
      </c>
      <c r="J67" s="6">
        <f t="shared" si="9"/>
        <v>786.96566939204752</v>
      </c>
      <c r="K67" s="5">
        <f t="shared" si="10"/>
        <v>14927.7</v>
      </c>
      <c r="L67" s="4">
        <f t="shared" si="0"/>
        <v>0</v>
      </c>
      <c r="M67" s="2">
        <f t="shared" si="1"/>
        <v>605.76522091524942</v>
      </c>
      <c r="N67" s="1">
        <f t="shared" si="2"/>
        <v>45</v>
      </c>
      <c r="O67" s="3">
        <f t="shared" si="3"/>
        <v>32833.602528192765</v>
      </c>
      <c r="P67" s="2">
        <f t="shared" si="4"/>
        <v>260.99930759693552</v>
      </c>
      <c r="Q67" s="2">
        <f t="shared" si="13"/>
        <v>271.28114965833993</v>
      </c>
      <c r="R67" s="2">
        <f t="shared" si="13"/>
        <v>940.2492921721589</v>
      </c>
      <c r="S67" s="2">
        <f t="shared" si="6"/>
        <v>786.96566939204752</v>
      </c>
    </row>
    <row r="68" spans="2:19" x14ac:dyDescent="0.25">
      <c r="B68" s="10">
        <v>620</v>
      </c>
      <c r="C68" s="10">
        <v>6</v>
      </c>
      <c r="D68" s="9" t="s">
        <v>187</v>
      </c>
      <c r="E68" s="8">
        <f>INDEX('From 2015 DataLockdown'!$M$5:$M$247,MATCH('Cost Bands for 2017 MFAM'!B68,'From 2015 DataLockdown'!$A$5:$A$247,0))</f>
        <v>188.39679137922803</v>
      </c>
      <c r="F68" s="7">
        <f>INDEX('2015 Data Summary-Datalockdown'!$E$5:$E$247,MATCH('Cost Bands for 2017 MFAM'!B68,'2015 Data Summary-Datalockdown'!$B$5:$B$247,0))</f>
        <v>111658.05</v>
      </c>
      <c r="G68" s="7">
        <f>INDEX('2015 Data Summary-Datalockdown'!$F$5:$F$247,MATCH('Cost Bands for 2017 MFAM'!B68,'2015 Data Summary-Datalockdown'!$B$5:$B$247,0))</f>
        <v>0</v>
      </c>
      <c r="H68" s="7">
        <f t="shared" si="7"/>
        <v>111658.05</v>
      </c>
      <c r="I68" s="6">
        <f t="shared" si="8"/>
        <v>592.67490270171891</v>
      </c>
      <c r="J68" s="6">
        <f t="shared" si="9"/>
        <v>592.67490270171891</v>
      </c>
      <c r="K68" s="5">
        <f t="shared" si="10"/>
        <v>111658.05000000002</v>
      </c>
      <c r="L68" s="4">
        <f t="shared" si="0"/>
        <v>0</v>
      </c>
      <c r="M68" s="2">
        <f t="shared" si="1"/>
        <v>605.76522091524942</v>
      </c>
      <c r="N68" s="1">
        <f t="shared" si="2"/>
        <v>45</v>
      </c>
      <c r="O68" s="3">
        <f t="shared" si="3"/>
        <v>171.35643093148857</v>
      </c>
      <c r="P68" s="2">
        <f t="shared" si="4"/>
        <v>260.99930759693552</v>
      </c>
      <c r="Q68" s="2">
        <f t="shared" si="13"/>
        <v>271.28114965833993</v>
      </c>
      <c r="R68" s="2">
        <f t="shared" si="13"/>
        <v>940.2492921721589</v>
      </c>
      <c r="S68" s="2">
        <f t="shared" si="6"/>
        <v>592.67490270171891</v>
      </c>
    </row>
    <row r="69" spans="2:19" x14ac:dyDescent="0.25">
      <c r="B69" s="10">
        <v>622</v>
      </c>
      <c r="C69" s="10">
        <v>6</v>
      </c>
      <c r="D69" s="9" t="s">
        <v>188</v>
      </c>
      <c r="E69" s="8">
        <f>INDEX('From 2015 DataLockdown'!$M$5:$M$247,MATCH('Cost Bands for 2017 MFAM'!B69,'From 2015 DataLockdown'!$A$5:$A$247,0))</f>
        <v>120.37411806566728</v>
      </c>
      <c r="F69" s="7">
        <f>INDEX('2015 Data Summary-Datalockdown'!$E$5:$E$247,MATCH('Cost Bands for 2017 MFAM'!B69,'2015 Data Summary-Datalockdown'!$B$5:$B$247,0))</f>
        <v>78856.77</v>
      </c>
      <c r="G69" s="7">
        <f>INDEX('2015 Data Summary-Datalockdown'!$F$5:$F$247,MATCH('Cost Bands for 2017 MFAM'!B69,'2015 Data Summary-Datalockdown'!$B$5:$B$247,0))</f>
        <v>190</v>
      </c>
      <c r="H69" s="7">
        <f t="shared" si="7"/>
        <v>78666.77</v>
      </c>
      <c r="I69" s="6">
        <f t="shared" si="8"/>
        <v>653.51897288323391</v>
      </c>
      <c r="J69" s="6">
        <f t="shared" si="9"/>
        <v>653.51897288323391</v>
      </c>
      <c r="K69" s="5">
        <f t="shared" si="10"/>
        <v>78666.77</v>
      </c>
      <c r="L69" s="4">
        <f t="shared" si="0"/>
        <v>0</v>
      </c>
      <c r="M69" s="2">
        <f t="shared" si="1"/>
        <v>605.76522091524942</v>
      </c>
      <c r="N69" s="1">
        <f t="shared" si="2"/>
        <v>45</v>
      </c>
      <c r="O69" s="3">
        <f t="shared" si="3"/>
        <v>2280.4208270197832</v>
      </c>
      <c r="P69" s="2">
        <f t="shared" si="4"/>
        <v>260.99930759693552</v>
      </c>
      <c r="Q69" s="2">
        <f t="shared" si="13"/>
        <v>271.28114965833993</v>
      </c>
      <c r="R69" s="2">
        <f t="shared" si="13"/>
        <v>940.2492921721589</v>
      </c>
      <c r="S69" s="2">
        <f t="shared" si="6"/>
        <v>653.51897288323391</v>
      </c>
    </row>
    <row r="70" spans="2:19" x14ac:dyDescent="0.25">
      <c r="B70" s="10">
        <v>623</v>
      </c>
      <c r="C70" s="10">
        <v>6</v>
      </c>
      <c r="D70" s="9" t="s">
        <v>189</v>
      </c>
      <c r="E70" s="8">
        <f>INDEX('From 2015 DataLockdown'!$M$5:$M$247,MATCH('Cost Bands for 2017 MFAM'!B70,'From 2015 DataLockdown'!$A$5:$A$247,0))</f>
        <v>231.40564191780203</v>
      </c>
      <c r="F70" s="7">
        <f>INDEX('2015 Data Summary-Datalockdown'!$E$5:$E$247,MATCH('Cost Bands for 2017 MFAM'!B70,'2015 Data Summary-Datalockdown'!$B$5:$B$247,0))</f>
        <v>82051.350000000006</v>
      </c>
      <c r="G70" s="7">
        <f>INDEX('2015 Data Summary-Datalockdown'!$F$5:$F$247,MATCH('Cost Bands for 2017 MFAM'!B70,'2015 Data Summary-Datalockdown'!$B$5:$B$247,0))</f>
        <v>0</v>
      </c>
      <c r="H70" s="7">
        <f t="shared" si="7"/>
        <v>82051.350000000006</v>
      </c>
      <c r="I70" s="6">
        <f t="shared" si="8"/>
        <v>354.57800129672552</v>
      </c>
      <c r="J70" s="6">
        <f t="shared" si="9"/>
        <v>354.57800129672552</v>
      </c>
      <c r="K70" s="5">
        <f t="shared" si="10"/>
        <v>82051.350000000006</v>
      </c>
      <c r="L70" s="4">
        <f t="shared" ref="L70:L133" si="14">IF(ISERROR(I70),1,0)</f>
        <v>0</v>
      </c>
      <c r="M70" s="2">
        <f t="shared" ref="M70:M133" si="15">SUMPRODUCT(--($L$6:$L$300&lt;&gt;1),--($C$6:$C$300=$C70),$H$6:$H$300)/SUMPRODUCT(--($L$6:$L$300&lt;&gt;1),--($C$6:$C$300=$C70),$E$6:$E$300)</f>
        <v>605.76522091524942</v>
      </c>
      <c r="N70" s="1">
        <f t="shared" ref="N70:N133" si="16">SUMPRODUCT(--($L$6:$L$300&lt;&gt;1),--($C$6:$C$300=$C70),--($L$6:$L$300&lt;&gt;1))</f>
        <v>45</v>
      </c>
      <c r="O70" s="3">
        <f t="shared" ref="O70:O133" si="17">IF(ISERROR((I70-M70)^2),0,(I70-M70)^2)</f>
        <v>63095.019299684558</v>
      </c>
      <c r="P70" s="2">
        <f t="shared" ref="P70:P133" si="18">SQRT(SUMPRODUCT(--($L$6:$L$300&lt;&gt;1),--($C$6:$C$300=$C70),$E$6:$E$300,$O$6:$O$300)/((N70-1)*SUMPRODUCT(--($L$6:$L$300&lt;&gt;1),--($C$6:$C$300=$C70),$E$6:$E$300)/N70))</f>
        <v>260.99930759693552</v>
      </c>
      <c r="Q70" s="2">
        <f t="shared" si="13"/>
        <v>271.28114965833993</v>
      </c>
      <c r="R70" s="2">
        <f t="shared" si="13"/>
        <v>940.2492921721589</v>
      </c>
      <c r="S70" s="2">
        <f t="shared" ref="S70:S133" si="19">IF(ISERROR(MAX(MIN(I70,R70),Q70)),R70,MAX(MIN(I70,R70),Q70))</f>
        <v>354.57800129672552</v>
      </c>
    </row>
    <row r="71" spans="2:19" x14ac:dyDescent="0.25">
      <c r="B71" s="10">
        <v>626</v>
      </c>
      <c r="C71" s="10">
        <v>6</v>
      </c>
      <c r="D71" s="9" t="s">
        <v>190</v>
      </c>
      <c r="E71" s="8">
        <f>INDEX('From 2015 DataLockdown'!$M$5:$M$247,MATCH('Cost Bands for 2017 MFAM'!B71,'From 2015 DataLockdown'!$A$5:$A$247,0))</f>
        <v>21.954122034110711</v>
      </c>
      <c r="F71" s="7">
        <f>INDEX('2015 Data Summary-Datalockdown'!$E$5:$E$247,MATCH('Cost Bands for 2017 MFAM'!B71,'2015 Data Summary-Datalockdown'!$B$5:$B$247,0))</f>
        <v>16983.400000000001</v>
      </c>
      <c r="G71" s="7">
        <f>INDEX('2015 Data Summary-Datalockdown'!$F$5:$F$247,MATCH('Cost Bands for 2017 MFAM'!B71,'2015 Data Summary-Datalockdown'!$B$5:$B$247,0))</f>
        <v>0</v>
      </c>
      <c r="H71" s="7">
        <f t="shared" ref="H71:H134" si="20">F71-G71</f>
        <v>16983.400000000001</v>
      </c>
      <c r="I71" s="6">
        <f t="shared" ref="I71:I134" si="21">H71/E71</f>
        <v>773.58593404976227</v>
      </c>
      <c r="J71" s="6">
        <f t="shared" ref="J71:J134" si="22">IF(ISERROR(IF($J$2=1,MAX(MIN(I71,R71),Q71),MIN(I71,R71))),R71,IF($J$2=1,MAX(MIN(I71,R71),Q71),MIN(I71,R71)))</f>
        <v>773.58593404976227</v>
      </c>
      <c r="K71" s="5">
        <f t="shared" ref="K71:K134" si="23">J71*E71</f>
        <v>16983.400000000001</v>
      </c>
      <c r="L71" s="4">
        <f t="shared" si="14"/>
        <v>0</v>
      </c>
      <c r="M71" s="2">
        <f t="shared" si="15"/>
        <v>605.76522091524942</v>
      </c>
      <c r="N71" s="1">
        <f t="shared" si="16"/>
        <v>45</v>
      </c>
      <c r="O71" s="3">
        <f t="shared" si="17"/>
        <v>28163.791756976458</v>
      </c>
      <c r="P71" s="2">
        <f t="shared" si="18"/>
        <v>260.99930759693552</v>
      </c>
      <c r="Q71" s="2">
        <f t="shared" si="13"/>
        <v>271.28114965833993</v>
      </c>
      <c r="R71" s="2">
        <f t="shared" si="13"/>
        <v>940.2492921721589</v>
      </c>
      <c r="S71" s="2">
        <f t="shared" si="19"/>
        <v>773.58593404976227</v>
      </c>
    </row>
    <row r="72" spans="2:19" x14ac:dyDescent="0.25">
      <c r="B72" s="10">
        <v>627</v>
      </c>
      <c r="C72" s="10">
        <v>6</v>
      </c>
      <c r="D72" s="9" t="s">
        <v>191</v>
      </c>
      <c r="E72" s="8">
        <f>INDEX('From 2015 DataLockdown'!$M$5:$M$247,MATCH('Cost Bands for 2017 MFAM'!B72,'From 2015 DataLockdown'!$A$5:$A$247,0))</f>
        <v>172.5545384968849</v>
      </c>
      <c r="F72" s="7">
        <f>INDEX('2015 Data Summary-Datalockdown'!$E$5:$E$247,MATCH('Cost Bands for 2017 MFAM'!B72,'2015 Data Summary-Datalockdown'!$B$5:$B$247,0))</f>
        <v>80340.460000000006</v>
      </c>
      <c r="G72" s="7">
        <f>INDEX('2015 Data Summary-Datalockdown'!$F$5:$F$247,MATCH('Cost Bands for 2017 MFAM'!B72,'2015 Data Summary-Datalockdown'!$B$5:$B$247,0))</f>
        <v>53.1</v>
      </c>
      <c r="H72" s="7">
        <f t="shared" si="20"/>
        <v>80287.360000000001</v>
      </c>
      <c r="I72" s="6">
        <f t="shared" si="21"/>
        <v>465.28686350054721</v>
      </c>
      <c r="J72" s="6">
        <f t="shared" si="22"/>
        <v>465.28686350054721</v>
      </c>
      <c r="K72" s="5">
        <f t="shared" si="23"/>
        <v>80287.360000000001</v>
      </c>
      <c r="L72" s="4">
        <f t="shared" si="14"/>
        <v>0</v>
      </c>
      <c r="M72" s="2">
        <f t="shared" si="15"/>
        <v>605.76522091524942</v>
      </c>
      <c r="N72" s="1">
        <f t="shared" si="16"/>
        <v>45</v>
      </c>
      <c r="O72" s="3">
        <f t="shared" si="17"/>
        <v>19734.168901932819</v>
      </c>
      <c r="P72" s="2">
        <f t="shared" si="18"/>
        <v>260.99930759693552</v>
      </c>
      <c r="Q72" s="2">
        <f t="shared" si="13"/>
        <v>271.28114965833993</v>
      </c>
      <c r="R72" s="2">
        <f t="shared" si="13"/>
        <v>940.2492921721589</v>
      </c>
      <c r="S72" s="2">
        <f t="shared" si="19"/>
        <v>465.28686350054721</v>
      </c>
    </row>
    <row r="73" spans="2:19" x14ac:dyDescent="0.25">
      <c r="B73" s="10">
        <v>634</v>
      </c>
      <c r="C73" s="10">
        <v>6</v>
      </c>
      <c r="D73" s="9" t="s">
        <v>192</v>
      </c>
      <c r="E73" s="8">
        <f>INDEX('From 2015 DataLockdown'!$M$5:$M$247,MATCH('Cost Bands for 2017 MFAM'!B73,'From 2015 DataLockdown'!$A$5:$A$247,0))</f>
        <v>699.91540785691973</v>
      </c>
      <c r="F73" s="7">
        <f>INDEX('2015 Data Summary-Datalockdown'!$E$5:$E$247,MATCH('Cost Bands for 2017 MFAM'!B73,'2015 Data Summary-Datalockdown'!$B$5:$B$247,0))</f>
        <v>574296.04</v>
      </c>
      <c r="G73" s="7">
        <f>INDEX('2015 Data Summary-Datalockdown'!$F$5:$F$247,MATCH('Cost Bands for 2017 MFAM'!B73,'2015 Data Summary-Datalockdown'!$B$5:$B$247,0))</f>
        <v>0</v>
      </c>
      <c r="H73" s="7">
        <f t="shared" si="20"/>
        <v>574296.04</v>
      </c>
      <c r="I73" s="6">
        <f t="shared" si="21"/>
        <v>820.5220710291901</v>
      </c>
      <c r="J73" s="6">
        <f t="shared" si="22"/>
        <v>820.5220710291901</v>
      </c>
      <c r="K73" s="5">
        <f t="shared" si="23"/>
        <v>574296.04</v>
      </c>
      <c r="L73" s="4">
        <f t="shared" si="14"/>
        <v>0</v>
      </c>
      <c r="M73" s="2">
        <f t="shared" si="15"/>
        <v>605.76522091524942</v>
      </c>
      <c r="N73" s="1">
        <f t="shared" si="16"/>
        <v>45</v>
      </c>
      <c r="O73" s="3">
        <f t="shared" si="17"/>
        <v>46120.504670861585</v>
      </c>
      <c r="P73" s="2">
        <f t="shared" si="18"/>
        <v>260.99930759693552</v>
      </c>
      <c r="Q73" s="2">
        <f t="shared" si="13"/>
        <v>271.28114965833993</v>
      </c>
      <c r="R73" s="2">
        <f t="shared" si="13"/>
        <v>940.2492921721589</v>
      </c>
      <c r="S73" s="2">
        <f t="shared" si="19"/>
        <v>820.5220710291901</v>
      </c>
    </row>
    <row r="74" spans="2:19" x14ac:dyDescent="0.25">
      <c r="B74" s="10">
        <v>694</v>
      </c>
      <c r="C74" s="10">
        <v>6</v>
      </c>
      <c r="D74" s="9" t="s">
        <v>38</v>
      </c>
      <c r="E74" s="8">
        <f>INDEX('From 2015 DataLockdown'!$M$5:$M$247,MATCH('Cost Bands for 2017 MFAM'!B74,'From 2015 DataLockdown'!$A$5:$A$247,0))</f>
        <v>12.167265935305826</v>
      </c>
      <c r="F74" s="7">
        <f>INDEX('2015 Data Summary-Datalockdown'!$E$5:$E$247,MATCH('Cost Bands for 2017 MFAM'!B74,'2015 Data Summary-Datalockdown'!$B$5:$B$247,0))</f>
        <v>26057.52</v>
      </c>
      <c r="G74" s="7">
        <f>INDEX('2015 Data Summary-Datalockdown'!$F$5:$F$247,MATCH('Cost Bands for 2017 MFAM'!B74,'2015 Data Summary-Datalockdown'!$B$5:$B$247,0))</f>
        <v>0</v>
      </c>
      <c r="H74" s="7">
        <f t="shared" si="20"/>
        <v>26057.52</v>
      </c>
      <c r="I74" s="6">
        <f t="shared" si="21"/>
        <v>2141.608487769528</v>
      </c>
      <c r="J74" s="6">
        <f t="shared" si="22"/>
        <v>940.2492921721589</v>
      </c>
      <c r="K74" s="5">
        <f t="shared" si="23"/>
        <v>11440.263183341724</v>
      </c>
      <c r="L74" s="4">
        <f t="shared" si="14"/>
        <v>0</v>
      </c>
      <c r="M74" s="2">
        <f t="shared" si="15"/>
        <v>605.76522091524942</v>
      </c>
      <c r="N74" s="1">
        <f t="shared" si="16"/>
        <v>45</v>
      </c>
      <c r="O74" s="3">
        <f t="shared" si="17"/>
        <v>2358814.5403416231</v>
      </c>
      <c r="P74" s="2">
        <f t="shared" si="18"/>
        <v>260.99930759693552</v>
      </c>
      <c r="Q74" s="2">
        <f t="shared" si="13"/>
        <v>271.28114965833993</v>
      </c>
      <c r="R74" s="2">
        <f t="shared" si="13"/>
        <v>940.2492921721589</v>
      </c>
      <c r="S74" s="2">
        <f t="shared" si="19"/>
        <v>940.2492921721589</v>
      </c>
    </row>
    <row r="75" spans="2:19" x14ac:dyDescent="0.25">
      <c r="B75" s="10">
        <v>697</v>
      </c>
      <c r="C75" s="10">
        <v>6</v>
      </c>
      <c r="D75" s="9" t="s">
        <v>193</v>
      </c>
      <c r="E75" s="8">
        <f>INDEX('From 2015 DataLockdown'!$M$5:$M$247,MATCH('Cost Bands for 2017 MFAM'!B75,'From 2015 DataLockdown'!$A$5:$A$247,0))</f>
        <v>43.767143652179229</v>
      </c>
      <c r="F75" s="7">
        <f>INDEX('2015 Data Summary-Datalockdown'!$E$5:$E$247,MATCH('Cost Bands for 2017 MFAM'!B75,'2015 Data Summary-Datalockdown'!$B$5:$B$247,0))</f>
        <v>28955.82</v>
      </c>
      <c r="G75" s="7">
        <f>INDEX('2015 Data Summary-Datalockdown'!$F$5:$F$247,MATCH('Cost Bands for 2017 MFAM'!B75,'2015 Data Summary-Datalockdown'!$B$5:$B$247,0))</f>
        <v>0</v>
      </c>
      <c r="H75" s="7">
        <f t="shared" si="20"/>
        <v>28955.82</v>
      </c>
      <c r="I75" s="6">
        <f t="shared" si="21"/>
        <v>661.58806775498238</v>
      </c>
      <c r="J75" s="6">
        <f t="shared" si="22"/>
        <v>661.58806775498238</v>
      </c>
      <c r="K75" s="5">
        <f t="shared" si="23"/>
        <v>28955.82</v>
      </c>
      <c r="L75" s="4">
        <f t="shared" si="14"/>
        <v>0</v>
      </c>
      <c r="M75" s="2">
        <f t="shared" si="15"/>
        <v>605.76522091524942</v>
      </c>
      <c r="N75" s="1">
        <f t="shared" si="16"/>
        <v>45</v>
      </c>
      <c r="O75" s="3">
        <f t="shared" si="17"/>
        <v>3116.1902292922841</v>
      </c>
      <c r="P75" s="2">
        <f t="shared" si="18"/>
        <v>260.99930759693552</v>
      </c>
      <c r="Q75" s="2">
        <f t="shared" si="13"/>
        <v>271.28114965833993</v>
      </c>
      <c r="R75" s="2">
        <f t="shared" si="13"/>
        <v>940.2492921721589</v>
      </c>
      <c r="S75" s="2">
        <f t="shared" si="19"/>
        <v>661.58806775498238</v>
      </c>
    </row>
    <row r="76" spans="2:19" x14ac:dyDescent="0.25">
      <c r="B76" s="10">
        <v>710</v>
      </c>
      <c r="C76" s="10">
        <v>6</v>
      </c>
      <c r="D76" s="9" t="s">
        <v>194</v>
      </c>
      <c r="E76" s="8">
        <f>INDEX('From 2015 DataLockdown'!$M$5:$M$247,MATCH('Cost Bands for 2017 MFAM'!B76,'From 2015 DataLockdown'!$A$5:$A$247,0))</f>
        <v>68.854470393608366</v>
      </c>
      <c r="F76" s="7">
        <f>INDEX('2015 Data Summary-Datalockdown'!$E$5:$E$247,MATCH('Cost Bands for 2017 MFAM'!B76,'2015 Data Summary-Datalockdown'!$B$5:$B$247,0))</f>
        <v>74539.039999999994</v>
      </c>
      <c r="G76" s="7">
        <f>INDEX('2015 Data Summary-Datalockdown'!$F$5:$F$247,MATCH('Cost Bands for 2017 MFAM'!B76,'2015 Data Summary-Datalockdown'!$B$5:$B$247,0))</f>
        <v>0</v>
      </c>
      <c r="H76" s="7">
        <f t="shared" si="20"/>
        <v>74539.039999999994</v>
      </c>
      <c r="I76" s="6">
        <f t="shared" si="21"/>
        <v>1082.5591943979184</v>
      </c>
      <c r="J76" s="6">
        <f t="shared" si="22"/>
        <v>940.2492921721589</v>
      </c>
      <c r="K76" s="5">
        <f t="shared" si="23"/>
        <v>64740.367050479137</v>
      </c>
      <c r="L76" s="4">
        <f t="shared" si="14"/>
        <v>0</v>
      </c>
      <c r="M76" s="2">
        <f t="shared" si="15"/>
        <v>605.76522091524942</v>
      </c>
      <c r="N76" s="1">
        <f t="shared" si="16"/>
        <v>45</v>
      </c>
      <c r="O76" s="3">
        <f t="shared" si="17"/>
        <v>227332.49314939207</v>
      </c>
      <c r="P76" s="2">
        <f t="shared" si="18"/>
        <v>260.99930759693552</v>
      </c>
      <c r="Q76" s="2">
        <f t="shared" si="13"/>
        <v>271.28114965833993</v>
      </c>
      <c r="R76" s="2">
        <f t="shared" si="13"/>
        <v>940.2492921721589</v>
      </c>
      <c r="S76" s="2">
        <f t="shared" si="19"/>
        <v>940.2492921721589</v>
      </c>
    </row>
    <row r="77" spans="2:19" x14ac:dyDescent="0.25">
      <c r="B77" s="10">
        <v>715</v>
      </c>
      <c r="C77" s="10">
        <v>6</v>
      </c>
      <c r="D77" s="9" t="s">
        <v>195</v>
      </c>
      <c r="E77" s="8">
        <f>INDEX('From 2015 DataLockdown'!$M$5:$M$247,MATCH('Cost Bands for 2017 MFAM'!B77,'From 2015 DataLockdown'!$A$5:$A$247,0))</f>
        <v>55.409203863658902</v>
      </c>
      <c r="F77" s="7">
        <f>INDEX('2015 Data Summary-Datalockdown'!$E$5:$E$247,MATCH('Cost Bands for 2017 MFAM'!B77,'2015 Data Summary-Datalockdown'!$B$5:$B$247,0))</f>
        <v>120652.36</v>
      </c>
      <c r="G77" s="7">
        <f>INDEX('2015 Data Summary-Datalockdown'!$F$5:$F$247,MATCH('Cost Bands for 2017 MFAM'!B77,'2015 Data Summary-Datalockdown'!$B$5:$B$247,0))</f>
        <v>0</v>
      </c>
      <c r="H77" s="7">
        <f t="shared" si="20"/>
        <v>120652.36</v>
      </c>
      <c r="I77" s="6">
        <f t="shared" si="21"/>
        <v>2177.4786783957379</v>
      </c>
      <c r="J77" s="6">
        <f t="shared" si="22"/>
        <v>940.2492921721589</v>
      </c>
      <c r="K77" s="5">
        <f t="shared" si="23"/>
        <v>52098.464712628134</v>
      </c>
      <c r="L77" s="4">
        <f t="shared" si="14"/>
        <v>0</v>
      </c>
      <c r="M77" s="2">
        <f t="shared" si="15"/>
        <v>605.76522091524942</v>
      </c>
      <c r="N77" s="1">
        <f t="shared" si="16"/>
        <v>45</v>
      </c>
      <c r="O77" s="3">
        <f t="shared" si="17"/>
        <v>2470283.1924252715</v>
      </c>
      <c r="P77" s="2">
        <f t="shared" si="18"/>
        <v>260.99930759693552</v>
      </c>
      <c r="Q77" s="2">
        <f t="shared" si="13"/>
        <v>271.28114965833993</v>
      </c>
      <c r="R77" s="2">
        <f t="shared" si="13"/>
        <v>940.2492921721589</v>
      </c>
      <c r="S77" s="2">
        <f t="shared" si="19"/>
        <v>940.2492921721589</v>
      </c>
    </row>
    <row r="78" spans="2:19" x14ac:dyDescent="0.25">
      <c r="B78" s="10">
        <v>743</v>
      </c>
      <c r="C78" s="10">
        <v>6</v>
      </c>
      <c r="D78" s="9" t="s">
        <v>196</v>
      </c>
      <c r="E78" s="8">
        <f>INDEX('From 2015 DataLockdown'!$M$5:$M$247,MATCH('Cost Bands for 2017 MFAM'!B78,'From 2015 DataLockdown'!$A$5:$A$247,0))</f>
        <v>84.129203528218909</v>
      </c>
      <c r="F78" s="7">
        <f>INDEX('2015 Data Summary-Datalockdown'!$E$5:$E$247,MATCH('Cost Bands for 2017 MFAM'!B78,'2015 Data Summary-Datalockdown'!$B$5:$B$247,0))</f>
        <v>127078.21</v>
      </c>
      <c r="G78" s="7">
        <f>INDEX('2015 Data Summary-Datalockdown'!$F$5:$F$247,MATCH('Cost Bands for 2017 MFAM'!B78,'2015 Data Summary-Datalockdown'!$B$5:$B$247,0))</f>
        <v>0</v>
      </c>
      <c r="H78" s="7">
        <f t="shared" si="20"/>
        <v>127078.21</v>
      </c>
      <c r="I78" s="6">
        <f t="shared" si="21"/>
        <v>1510.5124578693412</v>
      </c>
      <c r="J78" s="6">
        <f t="shared" si="22"/>
        <v>940.2492921721589</v>
      </c>
      <c r="K78" s="5">
        <f t="shared" si="23"/>
        <v>79102.424068415319</v>
      </c>
      <c r="L78" s="4">
        <f t="shared" si="14"/>
        <v>0</v>
      </c>
      <c r="M78" s="2">
        <f t="shared" si="15"/>
        <v>605.76522091524942</v>
      </c>
      <c r="N78" s="1">
        <f t="shared" si="16"/>
        <v>45</v>
      </c>
      <c r="O78" s="3">
        <f t="shared" si="17"/>
        <v>818567.56277606357</v>
      </c>
      <c r="P78" s="2">
        <f t="shared" si="18"/>
        <v>260.99930759693552</v>
      </c>
      <c r="Q78" s="2">
        <f t="shared" si="13"/>
        <v>271.28114965833993</v>
      </c>
      <c r="R78" s="2">
        <f t="shared" si="13"/>
        <v>940.2492921721589</v>
      </c>
      <c r="S78" s="2">
        <f t="shared" si="19"/>
        <v>940.2492921721589</v>
      </c>
    </row>
    <row r="79" spans="2:19" x14ac:dyDescent="0.25">
      <c r="B79" s="10">
        <v>747</v>
      </c>
      <c r="C79" s="10">
        <v>6</v>
      </c>
      <c r="D79" s="9" t="s">
        <v>197</v>
      </c>
      <c r="E79" s="8">
        <f>INDEX('From 2015 DataLockdown'!$M$5:$M$247,MATCH('Cost Bands for 2017 MFAM'!B79,'From 2015 DataLockdown'!$A$5:$A$247,0))</f>
        <v>32.947600000000001</v>
      </c>
      <c r="F79" s="7">
        <f>INDEX('2015 Data Summary-Datalockdown'!$E$5:$E$247,MATCH('Cost Bands for 2017 MFAM'!B79,'2015 Data Summary-Datalockdown'!$B$5:$B$247,0))</f>
        <v>44901.68</v>
      </c>
      <c r="G79" s="7">
        <f>INDEX('2015 Data Summary-Datalockdown'!$F$5:$F$247,MATCH('Cost Bands for 2017 MFAM'!B79,'2015 Data Summary-Datalockdown'!$B$5:$B$247,0))</f>
        <v>0</v>
      </c>
      <c r="H79" s="7">
        <f t="shared" si="20"/>
        <v>44901.68</v>
      </c>
      <c r="I79" s="6">
        <f t="shared" si="21"/>
        <v>1362.8209641976957</v>
      </c>
      <c r="J79" s="6">
        <f t="shared" si="22"/>
        <v>940.2492921721589</v>
      </c>
      <c r="K79" s="5">
        <f t="shared" si="23"/>
        <v>30978.957578771424</v>
      </c>
      <c r="L79" s="4">
        <f t="shared" si="14"/>
        <v>0</v>
      </c>
      <c r="M79" s="2">
        <f t="shared" si="15"/>
        <v>605.76522091524942</v>
      </c>
      <c r="N79" s="1">
        <f t="shared" si="16"/>
        <v>45</v>
      </c>
      <c r="O79" s="3">
        <f t="shared" si="17"/>
        <v>573133.39843693725</v>
      </c>
      <c r="P79" s="2">
        <f t="shared" si="18"/>
        <v>260.99930759693552</v>
      </c>
      <c r="Q79" s="2">
        <f t="shared" si="13"/>
        <v>271.28114965833993</v>
      </c>
      <c r="R79" s="2">
        <f t="shared" si="13"/>
        <v>940.2492921721589</v>
      </c>
      <c r="S79" s="2">
        <f t="shared" si="19"/>
        <v>940.2492921721589</v>
      </c>
    </row>
    <row r="80" spans="2:19" x14ac:dyDescent="0.25">
      <c r="B80" s="10">
        <v>758</v>
      </c>
      <c r="C80" s="10">
        <v>6</v>
      </c>
      <c r="D80" s="9" t="s">
        <v>198</v>
      </c>
      <c r="E80" s="8">
        <f>INDEX('From 2015 DataLockdown'!$M$5:$M$247,MATCH('Cost Bands for 2017 MFAM'!B80,'From 2015 DataLockdown'!$A$5:$A$247,0))</f>
        <v>376.59876426954139</v>
      </c>
      <c r="F80" s="7">
        <f>INDEX('2015 Data Summary-Datalockdown'!$E$5:$E$247,MATCH('Cost Bands for 2017 MFAM'!B80,'2015 Data Summary-Datalockdown'!$B$5:$B$247,0))</f>
        <v>332186.31</v>
      </c>
      <c r="G80" s="7">
        <f>INDEX('2015 Data Summary-Datalockdown'!$F$5:$F$247,MATCH('Cost Bands for 2017 MFAM'!B80,'2015 Data Summary-Datalockdown'!$B$5:$B$247,0))</f>
        <v>961.84</v>
      </c>
      <c r="H80" s="7">
        <f t="shared" si="20"/>
        <v>331224.46999999997</v>
      </c>
      <c r="I80" s="6">
        <f t="shared" si="21"/>
        <v>879.51555189632575</v>
      </c>
      <c r="J80" s="6">
        <f t="shared" si="22"/>
        <v>879.51555189632575</v>
      </c>
      <c r="K80" s="5">
        <f t="shared" si="23"/>
        <v>331224.46999999997</v>
      </c>
      <c r="L80" s="4">
        <f t="shared" si="14"/>
        <v>0</v>
      </c>
      <c r="M80" s="2">
        <f t="shared" si="15"/>
        <v>605.76522091524942</v>
      </c>
      <c r="N80" s="1">
        <f t="shared" si="16"/>
        <v>45</v>
      </c>
      <c r="O80" s="3">
        <f t="shared" si="17"/>
        <v>74939.243712248834</v>
      </c>
      <c r="P80" s="2">
        <f t="shared" si="18"/>
        <v>260.99930759693552</v>
      </c>
      <c r="Q80" s="2">
        <f t="shared" si="13"/>
        <v>271.28114965833993</v>
      </c>
      <c r="R80" s="2">
        <f t="shared" si="13"/>
        <v>940.2492921721589</v>
      </c>
      <c r="S80" s="2">
        <f t="shared" si="19"/>
        <v>879.51555189632575</v>
      </c>
    </row>
    <row r="81" spans="2:19" x14ac:dyDescent="0.25">
      <c r="B81" s="10">
        <v>765</v>
      </c>
      <c r="C81" s="10">
        <v>6</v>
      </c>
      <c r="D81" s="9" t="s">
        <v>199</v>
      </c>
      <c r="E81" s="8">
        <f>INDEX('From 2015 DataLockdown'!$M$5:$M$247,MATCH('Cost Bands for 2017 MFAM'!B81,'From 2015 DataLockdown'!$A$5:$A$247,0))</f>
        <v>80.350199999999987</v>
      </c>
      <c r="F81" s="7">
        <f>INDEX('2015 Data Summary-Datalockdown'!$E$5:$E$247,MATCH('Cost Bands for 2017 MFAM'!B81,'2015 Data Summary-Datalockdown'!$B$5:$B$247,0))</f>
        <v>87707.94</v>
      </c>
      <c r="G81" s="7">
        <f>INDEX('2015 Data Summary-Datalockdown'!$F$5:$F$247,MATCH('Cost Bands for 2017 MFAM'!B81,'2015 Data Summary-Datalockdown'!$B$5:$B$247,0))</f>
        <v>0</v>
      </c>
      <c r="H81" s="7">
        <f t="shared" si="20"/>
        <v>87707.94</v>
      </c>
      <c r="I81" s="6">
        <f t="shared" si="21"/>
        <v>1091.570898392288</v>
      </c>
      <c r="J81" s="6">
        <f t="shared" si="22"/>
        <v>940.2492921721589</v>
      </c>
      <c r="K81" s="5">
        <f t="shared" si="23"/>
        <v>75549.218675891389</v>
      </c>
      <c r="L81" s="4">
        <f t="shared" si="14"/>
        <v>0</v>
      </c>
      <c r="M81" s="2">
        <f t="shared" si="15"/>
        <v>605.76522091524942</v>
      </c>
      <c r="N81" s="1">
        <f t="shared" si="16"/>
        <v>45</v>
      </c>
      <c r="O81" s="3">
        <f t="shared" si="17"/>
        <v>236007.15626892442</v>
      </c>
      <c r="P81" s="2">
        <f t="shared" si="18"/>
        <v>260.99930759693552</v>
      </c>
      <c r="Q81" s="2">
        <f t="shared" si="13"/>
        <v>271.28114965833993</v>
      </c>
      <c r="R81" s="2">
        <f t="shared" si="13"/>
        <v>940.2492921721589</v>
      </c>
      <c r="S81" s="2">
        <f t="shared" si="19"/>
        <v>940.2492921721589</v>
      </c>
    </row>
    <row r="82" spans="2:19" x14ac:dyDescent="0.25">
      <c r="B82" s="10">
        <v>770</v>
      </c>
      <c r="C82" s="10">
        <v>6</v>
      </c>
      <c r="D82" s="9" t="s">
        <v>200</v>
      </c>
      <c r="E82" s="8">
        <f>INDEX('From 2015 DataLockdown'!$M$5:$M$247,MATCH('Cost Bands for 2017 MFAM'!B82,'From 2015 DataLockdown'!$A$5:$A$247,0))</f>
        <v>31.38</v>
      </c>
      <c r="F82" s="7">
        <f>INDEX('2015 Data Summary-Datalockdown'!$E$5:$E$247,MATCH('Cost Bands for 2017 MFAM'!B82,'2015 Data Summary-Datalockdown'!$B$5:$B$247,0))</f>
        <v>14512.24</v>
      </c>
      <c r="G82" s="7">
        <f>INDEX('2015 Data Summary-Datalockdown'!$F$5:$F$247,MATCH('Cost Bands for 2017 MFAM'!B82,'2015 Data Summary-Datalockdown'!$B$5:$B$247,0))</f>
        <v>0</v>
      </c>
      <c r="H82" s="7">
        <f t="shared" si="20"/>
        <v>14512.24</v>
      </c>
      <c r="I82" s="6">
        <f t="shared" si="21"/>
        <v>462.46781389420016</v>
      </c>
      <c r="J82" s="6">
        <f t="shared" si="22"/>
        <v>462.46781389420016</v>
      </c>
      <c r="K82" s="5">
        <f t="shared" si="23"/>
        <v>14512.24</v>
      </c>
      <c r="L82" s="4">
        <f t="shared" si="14"/>
        <v>0</v>
      </c>
      <c r="M82" s="2">
        <f t="shared" si="15"/>
        <v>605.76522091524942</v>
      </c>
      <c r="N82" s="1">
        <f t="shared" si="16"/>
        <v>45</v>
      </c>
      <c r="O82" s="3">
        <f t="shared" si="17"/>
        <v>20534.146858956257</v>
      </c>
      <c r="P82" s="2">
        <f t="shared" si="18"/>
        <v>260.99930759693552</v>
      </c>
      <c r="Q82" s="2">
        <f t="shared" si="13"/>
        <v>271.28114965833993</v>
      </c>
      <c r="R82" s="2">
        <f t="shared" si="13"/>
        <v>940.2492921721589</v>
      </c>
      <c r="S82" s="2">
        <f t="shared" si="19"/>
        <v>462.46781389420016</v>
      </c>
    </row>
    <row r="83" spans="2:19" x14ac:dyDescent="0.25">
      <c r="B83" s="10">
        <v>774</v>
      </c>
      <c r="C83" s="10">
        <v>6</v>
      </c>
      <c r="D83" s="9" t="s">
        <v>201</v>
      </c>
      <c r="E83" s="8">
        <f>INDEX('From 2015 DataLockdown'!$M$5:$M$247,MATCH('Cost Bands for 2017 MFAM'!B83,'From 2015 DataLockdown'!$A$5:$A$247,0))</f>
        <v>487.11</v>
      </c>
      <c r="F83" s="7">
        <f>INDEX('2015 Data Summary-Datalockdown'!$E$5:$E$247,MATCH('Cost Bands for 2017 MFAM'!B83,'2015 Data Summary-Datalockdown'!$B$5:$B$247,0))</f>
        <v>260022.63</v>
      </c>
      <c r="G83" s="7">
        <f>INDEX('2015 Data Summary-Datalockdown'!$F$5:$F$247,MATCH('Cost Bands for 2017 MFAM'!B83,'2015 Data Summary-Datalockdown'!$B$5:$B$247,0))</f>
        <v>9203.61</v>
      </c>
      <c r="H83" s="7">
        <f t="shared" si="20"/>
        <v>250819.02000000002</v>
      </c>
      <c r="I83" s="6">
        <f t="shared" si="21"/>
        <v>514.91248383322045</v>
      </c>
      <c r="J83" s="6">
        <f t="shared" si="22"/>
        <v>514.91248383322045</v>
      </c>
      <c r="K83" s="5">
        <f t="shared" si="23"/>
        <v>250819.02000000002</v>
      </c>
      <c r="L83" s="4">
        <f t="shared" si="14"/>
        <v>0</v>
      </c>
      <c r="M83" s="2">
        <f t="shared" si="15"/>
        <v>605.76522091524942</v>
      </c>
      <c r="N83" s="1">
        <f t="shared" si="16"/>
        <v>45</v>
      </c>
      <c r="O83" s="3">
        <f t="shared" si="17"/>
        <v>8254.2198352962805</v>
      </c>
      <c r="P83" s="2">
        <f t="shared" si="18"/>
        <v>260.99930759693552</v>
      </c>
      <c r="Q83" s="2">
        <f t="shared" si="13"/>
        <v>271.28114965833993</v>
      </c>
      <c r="R83" s="2">
        <f t="shared" si="13"/>
        <v>940.2492921721589</v>
      </c>
      <c r="S83" s="2">
        <f t="shared" si="19"/>
        <v>514.91248383322045</v>
      </c>
    </row>
    <row r="84" spans="2:19" x14ac:dyDescent="0.25">
      <c r="B84" s="10">
        <v>794</v>
      </c>
      <c r="C84" s="10">
        <v>6</v>
      </c>
      <c r="D84" s="9" t="s">
        <v>202</v>
      </c>
      <c r="E84" s="8">
        <f>INDEX('From 2015 DataLockdown'!$M$5:$M$247,MATCH('Cost Bands for 2017 MFAM'!B84,'From 2015 DataLockdown'!$A$5:$A$247,0))</f>
        <v>35.600062585038067</v>
      </c>
      <c r="F84" s="7">
        <f>INDEX('2015 Data Summary-Datalockdown'!$E$5:$E$247,MATCH('Cost Bands for 2017 MFAM'!B84,'2015 Data Summary-Datalockdown'!$B$5:$B$247,0))</f>
        <v>36737.5</v>
      </c>
      <c r="G84" s="7">
        <f>INDEX('2015 Data Summary-Datalockdown'!$F$5:$F$247,MATCH('Cost Bands for 2017 MFAM'!B84,'2015 Data Summary-Datalockdown'!$B$5:$B$247,0))</f>
        <v>0</v>
      </c>
      <c r="H84" s="7">
        <f t="shared" si="20"/>
        <v>36737.5</v>
      </c>
      <c r="I84" s="6">
        <f t="shared" si="21"/>
        <v>1031.950433015249</v>
      </c>
      <c r="J84" s="6">
        <f t="shared" si="22"/>
        <v>940.2492921721589</v>
      </c>
      <c r="K84" s="5">
        <f t="shared" si="23"/>
        <v>33472.933646866601</v>
      </c>
      <c r="L84" s="4">
        <f t="shared" si="14"/>
        <v>0</v>
      </c>
      <c r="M84" s="2">
        <f t="shared" si="15"/>
        <v>605.76522091524942</v>
      </c>
      <c r="N84" s="1">
        <f t="shared" si="16"/>
        <v>45</v>
      </c>
      <c r="O84" s="3">
        <f t="shared" si="17"/>
        <v>181633.83501272165</v>
      </c>
      <c r="P84" s="2">
        <f t="shared" si="18"/>
        <v>260.99930759693552</v>
      </c>
      <c r="Q84" s="2">
        <f t="shared" si="13"/>
        <v>271.28114965833993</v>
      </c>
      <c r="R84" s="2">
        <f t="shared" si="13"/>
        <v>940.2492921721589</v>
      </c>
      <c r="S84" s="2">
        <f t="shared" si="19"/>
        <v>940.2492921721589</v>
      </c>
    </row>
    <row r="85" spans="2:19" x14ac:dyDescent="0.25">
      <c r="B85" s="10">
        <v>806</v>
      </c>
      <c r="C85" s="10">
        <v>6</v>
      </c>
      <c r="D85" s="9" t="s">
        <v>203</v>
      </c>
      <c r="E85" s="8">
        <f>INDEX('From 2015 DataLockdown'!$M$5:$M$247,MATCH('Cost Bands for 2017 MFAM'!B85,'From 2015 DataLockdown'!$A$5:$A$247,0))</f>
        <v>23.634257572176786</v>
      </c>
      <c r="F85" s="7">
        <f>INDEX('2015 Data Summary-Datalockdown'!$E$5:$E$247,MATCH('Cost Bands for 2017 MFAM'!B85,'2015 Data Summary-Datalockdown'!$B$5:$B$247,0))</f>
        <v>37974.839999999997</v>
      </c>
      <c r="G85" s="7">
        <f>INDEX('2015 Data Summary-Datalockdown'!$F$5:$F$247,MATCH('Cost Bands for 2017 MFAM'!B85,'2015 Data Summary-Datalockdown'!$B$5:$B$247,0))</f>
        <v>0</v>
      </c>
      <c r="H85" s="7">
        <f t="shared" si="20"/>
        <v>37974.839999999997</v>
      </c>
      <c r="I85" s="6">
        <f t="shared" si="21"/>
        <v>1606.7710138145203</v>
      </c>
      <c r="J85" s="6">
        <f t="shared" si="22"/>
        <v>940.2492921721589</v>
      </c>
      <c r="K85" s="5">
        <f t="shared" si="23"/>
        <v>22222.093953253709</v>
      </c>
      <c r="L85" s="4">
        <f t="shared" si="14"/>
        <v>0</v>
      </c>
      <c r="M85" s="2">
        <f t="shared" si="15"/>
        <v>605.76522091524942</v>
      </c>
      <c r="N85" s="1">
        <f t="shared" si="16"/>
        <v>45</v>
      </c>
      <c r="O85" s="3">
        <f t="shared" si="17"/>
        <v>1002012.597417898</v>
      </c>
      <c r="P85" s="2">
        <f t="shared" si="18"/>
        <v>260.99930759693552</v>
      </c>
      <c r="Q85" s="2">
        <f t="shared" si="13"/>
        <v>271.28114965833993</v>
      </c>
      <c r="R85" s="2">
        <f t="shared" si="13"/>
        <v>940.2492921721589</v>
      </c>
      <c r="S85" s="2">
        <f t="shared" si="19"/>
        <v>940.2492921721589</v>
      </c>
    </row>
    <row r="86" spans="2:19" x14ac:dyDescent="0.25">
      <c r="B86" s="10">
        <v>811</v>
      </c>
      <c r="C86" s="10">
        <v>6</v>
      </c>
      <c r="D86" s="9" t="s">
        <v>204</v>
      </c>
      <c r="E86" s="8">
        <f>INDEX('From 2015 DataLockdown'!$M$5:$M$247,MATCH('Cost Bands for 2017 MFAM'!B86,'From 2015 DataLockdown'!$A$5:$A$247,0))</f>
        <v>811.18024044948993</v>
      </c>
      <c r="F86" s="7">
        <f>INDEX('2015 Data Summary-Datalockdown'!$E$5:$E$247,MATCH('Cost Bands for 2017 MFAM'!B86,'2015 Data Summary-Datalockdown'!$B$5:$B$247,0))</f>
        <v>477335.28</v>
      </c>
      <c r="G86" s="7">
        <f>INDEX('2015 Data Summary-Datalockdown'!$F$5:$F$247,MATCH('Cost Bands for 2017 MFAM'!B86,'2015 Data Summary-Datalockdown'!$B$5:$B$247,0))</f>
        <v>1046</v>
      </c>
      <c r="H86" s="7">
        <f t="shared" si="20"/>
        <v>476289.28000000003</v>
      </c>
      <c r="I86" s="6">
        <f t="shared" si="21"/>
        <v>587.155919547645</v>
      </c>
      <c r="J86" s="6">
        <f t="shared" si="22"/>
        <v>587.155919547645</v>
      </c>
      <c r="K86" s="5">
        <f t="shared" si="23"/>
        <v>476289.28000000003</v>
      </c>
      <c r="L86" s="4">
        <f t="shared" si="14"/>
        <v>0</v>
      </c>
      <c r="M86" s="2">
        <f t="shared" si="15"/>
        <v>605.76522091524942</v>
      </c>
      <c r="N86" s="1">
        <f t="shared" si="16"/>
        <v>45</v>
      </c>
      <c r="O86" s="3">
        <f t="shared" si="17"/>
        <v>346.3060973903236</v>
      </c>
      <c r="P86" s="2">
        <f t="shared" si="18"/>
        <v>260.99930759693552</v>
      </c>
      <c r="Q86" s="2">
        <f t="shared" ref="Q86:R105" si="24">NORMINV(Q$4,$M86,$P86)</f>
        <v>271.28114965833993</v>
      </c>
      <c r="R86" s="2">
        <f t="shared" si="24"/>
        <v>940.2492921721589</v>
      </c>
      <c r="S86" s="2">
        <f t="shared" si="19"/>
        <v>587.155919547645</v>
      </c>
    </row>
    <row r="87" spans="2:19" x14ac:dyDescent="0.25">
      <c r="B87" s="10">
        <v>824</v>
      </c>
      <c r="C87" s="10">
        <v>6</v>
      </c>
      <c r="D87" s="9" t="s">
        <v>205</v>
      </c>
      <c r="E87" s="8">
        <f>INDEX('From 2015 DataLockdown'!$M$5:$M$247,MATCH('Cost Bands for 2017 MFAM'!B87,'From 2015 DataLockdown'!$A$5:$A$247,0))</f>
        <v>31.52</v>
      </c>
      <c r="F87" s="7">
        <f>INDEX('2015 Data Summary-Datalockdown'!$E$5:$E$247,MATCH('Cost Bands for 2017 MFAM'!B87,'2015 Data Summary-Datalockdown'!$B$5:$B$247,0))</f>
        <v>49304.21</v>
      </c>
      <c r="G87" s="7">
        <f>INDEX('2015 Data Summary-Datalockdown'!$F$5:$F$247,MATCH('Cost Bands for 2017 MFAM'!B87,'2015 Data Summary-Datalockdown'!$B$5:$B$247,0))</f>
        <v>0</v>
      </c>
      <c r="H87" s="7">
        <f t="shared" si="20"/>
        <v>49304.21</v>
      </c>
      <c r="I87" s="6">
        <f t="shared" si="21"/>
        <v>1564.2198604060914</v>
      </c>
      <c r="J87" s="6">
        <f t="shared" si="22"/>
        <v>940.2492921721589</v>
      </c>
      <c r="K87" s="5">
        <f t="shared" si="23"/>
        <v>29636.657689266449</v>
      </c>
      <c r="L87" s="4">
        <f t="shared" si="14"/>
        <v>0</v>
      </c>
      <c r="M87" s="2">
        <f t="shared" si="15"/>
        <v>605.76522091524942</v>
      </c>
      <c r="N87" s="1">
        <f t="shared" si="16"/>
        <v>45</v>
      </c>
      <c r="O87" s="3">
        <f t="shared" si="17"/>
        <v>918635.29596151982</v>
      </c>
      <c r="P87" s="2">
        <f t="shared" si="18"/>
        <v>260.99930759693552</v>
      </c>
      <c r="Q87" s="2">
        <f t="shared" si="24"/>
        <v>271.28114965833993</v>
      </c>
      <c r="R87" s="2">
        <f t="shared" si="24"/>
        <v>940.2492921721589</v>
      </c>
      <c r="S87" s="2">
        <f t="shared" si="19"/>
        <v>940.2492921721589</v>
      </c>
    </row>
    <row r="88" spans="2:19" x14ac:dyDescent="0.25">
      <c r="B88" s="10">
        <v>826</v>
      </c>
      <c r="C88" s="10">
        <v>6</v>
      </c>
      <c r="D88" s="9" t="s">
        <v>206</v>
      </c>
      <c r="E88" s="8">
        <f>INDEX('From 2015 DataLockdown'!$M$5:$M$247,MATCH('Cost Bands for 2017 MFAM'!B88,'From 2015 DataLockdown'!$A$5:$A$247,0))</f>
        <v>26.19</v>
      </c>
      <c r="F88" s="7">
        <f>INDEX('2015 Data Summary-Datalockdown'!$E$5:$E$247,MATCH('Cost Bands for 2017 MFAM'!B88,'2015 Data Summary-Datalockdown'!$B$5:$B$247,0))</f>
        <v>28559.88</v>
      </c>
      <c r="G88" s="7">
        <f>INDEX('2015 Data Summary-Datalockdown'!$F$5:$F$247,MATCH('Cost Bands for 2017 MFAM'!B88,'2015 Data Summary-Datalockdown'!$B$5:$B$247,0))</f>
        <v>0</v>
      </c>
      <c r="H88" s="7">
        <f t="shared" si="20"/>
        <v>28559.88</v>
      </c>
      <c r="I88" s="6">
        <f t="shared" si="21"/>
        <v>1090.4879725085912</v>
      </c>
      <c r="J88" s="6">
        <f t="shared" si="22"/>
        <v>940.2492921721589</v>
      </c>
      <c r="K88" s="5">
        <f t="shared" si="23"/>
        <v>24625.128961988841</v>
      </c>
      <c r="L88" s="4">
        <f t="shared" si="14"/>
        <v>0</v>
      </c>
      <c r="M88" s="2">
        <f t="shared" si="15"/>
        <v>605.76522091524942</v>
      </c>
      <c r="N88" s="1">
        <f t="shared" si="16"/>
        <v>45</v>
      </c>
      <c r="O88" s="3">
        <f t="shared" si="17"/>
        <v>234956.14591222047</v>
      </c>
      <c r="P88" s="2">
        <f t="shared" si="18"/>
        <v>260.99930759693552</v>
      </c>
      <c r="Q88" s="2">
        <f t="shared" si="24"/>
        <v>271.28114965833993</v>
      </c>
      <c r="R88" s="2">
        <f t="shared" si="24"/>
        <v>940.2492921721589</v>
      </c>
      <c r="S88" s="2">
        <f t="shared" si="19"/>
        <v>940.2492921721589</v>
      </c>
    </row>
    <row r="89" spans="2:19" x14ac:dyDescent="0.25">
      <c r="B89" s="10">
        <v>840</v>
      </c>
      <c r="C89" s="10">
        <v>6</v>
      </c>
      <c r="D89" s="9" t="s">
        <v>207</v>
      </c>
      <c r="E89" s="8">
        <f>INDEX('From 2015 DataLockdown'!$M$5:$M$247,MATCH('Cost Bands for 2017 MFAM'!B89,'From 2015 DataLockdown'!$A$5:$A$247,0))</f>
        <v>133.64200485462965</v>
      </c>
      <c r="F89" s="7">
        <f>INDEX('2015 Data Summary-Datalockdown'!$E$5:$E$247,MATCH('Cost Bands for 2017 MFAM'!B89,'2015 Data Summary-Datalockdown'!$B$5:$B$247,0))</f>
        <v>76752.78</v>
      </c>
      <c r="G89" s="7">
        <f>INDEX('2015 Data Summary-Datalockdown'!$F$5:$F$247,MATCH('Cost Bands for 2017 MFAM'!B89,'2015 Data Summary-Datalockdown'!$B$5:$B$247,0))</f>
        <v>0</v>
      </c>
      <c r="H89" s="7">
        <f t="shared" si="20"/>
        <v>76752.78</v>
      </c>
      <c r="I89" s="6">
        <f t="shared" si="21"/>
        <v>574.31628688516423</v>
      </c>
      <c r="J89" s="6">
        <f t="shared" si="22"/>
        <v>574.31628688516423</v>
      </c>
      <c r="K89" s="5">
        <f t="shared" si="23"/>
        <v>76752.779999999984</v>
      </c>
      <c r="L89" s="4">
        <f t="shared" si="14"/>
        <v>0</v>
      </c>
      <c r="M89" s="2">
        <f t="shared" si="15"/>
        <v>605.76522091524942</v>
      </c>
      <c r="N89" s="1">
        <f t="shared" si="16"/>
        <v>45</v>
      </c>
      <c r="O89" s="3">
        <f t="shared" si="17"/>
        <v>989.03545162864987</v>
      </c>
      <c r="P89" s="2">
        <f t="shared" si="18"/>
        <v>260.99930759693552</v>
      </c>
      <c r="Q89" s="2">
        <f t="shared" si="24"/>
        <v>271.28114965833993</v>
      </c>
      <c r="R89" s="2">
        <f t="shared" si="24"/>
        <v>940.2492921721589</v>
      </c>
      <c r="S89" s="2">
        <f t="shared" si="19"/>
        <v>574.31628688516423</v>
      </c>
    </row>
    <row r="90" spans="2:19" x14ac:dyDescent="0.25">
      <c r="B90" s="10">
        <v>843</v>
      </c>
      <c r="C90" s="10">
        <v>6</v>
      </c>
      <c r="D90" s="9" t="s">
        <v>208</v>
      </c>
      <c r="E90" s="8">
        <f>INDEX('From 2015 DataLockdown'!$M$5:$M$247,MATCH('Cost Bands for 2017 MFAM'!B90,'From 2015 DataLockdown'!$A$5:$A$247,0))</f>
        <v>24</v>
      </c>
      <c r="F90" s="7">
        <f>INDEX('2015 Data Summary-Datalockdown'!$E$5:$E$247,MATCH('Cost Bands for 2017 MFAM'!B90,'2015 Data Summary-Datalockdown'!$B$5:$B$247,0))</f>
        <v>38204.959999999999</v>
      </c>
      <c r="G90" s="7">
        <f>INDEX('2015 Data Summary-Datalockdown'!$F$5:$F$247,MATCH('Cost Bands for 2017 MFAM'!B90,'2015 Data Summary-Datalockdown'!$B$5:$B$247,0))</f>
        <v>0</v>
      </c>
      <c r="H90" s="7">
        <f t="shared" si="20"/>
        <v>38204.959999999999</v>
      </c>
      <c r="I90" s="6">
        <f t="shared" si="21"/>
        <v>1591.8733333333332</v>
      </c>
      <c r="J90" s="6">
        <f t="shared" si="22"/>
        <v>940.2492921721589</v>
      </c>
      <c r="K90" s="5">
        <f t="shared" si="23"/>
        <v>22565.983012131815</v>
      </c>
      <c r="L90" s="4">
        <f t="shared" si="14"/>
        <v>0</v>
      </c>
      <c r="M90" s="2">
        <f t="shared" si="15"/>
        <v>605.76522091524942</v>
      </c>
      <c r="N90" s="1">
        <f t="shared" si="16"/>
        <v>45</v>
      </c>
      <c r="O90" s="3">
        <f t="shared" si="17"/>
        <v>972409.20937675622</v>
      </c>
      <c r="P90" s="2">
        <f t="shared" si="18"/>
        <v>260.99930759693552</v>
      </c>
      <c r="Q90" s="2">
        <f t="shared" si="24"/>
        <v>271.28114965833993</v>
      </c>
      <c r="R90" s="2">
        <f t="shared" si="24"/>
        <v>940.2492921721589</v>
      </c>
      <c r="S90" s="2">
        <f t="shared" si="19"/>
        <v>940.2492921721589</v>
      </c>
    </row>
    <row r="91" spans="2:19" x14ac:dyDescent="0.25">
      <c r="B91" s="10">
        <v>846</v>
      </c>
      <c r="C91" s="10">
        <v>6</v>
      </c>
      <c r="D91" s="9" t="s">
        <v>209</v>
      </c>
      <c r="E91" s="8">
        <f>INDEX('From 2015 DataLockdown'!$M$5:$M$247,MATCH('Cost Bands for 2017 MFAM'!B91,'From 2015 DataLockdown'!$A$5:$A$247,0))</f>
        <v>24.91</v>
      </c>
      <c r="F91" s="7">
        <f>INDEX('2015 Data Summary-Datalockdown'!$E$5:$E$247,MATCH('Cost Bands for 2017 MFAM'!B91,'2015 Data Summary-Datalockdown'!$B$5:$B$247,0))</f>
        <v>38171.78</v>
      </c>
      <c r="G91" s="7">
        <f>INDEX('2015 Data Summary-Datalockdown'!$F$5:$F$247,MATCH('Cost Bands for 2017 MFAM'!B91,'2015 Data Summary-Datalockdown'!$B$5:$B$247,0))</f>
        <v>0</v>
      </c>
      <c r="H91" s="7">
        <f t="shared" si="20"/>
        <v>38171.78</v>
      </c>
      <c r="I91" s="6">
        <f t="shared" si="21"/>
        <v>1532.3877960658369</v>
      </c>
      <c r="J91" s="6">
        <f t="shared" si="22"/>
        <v>940.2492921721589</v>
      </c>
      <c r="K91" s="5">
        <f t="shared" si="23"/>
        <v>23421.60986800848</v>
      </c>
      <c r="L91" s="4">
        <f t="shared" si="14"/>
        <v>0</v>
      </c>
      <c r="M91" s="2">
        <f t="shared" si="15"/>
        <v>605.76522091524942</v>
      </c>
      <c r="N91" s="1">
        <f t="shared" si="16"/>
        <v>45</v>
      </c>
      <c r="O91" s="3">
        <f t="shared" si="17"/>
        <v>858629.39677870623</v>
      </c>
      <c r="P91" s="2">
        <f t="shared" si="18"/>
        <v>260.99930759693552</v>
      </c>
      <c r="Q91" s="2">
        <f t="shared" si="24"/>
        <v>271.28114965833993</v>
      </c>
      <c r="R91" s="2">
        <f t="shared" si="24"/>
        <v>940.2492921721589</v>
      </c>
      <c r="S91" s="2">
        <f t="shared" si="19"/>
        <v>940.2492921721589</v>
      </c>
    </row>
    <row r="92" spans="2:19" x14ac:dyDescent="0.25">
      <c r="B92" s="10">
        <v>888</v>
      </c>
      <c r="C92" s="10">
        <v>6</v>
      </c>
      <c r="D92" s="9" t="s">
        <v>210</v>
      </c>
      <c r="E92" s="8">
        <f>INDEX('From 2015 DataLockdown'!$M$5:$M$247,MATCH('Cost Bands for 2017 MFAM'!B92,'From 2015 DataLockdown'!$A$5:$A$247,0))</f>
        <v>89.094669903086427</v>
      </c>
      <c r="F92" s="7">
        <f>INDEX('2015 Data Summary-Datalockdown'!$E$5:$E$247,MATCH('Cost Bands for 2017 MFAM'!B92,'2015 Data Summary-Datalockdown'!$B$5:$B$247,0))</f>
        <v>45768.89</v>
      </c>
      <c r="G92" s="7">
        <f>INDEX('2015 Data Summary-Datalockdown'!$F$5:$F$247,MATCH('Cost Bands for 2017 MFAM'!B92,'2015 Data Summary-Datalockdown'!$B$5:$B$247,0))</f>
        <v>0</v>
      </c>
      <c r="H92" s="7">
        <f t="shared" si="20"/>
        <v>45768.89</v>
      </c>
      <c r="I92" s="6">
        <f t="shared" si="21"/>
        <v>513.71075340180892</v>
      </c>
      <c r="J92" s="6">
        <f t="shared" si="22"/>
        <v>513.71075340180892</v>
      </c>
      <c r="K92" s="5">
        <f t="shared" si="23"/>
        <v>45768.89</v>
      </c>
      <c r="L92" s="4">
        <f t="shared" si="14"/>
        <v>0</v>
      </c>
      <c r="M92" s="2">
        <f t="shared" si="15"/>
        <v>605.76522091524942</v>
      </c>
      <c r="N92" s="1">
        <f t="shared" si="16"/>
        <v>45</v>
      </c>
      <c r="O92" s="3">
        <f t="shared" si="17"/>
        <v>8474.0249891830717</v>
      </c>
      <c r="P92" s="2">
        <f t="shared" si="18"/>
        <v>260.99930759693552</v>
      </c>
      <c r="Q92" s="2">
        <f t="shared" si="24"/>
        <v>271.28114965833993</v>
      </c>
      <c r="R92" s="2">
        <f t="shared" si="24"/>
        <v>940.2492921721589</v>
      </c>
      <c r="S92" s="2">
        <f t="shared" si="19"/>
        <v>513.71075340180892</v>
      </c>
    </row>
    <row r="93" spans="2:19" x14ac:dyDescent="0.25">
      <c r="B93" s="10">
        <v>889</v>
      </c>
      <c r="C93" s="10">
        <v>6</v>
      </c>
      <c r="D93" s="9" t="s">
        <v>211</v>
      </c>
      <c r="E93" s="8">
        <f>INDEX('From 2015 DataLockdown'!$M$5:$M$247,MATCH('Cost Bands for 2017 MFAM'!B93,'From 2015 DataLockdown'!$A$5:$A$247,0))</f>
        <v>81.354366620670746</v>
      </c>
      <c r="F93" s="7">
        <f>INDEX('2015 Data Summary-Datalockdown'!$E$5:$E$247,MATCH('Cost Bands for 2017 MFAM'!B93,'2015 Data Summary-Datalockdown'!$B$5:$B$247,0))</f>
        <v>46246.58</v>
      </c>
      <c r="G93" s="7">
        <f>INDEX('2015 Data Summary-Datalockdown'!$F$5:$F$247,MATCH('Cost Bands for 2017 MFAM'!B93,'2015 Data Summary-Datalockdown'!$B$5:$B$247,0))</f>
        <v>0</v>
      </c>
      <c r="H93" s="7">
        <f t="shared" si="20"/>
        <v>46246.58</v>
      </c>
      <c r="I93" s="6">
        <f t="shared" si="21"/>
        <v>568.45848503292927</v>
      </c>
      <c r="J93" s="6">
        <f t="shared" si="22"/>
        <v>568.45848503292927</v>
      </c>
      <c r="K93" s="5">
        <f t="shared" si="23"/>
        <v>46246.58</v>
      </c>
      <c r="L93" s="4">
        <f t="shared" si="14"/>
        <v>0</v>
      </c>
      <c r="M93" s="2">
        <f t="shared" si="15"/>
        <v>605.76522091524942</v>
      </c>
      <c r="N93" s="1">
        <f t="shared" si="16"/>
        <v>45</v>
      </c>
      <c r="O93" s="3">
        <f t="shared" si="17"/>
        <v>1391.7925421931932</v>
      </c>
      <c r="P93" s="2">
        <f t="shared" si="18"/>
        <v>260.99930759693552</v>
      </c>
      <c r="Q93" s="2">
        <f t="shared" si="24"/>
        <v>271.28114965833993</v>
      </c>
      <c r="R93" s="2">
        <f t="shared" si="24"/>
        <v>940.2492921721589</v>
      </c>
      <c r="S93" s="2">
        <f t="shared" si="19"/>
        <v>568.45848503292927</v>
      </c>
    </row>
    <row r="94" spans="2:19" x14ac:dyDescent="0.25">
      <c r="B94" s="10">
        <v>891</v>
      </c>
      <c r="C94" s="10">
        <v>6</v>
      </c>
      <c r="D94" s="9" t="s">
        <v>212</v>
      </c>
      <c r="E94" s="8">
        <f>INDEX('From 2015 DataLockdown'!$M$5:$M$247,MATCH('Cost Bands for 2017 MFAM'!B94,'From 2015 DataLockdown'!$A$5:$A$247,0))</f>
        <v>336.22795096477125</v>
      </c>
      <c r="F94" s="7">
        <f>INDEX('2015 Data Summary-Datalockdown'!$E$5:$E$247,MATCH('Cost Bands for 2017 MFAM'!B94,'2015 Data Summary-Datalockdown'!$B$5:$B$247,0))</f>
        <v>78021.55</v>
      </c>
      <c r="G94" s="7">
        <f>INDEX('2015 Data Summary-Datalockdown'!$F$5:$F$247,MATCH('Cost Bands for 2017 MFAM'!B94,'2015 Data Summary-Datalockdown'!$B$5:$B$247,0))</f>
        <v>0</v>
      </c>
      <c r="H94" s="7">
        <f t="shared" si="20"/>
        <v>78021.55</v>
      </c>
      <c r="I94" s="6">
        <f t="shared" si="21"/>
        <v>232.04956570720921</v>
      </c>
      <c r="J94" s="6">
        <f t="shared" si="22"/>
        <v>232.04956570720921</v>
      </c>
      <c r="K94" s="5">
        <f t="shared" si="23"/>
        <v>78021.55</v>
      </c>
      <c r="L94" s="4">
        <f t="shared" si="14"/>
        <v>0</v>
      </c>
      <c r="M94" s="2">
        <f t="shared" si="15"/>
        <v>605.76522091524942</v>
      </c>
      <c r="N94" s="1">
        <f t="shared" si="16"/>
        <v>45</v>
      </c>
      <c r="O94" s="3">
        <f t="shared" si="17"/>
        <v>139663.39094757478</v>
      </c>
      <c r="P94" s="2">
        <f t="shared" si="18"/>
        <v>260.99930759693552</v>
      </c>
      <c r="Q94" s="2">
        <f t="shared" si="24"/>
        <v>271.28114965833993</v>
      </c>
      <c r="R94" s="2">
        <f t="shared" si="24"/>
        <v>940.2492921721589</v>
      </c>
      <c r="S94" s="2">
        <f t="shared" si="19"/>
        <v>271.28114965833993</v>
      </c>
    </row>
    <row r="95" spans="2:19" x14ac:dyDescent="0.25">
      <c r="B95" s="10">
        <v>904</v>
      </c>
      <c r="C95" s="10">
        <v>6</v>
      </c>
      <c r="D95" s="9" t="s">
        <v>213</v>
      </c>
      <c r="E95" s="8">
        <f>INDEX('From 2015 DataLockdown'!$M$5:$M$247,MATCH('Cost Bands for 2017 MFAM'!B95,'From 2015 DataLockdown'!$A$5:$A$247,0))</f>
        <v>29.131410814890497</v>
      </c>
      <c r="F95" s="7">
        <f>INDEX('2015 Data Summary-Datalockdown'!$E$5:$E$247,MATCH('Cost Bands for 2017 MFAM'!B95,'2015 Data Summary-Datalockdown'!$B$5:$B$247,0))</f>
        <v>14975.79</v>
      </c>
      <c r="G95" s="7">
        <f>INDEX('2015 Data Summary-Datalockdown'!$F$5:$F$247,MATCH('Cost Bands for 2017 MFAM'!B95,'2015 Data Summary-Datalockdown'!$B$5:$B$247,0))</f>
        <v>0</v>
      </c>
      <c r="H95" s="7">
        <f t="shared" si="20"/>
        <v>14975.79</v>
      </c>
      <c r="I95" s="6">
        <f t="shared" si="21"/>
        <v>514.07705912908068</v>
      </c>
      <c r="J95" s="6">
        <f t="shared" si="22"/>
        <v>514.07705912908068</v>
      </c>
      <c r="K95" s="5">
        <f t="shared" si="23"/>
        <v>14975.790000000003</v>
      </c>
      <c r="L95" s="4">
        <f t="shared" si="14"/>
        <v>0</v>
      </c>
      <c r="M95" s="2">
        <f t="shared" si="15"/>
        <v>605.76522091524942</v>
      </c>
      <c r="N95" s="1">
        <f t="shared" si="16"/>
        <v>45</v>
      </c>
      <c r="O95" s="3">
        <f t="shared" si="17"/>
        <v>8406.7190117266528</v>
      </c>
      <c r="P95" s="2">
        <f t="shared" si="18"/>
        <v>260.99930759693552</v>
      </c>
      <c r="Q95" s="2">
        <f t="shared" si="24"/>
        <v>271.28114965833993</v>
      </c>
      <c r="R95" s="2">
        <f t="shared" si="24"/>
        <v>940.2492921721589</v>
      </c>
      <c r="S95" s="2">
        <f t="shared" si="19"/>
        <v>514.07705912908068</v>
      </c>
    </row>
    <row r="96" spans="2:19" x14ac:dyDescent="0.25">
      <c r="B96" s="10">
        <v>906</v>
      </c>
      <c r="C96" s="10">
        <v>6</v>
      </c>
      <c r="D96" s="9" t="s">
        <v>214</v>
      </c>
      <c r="E96" s="8">
        <f>INDEX('From 2015 DataLockdown'!$M$5:$M$247,MATCH('Cost Bands for 2017 MFAM'!B96,'From 2015 DataLockdown'!$A$5:$A$247,0))</f>
        <v>232.99</v>
      </c>
      <c r="F96" s="7">
        <f>INDEX('2015 Data Summary-Datalockdown'!$E$5:$E$247,MATCH('Cost Bands for 2017 MFAM'!B96,'2015 Data Summary-Datalockdown'!$B$5:$B$247,0))</f>
        <v>136919.84</v>
      </c>
      <c r="G96" s="7">
        <f>INDEX('2015 Data Summary-Datalockdown'!$F$5:$F$247,MATCH('Cost Bands for 2017 MFAM'!B96,'2015 Data Summary-Datalockdown'!$B$5:$B$247,0))</f>
        <v>175</v>
      </c>
      <c r="H96" s="7">
        <f t="shared" si="20"/>
        <v>136744.84</v>
      </c>
      <c r="I96" s="6">
        <f t="shared" si="21"/>
        <v>586.91291471736986</v>
      </c>
      <c r="J96" s="6">
        <f t="shared" si="22"/>
        <v>586.91291471736986</v>
      </c>
      <c r="K96" s="5">
        <f t="shared" si="23"/>
        <v>136744.84</v>
      </c>
      <c r="L96" s="4">
        <f t="shared" si="14"/>
        <v>0</v>
      </c>
      <c r="M96" s="2">
        <f t="shared" si="15"/>
        <v>605.76522091524942</v>
      </c>
      <c r="N96" s="1">
        <f t="shared" si="16"/>
        <v>45</v>
      </c>
      <c r="O96" s="3">
        <f t="shared" si="17"/>
        <v>355.40944897860794</v>
      </c>
      <c r="P96" s="2">
        <f t="shared" si="18"/>
        <v>260.99930759693552</v>
      </c>
      <c r="Q96" s="2">
        <f t="shared" si="24"/>
        <v>271.28114965833993</v>
      </c>
      <c r="R96" s="2">
        <f t="shared" si="24"/>
        <v>940.2492921721589</v>
      </c>
      <c r="S96" s="2">
        <f t="shared" si="19"/>
        <v>586.91291471736986</v>
      </c>
    </row>
    <row r="97" spans="2:19" x14ac:dyDescent="0.25">
      <c r="B97" s="10">
        <v>917</v>
      </c>
      <c r="C97" s="10">
        <v>6</v>
      </c>
      <c r="D97" s="9" t="s">
        <v>215</v>
      </c>
      <c r="E97" s="8">
        <f>INDEX('From 2015 DataLockdown'!$M$5:$M$247,MATCH('Cost Bands for 2017 MFAM'!B97,'From 2015 DataLockdown'!$A$5:$A$247,0))</f>
        <v>61.484083402581376</v>
      </c>
      <c r="F97" s="7">
        <f>INDEX('2015 Data Summary-Datalockdown'!$E$5:$E$247,MATCH('Cost Bands for 2017 MFAM'!B97,'2015 Data Summary-Datalockdown'!$B$5:$B$247,0))</f>
        <v>55133.82</v>
      </c>
      <c r="G97" s="7">
        <f>INDEX('2015 Data Summary-Datalockdown'!$F$5:$F$247,MATCH('Cost Bands for 2017 MFAM'!B97,'2015 Data Summary-Datalockdown'!$B$5:$B$247,0))</f>
        <v>0</v>
      </c>
      <c r="H97" s="7">
        <f t="shared" si="20"/>
        <v>55133.82</v>
      </c>
      <c r="I97" s="6">
        <f t="shared" si="21"/>
        <v>896.71695419119214</v>
      </c>
      <c r="J97" s="6">
        <f t="shared" si="22"/>
        <v>896.71695419119214</v>
      </c>
      <c r="K97" s="5">
        <f t="shared" si="23"/>
        <v>55133.82</v>
      </c>
      <c r="L97" s="4">
        <f t="shared" si="14"/>
        <v>0</v>
      </c>
      <c r="M97" s="2">
        <f t="shared" si="15"/>
        <v>605.76522091524942</v>
      </c>
      <c r="N97" s="1">
        <f t="shared" si="16"/>
        <v>45</v>
      </c>
      <c r="O97" s="3">
        <f t="shared" si="17"/>
        <v>84652.911096275318</v>
      </c>
      <c r="P97" s="2">
        <f t="shared" si="18"/>
        <v>260.99930759693552</v>
      </c>
      <c r="Q97" s="2">
        <f t="shared" si="24"/>
        <v>271.28114965833993</v>
      </c>
      <c r="R97" s="2">
        <f t="shared" si="24"/>
        <v>940.2492921721589</v>
      </c>
      <c r="S97" s="2">
        <f t="shared" si="19"/>
        <v>896.71695419119214</v>
      </c>
    </row>
    <row r="98" spans="2:19" x14ac:dyDescent="0.25">
      <c r="B98" s="10">
        <v>957</v>
      </c>
      <c r="C98" s="10">
        <v>6</v>
      </c>
      <c r="D98" s="9" t="s">
        <v>216</v>
      </c>
      <c r="E98" s="8">
        <f>INDEX('From 2015 DataLockdown'!$M$5:$M$247,MATCH('Cost Bands for 2017 MFAM'!B98,'From 2015 DataLockdown'!$A$5:$A$247,0))</f>
        <v>100.7693301237677</v>
      </c>
      <c r="F98" s="7">
        <f>INDEX('2015 Data Summary-Datalockdown'!$E$5:$E$247,MATCH('Cost Bands for 2017 MFAM'!B98,'2015 Data Summary-Datalockdown'!$B$5:$B$247,0))</f>
        <v>34702.080000000002</v>
      </c>
      <c r="G98" s="7">
        <f>INDEX('2015 Data Summary-Datalockdown'!$F$5:$F$247,MATCH('Cost Bands for 2017 MFAM'!B98,'2015 Data Summary-Datalockdown'!$B$5:$B$247,0))</f>
        <v>0</v>
      </c>
      <c r="H98" s="7">
        <f t="shared" si="20"/>
        <v>34702.080000000002</v>
      </c>
      <c r="I98" s="6">
        <f t="shared" si="21"/>
        <v>344.37144672270756</v>
      </c>
      <c r="J98" s="6">
        <f t="shared" si="22"/>
        <v>344.37144672270756</v>
      </c>
      <c r="K98" s="5">
        <f t="shared" si="23"/>
        <v>34702.080000000002</v>
      </c>
      <c r="L98" s="4">
        <f t="shared" si="14"/>
        <v>0</v>
      </c>
      <c r="M98" s="2">
        <f t="shared" si="15"/>
        <v>605.76522091524942</v>
      </c>
      <c r="N98" s="1">
        <f t="shared" si="16"/>
        <v>45</v>
      </c>
      <c r="O98" s="3">
        <f t="shared" si="17"/>
        <v>68326.705186621562</v>
      </c>
      <c r="P98" s="2">
        <f t="shared" si="18"/>
        <v>260.99930759693552</v>
      </c>
      <c r="Q98" s="2">
        <f t="shared" si="24"/>
        <v>271.28114965833993</v>
      </c>
      <c r="R98" s="2">
        <f t="shared" si="24"/>
        <v>940.2492921721589</v>
      </c>
      <c r="S98" s="2">
        <f t="shared" si="19"/>
        <v>344.37144672270756</v>
      </c>
    </row>
    <row r="99" spans="2:19" x14ac:dyDescent="0.25">
      <c r="B99" s="10">
        <v>959</v>
      </c>
      <c r="C99" s="10">
        <v>6</v>
      </c>
      <c r="D99" s="9" t="s">
        <v>217</v>
      </c>
      <c r="E99" s="8">
        <f>INDEX('From 2015 DataLockdown'!$M$5:$M$247,MATCH('Cost Bands for 2017 MFAM'!B99,'From 2015 DataLockdown'!$A$5:$A$247,0))</f>
        <v>325.85513791920482</v>
      </c>
      <c r="F99" s="7">
        <f>INDEX('2015 Data Summary-Datalockdown'!$E$5:$E$247,MATCH('Cost Bands for 2017 MFAM'!B99,'2015 Data Summary-Datalockdown'!$B$5:$B$247,0))</f>
        <v>101044.32</v>
      </c>
      <c r="G99" s="7">
        <f>INDEX('2015 Data Summary-Datalockdown'!$F$5:$F$247,MATCH('Cost Bands for 2017 MFAM'!B99,'2015 Data Summary-Datalockdown'!$B$5:$B$247,0))</f>
        <v>328</v>
      </c>
      <c r="H99" s="7">
        <f t="shared" si="20"/>
        <v>100716.32</v>
      </c>
      <c r="I99" s="6">
        <f t="shared" si="21"/>
        <v>309.08311172608376</v>
      </c>
      <c r="J99" s="6">
        <f t="shared" si="22"/>
        <v>309.08311172608376</v>
      </c>
      <c r="K99" s="5">
        <f t="shared" si="23"/>
        <v>100716.32000000002</v>
      </c>
      <c r="L99" s="4">
        <f t="shared" si="14"/>
        <v>0</v>
      </c>
      <c r="M99" s="2">
        <f t="shared" si="15"/>
        <v>605.76522091524942</v>
      </c>
      <c r="N99" s="1">
        <f t="shared" si="16"/>
        <v>45</v>
      </c>
      <c r="O99" s="3">
        <f t="shared" si="17"/>
        <v>88020.273912932011</v>
      </c>
      <c r="P99" s="2">
        <f t="shared" si="18"/>
        <v>260.99930759693552</v>
      </c>
      <c r="Q99" s="2">
        <f t="shared" si="24"/>
        <v>271.28114965833993</v>
      </c>
      <c r="R99" s="2">
        <f t="shared" si="24"/>
        <v>940.2492921721589</v>
      </c>
      <c r="S99" s="2">
        <f t="shared" si="19"/>
        <v>309.08311172608376</v>
      </c>
    </row>
    <row r="100" spans="2:19" x14ac:dyDescent="0.25">
      <c r="B100" s="10">
        <v>969</v>
      </c>
      <c r="C100" s="10">
        <v>6</v>
      </c>
      <c r="D100" s="9" t="s">
        <v>218</v>
      </c>
      <c r="E100" s="8">
        <f>INDEX('From 2015 DataLockdown'!$M$5:$M$247,MATCH('Cost Bands for 2017 MFAM'!B100,'From 2015 DataLockdown'!$A$5:$A$247,0))</f>
        <v>17.594391748176051</v>
      </c>
      <c r="F100" s="7">
        <f>INDEX('2015 Data Summary-Datalockdown'!$E$5:$E$247,MATCH('Cost Bands for 2017 MFAM'!B100,'2015 Data Summary-Datalockdown'!$B$5:$B$247,0))</f>
        <v>31689.82</v>
      </c>
      <c r="G100" s="7">
        <f>INDEX('2015 Data Summary-Datalockdown'!$F$5:$F$247,MATCH('Cost Bands for 2017 MFAM'!B100,'2015 Data Summary-Datalockdown'!$B$5:$B$247,0))</f>
        <v>0</v>
      </c>
      <c r="H100" s="7">
        <f t="shared" si="20"/>
        <v>31689.82</v>
      </c>
      <c r="I100" s="6">
        <f t="shared" si="21"/>
        <v>1801.1318864310938</v>
      </c>
      <c r="J100" s="6">
        <f t="shared" si="22"/>
        <v>940.2492921721589</v>
      </c>
      <c r="K100" s="5">
        <f t="shared" si="23"/>
        <v>16543.114387422203</v>
      </c>
      <c r="L100" s="4">
        <f t="shared" si="14"/>
        <v>0</v>
      </c>
      <c r="M100" s="2">
        <f t="shared" si="15"/>
        <v>605.76522091524942</v>
      </c>
      <c r="N100" s="1">
        <f t="shared" si="16"/>
        <v>45</v>
      </c>
      <c r="O100" s="3">
        <f t="shared" si="17"/>
        <v>1428901.4650264687</v>
      </c>
      <c r="P100" s="2">
        <f t="shared" si="18"/>
        <v>260.99930759693552</v>
      </c>
      <c r="Q100" s="2">
        <f t="shared" si="24"/>
        <v>271.28114965833993</v>
      </c>
      <c r="R100" s="2">
        <f t="shared" si="24"/>
        <v>940.2492921721589</v>
      </c>
      <c r="S100" s="2">
        <f t="shared" si="19"/>
        <v>940.2492921721589</v>
      </c>
    </row>
    <row r="101" spans="2:19" x14ac:dyDescent="0.25">
      <c r="B101" s="10">
        <v>970</v>
      </c>
      <c r="C101" s="10">
        <v>6</v>
      </c>
      <c r="D101" s="9" t="s">
        <v>219</v>
      </c>
      <c r="E101" s="8">
        <f>INDEX('From 2015 DataLockdown'!$M$5:$M$247,MATCH('Cost Bands for 2017 MFAM'!B101,'From 2015 DataLockdown'!$A$5:$A$247,0))</f>
        <v>187.73478598165758</v>
      </c>
      <c r="F101" s="7">
        <f>INDEX('2015 Data Summary-Datalockdown'!$E$5:$E$247,MATCH('Cost Bands for 2017 MFAM'!B101,'2015 Data Summary-Datalockdown'!$B$5:$B$247,0))</f>
        <v>48374.13</v>
      </c>
      <c r="G101" s="7">
        <f>INDEX('2015 Data Summary-Datalockdown'!$F$5:$F$247,MATCH('Cost Bands for 2017 MFAM'!B101,'2015 Data Summary-Datalockdown'!$B$5:$B$247,0))</f>
        <v>119</v>
      </c>
      <c r="H101" s="7">
        <f t="shared" si="20"/>
        <v>48255.13</v>
      </c>
      <c r="I101" s="6">
        <f t="shared" si="21"/>
        <v>257.03883139012243</v>
      </c>
      <c r="J101" s="6">
        <f t="shared" si="22"/>
        <v>257.03883139012243</v>
      </c>
      <c r="K101" s="5">
        <f t="shared" si="23"/>
        <v>48255.130000000005</v>
      </c>
      <c r="L101" s="4">
        <f t="shared" si="14"/>
        <v>0</v>
      </c>
      <c r="M101" s="2">
        <f t="shared" si="15"/>
        <v>605.76522091524942</v>
      </c>
      <c r="N101" s="1">
        <f t="shared" si="16"/>
        <v>45</v>
      </c>
      <c r="O101" s="3">
        <f t="shared" si="17"/>
        <v>121610.0947512306</v>
      </c>
      <c r="P101" s="2">
        <f t="shared" si="18"/>
        <v>260.99930759693552</v>
      </c>
      <c r="Q101" s="2">
        <f t="shared" si="24"/>
        <v>271.28114965833993</v>
      </c>
      <c r="R101" s="2">
        <f t="shared" si="24"/>
        <v>940.2492921721589</v>
      </c>
      <c r="S101" s="2">
        <f t="shared" si="19"/>
        <v>271.28114965833993</v>
      </c>
    </row>
    <row r="102" spans="2:19" x14ac:dyDescent="0.25">
      <c r="B102" s="91">
        <v>980</v>
      </c>
      <c r="C102" s="91">
        <v>6</v>
      </c>
      <c r="D102" s="92" t="s">
        <v>220</v>
      </c>
      <c r="E102" s="8">
        <f>INDEX('From 2015 DataLockdown'!$M$5:$M$247,MATCH('Cost Bands for 2017 MFAM'!B102,'From 2015 DataLockdown'!$A$5:$A$247,0))</f>
        <v>45.920487119866451</v>
      </c>
      <c r="F102" s="7">
        <f>INDEX('2015 Data Summary-Datalockdown'!$E$5:$E$247,MATCH('Cost Bands for 2017 MFAM'!B102,'2015 Data Summary-Datalockdown'!$B$5:$B$247,0))</f>
        <v>22517.62</v>
      </c>
      <c r="G102" s="7">
        <f>INDEX('2015 Data Summary-Datalockdown'!$F$5:$F$247,MATCH('Cost Bands for 2017 MFAM'!B102,'2015 Data Summary-Datalockdown'!$B$5:$B$247,0))</f>
        <v>0</v>
      </c>
      <c r="H102" s="7">
        <f t="shared" si="20"/>
        <v>22517.62</v>
      </c>
      <c r="I102" s="6">
        <f t="shared" si="21"/>
        <v>490.36108744278249</v>
      </c>
      <c r="J102" s="6">
        <f t="shared" si="22"/>
        <v>490.36108744278249</v>
      </c>
      <c r="K102" s="5">
        <f t="shared" si="23"/>
        <v>22517.62</v>
      </c>
      <c r="L102" s="4">
        <f t="shared" si="14"/>
        <v>0</v>
      </c>
      <c r="M102" s="2">
        <f t="shared" si="15"/>
        <v>605.76522091524942</v>
      </c>
      <c r="N102" s="1">
        <f t="shared" si="16"/>
        <v>45</v>
      </c>
      <c r="O102" s="3">
        <f t="shared" si="17"/>
        <v>13318.114022530961</v>
      </c>
      <c r="P102" s="2">
        <f t="shared" si="18"/>
        <v>260.99930759693552</v>
      </c>
      <c r="Q102" s="2">
        <f t="shared" si="24"/>
        <v>271.28114965833993</v>
      </c>
      <c r="R102" s="2">
        <f t="shared" si="24"/>
        <v>940.2492921721589</v>
      </c>
      <c r="S102" s="2">
        <f t="shared" si="19"/>
        <v>490.36108744278249</v>
      </c>
    </row>
    <row r="103" spans="2:19" x14ac:dyDescent="0.25">
      <c r="B103" s="91">
        <v>986</v>
      </c>
      <c r="C103" s="91">
        <v>6</v>
      </c>
      <c r="D103" s="92" t="s">
        <v>221</v>
      </c>
      <c r="E103" s="8">
        <f>INDEX('From 2015 DataLockdown'!$M$5:$M$247,MATCH('Cost Bands for 2017 MFAM'!B103,'From 2015 DataLockdown'!$A$5:$A$247,0))</f>
        <v>15.143431703654015</v>
      </c>
      <c r="F103" s="7">
        <f>INDEX('2015 Data Summary-Datalockdown'!$E$5:$E$247,MATCH('Cost Bands for 2017 MFAM'!B103,'2015 Data Summary-Datalockdown'!$B$5:$B$247,0))</f>
        <v>23164.83</v>
      </c>
      <c r="G103" s="7">
        <f>INDEX('2015 Data Summary-Datalockdown'!$F$5:$F$247,MATCH('Cost Bands for 2017 MFAM'!B103,'2015 Data Summary-Datalockdown'!$B$5:$B$247,0))</f>
        <v>0</v>
      </c>
      <c r="H103" s="7">
        <f t="shared" si="20"/>
        <v>23164.83</v>
      </c>
      <c r="I103" s="6">
        <f t="shared" si="21"/>
        <v>1529.6948837832097</v>
      </c>
      <c r="J103" s="6">
        <f t="shared" si="22"/>
        <v>940.2492921721589</v>
      </c>
      <c r="K103" s="5">
        <f t="shared" si="23"/>
        <v>14238.600940418119</v>
      </c>
      <c r="L103" s="4">
        <f t="shared" si="14"/>
        <v>0</v>
      </c>
      <c r="M103" s="2">
        <f t="shared" si="15"/>
        <v>605.76522091524942</v>
      </c>
      <c r="N103" s="1">
        <f t="shared" si="16"/>
        <v>45</v>
      </c>
      <c r="O103" s="3">
        <f t="shared" si="17"/>
        <v>853646.0219273027</v>
      </c>
      <c r="P103" s="2">
        <f t="shared" si="18"/>
        <v>260.99930759693552</v>
      </c>
      <c r="Q103" s="2">
        <f t="shared" si="24"/>
        <v>271.28114965833993</v>
      </c>
      <c r="R103" s="2">
        <f t="shared" si="24"/>
        <v>940.2492921721589</v>
      </c>
      <c r="S103" s="2">
        <f t="shared" si="19"/>
        <v>940.2492921721589</v>
      </c>
    </row>
    <row r="104" spans="2:19" x14ac:dyDescent="0.25">
      <c r="B104" s="91">
        <v>988</v>
      </c>
      <c r="C104" s="91">
        <v>6</v>
      </c>
      <c r="D104" s="92" t="s">
        <v>222</v>
      </c>
      <c r="E104" s="8">
        <f>INDEX('From 2015 DataLockdown'!$M$5:$M$247,MATCH('Cost Bands for 2017 MFAM'!B104,'From 2015 DataLockdown'!$A$5:$A$247,0))</f>
        <v>112.1559493829518</v>
      </c>
      <c r="F104" s="7">
        <f>INDEX('2015 Data Summary-Datalockdown'!$E$5:$E$247,MATCH('Cost Bands for 2017 MFAM'!B104,'2015 Data Summary-Datalockdown'!$B$5:$B$247,0))</f>
        <v>52998.48</v>
      </c>
      <c r="G104" s="7">
        <f>INDEX('2015 Data Summary-Datalockdown'!$F$5:$F$247,MATCH('Cost Bands for 2017 MFAM'!B104,'2015 Data Summary-Datalockdown'!$B$5:$B$247,0))</f>
        <v>0</v>
      </c>
      <c r="H104" s="7">
        <f t="shared" si="20"/>
        <v>52998.48</v>
      </c>
      <c r="I104" s="6">
        <f t="shared" si="21"/>
        <v>472.54274331037857</v>
      </c>
      <c r="J104" s="6">
        <f t="shared" si="22"/>
        <v>472.54274331037857</v>
      </c>
      <c r="K104" s="5">
        <f t="shared" si="23"/>
        <v>52998.48</v>
      </c>
      <c r="L104" s="4">
        <f t="shared" si="14"/>
        <v>0</v>
      </c>
      <c r="M104" s="2">
        <f t="shared" si="15"/>
        <v>605.76522091524942</v>
      </c>
      <c r="N104" s="1">
        <f t="shared" si="16"/>
        <v>45</v>
      </c>
      <c r="O104" s="3">
        <f t="shared" si="17"/>
        <v>17748.228539180313</v>
      </c>
      <c r="P104" s="2">
        <f t="shared" si="18"/>
        <v>260.99930759693552</v>
      </c>
      <c r="Q104" s="2">
        <f t="shared" si="24"/>
        <v>271.28114965833993</v>
      </c>
      <c r="R104" s="2">
        <f t="shared" si="24"/>
        <v>940.2492921721589</v>
      </c>
      <c r="S104" s="2">
        <f t="shared" si="19"/>
        <v>472.54274331037857</v>
      </c>
    </row>
    <row r="105" spans="2:19" x14ac:dyDescent="0.25">
      <c r="B105" s="91">
        <v>989</v>
      </c>
      <c r="C105" s="91">
        <v>6</v>
      </c>
      <c r="D105" s="92" t="s">
        <v>223</v>
      </c>
      <c r="E105" s="8">
        <f>INDEX('From 2015 DataLockdown'!$M$5:$M$247,MATCH('Cost Bands for 2017 MFAM'!B105,'From 2015 DataLockdown'!$A$5:$A$247,0))</f>
        <v>483.30306049355437</v>
      </c>
      <c r="F105" s="7">
        <f>INDEX('2015 Data Summary-Datalockdown'!$E$5:$E$247,MATCH('Cost Bands for 2017 MFAM'!B105,'2015 Data Summary-Datalockdown'!$B$5:$B$247,0))</f>
        <v>285307.59000000003</v>
      </c>
      <c r="G105" s="7">
        <f>INDEX('2015 Data Summary-Datalockdown'!$F$5:$F$247,MATCH('Cost Bands for 2017 MFAM'!B105,'2015 Data Summary-Datalockdown'!$B$5:$B$247,0))</f>
        <v>16617.600000000002</v>
      </c>
      <c r="H105" s="7">
        <f t="shared" si="20"/>
        <v>268689.99000000005</v>
      </c>
      <c r="I105" s="6">
        <f t="shared" si="21"/>
        <v>555.94514490682286</v>
      </c>
      <c r="J105" s="6">
        <f t="shared" si="22"/>
        <v>555.94514490682286</v>
      </c>
      <c r="K105" s="5">
        <f t="shared" si="23"/>
        <v>268689.99000000005</v>
      </c>
      <c r="L105" s="4">
        <f t="shared" si="14"/>
        <v>0</v>
      </c>
      <c r="M105" s="2">
        <f t="shared" si="15"/>
        <v>605.76522091524942</v>
      </c>
      <c r="N105" s="1">
        <f t="shared" si="16"/>
        <v>45</v>
      </c>
      <c r="O105" s="3">
        <f t="shared" si="17"/>
        <v>2482.0399734853991</v>
      </c>
      <c r="P105" s="2">
        <f t="shared" si="18"/>
        <v>260.99930759693552</v>
      </c>
      <c r="Q105" s="2">
        <f t="shared" si="24"/>
        <v>271.28114965833993</v>
      </c>
      <c r="R105" s="2">
        <f t="shared" si="24"/>
        <v>940.2492921721589</v>
      </c>
      <c r="S105" s="2">
        <f t="shared" si="19"/>
        <v>555.94514490682286</v>
      </c>
    </row>
    <row r="106" spans="2:19" x14ac:dyDescent="0.25">
      <c r="B106" s="10">
        <v>39</v>
      </c>
      <c r="C106" s="10">
        <v>7</v>
      </c>
      <c r="D106" s="9" t="s">
        <v>224</v>
      </c>
      <c r="E106" s="8">
        <f>INDEX('From 2015 DataLockdown'!$M$5:$M$247,MATCH('Cost Bands for 2017 MFAM'!B106,'From 2015 DataLockdown'!$A$5:$A$247,0))</f>
        <v>372.70348848449748</v>
      </c>
      <c r="F106" s="7">
        <f>INDEX('2015 Data Summary-Datalockdown'!$E$5:$E$247,MATCH('Cost Bands for 2017 MFAM'!B106,'2015 Data Summary-Datalockdown'!$B$5:$B$247,0))</f>
        <v>114903.92</v>
      </c>
      <c r="G106" s="7">
        <f>INDEX('2015 Data Summary-Datalockdown'!$F$5:$F$247,MATCH('Cost Bands for 2017 MFAM'!B106,'2015 Data Summary-Datalockdown'!$B$5:$B$247,0))</f>
        <v>3164.92</v>
      </c>
      <c r="H106" s="7">
        <f t="shared" si="20"/>
        <v>111739</v>
      </c>
      <c r="I106" s="6">
        <f t="shared" si="21"/>
        <v>299.80669205527909</v>
      </c>
      <c r="J106" s="6">
        <f t="shared" si="22"/>
        <v>299.80669205527909</v>
      </c>
      <c r="K106" s="5">
        <f t="shared" si="23"/>
        <v>111738.99999999999</v>
      </c>
      <c r="L106" s="4">
        <f t="shared" si="14"/>
        <v>0</v>
      </c>
      <c r="M106" s="2">
        <f t="shared" si="15"/>
        <v>427.24485894517835</v>
      </c>
      <c r="N106" s="1">
        <f t="shared" si="16"/>
        <v>62</v>
      </c>
      <c r="O106" s="3">
        <f t="shared" si="17"/>
        <v>16240.486380257817</v>
      </c>
      <c r="P106" s="2">
        <f t="shared" si="18"/>
        <v>189.09318607411561</v>
      </c>
      <c r="Q106" s="2">
        <f t="shared" ref="Q106:R125" si="25">NORMINV(Q$4,$M106,$P106)</f>
        <v>184.91219029807903</v>
      </c>
      <c r="R106" s="2">
        <f t="shared" si="25"/>
        <v>669.57752759227765</v>
      </c>
      <c r="S106" s="2">
        <f t="shared" si="19"/>
        <v>299.80669205527909</v>
      </c>
    </row>
    <row r="107" spans="2:19" x14ac:dyDescent="0.25">
      <c r="B107" s="10">
        <v>59</v>
      </c>
      <c r="C107" s="10">
        <v>7</v>
      </c>
      <c r="D107" s="9" t="s">
        <v>225</v>
      </c>
      <c r="E107" s="8">
        <f>INDEX('From 2015 DataLockdown'!$M$5:$M$247,MATCH('Cost Bands for 2017 MFAM'!B107,'From 2015 DataLockdown'!$A$5:$A$247,0))</f>
        <v>247.85333450229101</v>
      </c>
      <c r="F107" s="7">
        <f>INDEX('2015 Data Summary-Datalockdown'!$E$5:$E$247,MATCH('Cost Bands for 2017 MFAM'!B107,'2015 Data Summary-Datalockdown'!$B$5:$B$247,0))</f>
        <v>160920.20000000001</v>
      </c>
      <c r="G107" s="7">
        <f>INDEX('2015 Data Summary-Datalockdown'!$F$5:$F$247,MATCH('Cost Bands for 2017 MFAM'!B107,'2015 Data Summary-Datalockdown'!$B$5:$B$247,0))</f>
        <v>0</v>
      </c>
      <c r="H107" s="7">
        <f t="shared" si="20"/>
        <v>160920.20000000001</v>
      </c>
      <c r="I107" s="6">
        <f t="shared" si="21"/>
        <v>649.25573958139569</v>
      </c>
      <c r="J107" s="6">
        <f t="shared" si="22"/>
        <v>649.25573958139569</v>
      </c>
      <c r="K107" s="5">
        <f t="shared" si="23"/>
        <v>160920.20000000001</v>
      </c>
      <c r="L107" s="4">
        <f t="shared" si="14"/>
        <v>0</v>
      </c>
      <c r="M107" s="2">
        <f t="shared" si="15"/>
        <v>427.24485894517835</v>
      </c>
      <c r="N107" s="1">
        <f t="shared" si="16"/>
        <v>62</v>
      </c>
      <c r="O107" s="3">
        <f t="shared" si="17"/>
        <v>49288.831120868745</v>
      </c>
      <c r="P107" s="2">
        <f t="shared" si="18"/>
        <v>189.09318607411561</v>
      </c>
      <c r="Q107" s="2">
        <f t="shared" si="25"/>
        <v>184.91219029807903</v>
      </c>
      <c r="R107" s="2">
        <f t="shared" si="25"/>
        <v>669.57752759227765</v>
      </c>
      <c r="S107" s="2">
        <f t="shared" si="19"/>
        <v>649.25573958139569</v>
      </c>
    </row>
    <row r="108" spans="2:19" x14ac:dyDescent="0.25">
      <c r="B108" s="10">
        <v>128</v>
      </c>
      <c r="C108" s="10">
        <v>7</v>
      </c>
      <c r="D108" s="9" t="s">
        <v>226</v>
      </c>
      <c r="E108" s="8">
        <f>INDEX('From 2015 DataLockdown'!$M$5:$M$247,MATCH('Cost Bands for 2017 MFAM'!B108,'From 2015 DataLockdown'!$A$5:$A$247,0))</f>
        <v>172.95024485595147</v>
      </c>
      <c r="F108" s="7">
        <f>INDEX('2015 Data Summary-Datalockdown'!$E$5:$E$247,MATCH('Cost Bands for 2017 MFAM'!B108,'2015 Data Summary-Datalockdown'!$B$5:$B$247,0))</f>
        <v>77051.09</v>
      </c>
      <c r="G108" s="7">
        <f>INDEX('2015 Data Summary-Datalockdown'!$F$5:$F$247,MATCH('Cost Bands for 2017 MFAM'!B108,'2015 Data Summary-Datalockdown'!$B$5:$B$247,0))</f>
        <v>182.92</v>
      </c>
      <c r="H108" s="7">
        <f t="shared" si="20"/>
        <v>76868.17</v>
      </c>
      <c r="I108" s="6">
        <f t="shared" si="21"/>
        <v>444.45250750597506</v>
      </c>
      <c r="J108" s="6">
        <f t="shared" si="22"/>
        <v>444.45250750597506</v>
      </c>
      <c r="K108" s="5">
        <f t="shared" si="23"/>
        <v>76868.17</v>
      </c>
      <c r="L108" s="4">
        <f t="shared" si="14"/>
        <v>0</v>
      </c>
      <c r="M108" s="2">
        <f t="shared" si="15"/>
        <v>427.24485894517835</v>
      </c>
      <c r="N108" s="1">
        <f t="shared" si="16"/>
        <v>62</v>
      </c>
      <c r="O108" s="3">
        <f t="shared" si="17"/>
        <v>296.10316899188916</v>
      </c>
      <c r="P108" s="2">
        <f t="shared" si="18"/>
        <v>189.09318607411561</v>
      </c>
      <c r="Q108" s="2">
        <f t="shared" si="25"/>
        <v>184.91219029807903</v>
      </c>
      <c r="R108" s="2">
        <f t="shared" si="25"/>
        <v>669.57752759227765</v>
      </c>
      <c r="S108" s="2">
        <f t="shared" si="19"/>
        <v>444.45250750597506</v>
      </c>
    </row>
    <row r="109" spans="2:19" x14ac:dyDescent="0.25">
      <c r="B109" s="10">
        <v>152</v>
      </c>
      <c r="C109" s="10">
        <v>7</v>
      </c>
      <c r="D109" s="9" t="s">
        <v>227</v>
      </c>
      <c r="E109" s="8">
        <f>INDEX('From 2015 DataLockdown'!$M$5:$M$247,MATCH('Cost Bands for 2017 MFAM'!B109,'From 2015 DataLockdown'!$A$5:$A$247,0))</f>
        <v>370.42759701458414</v>
      </c>
      <c r="F109" s="7">
        <f>INDEX('2015 Data Summary-Datalockdown'!$E$5:$E$247,MATCH('Cost Bands for 2017 MFAM'!B109,'2015 Data Summary-Datalockdown'!$B$5:$B$247,0))</f>
        <v>162196.94</v>
      </c>
      <c r="G109" s="7">
        <f>INDEX('2015 Data Summary-Datalockdown'!$F$5:$F$247,MATCH('Cost Bands for 2017 MFAM'!B109,'2015 Data Summary-Datalockdown'!$B$5:$B$247,0))</f>
        <v>0</v>
      </c>
      <c r="H109" s="7">
        <f t="shared" si="20"/>
        <v>162196.94</v>
      </c>
      <c r="I109" s="6">
        <f t="shared" si="21"/>
        <v>437.86408277138742</v>
      </c>
      <c r="J109" s="6">
        <f t="shared" si="22"/>
        <v>437.86408277138742</v>
      </c>
      <c r="K109" s="5">
        <f t="shared" si="23"/>
        <v>162196.94</v>
      </c>
      <c r="L109" s="4">
        <f t="shared" si="14"/>
        <v>0</v>
      </c>
      <c r="M109" s="2">
        <f t="shared" si="15"/>
        <v>427.24485894517835</v>
      </c>
      <c r="N109" s="1">
        <f t="shared" si="16"/>
        <v>62</v>
      </c>
      <c r="O109" s="3">
        <f t="shared" si="17"/>
        <v>112.76791467112631</v>
      </c>
      <c r="P109" s="2">
        <f t="shared" si="18"/>
        <v>189.09318607411561</v>
      </c>
      <c r="Q109" s="2">
        <f t="shared" si="25"/>
        <v>184.91219029807903</v>
      </c>
      <c r="R109" s="2">
        <f t="shared" si="25"/>
        <v>669.57752759227765</v>
      </c>
      <c r="S109" s="2">
        <f t="shared" si="19"/>
        <v>437.86408277138742</v>
      </c>
    </row>
    <row r="110" spans="2:19" x14ac:dyDescent="0.25">
      <c r="B110" s="10">
        <v>162</v>
      </c>
      <c r="C110" s="10">
        <v>7</v>
      </c>
      <c r="D110" s="9" t="s">
        <v>228</v>
      </c>
      <c r="E110" s="8">
        <f>INDEX('From 2015 DataLockdown'!$M$5:$M$247,MATCH('Cost Bands for 2017 MFAM'!B110,'From 2015 DataLockdown'!$A$5:$A$247,0))</f>
        <v>925.54</v>
      </c>
      <c r="F110" s="7">
        <f>INDEX('2015 Data Summary-Datalockdown'!$E$5:$E$247,MATCH('Cost Bands for 2017 MFAM'!B110,'2015 Data Summary-Datalockdown'!$B$5:$B$247,0))</f>
        <v>316809.21999999997</v>
      </c>
      <c r="G110" s="7">
        <f>INDEX('2015 Data Summary-Datalockdown'!$F$5:$F$247,MATCH('Cost Bands for 2017 MFAM'!B110,'2015 Data Summary-Datalockdown'!$B$5:$B$247,0))</f>
        <v>14325.53</v>
      </c>
      <c r="H110" s="7">
        <f t="shared" si="20"/>
        <v>302483.68999999994</v>
      </c>
      <c r="I110" s="6">
        <f t="shared" si="21"/>
        <v>326.81860319381116</v>
      </c>
      <c r="J110" s="6">
        <f t="shared" si="22"/>
        <v>326.81860319381116</v>
      </c>
      <c r="K110" s="5">
        <f t="shared" si="23"/>
        <v>302483.68999999994</v>
      </c>
      <c r="L110" s="4">
        <f t="shared" si="14"/>
        <v>0</v>
      </c>
      <c r="M110" s="2">
        <f t="shared" si="15"/>
        <v>427.24485894517835</v>
      </c>
      <c r="N110" s="1">
        <f t="shared" si="16"/>
        <v>62</v>
      </c>
      <c r="O110" s="3">
        <f t="shared" si="17"/>
        <v>10085.432844239012</v>
      </c>
      <c r="P110" s="2">
        <f t="shared" si="18"/>
        <v>189.09318607411561</v>
      </c>
      <c r="Q110" s="2">
        <f t="shared" si="25"/>
        <v>184.91219029807903</v>
      </c>
      <c r="R110" s="2">
        <f t="shared" si="25"/>
        <v>669.57752759227765</v>
      </c>
      <c r="S110" s="2">
        <f t="shared" si="19"/>
        <v>326.81860319381116</v>
      </c>
    </row>
    <row r="111" spans="2:19" x14ac:dyDescent="0.25">
      <c r="B111" s="10">
        <v>166</v>
      </c>
      <c r="C111" s="10">
        <v>7</v>
      </c>
      <c r="D111" s="9" t="s">
        <v>229</v>
      </c>
      <c r="E111" s="8">
        <f>INDEX('From 2015 DataLockdown'!$M$5:$M$247,MATCH('Cost Bands for 2017 MFAM'!B111,'From 2015 DataLockdown'!$A$5:$A$247,0))</f>
        <v>952.14999999999986</v>
      </c>
      <c r="F111" s="7">
        <f>INDEX('2015 Data Summary-Datalockdown'!$E$5:$E$247,MATCH('Cost Bands for 2017 MFAM'!B111,'2015 Data Summary-Datalockdown'!$B$5:$B$247,0))</f>
        <v>419870.21</v>
      </c>
      <c r="G111" s="7">
        <f>INDEX('2015 Data Summary-Datalockdown'!$F$5:$F$247,MATCH('Cost Bands for 2017 MFAM'!B111,'2015 Data Summary-Datalockdown'!$B$5:$B$247,0))</f>
        <v>111709.12000000001</v>
      </c>
      <c r="H111" s="7">
        <f t="shared" si="20"/>
        <v>308161.09000000003</v>
      </c>
      <c r="I111" s="6">
        <f t="shared" si="21"/>
        <v>323.64762905004471</v>
      </c>
      <c r="J111" s="6">
        <f t="shared" si="22"/>
        <v>323.64762905004471</v>
      </c>
      <c r="K111" s="5">
        <f t="shared" si="23"/>
        <v>308161.09000000003</v>
      </c>
      <c r="L111" s="4">
        <f t="shared" si="14"/>
        <v>0</v>
      </c>
      <c r="M111" s="2">
        <f t="shared" si="15"/>
        <v>427.24485894517835</v>
      </c>
      <c r="N111" s="1">
        <f t="shared" si="16"/>
        <v>62</v>
      </c>
      <c r="O111" s="3">
        <f t="shared" si="17"/>
        <v>10732.38604194517</v>
      </c>
      <c r="P111" s="2">
        <f t="shared" si="18"/>
        <v>189.09318607411561</v>
      </c>
      <c r="Q111" s="2">
        <f t="shared" si="25"/>
        <v>184.91219029807903</v>
      </c>
      <c r="R111" s="2">
        <f t="shared" si="25"/>
        <v>669.57752759227765</v>
      </c>
      <c r="S111" s="2">
        <f t="shared" si="19"/>
        <v>323.64762905004471</v>
      </c>
    </row>
    <row r="112" spans="2:19" x14ac:dyDescent="0.25">
      <c r="B112" s="10">
        <v>192</v>
      </c>
      <c r="C112" s="10">
        <v>7</v>
      </c>
      <c r="D112" s="9" t="s">
        <v>230</v>
      </c>
      <c r="E112" s="8">
        <f>INDEX('From 2015 DataLockdown'!$M$5:$M$247,MATCH('Cost Bands for 2017 MFAM'!B112,'From 2015 DataLockdown'!$A$5:$A$247,0))</f>
        <v>157.17999999999998</v>
      </c>
      <c r="F112" s="7">
        <f>INDEX('2015 Data Summary-Datalockdown'!$E$5:$E$247,MATCH('Cost Bands for 2017 MFAM'!B112,'2015 Data Summary-Datalockdown'!$B$5:$B$247,0))</f>
        <v>75612.77</v>
      </c>
      <c r="G112" s="7">
        <f>INDEX('2015 Data Summary-Datalockdown'!$F$5:$F$247,MATCH('Cost Bands for 2017 MFAM'!B112,'2015 Data Summary-Datalockdown'!$B$5:$B$247,0))</f>
        <v>12446.72</v>
      </c>
      <c r="H112" s="7">
        <f t="shared" si="20"/>
        <v>63166.05</v>
      </c>
      <c r="I112" s="6">
        <f t="shared" si="21"/>
        <v>401.87078508716127</v>
      </c>
      <c r="J112" s="6">
        <f t="shared" si="22"/>
        <v>401.87078508716127</v>
      </c>
      <c r="K112" s="5">
        <f t="shared" si="23"/>
        <v>63166.049999999996</v>
      </c>
      <c r="L112" s="4">
        <f t="shared" si="14"/>
        <v>0</v>
      </c>
      <c r="M112" s="2">
        <f t="shared" si="15"/>
        <v>427.24485894517835</v>
      </c>
      <c r="N112" s="1">
        <f t="shared" si="16"/>
        <v>62</v>
      </c>
      <c r="O112" s="3">
        <f t="shared" si="17"/>
        <v>643.84362415210603</v>
      </c>
      <c r="P112" s="2">
        <f t="shared" si="18"/>
        <v>189.09318607411561</v>
      </c>
      <c r="Q112" s="2">
        <f t="shared" si="25"/>
        <v>184.91219029807903</v>
      </c>
      <c r="R112" s="2">
        <f t="shared" si="25"/>
        <v>669.57752759227765</v>
      </c>
      <c r="S112" s="2">
        <f t="shared" si="19"/>
        <v>401.87078508716127</v>
      </c>
    </row>
    <row r="113" spans="2:19" x14ac:dyDescent="0.25">
      <c r="B113" s="10">
        <v>205</v>
      </c>
      <c r="C113" s="10">
        <v>7</v>
      </c>
      <c r="D113" s="9" t="s">
        <v>231</v>
      </c>
      <c r="E113" s="8">
        <f>INDEX('From 2015 DataLockdown'!$M$5:$M$247,MATCH('Cost Bands for 2017 MFAM'!B113,'From 2015 DataLockdown'!$A$5:$A$247,0))</f>
        <v>665.0595762567732</v>
      </c>
      <c r="F113" s="7">
        <f>INDEX('2015 Data Summary-Datalockdown'!$E$5:$E$247,MATCH('Cost Bands for 2017 MFAM'!B113,'2015 Data Summary-Datalockdown'!$B$5:$B$247,0))</f>
        <v>371829.98</v>
      </c>
      <c r="G113" s="7">
        <f>INDEX('2015 Data Summary-Datalockdown'!$F$5:$F$247,MATCH('Cost Bands for 2017 MFAM'!B113,'2015 Data Summary-Datalockdown'!$B$5:$B$247,0))</f>
        <v>18332.88</v>
      </c>
      <c r="H113" s="7">
        <f t="shared" si="20"/>
        <v>353497.1</v>
      </c>
      <c r="I113" s="6">
        <f t="shared" si="21"/>
        <v>531.52696783892054</v>
      </c>
      <c r="J113" s="6">
        <f t="shared" si="22"/>
        <v>531.52696783892054</v>
      </c>
      <c r="K113" s="5">
        <f t="shared" si="23"/>
        <v>353497.10000000003</v>
      </c>
      <c r="L113" s="4">
        <f t="shared" si="14"/>
        <v>0</v>
      </c>
      <c r="M113" s="2">
        <f t="shared" si="15"/>
        <v>427.24485894517835</v>
      </c>
      <c r="N113" s="1">
        <f t="shared" si="16"/>
        <v>62</v>
      </c>
      <c r="O113" s="3">
        <f t="shared" si="17"/>
        <v>10874.758235326304</v>
      </c>
      <c r="P113" s="2">
        <f t="shared" si="18"/>
        <v>189.09318607411561</v>
      </c>
      <c r="Q113" s="2">
        <f t="shared" si="25"/>
        <v>184.91219029807903</v>
      </c>
      <c r="R113" s="2">
        <f t="shared" si="25"/>
        <v>669.57752759227765</v>
      </c>
      <c r="S113" s="2">
        <f t="shared" si="19"/>
        <v>531.52696783892054</v>
      </c>
    </row>
    <row r="114" spans="2:19" x14ac:dyDescent="0.25">
      <c r="B114" s="10">
        <v>212</v>
      </c>
      <c r="C114" s="10">
        <v>7</v>
      </c>
      <c r="D114" s="9" t="s">
        <v>232</v>
      </c>
      <c r="E114" s="8">
        <f>INDEX('From 2015 DataLockdown'!$M$5:$M$247,MATCH('Cost Bands for 2017 MFAM'!B114,'From 2015 DataLockdown'!$A$5:$A$247,0))</f>
        <v>548.41106339053624</v>
      </c>
      <c r="F114" s="7">
        <f>INDEX('2015 Data Summary-Datalockdown'!$E$5:$E$247,MATCH('Cost Bands for 2017 MFAM'!B114,'2015 Data Summary-Datalockdown'!$B$5:$B$247,0))</f>
        <v>236357.45</v>
      </c>
      <c r="G114" s="7">
        <f>INDEX('2015 Data Summary-Datalockdown'!$F$5:$F$247,MATCH('Cost Bands for 2017 MFAM'!B114,'2015 Data Summary-Datalockdown'!$B$5:$B$247,0))</f>
        <v>1143</v>
      </c>
      <c r="H114" s="7">
        <f t="shared" si="20"/>
        <v>235214.45</v>
      </c>
      <c r="I114" s="6">
        <f t="shared" si="21"/>
        <v>428.90172299915537</v>
      </c>
      <c r="J114" s="6">
        <f t="shared" si="22"/>
        <v>428.90172299915537</v>
      </c>
      <c r="K114" s="5">
        <f t="shared" si="23"/>
        <v>235214.45</v>
      </c>
      <c r="L114" s="4">
        <f t="shared" si="14"/>
        <v>0</v>
      </c>
      <c r="M114" s="2">
        <f t="shared" si="15"/>
        <v>427.24485894517835</v>
      </c>
      <c r="N114" s="1">
        <f t="shared" si="16"/>
        <v>62</v>
      </c>
      <c r="O114" s="3">
        <f t="shared" si="17"/>
        <v>2.7451984933611562</v>
      </c>
      <c r="P114" s="2">
        <f t="shared" si="18"/>
        <v>189.09318607411561</v>
      </c>
      <c r="Q114" s="2">
        <f t="shared" si="25"/>
        <v>184.91219029807903</v>
      </c>
      <c r="R114" s="2">
        <f t="shared" si="25"/>
        <v>669.57752759227765</v>
      </c>
      <c r="S114" s="2">
        <f t="shared" si="19"/>
        <v>428.90172299915537</v>
      </c>
    </row>
    <row r="115" spans="2:19" x14ac:dyDescent="0.25">
      <c r="B115" s="10">
        <v>216</v>
      </c>
      <c r="C115" s="10">
        <v>7</v>
      </c>
      <c r="D115" s="9" t="s">
        <v>233</v>
      </c>
      <c r="E115" s="8">
        <f>INDEX('From 2015 DataLockdown'!$M$5:$M$247,MATCH('Cost Bands for 2017 MFAM'!B115,'From 2015 DataLockdown'!$A$5:$A$247,0))</f>
        <v>773.71402770152531</v>
      </c>
      <c r="F115" s="7">
        <f>INDEX('2015 Data Summary-Datalockdown'!$E$5:$E$247,MATCH('Cost Bands for 2017 MFAM'!B115,'2015 Data Summary-Datalockdown'!$B$5:$B$247,0))</f>
        <v>329426.34000000003</v>
      </c>
      <c r="G115" s="7">
        <f>INDEX('2015 Data Summary-Datalockdown'!$F$5:$F$247,MATCH('Cost Bands for 2017 MFAM'!B115,'2015 Data Summary-Datalockdown'!$B$5:$B$247,0))</f>
        <v>400</v>
      </c>
      <c r="H115" s="7">
        <f t="shared" si="20"/>
        <v>329026.34000000003</v>
      </c>
      <c r="I115" s="6">
        <f t="shared" si="21"/>
        <v>425.25575111703688</v>
      </c>
      <c r="J115" s="6">
        <f t="shared" si="22"/>
        <v>425.25575111703688</v>
      </c>
      <c r="K115" s="5">
        <f t="shared" si="23"/>
        <v>329026.34000000003</v>
      </c>
      <c r="L115" s="4">
        <f t="shared" si="14"/>
        <v>0</v>
      </c>
      <c r="M115" s="2">
        <f t="shared" si="15"/>
        <v>427.24485894517835</v>
      </c>
      <c r="N115" s="1">
        <f t="shared" si="16"/>
        <v>62</v>
      </c>
      <c r="O115" s="3">
        <f t="shared" si="17"/>
        <v>3.9565499519736784</v>
      </c>
      <c r="P115" s="2">
        <f t="shared" si="18"/>
        <v>189.09318607411561</v>
      </c>
      <c r="Q115" s="2">
        <f t="shared" si="25"/>
        <v>184.91219029807903</v>
      </c>
      <c r="R115" s="2">
        <f t="shared" si="25"/>
        <v>669.57752759227765</v>
      </c>
      <c r="S115" s="2">
        <f t="shared" si="19"/>
        <v>425.25575111703688</v>
      </c>
    </row>
    <row r="116" spans="2:19" x14ac:dyDescent="0.25">
      <c r="B116" s="10">
        <v>229</v>
      </c>
      <c r="C116" s="10">
        <v>7</v>
      </c>
      <c r="D116" s="9" t="s">
        <v>234</v>
      </c>
      <c r="E116" s="8">
        <f>INDEX('From 2015 DataLockdown'!$M$5:$M$247,MATCH('Cost Bands for 2017 MFAM'!B116,'From 2015 DataLockdown'!$A$5:$A$247,0))</f>
        <v>831.55</v>
      </c>
      <c r="F116" s="7">
        <f>INDEX('2015 Data Summary-Datalockdown'!$E$5:$E$247,MATCH('Cost Bands for 2017 MFAM'!B116,'2015 Data Summary-Datalockdown'!$B$5:$B$247,0))</f>
        <v>370208.73</v>
      </c>
      <c r="G116" s="7">
        <f>INDEX('2015 Data Summary-Datalockdown'!$F$5:$F$247,MATCH('Cost Bands for 2017 MFAM'!B116,'2015 Data Summary-Datalockdown'!$B$5:$B$247,0))</f>
        <v>98568.36</v>
      </c>
      <c r="H116" s="7">
        <f t="shared" si="20"/>
        <v>271640.37</v>
      </c>
      <c r="I116" s="6">
        <f t="shared" si="21"/>
        <v>326.66751247670015</v>
      </c>
      <c r="J116" s="6">
        <f t="shared" si="22"/>
        <v>326.66751247670015</v>
      </c>
      <c r="K116" s="5">
        <f t="shared" si="23"/>
        <v>271640.37</v>
      </c>
      <c r="L116" s="4">
        <f t="shared" si="14"/>
        <v>0</v>
      </c>
      <c r="M116" s="2">
        <f t="shared" si="15"/>
        <v>427.24485894517835</v>
      </c>
      <c r="N116" s="1">
        <f t="shared" si="16"/>
        <v>62</v>
      </c>
      <c r="O116" s="3">
        <f t="shared" si="17"/>
        <v>10115.802622640304</v>
      </c>
      <c r="P116" s="2">
        <f t="shared" si="18"/>
        <v>189.09318607411561</v>
      </c>
      <c r="Q116" s="2">
        <f t="shared" si="25"/>
        <v>184.91219029807903</v>
      </c>
      <c r="R116" s="2">
        <f t="shared" si="25"/>
        <v>669.57752759227765</v>
      </c>
      <c r="S116" s="2">
        <f t="shared" si="19"/>
        <v>326.66751247670015</v>
      </c>
    </row>
    <row r="117" spans="2:19" x14ac:dyDescent="0.25">
      <c r="B117" s="10">
        <v>236</v>
      </c>
      <c r="C117" s="10">
        <v>7</v>
      </c>
      <c r="D117" s="9" t="s">
        <v>235</v>
      </c>
      <c r="E117" s="8">
        <f>INDEX('From 2015 DataLockdown'!$M$5:$M$247,MATCH('Cost Bands for 2017 MFAM'!B117,'From 2015 DataLockdown'!$A$5:$A$247,0))</f>
        <v>972.90858967302233</v>
      </c>
      <c r="F117" s="7">
        <f>INDEX('2015 Data Summary-Datalockdown'!$E$5:$E$247,MATCH('Cost Bands for 2017 MFAM'!B117,'2015 Data Summary-Datalockdown'!$B$5:$B$247,0))</f>
        <v>561472.04</v>
      </c>
      <c r="G117" s="7">
        <f>INDEX('2015 Data Summary-Datalockdown'!$F$5:$F$247,MATCH('Cost Bands for 2017 MFAM'!B117,'2015 Data Summary-Datalockdown'!$B$5:$B$247,0))</f>
        <v>111960.58</v>
      </c>
      <c r="H117" s="7">
        <f t="shared" si="20"/>
        <v>449511.46</v>
      </c>
      <c r="I117" s="6">
        <f t="shared" si="21"/>
        <v>462.02846266479463</v>
      </c>
      <c r="J117" s="6">
        <f t="shared" si="22"/>
        <v>462.02846266479463</v>
      </c>
      <c r="K117" s="5">
        <f t="shared" si="23"/>
        <v>449511.46</v>
      </c>
      <c r="L117" s="4">
        <f t="shared" si="14"/>
        <v>0</v>
      </c>
      <c r="M117" s="2">
        <f t="shared" si="15"/>
        <v>427.24485894517835</v>
      </c>
      <c r="N117" s="1">
        <f t="shared" si="16"/>
        <v>62</v>
      </c>
      <c r="O117" s="3">
        <f t="shared" si="17"/>
        <v>1209.8990877233036</v>
      </c>
      <c r="P117" s="2">
        <f t="shared" si="18"/>
        <v>189.09318607411561</v>
      </c>
      <c r="Q117" s="2">
        <f t="shared" si="25"/>
        <v>184.91219029807903</v>
      </c>
      <c r="R117" s="2">
        <f t="shared" si="25"/>
        <v>669.57752759227765</v>
      </c>
      <c r="S117" s="2">
        <f t="shared" si="19"/>
        <v>462.02846266479463</v>
      </c>
    </row>
    <row r="118" spans="2:19" x14ac:dyDescent="0.25">
      <c r="B118" s="10">
        <v>239</v>
      </c>
      <c r="C118" s="10">
        <v>7</v>
      </c>
      <c r="D118" s="9" t="s">
        <v>236</v>
      </c>
      <c r="E118" s="8">
        <f>INDEX('From 2015 DataLockdown'!$M$5:$M$247,MATCH('Cost Bands for 2017 MFAM'!B118,'From 2015 DataLockdown'!$A$5:$A$247,0))</f>
        <v>3362.1399999999994</v>
      </c>
      <c r="F118" s="7">
        <f>INDEX('2015 Data Summary-Datalockdown'!$E$5:$E$247,MATCH('Cost Bands for 2017 MFAM'!B118,'2015 Data Summary-Datalockdown'!$B$5:$B$247,0))</f>
        <v>1875657.05</v>
      </c>
      <c r="G118" s="7">
        <f>INDEX('2015 Data Summary-Datalockdown'!$F$5:$F$247,MATCH('Cost Bands for 2017 MFAM'!B118,'2015 Data Summary-Datalockdown'!$B$5:$B$247,0))</f>
        <v>447929.59</v>
      </c>
      <c r="H118" s="7">
        <f t="shared" si="20"/>
        <v>1427727.46</v>
      </c>
      <c r="I118" s="6">
        <f t="shared" si="21"/>
        <v>424.6484262999162</v>
      </c>
      <c r="J118" s="6">
        <f t="shared" si="22"/>
        <v>424.6484262999162</v>
      </c>
      <c r="K118" s="5">
        <f t="shared" si="23"/>
        <v>1427727.46</v>
      </c>
      <c r="L118" s="4">
        <f t="shared" si="14"/>
        <v>0</v>
      </c>
      <c r="M118" s="2">
        <f t="shared" si="15"/>
        <v>427.24485894517835</v>
      </c>
      <c r="N118" s="1">
        <f t="shared" si="16"/>
        <v>62</v>
      </c>
      <c r="O118" s="3">
        <f t="shared" si="17"/>
        <v>6.7414624813830315</v>
      </c>
      <c r="P118" s="2">
        <f t="shared" si="18"/>
        <v>189.09318607411561</v>
      </c>
      <c r="Q118" s="2">
        <f t="shared" si="25"/>
        <v>184.91219029807903</v>
      </c>
      <c r="R118" s="2">
        <f t="shared" si="25"/>
        <v>669.57752759227765</v>
      </c>
      <c r="S118" s="2">
        <f t="shared" si="19"/>
        <v>424.6484262999162</v>
      </c>
    </row>
    <row r="119" spans="2:19" x14ac:dyDescent="0.25">
      <c r="B119" s="10">
        <v>249</v>
      </c>
      <c r="C119" s="10">
        <v>7</v>
      </c>
      <c r="D119" s="9" t="s">
        <v>237</v>
      </c>
      <c r="E119" s="8">
        <f>INDEX('From 2015 DataLockdown'!$M$5:$M$247,MATCH('Cost Bands for 2017 MFAM'!B119,'From 2015 DataLockdown'!$A$5:$A$247,0))</f>
        <v>1375.1461466940104</v>
      </c>
      <c r="F119" s="7">
        <f>INDEX('2015 Data Summary-Datalockdown'!$E$5:$E$247,MATCH('Cost Bands for 2017 MFAM'!B119,'2015 Data Summary-Datalockdown'!$B$5:$B$247,0))</f>
        <v>569699.32999999996</v>
      </c>
      <c r="G119" s="7">
        <f>INDEX('2015 Data Summary-Datalockdown'!$F$5:$F$247,MATCH('Cost Bands for 2017 MFAM'!B119,'2015 Data Summary-Datalockdown'!$B$5:$B$247,0))</f>
        <v>0</v>
      </c>
      <c r="H119" s="7">
        <f t="shared" si="20"/>
        <v>569699.32999999996</v>
      </c>
      <c r="I119" s="6">
        <f t="shared" si="21"/>
        <v>414.28275196030211</v>
      </c>
      <c r="J119" s="6">
        <f t="shared" si="22"/>
        <v>414.28275196030211</v>
      </c>
      <c r="K119" s="5">
        <f t="shared" si="23"/>
        <v>569699.32999999996</v>
      </c>
      <c r="L119" s="4">
        <f t="shared" si="14"/>
        <v>0</v>
      </c>
      <c r="M119" s="2">
        <f t="shared" si="15"/>
        <v>427.24485894517835</v>
      </c>
      <c r="N119" s="1">
        <f t="shared" si="16"/>
        <v>62</v>
      </c>
      <c r="O119" s="3">
        <f t="shared" si="17"/>
        <v>168.0162174873775</v>
      </c>
      <c r="P119" s="2">
        <f t="shared" si="18"/>
        <v>189.09318607411561</v>
      </c>
      <c r="Q119" s="2">
        <f t="shared" si="25"/>
        <v>184.91219029807903</v>
      </c>
      <c r="R119" s="2">
        <f t="shared" si="25"/>
        <v>669.57752759227765</v>
      </c>
      <c r="S119" s="2">
        <f t="shared" si="19"/>
        <v>414.28275196030211</v>
      </c>
    </row>
    <row r="120" spans="2:19" x14ac:dyDescent="0.25">
      <c r="B120" s="10">
        <v>271</v>
      </c>
      <c r="C120" s="10">
        <v>7</v>
      </c>
      <c r="D120" s="9" t="s">
        <v>238</v>
      </c>
      <c r="E120" s="8">
        <f>INDEX('From 2015 DataLockdown'!$M$5:$M$247,MATCH('Cost Bands for 2017 MFAM'!B120,'From 2015 DataLockdown'!$A$5:$A$247,0))</f>
        <v>989.5999999999998</v>
      </c>
      <c r="F120" s="7">
        <f>INDEX('2015 Data Summary-Datalockdown'!$E$5:$E$247,MATCH('Cost Bands for 2017 MFAM'!B120,'2015 Data Summary-Datalockdown'!$B$5:$B$247,0))</f>
        <v>625976.34</v>
      </c>
      <c r="G120" s="7">
        <f>INDEX('2015 Data Summary-Datalockdown'!$F$5:$F$247,MATCH('Cost Bands for 2017 MFAM'!B120,'2015 Data Summary-Datalockdown'!$B$5:$B$247,0))</f>
        <v>142763.09</v>
      </c>
      <c r="H120" s="7">
        <f t="shared" si="20"/>
        <v>483213.25</v>
      </c>
      <c r="I120" s="6">
        <f t="shared" si="21"/>
        <v>488.29148140662903</v>
      </c>
      <c r="J120" s="6">
        <f t="shared" si="22"/>
        <v>488.29148140662903</v>
      </c>
      <c r="K120" s="5">
        <f t="shared" si="23"/>
        <v>483213.25</v>
      </c>
      <c r="L120" s="4">
        <f t="shared" si="14"/>
        <v>0</v>
      </c>
      <c r="M120" s="2">
        <f t="shared" si="15"/>
        <v>427.24485894517835</v>
      </c>
      <c r="N120" s="1">
        <f t="shared" si="16"/>
        <v>62</v>
      </c>
      <c r="O120" s="3">
        <f t="shared" si="17"/>
        <v>3726.690113950895</v>
      </c>
      <c r="P120" s="2">
        <f t="shared" si="18"/>
        <v>189.09318607411561</v>
      </c>
      <c r="Q120" s="2">
        <f t="shared" si="25"/>
        <v>184.91219029807903</v>
      </c>
      <c r="R120" s="2">
        <f t="shared" si="25"/>
        <v>669.57752759227765</v>
      </c>
      <c r="S120" s="2">
        <f t="shared" si="19"/>
        <v>488.29148140662903</v>
      </c>
    </row>
    <row r="121" spans="2:19" x14ac:dyDescent="0.25">
      <c r="B121" s="10">
        <v>275</v>
      </c>
      <c r="C121" s="10">
        <v>7</v>
      </c>
      <c r="D121" s="9" t="s">
        <v>239</v>
      </c>
      <c r="E121" s="8">
        <f>INDEX('From 2015 DataLockdown'!$M$5:$M$247,MATCH('Cost Bands for 2017 MFAM'!B121,'From 2015 DataLockdown'!$A$5:$A$247,0))</f>
        <v>729.32</v>
      </c>
      <c r="F121" s="7">
        <f>INDEX('2015 Data Summary-Datalockdown'!$E$5:$E$247,MATCH('Cost Bands for 2017 MFAM'!B121,'2015 Data Summary-Datalockdown'!$B$5:$B$247,0))</f>
        <v>302782.98</v>
      </c>
      <c r="G121" s="7">
        <f>INDEX('2015 Data Summary-Datalockdown'!$F$5:$F$247,MATCH('Cost Bands for 2017 MFAM'!B121,'2015 Data Summary-Datalockdown'!$B$5:$B$247,0))</f>
        <v>115724.21</v>
      </c>
      <c r="H121" s="7">
        <f t="shared" si="20"/>
        <v>187058.76999999996</v>
      </c>
      <c r="I121" s="6">
        <f t="shared" si="21"/>
        <v>256.48380683376291</v>
      </c>
      <c r="J121" s="6">
        <f t="shared" si="22"/>
        <v>256.48380683376291</v>
      </c>
      <c r="K121" s="5">
        <f t="shared" si="23"/>
        <v>187058.77</v>
      </c>
      <c r="L121" s="4">
        <f t="shared" si="14"/>
        <v>0</v>
      </c>
      <c r="M121" s="2">
        <f t="shared" si="15"/>
        <v>427.24485894517835</v>
      </c>
      <c r="N121" s="1">
        <f t="shared" si="16"/>
        <v>62</v>
      </c>
      <c r="O121" s="3">
        <f t="shared" si="17"/>
        <v>29159.336918197539</v>
      </c>
      <c r="P121" s="2">
        <f t="shared" si="18"/>
        <v>189.09318607411561</v>
      </c>
      <c r="Q121" s="2">
        <f t="shared" si="25"/>
        <v>184.91219029807903</v>
      </c>
      <c r="R121" s="2">
        <f t="shared" si="25"/>
        <v>669.57752759227765</v>
      </c>
      <c r="S121" s="2">
        <f t="shared" si="19"/>
        <v>256.48380683376291</v>
      </c>
    </row>
    <row r="122" spans="2:19" x14ac:dyDescent="0.25">
      <c r="B122" s="10">
        <v>282</v>
      </c>
      <c r="C122" s="10">
        <v>7</v>
      </c>
      <c r="D122" s="9" t="s">
        <v>240</v>
      </c>
      <c r="E122" s="8">
        <f>INDEX('From 2015 DataLockdown'!$M$5:$M$247,MATCH('Cost Bands for 2017 MFAM'!B122,'From 2015 DataLockdown'!$A$5:$A$247,0))</f>
        <v>178.07232316556465</v>
      </c>
      <c r="F122" s="7">
        <f>INDEX('2015 Data Summary-Datalockdown'!$E$5:$E$247,MATCH('Cost Bands for 2017 MFAM'!B122,'2015 Data Summary-Datalockdown'!$B$5:$B$247,0))</f>
        <v>53977.95</v>
      </c>
      <c r="G122" s="7">
        <f>INDEX('2015 Data Summary-Datalockdown'!$F$5:$F$247,MATCH('Cost Bands for 2017 MFAM'!B122,'2015 Data Summary-Datalockdown'!$B$5:$B$247,0))</f>
        <v>0</v>
      </c>
      <c r="H122" s="7">
        <f t="shared" si="20"/>
        <v>53977.95</v>
      </c>
      <c r="I122" s="6">
        <f t="shared" si="21"/>
        <v>303.12374792692191</v>
      </c>
      <c r="J122" s="6">
        <f t="shared" si="22"/>
        <v>303.12374792692191</v>
      </c>
      <c r="K122" s="5">
        <f t="shared" si="23"/>
        <v>53977.95</v>
      </c>
      <c r="L122" s="4">
        <f t="shared" si="14"/>
        <v>0</v>
      </c>
      <c r="M122" s="2">
        <f t="shared" si="15"/>
        <v>427.24485894517835</v>
      </c>
      <c r="N122" s="1">
        <f t="shared" si="16"/>
        <v>62</v>
      </c>
      <c r="O122" s="3">
        <f t="shared" si="17"/>
        <v>15406.05020040634</v>
      </c>
      <c r="P122" s="2">
        <f t="shared" si="18"/>
        <v>189.09318607411561</v>
      </c>
      <c r="Q122" s="2">
        <f t="shared" si="25"/>
        <v>184.91219029807903</v>
      </c>
      <c r="R122" s="2">
        <f t="shared" si="25"/>
        <v>669.57752759227765</v>
      </c>
      <c r="S122" s="2">
        <f t="shared" si="19"/>
        <v>303.12374792692191</v>
      </c>
    </row>
    <row r="123" spans="2:19" x14ac:dyDescent="0.25">
      <c r="B123" s="10">
        <v>287</v>
      </c>
      <c r="C123" s="10">
        <v>7</v>
      </c>
      <c r="D123" s="9" t="s">
        <v>241</v>
      </c>
      <c r="E123" s="8">
        <f>INDEX('From 2015 DataLockdown'!$M$5:$M$247,MATCH('Cost Bands for 2017 MFAM'!B123,'From 2015 DataLockdown'!$A$5:$A$247,0))</f>
        <v>201.27762312617861</v>
      </c>
      <c r="F123" s="7">
        <f>INDEX('2015 Data Summary-Datalockdown'!$E$5:$E$247,MATCH('Cost Bands for 2017 MFAM'!B123,'2015 Data Summary-Datalockdown'!$B$5:$B$247,0))</f>
        <v>67544.09</v>
      </c>
      <c r="G123" s="7">
        <f>INDEX('2015 Data Summary-Datalockdown'!$F$5:$F$247,MATCH('Cost Bands for 2017 MFAM'!B123,'2015 Data Summary-Datalockdown'!$B$5:$B$247,0))</f>
        <v>0</v>
      </c>
      <c r="H123" s="7">
        <f t="shared" si="20"/>
        <v>67544.09</v>
      </c>
      <c r="I123" s="6">
        <f t="shared" si="21"/>
        <v>335.57674693752415</v>
      </c>
      <c r="J123" s="6">
        <f t="shared" si="22"/>
        <v>335.57674693752415</v>
      </c>
      <c r="K123" s="5">
        <f t="shared" si="23"/>
        <v>67544.09</v>
      </c>
      <c r="L123" s="4">
        <f t="shared" si="14"/>
        <v>0</v>
      </c>
      <c r="M123" s="2">
        <f t="shared" si="15"/>
        <v>427.24485894517835</v>
      </c>
      <c r="N123" s="1">
        <f t="shared" si="16"/>
        <v>62</v>
      </c>
      <c r="O123" s="3">
        <f t="shared" si="17"/>
        <v>8403.0427590478357</v>
      </c>
      <c r="P123" s="2">
        <f t="shared" si="18"/>
        <v>189.09318607411561</v>
      </c>
      <c r="Q123" s="2">
        <f t="shared" si="25"/>
        <v>184.91219029807903</v>
      </c>
      <c r="R123" s="2">
        <f t="shared" si="25"/>
        <v>669.57752759227765</v>
      </c>
      <c r="S123" s="2">
        <f t="shared" si="19"/>
        <v>335.57674693752415</v>
      </c>
    </row>
    <row r="124" spans="2:19" x14ac:dyDescent="0.25">
      <c r="B124" s="10">
        <v>290</v>
      </c>
      <c r="C124" s="10">
        <v>7</v>
      </c>
      <c r="D124" s="9" t="s">
        <v>242</v>
      </c>
      <c r="E124" s="8">
        <f>INDEX('From 2015 DataLockdown'!$M$5:$M$247,MATCH('Cost Bands for 2017 MFAM'!B124,'From 2015 DataLockdown'!$A$5:$A$247,0))</f>
        <v>421.86</v>
      </c>
      <c r="F124" s="7">
        <f>INDEX('2015 Data Summary-Datalockdown'!$E$5:$E$247,MATCH('Cost Bands for 2017 MFAM'!B124,'2015 Data Summary-Datalockdown'!$B$5:$B$247,0))</f>
        <v>158090.09</v>
      </c>
      <c r="G124" s="7">
        <f>INDEX('2015 Data Summary-Datalockdown'!$F$5:$F$247,MATCH('Cost Bands for 2017 MFAM'!B124,'2015 Data Summary-Datalockdown'!$B$5:$B$247,0))</f>
        <v>0</v>
      </c>
      <c r="H124" s="7">
        <f t="shared" si="20"/>
        <v>158090.09</v>
      </c>
      <c r="I124" s="6">
        <f t="shared" si="21"/>
        <v>374.74538946569947</v>
      </c>
      <c r="J124" s="6">
        <f t="shared" si="22"/>
        <v>374.74538946569947</v>
      </c>
      <c r="K124" s="5">
        <f t="shared" si="23"/>
        <v>158090.09</v>
      </c>
      <c r="L124" s="4">
        <f t="shared" si="14"/>
        <v>0</v>
      </c>
      <c r="M124" s="2">
        <f t="shared" si="15"/>
        <v>427.24485894517835</v>
      </c>
      <c r="N124" s="1">
        <f t="shared" si="16"/>
        <v>62</v>
      </c>
      <c r="O124" s="3">
        <f t="shared" si="17"/>
        <v>2756.1942956267339</v>
      </c>
      <c r="P124" s="2">
        <f t="shared" si="18"/>
        <v>189.09318607411561</v>
      </c>
      <c r="Q124" s="2">
        <f t="shared" si="25"/>
        <v>184.91219029807903</v>
      </c>
      <c r="R124" s="2">
        <f t="shared" si="25"/>
        <v>669.57752759227765</v>
      </c>
      <c r="S124" s="2">
        <f t="shared" si="19"/>
        <v>374.74538946569947</v>
      </c>
    </row>
    <row r="125" spans="2:19" x14ac:dyDescent="0.25">
      <c r="B125" s="10">
        <v>294</v>
      </c>
      <c r="C125" s="10">
        <v>7</v>
      </c>
      <c r="D125" s="9" t="s">
        <v>243</v>
      </c>
      <c r="E125" s="8">
        <f>INDEX('From 2015 DataLockdown'!$M$5:$M$247,MATCH('Cost Bands for 2017 MFAM'!B125,'From 2015 DataLockdown'!$A$5:$A$247,0))</f>
        <v>1263.3648618063448</v>
      </c>
      <c r="F125" s="7">
        <f>INDEX('2015 Data Summary-Datalockdown'!$E$5:$E$247,MATCH('Cost Bands for 2017 MFAM'!B125,'2015 Data Summary-Datalockdown'!$B$5:$B$247,0))</f>
        <v>549290.56999999995</v>
      </c>
      <c r="G125" s="7">
        <f>INDEX('2015 Data Summary-Datalockdown'!$F$5:$F$247,MATCH('Cost Bands for 2017 MFAM'!B125,'2015 Data Summary-Datalockdown'!$B$5:$B$247,0))</f>
        <v>896</v>
      </c>
      <c r="H125" s="7">
        <f t="shared" si="20"/>
        <v>548394.56999999995</v>
      </c>
      <c r="I125" s="6">
        <f t="shared" si="21"/>
        <v>434.07457859474704</v>
      </c>
      <c r="J125" s="6">
        <f t="shared" si="22"/>
        <v>434.07457859474704</v>
      </c>
      <c r="K125" s="5">
        <f t="shared" si="23"/>
        <v>548394.56999999995</v>
      </c>
      <c r="L125" s="4">
        <f t="shared" si="14"/>
        <v>0</v>
      </c>
      <c r="M125" s="2">
        <f t="shared" si="15"/>
        <v>427.24485894517835</v>
      </c>
      <c r="N125" s="1">
        <f t="shared" si="16"/>
        <v>62</v>
      </c>
      <c r="O125" s="3">
        <f t="shared" si="17"/>
        <v>46.645070491704637</v>
      </c>
      <c r="P125" s="2">
        <f t="shared" si="18"/>
        <v>189.09318607411561</v>
      </c>
      <c r="Q125" s="2">
        <f t="shared" si="25"/>
        <v>184.91219029807903</v>
      </c>
      <c r="R125" s="2">
        <f t="shared" si="25"/>
        <v>669.57752759227765</v>
      </c>
      <c r="S125" s="2">
        <f t="shared" si="19"/>
        <v>434.07457859474704</v>
      </c>
    </row>
    <row r="126" spans="2:19" x14ac:dyDescent="0.25">
      <c r="B126" s="10">
        <v>296</v>
      </c>
      <c r="C126" s="10">
        <v>7</v>
      </c>
      <c r="D126" s="9" t="s">
        <v>244</v>
      </c>
      <c r="E126" s="8">
        <f>INDEX('From 2015 DataLockdown'!$M$5:$M$247,MATCH('Cost Bands for 2017 MFAM'!B126,'From 2015 DataLockdown'!$A$5:$A$247,0))</f>
        <v>918.9899999999999</v>
      </c>
      <c r="F126" s="7">
        <f>INDEX('2015 Data Summary-Datalockdown'!$E$5:$E$247,MATCH('Cost Bands for 2017 MFAM'!B126,'2015 Data Summary-Datalockdown'!$B$5:$B$247,0))</f>
        <v>751905.37</v>
      </c>
      <c r="G126" s="7">
        <f>INDEX('2015 Data Summary-Datalockdown'!$F$5:$F$247,MATCH('Cost Bands for 2017 MFAM'!B126,'2015 Data Summary-Datalockdown'!$B$5:$B$247,0))</f>
        <v>153102.99</v>
      </c>
      <c r="H126" s="7">
        <f t="shared" si="20"/>
        <v>598802.38</v>
      </c>
      <c r="I126" s="6">
        <f t="shared" si="21"/>
        <v>651.58748190948768</v>
      </c>
      <c r="J126" s="6">
        <f t="shared" si="22"/>
        <v>651.58748190948768</v>
      </c>
      <c r="K126" s="5">
        <f t="shared" si="23"/>
        <v>598802.38</v>
      </c>
      <c r="L126" s="4">
        <f t="shared" si="14"/>
        <v>0</v>
      </c>
      <c r="M126" s="2">
        <f t="shared" si="15"/>
        <v>427.24485894517835</v>
      </c>
      <c r="N126" s="1">
        <f t="shared" si="16"/>
        <v>62</v>
      </c>
      <c r="O126" s="3">
        <f t="shared" si="17"/>
        <v>50329.612478506249</v>
      </c>
      <c r="P126" s="2">
        <f t="shared" si="18"/>
        <v>189.09318607411561</v>
      </c>
      <c r="Q126" s="2">
        <f t="shared" ref="Q126:R145" si="26">NORMINV(Q$4,$M126,$P126)</f>
        <v>184.91219029807903</v>
      </c>
      <c r="R126" s="2">
        <f t="shared" si="26"/>
        <v>669.57752759227765</v>
      </c>
      <c r="S126" s="2">
        <f t="shared" si="19"/>
        <v>651.58748190948768</v>
      </c>
    </row>
    <row r="127" spans="2:19" x14ac:dyDescent="0.25">
      <c r="B127" s="10">
        <v>301</v>
      </c>
      <c r="C127" s="10">
        <v>7</v>
      </c>
      <c r="D127" s="9" t="s">
        <v>245</v>
      </c>
      <c r="E127" s="8">
        <f>INDEX('From 2015 DataLockdown'!$M$5:$M$247,MATCH('Cost Bands for 2017 MFAM'!B127,'From 2015 DataLockdown'!$A$5:$A$247,0))</f>
        <v>635.66524097552065</v>
      </c>
      <c r="F127" s="7">
        <f>INDEX('2015 Data Summary-Datalockdown'!$E$5:$E$247,MATCH('Cost Bands for 2017 MFAM'!B127,'2015 Data Summary-Datalockdown'!$B$5:$B$247,0))</f>
        <v>204605.38</v>
      </c>
      <c r="G127" s="7">
        <f>INDEX('2015 Data Summary-Datalockdown'!$F$5:$F$247,MATCH('Cost Bands for 2017 MFAM'!B127,'2015 Data Summary-Datalockdown'!$B$5:$B$247,0))</f>
        <v>280</v>
      </c>
      <c r="H127" s="7">
        <f t="shared" si="20"/>
        <v>204325.38</v>
      </c>
      <c r="I127" s="6">
        <f t="shared" si="21"/>
        <v>321.43550854917447</v>
      </c>
      <c r="J127" s="6">
        <f t="shared" si="22"/>
        <v>321.43550854917447</v>
      </c>
      <c r="K127" s="5">
        <f t="shared" si="23"/>
        <v>204325.38</v>
      </c>
      <c r="L127" s="4">
        <f t="shared" si="14"/>
        <v>0</v>
      </c>
      <c r="M127" s="2">
        <f t="shared" si="15"/>
        <v>427.24485894517835</v>
      </c>
      <c r="N127" s="1">
        <f t="shared" si="16"/>
        <v>62</v>
      </c>
      <c r="O127" s="3">
        <f t="shared" si="17"/>
        <v>11195.618631224326</v>
      </c>
      <c r="P127" s="2">
        <f t="shared" si="18"/>
        <v>189.09318607411561</v>
      </c>
      <c r="Q127" s="2">
        <f t="shared" si="26"/>
        <v>184.91219029807903</v>
      </c>
      <c r="R127" s="2">
        <f t="shared" si="26"/>
        <v>669.57752759227765</v>
      </c>
      <c r="S127" s="2">
        <f t="shared" si="19"/>
        <v>321.43550854917447</v>
      </c>
    </row>
    <row r="128" spans="2:19" x14ac:dyDescent="0.25">
      <c r="B128" s="10">
        <v>321</v>
      </c>
      <c r="C128" s="10">
        <v>7</v>
      </c>
      <c r="D128" s="9" t="s">
        <v>246</v>
      </c>
      <c r="E128" s="8">
        <f>INDEX('From 2015 DataLockdown'!$M$5:$M$247,MATCH('Cost Bands for 2017 MFAM'!B128,'From 2015 DataLockdown'!$A$5:$A$247,0))</f>
        <v>458.79</v>
      </c>
      <c r="F128" s="7">
        <f>INDEX('2015 Data Summary-Datalockdown'!$E$5:$E$247,MATCH('Cost Bands for 2017 MFAM'!B128,'2015 Data Summary-Datalockdown'!$B$5:$B$247,0))</f>
        <v>432393.18</v>
      </c>
      <c r="G128" s="7">
        <f>INDEX('2015 Data Summary-Datalockdown'!$F$5:$F$247,MATCH('Cost Bands for 2017 MFAM'!B128,'2015 Data Summary-Datalockdown'!$B$5:$B$247,0))</f>
        <v>37489.839999999997</v>
      </c>
      <c r="H128" s="7">
        <f t="shared" si="20"/>
        <v>394903.33999999997</v>
      </c>
      <c r="I128" s="6">
        <f t="shared" si="21"/>
        <v>860.74966760391453</v>
      </c>
      <c r="J128" s="6">
        <f t="shared" si="22"/>
        <v>669.57752759227765</v>
      </c>
      <c r="K128" s="5">
        <f t="shared" si="23"/>
        <v>307195.4738840611</v>
      </c>
      <c r="L128" s="4">
        <f t="shared" si="14"/>
        <v>0</v>
      </c>
      <c r="M128" s="2">
        <f t="shared" si="15"/>
        <v>427.24485894517835</v>
      </c>
      <c r="N128" s="1">
        <f t="shared" si="16"/>
        <v>62</v>
      </c>
      <c r="O128" s="3">
        <f t="shared" si="17"/>
        <v>187926.41913024746</v>
      </c>
      <c r="P128" s="2">
        <f t="shared" si="18"/>
        <v>189.09318607411561</v>
      </c>
      <c r="Q128" s="2">
        <f t="shared" si="26"/>
        <v>184.91219029807903</v>
      </c>
      <c r="R128" s="2">
        <f t="shared" si="26"/>
        <v>669.57752759227765</v>
      </c>
      <c r="S128" s="2">
        <f t="shared" si="19"/>
        <v>669.57752759227765</v>
      </c>
    </row>
    <row r="129" spans="2:19" x14ac:dyDescent="0.25">
      <c r="B129" s="10">
        <v>325</v>
      </c>
      <c r="C129" s="10">
        <v>7</v>
      </c>
      <c r="D129" s="9" t="s">
        <v>247</v>
      </c>
      <c r="E129" s="8">
        <f>INDEX('From 2015 DataLockdown'!$M$5:$M$247,MATCH('Cost Bands for 2017 MFAM'!B129,'From 2015 DataLockdown'!$A$5:$A$247,0))</f>
        <v>397.68555374704596</v>
      </c>
      <c r="F129" s="7">
        <f>INDEX('2015 Data Summary-Datalockdown'!$E$5:$E$247,MATCH('Cost Bands for 2017 MFAM'!B129,'2015 Data Summary-Datalockdown'!$B$5:$B$247,0))</f>
        <v>196990.77</v>
      </c>
      <c r="G129" s="7">
        <f>INDEX('2015 Data Summary-Datalockdown'!$F$5:$F$247,MATCH('Cost Bands for 2017 MFAM'!B129,'2015 Data Summary-Datalockdown'!$B$5:$B$247,0))</f>
        <v>642</v>
      </c>
      <c r="H129" s="7">
        <f t="shared" si="20"/>
        <v>196348.77</v>
      </c>
      <c r="I129" s="6">
        <f t="shared" si="21"/>
        <v>493.7286963279804</v>
      </c>
      <c r="J129" s="6">
        <f t="shared" si="22"/>
        <v>493.7286963279804</v>
      </c>
      <c r="K129" s="5">
        <f t="shared" si="23"/>
        <v>196348.77</v>
      </c>
      <c r="L129" s="4">
        <f t="shared" si="14"/>
        <v>0</v>
      </c>
      <c r="M129" s="2">
        <f t="shared" si="15"/>
        <v>427.24485894517835</v>
      </c>
      <c r="N129" s="1">
        <f t="shared" si="16"/>
        <v>62</v>
      </c>
      <c r="O129" s="3">
        <f t="shared" si="17"/>
        <v>4420.1006331428671</v>
      </c>
      <c r="P129" s="2">
        <f t="shared" si="18"/>
        <v>189.09318607411561</v>
      </c>
      <c r="Q129" s="2">
        <f t="shared" si="26"/>
        <v>184.91219029807903</v>
      </c>
      <c r="R129" s="2">
        <f t="shared" si="26"/>
        <v>669.57752759227765</v>
      </c>
      <c r="S129" s="2">
        <f t="shared" si="19"/>
        <v>493.7286963279804</v>
      </c>
    </row>
    <row r="130" spans="2:19" x14ac:dyDescent="0.25">
      <c r="B130" s="10">
        <v>346</v>
      </c>
      <c r="C130" s="10">
        <v>7</v>
      </c>
      <c r="D130" s="9" t="s">
        <v>248</v>
      </c>
      <c r="E130" s="8">
        <f>INDEX('From 2015 DataLockdown'!$M$5:$M$247,MATCH('Cost Bands for 2017 MFAM'!B130,'From 2015 DataLockdown'!$A$5:$A$247,0))</f>
        <v>185.65146994381385</v>
      </c>
      <c r="F130" s="7">
        <f>INDEX('2015 Data Summary-Datalockdown'!$E$5:$E$247,MATCH('Cost Bands for 2017 MFAM'!B130,'2015 Data Summary-Datalockdown'!$B$5:$B$247,0))</f>
        <v>74147.02</v>
      </c>
      <c r="G130" s="7">
        <f>INDEX('2015 Data Summary-Datalockdown'!$F$5:$F$247,MATCH('Cost Bands for 2017 MFAM'!B130,'2015 Data Summary-Datalockdown'!$B$5:$B$247,0))</f>
        <v>0</v>
      </c>
      <c r="H130" s="7">
        <f t="shared" si="20"/>
        <v>74147.02</v>
      </c>
      <c r="I130" s="6">
        <f t="shared" si="21"/>
        <v>399.38827321130339</v>
      </c>
      <c r="J130" s="6">
        <f t="shared" si="22"/>
        <v>399.38827321130339</v>
      </c>
      <c r="K130" s="5">
        <f t="shared" si="23"/>
        <v>74147.02</v>
      </c>
      <c r="L130" s="4">
        <f t="shared" si="14"/>
        <v>0</v>
      </c>
      <c r="M130" s="2">
        <f t="shared" si="15"/>
        <v>427.24485894517835</v>
      </c>
      <c r="N130" s="1">
        <f t="shared" si="16"/>
        <v>62</v>
      </c>
      <c r="O130" s="3">
        <f t="shared" si="17"/>
        <v>775.98936874872618</v>
      </c>
      <c r="P130" s="2">
        <f t="shared" si="18"/>
        <v>189.09318607411561</v>
      </c>
      <c r="Q130" s="2">
        <f t="shared" si="26"/>
        <v>184.91219029807903</v>
      </c>
      <c r="R130" s="2">
        <f t="shared" si="26"/>
        <v>669.57752759227765</v>
      </c>
      <c r="S130" s="2">
        <f t="shared" si="19"/>
        <v>399.38827321130339</v>
      </c>
    </row>
    <row r="131" spans="2:19" x14ac:dyDescent="0.25">
      <c r="B131" s="10">
        <v>358</v>
      </c>
      <c r="C131" s="10">
        <v>7</v>
      </c>
      <c r="D131" s="9" t="s">
        <v>249</v>
      </c>
      <c r="E131" s="8">
        <f>INDEX('From 2015 DataLockdown'!$M$5:$M$247,MATCH('Cost Bands for 2017 MFAM'!B131,'From 2015 DataLockdown'!$A$5:$A$247,0))</f>
        <v>394.79999999999995</v>
      </c>
      <c r="F131" s="7">
        <f>INDEX('2015 Data Summary-Datalockdown'!$E$5:$E$247,MATCH('Cost Bands for 2017 MFAM'!B131,'2015 Data Summary-Datalockdown'!$B$5:$B$247,0))</f>
        <v>201875.5</v>
      </c>
      <c r="G131" s="7">
        <f>INDEX('2015 Data Summary-Datalockdown'!$F$5:$F$247,MATCH('Cost Bands for 2017 MFAM'!B131,'2015 Data Summary-Datalockdown'!$B$5:$B$247,0))</f>
        <v>38444.080000000002</v>
      </c>
      <c r="H131" s="7">
        <f t="shared" si="20"/>
        <v>163431.41999999998</v>
      </c>
      <c r="I131" s="6">
        <f t="shared" si="21"/>
        <v>413.96003039513681</v>
      </c>
      <c r="J131" s="6">
        <f t="shared" si="22"/>
        <v>413.96003039513681</v>
      </c>
      <c r="K131" s="5">
        <f t="shared" si="23"/>
        <v>163431.41999999998</v>
      </c>
      <c r="L131" s="4">
        <f t="shared" si="14"/>
        <v>0</v>
      </c>
      <c r="M131" s="2">
        <f t="shared" si="15"/>
        <v>427.24485894517835</v>
      </c>
      <c r="N131" s="1">
        <f t="shared" si="16"/>
        <v>62</v>
      </c>
      <c r="O131" s="3">
        <f t="shared" si="17"/>
        <v>176.48666960399876</v>
      </c>
      <c r="P131" s="2">
        <f t="shared" si="18"/>
        <v>189.09318607411561</v>
      </c>
      <c r="Q131" s="2">
        <f t="shared" si="26"/>
        <v>184.91219029807903</v>
      </c>
      <c r="R131" s="2">
        <f t="shared" si="26"/>
        <v>669.57752759227765</v>
      </c>
      <c r="S131" s="2">
        <f t="shared" si="19"/>
        <v>413.96003039513681</v>
      </c>
    </row>
    <row r="132" spans="2:19" x14ac:dyDescent="0.25">
      <c r="B132" s="10">
        <v>361</v>
      </c>
      <c r="C132" s="10">
        <v>7</v>
      </c>
      <c r="D132" s="9" t="s">
        <v>250</v>
      </c>
      <c r="E132" s="8">
        <f>INDEX('From 2015 DataLockdown'!$M$5:$M$247,MATCH('Cost Bands for 2017 MFAM'!B132,'From 2015 DataLockdown'!$A$5:$A$247,0))</f>
        <v>1389.4465893019121</v>
      </c>
      <c r="F132" s="7">
        <f>INDEX('2015 Data Summary-Datalockdown'!$E$5:$E$247,MATCH('Cost Bands for 2017 MFAM'!B132,'2015 Data Summary-Datalockdown'!$B$5:$B$247,0))</f>
        <v>403236.79</v>
      </c>
      <c r="G132" s="7">
        <f>INDEX('2015 Data Summary-Datalockdown'!$F$5:$F$247,MATCH('Cost Bands for 2017 MFAM'!B132,'2015 Data Summary-Datalockdown'!$B$5:$B$247,0))</f>
        <v>6531</v>
      </c>
      <c r="H132" s="7">
        <f t="shared" si="20"/>
        <v>396705.79</v>
      </c>
      <c r="I132" s="6">
        <f t="shared" si="21"/>
        <v>285.51352247322694</v>
      </c>
      <c r="J132" s="6">
        <f t="shared" si="22"/>
        <v>285.51352247322694</v>
      </c>
      <c r="K132" s="5">
        <f t="shared" si="23"/>
        <v>396705.79000000004</v>
      </c>
      <c r="L132" s="4">
        <f t="shared" si="14"/>
        <v>0</v>
      </c>
      <c r="M132" s="2">
        <f t="shared" si="15"/>
        <v>427.24485894517835</v>
      </c>
      <c r="N132" s="1">
        <f t="shared" si="16"/>
        <v>62</v>
      </c>
      <c r="O132" s="3">
        <f t="shared" si="17"/>
        <v>20087.771738125502</v>
      </c>
      <c r="P132" s="2">
        <f t="shared" si="18"/>
        <v>189.09318607411561</v>
      </c>
      <c r="Q132" s="2">
        <f t="shared" si="26"/>
        <v>184.91219029807903</v>
      </c>
      <c r="R132" s="2">
        <f t="shared" si="26"/>
        <v>669.57752759227765</v>
      </c>
      <c r="S132" s="2">
        <f t="shared" si="19"/>
        <v>285.51352247322694</v>
      </c>
    </row>
    <row r="133" spans="2:19" x14ac:dyDescent="0.25">
      <c r="B133" s="10">
        <v>376</v>
      </c>
      <c r="C133" s="10">
        <v>7</v>
      </c>
      <c r="D133" s="9" t="s">
        <v>251</v>
      </c>
      <c r="E133" s="8">
        <f>INDEX('From 2015 DataLockdown'!$M$5:$M$247,MATCH('Cost Bands for 2017 MFAM'!B133,'From 2015 DataLockdown'!$A$5:$A$247,0))</f>
        <v>873.60969415495833</v>
      </c>
      <c r="F133" s="7">
        <f>INDEX('2015 Data Summary-Datalockdown'!$E$5:$E$247,MATCH('Cost Bands for 2017 MFAM'!B133,'2015 Data Summary-Datalockdown'!$B$5:$B$247,0))</f>
        <v>262184.61</v>
      </c>
      <c r="G133" s="7">
        <f>INDEX('2015 Data Summary-Datalockdown'!$F$5:$F$247,MATCH('Cost Bands for 2017 MFAM'!B133,'2015 Data Summary-Datalockdown'!$B$5:$B$247,0))</f>
        <v>183</v>
      </c>
      <c r="H133" s="7">
        <f t="shared" si="20"/>
        <v>262001.61</v>
      </c>
      <c r="I133" s="6">
        <f t="shared" si="21"/>
        <v>299.9069398530815</v>
      </c>
      <c r="J133" s="6">
        <f t="shared" si="22"/>
        <v>299.9069398530815</v>
      </c>
      <c r="K133" s="5">
        <f t="shared" si="23"/>
        <v>262001.61000000002</v>
      </c>
      <c r="L133" s="4">
        <f t="shared" si="14"/>
        <v>0</v>
      </c>
      <c r="M133" s="2">
        <f t="shared" si="15"/>
        <v>427.24485894517835</v>
      </c>
      <c r="N133" s="1">
        <f t="shared" si="16"/>
        <v>62</v>
      </c>
      <c r="O133" s="3">
        <f t="shared" si="17"/>
        <v>16214.945638705405</v>
      </c>
      <c r="P133" s="2">
        <f t="shared" si="18"/>
        <v>189.09318607411561</v>
      </c>
      <c r="Q133" s="2">
        <f t="shared" si="26"/>
        <v>184.91219029807903</v>
      </c>
      <c r="R133" s="2">
        <f t="shared" si="26"/>
        <v>669.57752759227765</v>
      </c>
      <c r="S133" s="2">
        <f t="shared" si="19"/>
        <v>299.9069398530815</v>
      </c>
    </row>
    <row r="134" spans="2:19" x14ac:dyDescent="0.25">
      <c r="B134" s="10">
        <v>382</v>
      </c>
      <c r="C134" s="10">
        <v>7</v>
      </c>
      <c r="D134" s="9" t="s">
        <v>252</v>
      </c>
      <c r="E134" s="8">
        <f>INDEX('From 2015 DataLockdown'!$M$5:$M$247,MATCH('Cost Bands for 2017 MFAM'!B134,'From 2015 DataLockdown'!$A$5:$A$247,0))</f>
        <v>178.71000000000004</v>
      </c>
      <c r="F134" s="7">
        <f>INDEX('2015 Data Summary-Datalockdown'!$E$5:$E$247,MATCH('Cost Bands for 2017 MFAM'!B134,'2015 Data Summary-Datalockdown'!$B$5:$B$247,0))</f>
        <v>82371.59</v>
      </c>
      <c r="G134" s="7">
        <f>INDEX('2015 Data Summary-Datalockdown'!$F$5:$F$247,MATCH('Cost Bands for 2017 MFAM'!B134,'2015 Data Summary-Datalockdown'!$B$5:$B$247,0))</f>
        <v>21362.729999999996</v>
      </c>
      <c r="H134" s="7">
        <f t="shared" si="20"/>
        <v>61008.86</v>
      </c>
      <c r="I134" s="6">
        <f t="shared" si="21"/>
        <v>341.38470147165793</v>
      </c>
      <c r="J134" s="6">
        <f t="shared" si="22"/>
        <v>341.38470147165793</v>
      </c>
      <c r="K134" s="5">
        <f t="shared" si="23"/>
        <v>61008.86</v>
      </c>
      <c r="L134" s="4">
        <f t="shared" ref="L134:L197" si="27">IF(ISERROR(I134),1,0)</f>
        <v>0</v>
      </c>
      <c r="M134" s="2">
        <f t="shared" ref="M134:M197" si="28">SUMPRODUCT(--($L$6:$L$300&lt;&gt;1),--($C$6:$C$300=$C134),$H$6:$H$300)/SUMPRODUCT(--($L$6:$L$300&lt;&gt;1),--($C$6:$C$300=$C134),$E$6:$E$300)</f>
        <v>427.24485894517835</v>
      </c>
      <c r="N134" s="1">
        <f t="shared" ref="N134:N197" si="29">SUMPRODUCT(--($L$6:$L$300&lt;&gt;1),--($C$6:$C$300=$C134),--($L$6:$L$300&lt;&gt;1))</f>
        <v>62</v>
      </c>
      <c r="O134" s="3">
        <f t="shared" ref="O134:O197" si="30">IF(ISERROR((I134-M134)^2),0,(I134-M134)^2)</f>
        <v>7371.966641377724</v>
      </c>
      <c r="P134" s="2">
        <f t="shared" ref="P134:P197" si="31">SQRT(SUMPRODUCT(--($L$6:$L$300&lt;&gt;1),--($C$6:$C$300=$C134),$E$6:$E$300,$O$6:$O$300)/((N134-1)*SUMPRODUCT(--($L$6:$L$300&lt;&gt;1),--($C$6:$C$300=$C134),$E$6:$E$300)/N134))</f>
        <v>189.09318607411561</v>
      </c>
      <c r="Q134" s="2">
        <f t="shared" si="26"/>
        <v>184.91219029807903</v>
      </c>
      <c r="R134" s="2">
        <f t="shared" si="26"/>
        <v>669.57752759227765</v>
      </c>
      <c r="S134" s="2">
        <f t="shared" ref="S134:S197" si="32">IF(ISERROR(MAX(MIN(I134,R134),Q134)),R134,MAX(MIN(I134,R134),Q134))</f>
        <v>341.38470147165793</v>
      </c>
    </row>
    <row r="135" spans="2:19" x14ac:dyDescent="0.25">
      <c r="B135" s="10">
        <v>389</v>
      </c>
      <c r="C135" s="10">
        <v>7</v>
      </c>
      <c r="D135" s="9" t="s">
        <v>253</v>
      </c>
      <c r="E135" s="8">
        <f>INDEX('From 2015 DataLockdown'!$M$5:$M$247,MATCH('Cost Bands for 2017 MFAM'!B135,'From 2015 DataLockdown'!$A$5:$A$247,0))</f>
        <v>1339.9665528847299</v>
      </c>
      <c r="F135" s="7">
        <f>INDEX('2015 Data Summary-Datalockdown'!$E$5:$E$247,MATCH('Cost Bands for 2017 MFAM'!B135,'2015 Data Summary-Datalockdown'!$B$5:$B$247,0))</f>
        <v>133794.13</v>
      </c>
      <c r="G135" s="7">
        <f>INDEX('2015 Data Summary-Datalockdown'!$F$5:$F$247,MATCH('Cost Bands for 2017 MFAM'!B135,'2015 Data Summary-Datalockdown'!$B$5:$B$247,0))</f>
        <v>847</v>
      </c>
      <c r="H135" s="7">
        <f t="shared" ref="H135:H198" si="33">F135-G135</f>
        <v>132947.13</v>
      </c>
      <c r="I135" s="6">
        <f t="shared" ref="I135:I198" si="34">H135/E135</f>
        <v>99.216752622508722</v>
      </c>
      <c r="J135" s="6">
        <f t="shared" ref="J135:J198" si="35">IF(ISERROR(IF($J$2=1,MAX(MIN(I135,R135),Q135),MIN(I135,R135))),R135,IF($J$2=1,MAX(MIN(I135,R135),Q135),MIN(I135,R135)))</f>
        <v>99.216752622508722</v>
      </c>
      <c r="K135" s="5">
        <f t="shared" ref="K135:K198" si="36">J135*E135</f>
        <v>132947.13</v>
      </c>
      <c r="L135" s="4">
        <f t="shared" si="27"/>
        <v>0</v>
      </c>
      <c r="M135" s="2">
        <f t="shared" si="28"/>
        <v>427.24485894517835</v>
      </c>
      <c r="N135" s="1">
        <f t="shared" si="29"/>
        <v>62</v>
      </c>
      <c r="O135" s="3">
        <f t="shared" si="30"/>
        <v>107602.43853763663</v>
      </c>
      <c r="P135" s="2">
        <f t="shared" si="31"/>
        <v>189.09318607411561</v>
      </c>
      <c r="Q135" s="2">
        <f t="shared" si="26"/>
        <v>184.91219029807903</v>
      </c>
      <c r="R135" s="2">
        <f t="shared" si="26"/>
        <v>669.57752759227765</v>
      </c>
      <c r="S135" s="2">
        <f t="shared" si="32"/>
        <v>184.91219029807903</v>
      </c>
    </row>
    <row r="136" spans="2:19" x14ac:dyDescent="0.25">
      <c r="B136" s="10">
        <v>434</v>
      </c>
      <c r="C136" s="10">
        <v>7</v>
      </c>
      <c r="D136" s="9" t="s">
        <v>254</v>
      </c>
      <c r="E136" s="8">
        <f>INDEX('From 2015 DataLockdown'!$M$5:$M$247,MATCH('Cost Bands for 2017 MFAM'!B136,'From 2015 DataLockdown'!$A$5:$A$247,0))</f>
        <v>379.12850517263735</v>
      </c>
      <c r="F136" s="7">
        <f>INDEX('2015 Data Summary-Datalockdown'!$E$5:$E$247,MATCH('Cost Bands for 2017 MFAM'!B136,'2015 Data Summary-Datalockdown'!$B$5:$B$247,0))</f>
        <v>148342.60999999999</v>
      </c>
      <c r="G136" s="7">
        <f>INDEX('2015 Data Summary-Datalockdown'!$F$5:$F$247,MATCH('Cost Bands for 2017 MFAM'!B136,'2015 Data Summary-Datalockdown'!$B$5:$B$247,0))</f>
        <v>0</v>
      </c>
      <c r="H136" s="7">
        <f t="shared" si="33"/>
        <v>148342.60999999999</v>
      </c>
      <c r="I136" s="6">
        <f t="shared" si="34"/>
        <v>391.27263705073221</v>
      </c>
      <c r="J136" s="6">
        <f t="shared" si="35"/>
        <v>391.27263705073221</v>
      </c>
      <c r="K136" s="5">
        <f t="shared" si="36"/>
        <v>148342.60999999999</v>
      </c>
      <c r="L136" s="4">
        <f t="shared" si="27"/>
        <v>0</v>
      </c>
      <c r="M136" s="2">
        <f t="shared" si="28"/>
        <v>427.24485894517835</v>
      </c>
      <c r="N136" s="1">
        <f t="shared" si="29"/>
        <v>62</v>
      </c>
      <c r="O136" s="3">
        <f t="shared" si="30"/>
        <v>1294.00074802327</v>
      </c>
      <c r="P136" s="2">
        <f t="shared" si="31"/>
        <v>189.09318607411561</v>
      </c>
      <c r="Q136" s="2">
        <f t="shared" si="26"/>
        <v>184.91219029807903</v>
      </c>
      <c r="R136" s="2">
        <f t="shared" si="26"/>
        <v>669.57752759227765</v>
      </c>
      <c r="S136" s="2">
        <f t="shared" si="32"/>
        <v>391.27263705073221</v>
      </c>
    </row>
    <row r="137" spans="2:19" x14ac:dyDescent="0.25">
      <c r="B137" s="10">
        <v>437</v>
      </c>
      <c r="C137" s="10">
        <v>7</v>
      </c>
      <c r="D137" s="9" t="s">
        <v>255</v>
      </c>
      <c r="E137" s="8">
        <f>INDEX('From 2015 DataLockdown'!$M$5:$M$247,MATCH('Cost Bands for 2017 MFAM'!B137,'From 2015 DataLockdown'!$A$5:$A$247,0))</f>
        <v>323.78932873882195</v>
      </c>
      <c r="F137" s="7">
        <f>INDEX('2015 Data Summary-Datalockdown'!$E$5:$E$247,MATCH('Cost Bands for 2017 MFAM'!B137,'2015 Data Summary-Datalockdown'!$B$5:$B$247,0))</f>
        <v>212779.41</v>
      </c>
      <c r="G137" s="7">
        <f>INDEX('2015 Data Summary-Datalockdown'!$F$5:$F$247,MATCH('Cost Bands for 2017 MFAM'!B137,'2015 Data Summary-Datalockdown'!$B$5:$B$247,0))</f>
        <v>0</v>
      </c>
      <c r="H137" s="7">
        <f t="shared" si="33"/>
        <v>212779.41</v>
      </c>
      <c r="I137" s="6">
        <f t="shared" si="34"/>
        <v>657.15386862435537</v>
      </c>
      <c r="J137" s="6">
        <f t="shared" si="35"/>
        <v>657.15386862435537</v>
      </c>
      <c r="K137" s="5">
        <f t="shared" si="36"/>
        <v>212779.41</v>
      </c>
      <c r="L137" s="4">
        <f t="shared" si="27"/>
        <v>0</v>
      </c>
      <c r="M137" s="2">
        <f t="shared" si="28"/>
        <v>427.24485894517835</v>
      </c>
      <c r="N137" s="1">
        <f t="shared" si="29"/>
        <v>62</v>
      </c>
      <c r="O137" s="3">
        <f t="shared" si="30"/>
        <v>52858.152731659909</v>
      </c>
      <c r="P137" s="2">
        <f t="shared" si="31"/>
        <v>189.09318607411561</v>
      </c>
      <c r="Q137" s="2">
        <f t="shared" si="26"/>
        <v>184.91219029807903</v>
      </c>
      <c r="R137" s="2">
        <f t="shared" si="26"/>
        <v>669.57752759227765</v>
      </c>
      <c r="S137" s="2">
        <f t="shared" si="32"/>
        <v>657.15386862435537</v>
      </c>
    </row>
    <row r="138" spans="2:19" x14ac:dyDescent="0.25">
      <c r="B138" s="10">
        <v>502</v>
      </c>
      <c r="C138" s="10">
        <v>7</v>
      </c>
      <c r="D138" s="9" t="s">
        <v>256</v>
      </c>
      <c r="E138" s="8">
        <f>INDEX('From 2015 DataLockdown'!$M$5:$M$247,MATCH('Cost Bands for 2017 MFAM'!B138,'From 2015 DataLockdown'!$A$5:$A$247,0))</f>
        <v>642.32660023938229</v>
      </c>
      <c r="F138" s="7">
        <f>INDEX('2015 Data Summary-Datalockdown'!$E$5:$E$247,MATCH('Cost Bands for 2017 MFAM'!B138,'2015 Data Summary-Datalockdown'!$B$5:$B$247,0))</f>
        <v>278891.21999999997</v>
      </c>
      <c r="G138" s="7">
        <f>INDEX('2015 Data Summary-Datalockdown'!$F$5:$F$247,MATCH('Cost Bands for 2017 MFAM'!B138,'2015 Data Summary-Datalockdown'!$B$5:$B$247,0))</f>
        <v>0</v>
      </c>
      <c r="H138" s="7">
        <f t="shared" si="33"/>
        <v>278891.21999999997</v>
      </c>
      <c r="I138" s="6">
        <f t="shared" si="34"/>
        <v>434.18911795971519</v>
      </c>
      <c r="J138" s="6">
        <f t="shared" si="35"/>
        <v>434.18911795971519</v>
      </c>
      <c r="K138" s="5">
        <f t="shared" si="36"/>
        <v>278891.21999999997</v>
      </c>
      <c r="L138" s="4">
        <f t="shared" si="27"/>
        <v>0</v>
      </c>
      <c r="M138" s="2">
        <f t="shared" si="28"/>
        <v>427.24485894517835</v>
      </c>
      <c r="N138" s="1">
        <f t="shared" si="29"/>
        <v>62</v>
      </c>
      <c r="O138" s="3">
        <f t="shared" si="30"/>
        <v>48.222733260976163</v>
      </c>
      <c r="P138" s="2">
        <f t="shared" si="31"/>
        <v>189.09318607411561</v>
      </c>
      <c r="Q138" s="2">
        <f t="shared" si="26"/>
        <v>184.91219029807903</v>
      </c>
      <c r="R138" s="2">
        <f t="shared" si="26"/>
        <v>669.57752759227765</v>
      </c>
      <c r="S138" s="2">
        <f t="shared" si="32"/>
        <v>434.18911795971519</v>
      </c>
    </row>
    <row r="139" spans="2:19" x14ac:dyDescent="0.25">
      <c r="B139" s="10">
        <v>503</v>
      </c>
      <c r="C139" s="10">
        <v>7</v>
      </c>
      <c r="D139" s="9" t="s">
        <v>257</v>
      </c>
      <c r="E139" s="8">
        <f>INDEX('From 2015 DataLockdown'!$M$5:$M$247,MATCH('Cost Bands for 2017 MFAM'!B139,'From 2015 DataLockdown'!$A$5:$A$247,0))</f>
        <v>389.59000000000003</v>
      </c>
      <c r="F139" s="7">
        <f>INDEX('2015 Data Summary-Datalockdown'!$E$5:$E$247,MATCH('Cost Bands for 2017 MFAM'!B139,'2015 Data Summary-Datalockdown'!$B$5:$B$247,0))</f>
        <v>186459.33</v>
      </c>
      <c r="G139" s="7">
        <f>INDEX('2015 Data Summary-Datalockdown'!$F$5:$F$247,MATCH('Cost Bands for 2017 MFAM'!B139,'2015 Data Summary-Datalockdown'!$B$5:$B$247,0))</f>
        <v>46111.149999999994</v>
      </c>
      <c r="H139" s="7">
        <f t="shared" si="33"/>
        <v>140348.18</v>
      </c>
      <c r="I139" s="6">
        <f t="shared" si="34"/>
        <v>360.24584819938906</v>
      </c>
      <c r="J139" s="6">
        <f t="shared" si="35"/>
        <v>360.24584819938906</v>
      </c>
      <c r="K139" s="5">
        <f t="shared" si="36"/>
        <v>140348.18</v>
      </c>
      <c r="L139" s="4">
        <f t="shared" si="27"/>
        <v>0</v>
      </c>
      <c r="M139" s="2">
        <f t="shared" si="28"/>
        <v>427.24485894517835</v>
      </c>
      <c r="N139" s="1">
        <f t="shared" si="29"/>
        <v>62</v>
      </c>
      <c r="O139" s="3">
        <f t="shared" si="30"/>
        <v>4488.8674409143887</v>
      </c>
      <c r="P139" s="2">
        <f t="shared" si="31"/>
        <v>189.09318607411561</v>
      </c>
      <c r="Q139" s="2">
        <f t="shared" si="26"/>
        <v>184.91219029807903</v>
      </c>
      <c r="R139" s="2">
        <f t="shared" si="26"/>
        <v>669.57752759227765</v>
      </c>
      <c r="S139" s="2">
        <f t="shared" si="32"/>
        <v>360.24584819938906</v>
      </c>
    </row>
    <row r="140" spans="2:19" x14ac:dyDescent="0.25">
      <c r="B140" s="10">
        <v>510</v>
      </c>
      <c r="C140" s="10">
        <v>7</v>
      </c>
      <c r="D140" s="9" t="s">
        <v>258</v>
      </c>
      <c r="E140" s="8">
        <f>INDEX('From 2015 DataLockdown'!$M$5:$M$247,MATCH('Cost Bands for 2017 MFAM'!B140,'From 2015 DataLockdown'!$A$5:$A$247,0))</f>
        <v>495.65548577626328</v>
      </c>
      <c r="F140" s="7">
        <f>INDEX('2015 Data Summary-Datalockdown'!$E$5:$E$247,MATCH('Cost Bands for 2017 MFAM'!B140,'2015 Data Summary-Datalockdown'!$B$5:$B$247,0))</f>
        <v>212644.13</v>
      </c>
      <c r="G140" s="7">
        <f>INDEX('2015 Data Summary-Datalockdown'!$F$5:$F$247,MATCH('Cost Bands for 2017 MFAM'!B140,'2015 Data Summary-Datalockdown'!$B$5:$B$247,0))</f>
        <v>462</v>
      </c>
      <c r="H140" s="7">
        <f t="shared" si="33"/>
        <v>212182.13</v>
      </c>
      <c r="I140" s="6">
        <f t="shared" si="34"/>
        <v>428.08389312527066</v>
      </c>
      <c r="J140" s="6">
        <f t="shared" si="35"/>
        <v>428.08389312527066</v>
      </c>
      <c r="K140" s="5">
        <f t="shared" si="36"/>
        <v>212182.13</v>
      </c>
      <c r="L140" s="4">
        <f t="shared" si="27"/>
        <v>0</v>
      </c>
      <c r="M140" s="2">
        <f t="shared" si="28"/>
        <v>427.24485894517835</v>
      </c>
      <c r="N140" s="1">
        <f t="shared" si="29"/>
        <v>62</v>
      </c>
      <c r="O140" s="3">
        <f t="shared" si="30"/>
        <v>0.70397835536317899</v>
      </c>
      <c r="P140" s="2">
        <f t="shared" si="31"/>
        <v>189.09318607411561</v>
      </c>
      <c r="Q140" s="2">
        <f t="shared" si="26"/>
        <v>184.91219029807903</v>
      </c>
      <c r="R140" s="2">
        <f t="shared" si="26"/>
        <v>669.57752759227765</v>
      </c>
      <c r="S140" s="2">
        <f t="shared" si="32"/>
        <v>428.08389312527066</v>
      </c>
    </row>
    <row r="141" spans="2:19" x14ac:dyDescent="0.25">
      <c r="B141" s="10">
        <v>531</v>
      </c>
      <c r="C141" s="10">
        <v>7</v>
      </c>
      <c r="D141" s="9" t="s">
        <v>259</v>
      </c>
      <c r="E141" s="8">
        <f>INDEX('From 2015 DataLockdown'!$M$5:$M$247,MATCH('Cost Bands for 2017 MFAM'!B141,'From 2015 DataLockdown'!$A$5:$A$247,0))</f>
        <v>1991.71</v>
      </c>
      <c r="F141" s="7">
        <f>INDEX('2015 Data Summary-Datalockdown'!$E$5:$E$247,MATCH('Cost Bands for 2017 MFAM'!B141,'2015 Data Summary-Datalockdown'!$B$5:$B$247,0))</f>
        <v>896971.7</v>
      </c>
      <c r="G141" s="7">
        <f>INDEX('2015 Data Summary-Datalockdown'!$F$5:$F$247,MATCH('Cost Bands for 2017 MFAM'!B141,'2015 Data Summary-Datalockdown'!$B$5:$B$247,0))</f>
        <v>3748</v>
      </c>
      <c r="H141" s="7">
        <f t="shared" si="33"/>
        <v>893223.7</v>
      </c>
      <c r="I141" s="6">
        <f t="shared" si="34"/>
        <v>448.47076130561175</v>
      </c>
      <c r="J141" s="6">
        <f t="shared" si="35"/>
        <v>448.47076130561175</v>
      </c>
      <c r="K141" s="5">
        <f t="shared" si="36"/>
        <v>893223.7</v>
      </c>
      <c r="L141" s="4">
        <f t="shared" si="27"/>
        <v>0</v>
      </c>
      <c r="M141" s="2">
        <f t="shared" si="28"/>
        <v>427.24485894517835</v>
      </c>
      <c r="N141" s="1">
        <f t="shared" si="29"/>
        <v>62</v>
      </c>
      <c r="O141" s="3">
        <f t="shared" si="30"/>
        <v>450.53893101465195</v>
      </c>
      <c r="P141" s="2">
        <f t="shared" si="31"/>
        <v>189.09318607411561</v>
      </c>
      <c r="Q141" s="2">
        <f t="shared" si="26"/>
        <v>184.91219029807903</v>
      </c>
      <c r="R141" s="2">
        <f t="shared" si="26"/>
        <v>669.57752759227765</v>
      </c>
      <c r="S141" s="2">
        <f t="shared" si="32"/>
        <v>448.47076130561175</v>
      </c>
    </row>
    <row r="142" spans="2:19" x14ac:dyDescent="0.25">
      <c r="B142" s="10">
        <v>550</v>
      </c>
      <c r="C142" s="10">
        <v>7</v>
      </c>
      <c r="D142" s="9" t="s">
        <v>260</v>
      </c>
      <c r="E142" s="8">
        <f>INDEX('From 2015 DataLockdown'!$M$5:$M$247,MATCH('Cost Bands for 2017 MFAM'!B142,'From 2015 DataLockdown'!$A$5:$A$247,0))</f>
        <v>370.35</v>
      </c>
      <c r="F142" s="7">
        <f>INDEX('2015 Data Summary-Datalockdown'!$E$5:$E$247,MATCH('Cost Bands for 2017 MFAM'!B142,'2015 Data Summary-Datalockdown'!$B$5:$B$247,0))</f>
        <v>150922.18</v>
      </c>
      <c r="G142" s="7">
        <f>INDEX('2015 Data Summary-Datalockdown'!$F$5:$F$247,MATCH('Cost Bands for 2017 MFAM'!B142,'2015 Data Summary-Datalockdown'!$B$5:$B$247,0))</f>
        <v>0</v>
      </c>
      <c r="H142" s="7">
        <f t="shared" si="33"/>
        <v>150922.18</v>
      </c>
      <c r="I142" s="6">
        <f t="shared" si="34"/>
        <v>407.51229917645463</v>
      </c>
      <c r="J142" s="6">
        <f t="shared" si="35"/>
        <v>407.51229917645463</v>
      </c>
      <c r="K142" s="5">
        <f t="shared" si="36"/>
        <v>150922.18</v>
      </c>
      <c r="L142" s="4">
        <f t="shared" si="27"/>
        <v>0</v>
      </c>
      <c r="M142" s="2">
        <f t="shared" si="28"/>
        <v>427.24485894517835</v>
      </c>
      <c r="N142" s="1">
        <f t="shared" si="29"/>
        <v>62</v>
      </c>
      <c r="O142" s="3">
        <f t="shared" si="30"/>
        <v>389.37391502625383</v>
      </c>
      <c r="P142" s="2">
        <f t="shared" si="31"/>
        <v>189.09318607411561</v>
      </c>
      <c r="Q142" s="2">
        <f t="shared" si="26"/>
        <v>184.91219029807903</v>
      </c>
      <c r="R142" s="2">
        <f t="shared" si="26"/>
        <v>669.57752759227765</v>
      </c>
      <c r="S142" s="2">
        <f t="shared" si="32"/>
        <v>407.51229917645463</v>
      </c>
    </row>
    <row r="143" spans="2:19" x14ac:dyDescent="0.25">
      <c r="B143" s="10">
        <v>551</v>
      </c>
      <c r="C143" s="10">
        <v>7</v>
      </c>
      <c r="D143" s="9" t="s">
        <v>261</v>
      </c>
      <c r="E143" s="8">
        <f>INDEX('From 2015 DataLockdown'!$M$5:$M$247,MATCH('Cost Bands for 2017 MFAM'!B143,'From 2015 DataLockdown'!$A$5:$A$247,0))</f>
        <v>164.48039029491798</v>
      </c>
      <c r="F143" s="7">
        <f>INDEX('2015 Data Summary-Datalockdown'!$E$5:$E$247,MATCH('Cost Bands for 2017 MFAM'!B143,'2015 Data Summary-Datalockdown'!$B$5:$B$247,0))</f>
        <v>100927.44</v>
      </c>
      <c r="G143" s="7">
        <f>INDEX('2015 Data Summary-Datalockdown'!$F$5:$F$247,MATCH('Cost Bands for 2017 MFAM'!B143,'2015 Data Summary-Datalockdown'!$B$5:$B$247,0))</f>
        <v>502</v>
      </c>
      <c r="H143" s="7">
        <f t="shared" si="33"/>
        <v>100425.44</v>
      </c>
      <c r="I143" s="6">
        <f t="shared" si="34"/>
        <v>610.56178076872482</v>
      </c>
      <c r="J143" s="6">
        <f t="shared" si="35"/>
        <v>610.56178076872482</v>
      </c>
      <c r="K143" s="5">
        <f t="shared" si="36"/>
        <v>100425.44</v>
      </c>
      <c r="L143" s="4">
        <f t="shared" si="27"/>
        <v>0</v>
      </c>
      <c r="M143" s="2">
        <f t="shared" si="28"/>
        <v>427.24485894517835</v>
      </c>
      <c r="N143" s="1">
        <f t="shared" si="29"/>
        <v>62</v>
      </c>
      <c r="O143" s="3">
        <f t="shared" si="30"/>
        <v>33605.093826860248</v>
      </c>
      <c r="P143" s="2">
        <f t="shared" si="31"/>
        <v>189.09318607411561</v>
      </c>
      <c r="Q143" s="2">
        <f t="shared" si="26"/>
        <v>184.91219029807903</v>
      </c>
      <c r="R143" s="2">
        <f t="shared" si="26"/>
        <v>669.57752759227765</v>
      </c>
      <c r="S143" s="2">
        <f t="shared" si="32"/>
        <v>610.56178076872482</v>
      </c>
    </row>
    <row r="144" spans="2:19" x14ac:dyDescent="0.25">
      <c r="B144" s="10">
        <v>555</v>
      </c>
      <c r="C144" s="10">
        <v>7</v>
      </c>
      <c r="D144" s="9" t="s">
        <v>262</v>
      </c>
      <c r="E144" s="8">
        <f>INDEX('From 2015 DataLockdown'!$M$5:$M$247,MATCH('Cost Bands for 2017 MFAM'!B144,'From 2015 DataLockdown'!$A$5:$A$247,0))</f>
        <v>814.25269393387282</v>
      </c>
      <c r="F144" s="7">
        <f>INDEX('2015 Data Summary-Datalockdown'!$E$5:$E$247,MATCH('Cost Bands for 2017 MFAM'!B144,'2015 Data Summary-Datalockdown'!$B$5:$B$247,0))</f>
        <v>371034.76</v>
      </c>
      <c r="G144" s="7">
        <f>INDEX('2015 Data Summary-Datalockdown'!$F$5:$F$247,MATCH('Cost Bands for 2017 MFAM'!B144,'2015 Data Summary-Datalockdown'!$B$5:$B$247,0))</f>
        <v>639.84</v>
      </c>
      <c r="H144" s="7">
        <f t="shared" si="33"/>
        <v>370394.92</v>
      </c>
      <c r="I144" s="6">
        <f t="shared" si="34"/>
        <v>454.8894007467423</v>
      </c>
      <c r="J144" s="6">
        <f t="shared" si="35"/>
        <v>454.8894007467423</v>
      </c>
      <c r="K144" s="5">
        <f t="shared" si="36"/>
        <v>370394.92</v>
      </c>
      <c r="L144" s="4">
        <f t="shared" si="27"/>
        <v>0</v>
      </c>
      <c r="M144" s="2">
        <f t="shared" si="28"/>
        <v>427.24485894517835</v>
      </c>
      <c r="N144" s="1">
        <f t="shared" si="29"/>
        <v>62</v>
      </c>
      <c r="O144" s="3">
        <f t="shared" si="30"/>
        <v>764.22069141841644</v>
      </c>
      <c r="P144" s="2">
        <f t="shared" si="31"/>
        <v>189.09318607411561</v>
      </c>
      <c r="Q144" s="2">
        <f t="shared" si="26"/>
        <v>184.91219029807903</v>
      </c>
      <c r="R144" s="2">
        <f t="shared" si="26"/>
        <v>669.57752759227765</v>
      </c>
      <c r="S144" s="2">
        <f t="shared" si="32"/>
        <v>454.8894007467423</v>
      </c>
    </row>
    <row r="145" spans="2:19" x14ac:dyDescent="0.25">
      <c r="B145" s="10">
        <v>556</v>
      </c>
      <c r="C145" s="10">
        <v>7</v>
      </c>
      <c r="D145" s="9" t="s">
        <v>263</v>
      </c>
      <c r="E145" s="8">
        <f>INDEX('From 2015 DataLockdown'!$M$5:$M$247,MATCH('Cost Bands for 2017 MFAM'!B145,'From 2015 DataLockdown'!$A$5:$A$247,0))</f>
        <v>419.66667962129713</v>
      </c>
      <c r="F145" s="7">
        <f>INDEX('2015 Data Summary-Datalockdown'!$E$5:$E$247,MATCH('Cost Bands for 2017 MFAM'!B145,'2015 Data Summary-Datalockdown'!$B$5:$B$247,0))</f>
        <v>162545.92000000001</v>
      </c>
      <c r="G145" s="7">
        <f>INDEX('2015 Data Summary-Datalockdown'!$F$5:$F$247,MATCH('Cost Bands for 2017 MFAM'!B145,'2015 Data Summary-Datalockdown'!$B$5:$B$247,0))</f>
        <v>553</v>
      </c>
      <c r="H145" s="7">
        <f t="shared" si="33"/>
        <v>161992.92000000001</v>
      </c>
      <c r="I145" s="6">
        <f t="shared" si="34"/>
        <v>386.0037688629003</v>
      </c>
      <c r="J145" s="6">
        <f t="shared" si="35"/>
        <v>386.0037688629003</v>
      </c>
      <c r="K145" s="5">
        <f t="shared" si="36"/>
        <v>161992.92000000001</v>
      </c>
      <c r="L145" s="4">
        <f t="shared" si="27"/>
        <v>0</v>
      </c>
      <c r="M145" s="2">
        <f t="shared" si="28"/>
        <v>427.24485894517835</v>
      </c>
      <c r="N145" s="1">
        <f t="shared" si="29"/>
        <v>62</v>
      </c>
      <c r="O145" s="3">
        <f t="shared" si="30"/>
        <v>1700.8275111745729</v>
      </c>
      <c r="P145" s="2">
        <f t="shared" si="31"/>
        <v>189.09318607411561</v>
      </c>
      <c r="Q145" s="2">
        <f t="shared" si="26"/>
        <v>184.91219029807903</v>
      </c>
      <c r="R145" s="2">
        <f t="shared" si="26"/>
        <v>669.57752759227765</v>
      </c>
      <c r="S145" s="2">
        <f t="shared" si="32"/>
        <v>386.0037688629003</v>
      </c>
    </row>
    <row r="146" spans="2:19" x14ac:dyDescent="0.25">
      <c r="B146" s="10">
        <v>558</v>
      </c>
      <c r="C146" s="10">
        <v>7</v>
      </c>
      <c r="D146" s="9" t="s">
        <v>264</v>
      </c>
      <c r="E146" s="8">
        <f>INDEX('From 2015 DataLockdown'!$M$5:$M$247,MATCH('Cost Bands for 2017 MFAM'!B146,'From 2015 DataLockdown'!$A$5:$A$247,0))</f>
        <v>390.66552423935184</v>
      </c>
      <c r="F146" s="7">
        <f>INDEX('2015 Data Summary-Datalockdown'!$E$5:$E$247,MATCH('Cost Bands for 2017 MFAM'!B146,'2015 Data Summary-Datalockdown'!$B$5:$B$247,0))</f>
        <v>256393.05</v>
      </c>
      <c r="G146" s="7">
        <f>INDEX('2015 Data Summary-Datalockdown'!$F$5:$F$247,MATCH('Cost Bands for 2017 MFAM'!B146,'2015 Data Summary-Datalockdown'!$B$5:$B$247,0))</f>
        <v>20120.98</v>
      </c>
      <c r="H146" s="7">
        <f t="shared" si="33"/>
        <v>236272.06999999998</v>
      </c>
      <c r="I146" s="6">
        <f t="shared" si="34"/>
        <v>604.79375665419991</v>
      </c>
      <c r="J146" s="6">
        <f t="shared" si="35"/>
        <v>604.79375665419991</v>
      </c>
      <c r="K146" s="5">
        <f t="shared" si="36"/>
        <v>236272.07</v>
      </c>
      <c r="L146" s="4">
        <f t="shared" si="27"/>
        <v>0</v>
      </c>
      <c r="M146" s="2">
        <f t="shared" si="28"/>
        <v>427.24485894517835</v>
      </c>
      <c r="N146" s="1">
        <f t="shared" si="29"/>
        <v>62</v>
      </c>
      <c r="O146" s="3">
        <f t="shared" si="30"/>
        <v>31523.611077688602</v>
      </c>
      <c r="P146" s="2">
        <f t="shared" si="31"/>
        <v>189.09318607411561</v>
      </c>
      <c r="Q146" s="2">
        <f t="shared" ref="Q146:R165" si="37">NORMINV(Q$4,$M146,$P146)</f>
        <v>184.91219029807903</v>
      </c>
      <c r="R146" s="2">
        <f t="shared" si="37"/>
        <v>669.57752759227765</v>
      </c>
      <c r="S146" s="2">
        <f t="shared" si="32"/>
        <v>604.79375665419991</v>
      </c>
    </row>
    <row r="147" spans="2:19" x14ac:dyDescent="0.25">
      <c r="B147" s="10">
        <v>600</v>
      </c>
      <c r="C147" s="10">
        <v>7</v>
      </c>
      <c r="D147" s="9" t="s">
        <v>265</v>
      </c>
      <c r="E147" s="8">
        <f>INDEX('From 2015 DataLockdown'!$M$5:$M$247,MATCH('Cost Bands for 2017 MFAM'!B147,'From 2015 DataLockdown'!$A$5:$A$247,0))</f>
        <v>713.92</v>
      </c>
      <c r="F147" s="7">
        <f>INDEX('2015 Data Summary-Datalockdown'!$E$5:$E$247,MATCH('Cost Bands for 2017 MFAM'!B147,'2015 Data Summary-Datalockdown'!$B$5:$B$247,0))</f>
        <v>292670.93</v>
      </c>
      <c r="G147" s="7">
        <f>INDEX('2015 Data Summary-Datalockdown'!$F$5:$F$247,MATCH('Cost Bands for 2017 MFAM'!B147,'2015 Data Summary-Datalockdown'!$B$5:$B$247,0))</f>
        <v>1639.64</v>
      </c>
      <c r="H147" s="7">
        <f t="shared" si="33"/>
        <v>291031.28999999998</v>
      </c>
      <c r="I147" s="6">
        <f t="shared" si="34"/>
        <v>407.65252409233528</v>
      </c>
      <c r="J147" s="6">
        <f t="shared" si="35"/>
        <v>407.65252409233528</v>
      </c>
      <c r="K147" s="5">
        <f t="shared" si="36"/>
        <v>291031.28999999998</v>
      </c>
      <c r="L147" s="4">
        <f t="shared" si="27"/>
        <v>0</v>
      </c>
      <c r="M147" s="2">
        <f t="shared" si="28"/>
        <v>427.24485894517835</v>
      </c>
      <c r="N147" s="1">
        <f t="shared" si="29"/>
        <v>62</v>
      </c>
      <c r="O147" s="3">
        <f t="shared" si="30"/>
        <v>383.85958498592913</v>
      </c>
      <c r="P147" s="2">
        <f t="shared" si="31"/>
        <v>189.09318607411561</v>
      </c>
      <c r="Q147" s="2">
        <f t="shared" si="37"/>
        <v>184.91219029807903</v>
      </c>
      <c r="R147" s="2">
        <f t="shared" si="37"/>
        <v>669.57752759227765</v>
      </c>
      <c r="S147" s="2">
        <f t="shared" si="32"/>
        <v>407.65252409233528</v>
      </c>
    </row>
    <row r="148" spans="2:19" x14ac:dyDescent="0.25">
      <c r="B148" s="10">
        <v>604</v>
      </c>
      <c r="C148" s="10">
        <v>7</v>
      </c>
      <c r="D148" s="9" t="s">
        <v>266</v>
      </c>
      <c r="E148" s="8">
        <f>INDEX('From 2015 DataLockdown'!$M$5:$M$247,MATCH('Cost Bands for 2017 MFAM'!B148,'From 2015 DataLockdown'!$A$5:$A$247,0))</f>
        <v>757.60925661922249</v>
      </c>
      <c r="F148" s="7">
        <f>INDEX('2015 Data Summary-Datalockdown'!$E$5:$E$247,MATCH('Cost Bands for 2017 MFAM'!B148,'2015 Data Summary-Datalockdown'!$B$5:$B$247,0))</f>
        <v>279048.06</v>
      </c>
      <c r="G148" s="7">
        <f>INDEX('2015 Data Summary-Datalockdown'!$F$5:$F$247,MATCH('Cost Bands for 2017 MFAM'!B148,'2015 Data Summary-Datalockdown'!$B$5:$B$247,0))</f>
        <v>7424</v>
      </c>
      <c r="H148" s="7">
        <f t="shared" si="33"/>
        <v>271624.06</v>
      </c>
      <c r="I148" s="6">
        <f t="shared" si="34"/>
        <v>358.52790554870342</v>
      </c>
      <c r="J148" s="6">
        <f t="shared" si="35"/>
        <v>358.52790554870342</v>
      </c>
      <c r="K148" s="5">
        <f t="shared" si="36"/>
        <v>271624.06</v>
      </c>
      <c r="L148" s="4">
        <f t="shared" si="27"/>
        <v>0</v>
      </c>
      <c r="M148" s="2">
        <f t="shared" si="28"/>
        <v>427.24485894517835</v>
      </c>
      <c r="N148" s="1">
        <f t="shared" si="29"/>
        <v>62</v>
      </c>
      <c r="O148" s="3">
        <f t="shared" si="30"/>
        <v>4722.0196840933077</v>
      </c>
      <c r="P148" s="2">
        <f t="shared" si="31"/>
        <v>189.09318607411561</v>
      </c>
      <c r="Q148" s="2">
        <f t="shared" si="37"/>
        <v>184.91219029807903</v>
      </c>
      <c r="R148" s="2">
        <f t="shared" si="37"/>
        <v>669.57752759227765</v>
      </c>
      <c r="S148" s="2">
        <f t="shared" si="32"/>
        <v>358.52790554870342</v>
      </c>
    </row>
    <row r="149" spans="2:19" x14ac:dyDescent="0.25">
      <c r="B149" s="10">
        <v>612</v>
      </c>
      <c r="C149" s="10">
        <v>7</v>
      </c>
      <c r="D149" s="9" t="s">
        <v>267</v>
      </c>
      <c r="E149" s="8">
        <f>INDEX('From 2015 DataLockdown'!$M$5:$M$247,MATCH('Cost Bands for 2017 MFAM'!B149,'From 2015 DataLockdown'!$A$5:$A$247,0))</f>
        <v>533.05754939735175</v>
      </c>
      <c r="F149" s="7">
        <f>INDEX('2015 Data Summary-Datalockdown'!$E$5:$E$247,MATCH('Cost Bands for 2017 MFAM'!B149,'2015 Data Summary-Datalockdown'!$B$5:$B$247,0))</f>
        <v>177147.76</v>
      </c>
      <c r="G149" s="7">
        <f>INDEX('2015 Data Summary-Datalockdown'!$F$5:$F$247,MATCH('Cost Bands for 2017 MFAM'!B149,'2015 Data Summary-Datalockdown'!$B$5:$B$247,0))</f>
        <v>801.9</v>
      </c>
      <c r="H149" s="7">
        <f t="shared" si="33"/>
        <v>176345.86000000002</v>
      </c>
      <c r="I149" s="6">
        <f t="shared" si="34"/>
        <v>330.81955259684031</v>
      </c>
      <c r="J149" s="6">
        <f t="shared" si="35"/>
        <v>330.81955259684031</v>
      </c>
      <c r="K149" s="5">
        <f t="shared" si="36"/>
        <v>176345.86000000002</v>
      </c>
      <c r="L149" s="4">
        <f t="shared" si="27"/>
        <v>0</v>
      </c>
      <c r="M149" s="2">
        <f t="shared" si="28"/>
        <v>427.24485894517835</v>
      </c>
      <c r="N149" s="1">
        <f t="shared" si="29"/>
        <v>62</v>
      </c>
      <c r="O149" s="3">
        <f t="shared" si="30"/>
        <v>9297.839704370841</v>
      </c>
      <c r="P149" s="2">
        <f t="shared" si="31"/>
        <v>189.09318607411561</v>
      </c>
      <c r="Q149" s="2">
        <f t="shared" si="37"/>
        <v>184.91219029807903</v>
      </c>
      <c r="R149" s="2">
        <f t="shared" si="37"/>
        <v>669.57752759227765</v>
      </c>
      <c r="S149" s="2">
        <f t="shared" si="32"/>
        <v>330.81955259684031</v>
      </c>
    </row>
    <row r="150" spans="2:19" x14ac:dyDescent="0.25">
      <c r="B150" s="10">
        <v>711</v>
      </c>
      <c r="C150" s="10">
        <v>7</v>
      </c>
      <c r="D150" s="9" t="s">
        <v>269</v>
      </c>
      <c r="E150" s="8">
        <f>INDEX('From 2015 DataLockdown'!$M$5:$M$247,MATCH('Cost Bands for 2017 MFAM'!B150,'From 2015 DataLockdown'!$A$5:$A$247,0))</f>
        <v>349.44769397632064</v>
      </c>
      <c r="F150" s="7">
        <f>INDEX('2015 Data Summary-Datalockdown'!$E$5:$E$247,MATCH('Cost Bands for 2017 MFAM'!B150,'2015 Data Summary-Datalockdown'!$B$5:$B$247,0))</f>
        <v>153601.63</v>
      </c>
      <c r="G150" s="7">
        <f>INDEX('2015 Data Summary-Datalockdown'!$F$5:$F$247,MATCH('Cost Bands for 2017 MFAM'!B150,'2015 Data Summary-Datalockdown'!$B$5:$B$247,0))</f>
        <v>4536.17</v>
      </c>
      <c r="H150" s="7">
        <f t="shared" si="33"/>
        <v>149065.46</v>
      </c>
      <c r="I150" s="6">
        <f t="shared" si="34"/>
        <v>426.57445611903512</v>
      </c>
      <c r="J150" s="6">
        <f t="shared" si="35"/>
        <v>426.57445611903512</v>
      </c>
      <c r="K150" s="5">
        <f t="shared" si="36"/>
        <v>149065.46</v>
      </c>
      <c r="L150" s="4">
        <f t="shared" si="27"/>
        <v>0</v>
      </c>
      <c r="M150" s="2">
        <f t="shared" si="28"/>
        <v>427.24485894517835</v>
      </c>
      <c r="N150" s="1">
        <f t="shared" si="29"/>
        <v>62</v>
      </c>
      <c r="O150" s="3">
        <f t="shared" si="30"/>
        <v>0.44943994930083164</v>
      </c>
      <c r="P150" s="2">
        <f t="shared" si="31"/>
        <v>189.09318607411561</v>
      </c>
      <c r="Q150" s="2">
        <f t="shared" si="37"/>
        <v>184.91219029807903</v>
      </c>
      <c r="R150" s="2">
        <f t="shared" si="37"/>
        <v>669.57752759227765</v>
      </c>
      <c r="S150" s="2">
        <f t="shared" si="32"/>
        <v>426.57445611903512</v>
      </c>
    </row>
    <row r="151" spans="2:19" x14ac:dyDescent="0.25">
      <c r="B151" s="10">
        <v>712</v>
      </c>
      <c r="C151" s="10">
        <v>7</v>
      </c>
      <c r="D151" s="9" t="s">
        <v>270</v>
      </c>
      <c r="E151" s="8">
        <f>INDEX('From 2015 DataLockdown'!$M$5:$M$247,MATCH('Cost Bands for 2017 MFAM'!B151,'From 2015 DataLockdown'!$A$5:$A$247,0))</f>
        <v>549.79999999999995</v>
      </c>
      <c r="F151" s="7">
        <f>INDEX('2015 Data Summary-Datalockdown'!$E$5:$E$247,MATCH('Cost Bands for 2017 MFAM'!B151,'2015 Data Summary-Datalockdown'!$B$5:$B$247,0))</f>
        <v>259343.6</v>
      </c>
      <c r="G151" s="7">
        <f>INDEX('2015 Data Summary-Datalockdown'!$F$5:$F$247,MATCH('Cost Bands for 2017 MFAM'!B151,'2015 Data Summary-Datalockdown'!$B$5:$B$247,0))</f>
        <v>0</v>
      </c>
      <c r="H151" s="7">
        <f t="shared" si="33"/>
        <v>259343.6</v>
      </c>
      <c r="I151" s="6">
        <f t="shared" si="34"/>
        <v>471.70534739905423</v>
      </c>
      <c r="J151" s="6">
        <f t="shared" si="35"/>
        <v>471.70534739905423</v>
      </c>
      <c r="K151" s="5">
        <f t="shared" si="36"/>
        <v>259343.6</v>
      </c>
      <c r="L151" s="4">
        <f t="shared" si="27"/>
        <v>0</v>
      </c>
      <c r="M151" s="2">
        <f t="shared" si="28"/>
        <v>427.24485894517835</v>
      </c>
      <c r="N151" s="1">
        <f t="shared" si="29"/>
        <v>62</v>
      </c>
      <c r="O151" s="3">
        <f t="shared" si="30"/>
        <v>1976.7350335572307</v>
      </c>
      <c r="P151" s="2">
        <f t="shared" si="31"/>
        <v>189.09318607411561</v>
      </c>
      <c r="Q151" s="2">
        <f t="shared" si="37"/>
        <v>184.91219029807903</v>
      </c>
      <c r="R151" s="2">
        <f t="shared" si="37"/>
        <v>669.57752759227765</v>
      </c>
      <c r="S151" s="2">
        <f t="shared" si="32"/>
        <v>471.70534739905423</v>
      </c>
    </row>
    <row r="152" spans="2:19" x14ac:dyDescent="0.25">
      <c r="B152" s="10">
        <v>718</v>
      </c>
      <c r="C152" s="10">
        <v>7</v>
      </c>
      <c r="D152" s="9" t="s">
        <v>271</v>
      </c>
      <c r="E152" s="8">
        <f>INDEX('From 2015 DataLockdown'!$M$5:$M$247,MATCH('Cost Bands for 2017 MFAM'!B152,'From 2015 DataLockdown'!$A$5:$A$247,0))</f>
        <v>24.780956735863882</v>
      </c>
      <c r="F152" s="7">
        <f>INDEX('2015 Data Summary-Datalockdown'!$E$5:$E$247,MATCH('Cost Bands for 2017 MFAM'!B152,'2015 Data Summary-Datalockdown'!$B$5:$B$247,0))</f>
        <v>17571.97</v>
      </c>
      <c r="G152" s="7">
        <f>INDEX('2015 Data Summary-Datalockdown'!$F$5:$F$247,MATCH('Cost Bands for 2017 MFAM'!B152,'2015 Data Summary-Datalockdown'!$B$5:$B$247,0))</f>
        <v>0</v>
      </c>
      <c r="H152" s="7">
        <f t="shared" si="33"/>
        <v>17571.97</v>
      </c>
      <c r="I152" s="6">
        <f t="shared" si="34"/>
        <v>709.09167016014442</v>
      </c>
      <c r="J152" s="6">
        <f t="shared" si="35"/>
        <v>669.57752759227765</v>
      </c>
      <c r="K152" s="5">
        <f t="shared" si="36"/>
        <v>16592.771742570938</v>
      </c>
      <c r="L152" s="4">
        <f t="shared" si="27"/>
        <v>0</v>
      </c>
      <c r="M152" s="2">
        <f t="shared" si="28"/>
        <v>427.24485894517835</v>
      </c>
      <c r="N152" s="1">
        <f t="shared" si="29"/>
        <v>62</v>
      </c>
      <c r="O152" s="3">
        <f t="shared" si="30"/>
        <v>79437.624992044715</v>
      </c>
      <c r="P152" s="2">
        <f t="shared" si="31"/>
        <v>189.09318607411561</v>
      </c>
      <c r="Q152" s="2">
        <f t="shared" si="37"/>
        <v>184.91219029807903</v>
      </c>
      <c r="R152" s="2">
        <f t="shared" si="37"/>
        <v>669.57752759227765</v>
      </c>
      <c r="S152" s="2">
        <f t="shared" si="32"/>
        <v>669.57752759227765</v>
      </c>
    </row>
    <row r="153" spans="2:19" x14ac:dyDescent="0.25">
      <c r="B153" s="10">
        <v>736</v>
      </c>
      <c r="C153" s="10">
        <v>7</v>
      </c>
      <c r="D153" s="9" t="s">
        <v>272</v>
      </c>
      <c r="E153" s="8">
        <f>INDEX('From 2015 DataLockdown'!$M$5:$M$247,MATCH('Cost Bands for 2017 MFAM'!B153,'From 2015 DataLockdown'!$A$5:$A$247,0))</f>
        <v>149.75429613837633</v>
      </c>
      <c r="F153" s="7">
        <f>INDEX('2015 Data Summary-Datalockdown'!$E$5:$E$247,MATCH('Cost Bands for 2017 MFAM'!B153,'2015 Data Summary-Datalockdown'!$B$5:$B$247,0))</f>
        <v>56752.74</v>
      </c>
      <c r="G153" s="7">
        <f>INDEX('2015 Data Summary-Datalockdown'!$F$5:$F$247,MATCH('Cost Bands for 2017 MFAM'!B153,'2015 Data Summary-Datalockdown'!$B$5:$B$247,0))</f>
        <v>0</v>
      </c>
      <c r="H153" s="7">
        <f t="shared" si="33"/>
        <v>56752.74</v>
      </c>
      <c r="I153" s="6">
        <f t="shared" si="34"/>
        <v>378.97236649263931</v>
      </c>
      <c r="J153" s="6">
        <f t="shared" si="35"/>
        <v>378.97236649263931</v>
      </c>
      <c r="K153" s="5">
        <f t="shared" si="36"/>
        <v>56752.74</v>
      </c>
      <c r="L153" s="4">
        <f t="shared" si="27"/>
        <v>0</v>
      </c>
      <c r="M153" s="2">
        <f t="shared" si="28"/>
        <v>427.24485894517835</v>
      </c>
      <c r="N153" s="1">
        <f t="shared" si="29"/>
        <v>62</v>
      </c>
      <c r="O153" s="3">
        <f t="shared" si="30"/>
        <v>2330.2335275804385</v>
      </c>
      <c r="P153" s="2">
        <f t="shared" si="31"/>
        <v>189.09318607411561</v>
      </c>
      <c r="Q153" s="2">
        <f t="shared" si="37"/>
        <v>184.91219029807903</v>
      </c>
      <c r="R153" s="2">
        <f t="shared" si="37"/>
        <v>669.57752759227765</v>
      </c>
      <c r="S153" s="2">
        <f t="shared" si="32"/>
        <v>378.97236649263931</v>
      </c>
    </row>
    <row r="154" spans="2:19" x14ac:dyDescent="0.25">
      <c r="B154" s="10">
        <v>757</v>
      </c>
      <c r="C154" s="10">
        <v>7</v>
      </c>
      <c r="D154" s="9" t="s">
        <v>273</v>
      </c>
      <c r="E154" s="8">
        <f>INDEX('From 2015 DataLockdown'!$M$5:$M$247,MATCH('Cost Bands for 2017 MFAM'!B154,'From 2015 DataLockdown'!$A$5:$A$247,0))</f>
        <v>501.67</v>
      </c>
      <c r="F154" s="7">
        <f>INDEX('2015 Data Summary-Datalockdown'!$E$5:$E$247,MATCH('Cost Bands for 2017 MFAM'!B154,'2015 Data Summary-Datalockdown'!$B$5:$B$247,0))</f>
        <v>310262.45</v>
      </c>
      <c r="G154" s="7">
        <f>INDEX('2015 Data Summary-Datalockdown'!$F$5:$F$247,MATCH('Cost Bands for 2017 MFAM'!B154,'2015 Data Summary-Datalockdown'!$B$5:$B$247,0))</f>
        <v>18377</v>
      </c>
      <c r="H154" s="7">
        <f t="shared" si="33"/>
        <v>291885.45</v>
      </c>
      <c r="I154" s="6">
        <f t="shared" si="34"/>
        <v>581.8275958299281</v>
      </c>
      <c r="J154" s="6">
        <f t="shared" si="35"/>
        <v>581.8275958299281</v>
      </c>
      <c r="K154" s="5">
        <f t="shared" si="36"/>
        <v>291885.45</v>
      </c>
      <c r="L154" s="4">
        <f t="shared" si="27"/>
        <v>0</v>
      </c>
      <c r="M154" s="2">
        <f t="shared" si="28"/>
        <v>427.24485894517835</v>
      </c>
      <c r="N154" s="1">
        <f t="shared" si="29"/>
        <v>62</v>
      </c>
      <c r="O154" s="3">
        <f t="shared" si="30"/>
        <v>23895.82254277977</v>
      </c>
      <c r="P154" s="2">
        <f t="shared" si="31"/>
        <v>189.09318607411561</v>
      </c>
      <c r="Q154" s="2">
        <f t="shared" si="37"/>
        <v>184.91219029807903</v>
      </c>
      <c r="R154" s="2">
        <f t="shared" si="37"/>
        <v>669.57752759227765</v>
      </c>
      <c r="S154" s="2">
        <f t="shared" si="32"/>
        <v>581.8275958299281</v>
      </c>
    </row>
    <row r="155" spans="2:19" x14ac:dyDescent="0.25">
      <c r="B155" s="10">
        <v>786</v>
      </c>
      <c r="C155" s="10">
        <v>7</v>
      </c>
      <c r="D155" s="9" t="s">
        <v>274</v>
      </c>
      <c r="E155" s="8">
        <f>INDEX('From 2015 DataLockdown'!$M$5:$M$247,MATCH('Cost Bands for 2017 MFAM'!B155,'From 2015 DataLockdown'!$A$5:$A$247,0))</f>
        <v>3104.5699999999997</v>
      </c>
      <c r="F155" s="7">
        <f>INDEX('2015 Data Summary-Datalockdown'!$E$5:$E$247,MATCH('Cost Bands for 2017 MFAM'!B155,'2015 Data Summary-Datalockdown'!$B$5:$B$247,0))</f>
        <v>2080065.96</v>
      </c>
      <c r="G155" s="7">
        <f>INDEX('2015 Data Summary-Datalockdown'!$F$5:$F$247,MATCH('Cost Bands for 2017 MFAM'!B155,'2015 Data Summary-Datalockdown'!$B$5:$B$247,0))</f>
        <v>258024.69</v>
      </c>
      <c r="H155" s="7">
        <f t="shared" si="33"/>
        <v>1822041.27</v>
      </c>
      <c r="I155" s="6">
        <f t="shared" si="34"/>
        <v>586.8900588487295</v>
      </c>
      <c r="J155" s="6">
        <f t="shared" si="35"/>
        <v>586.8900588487295</v>
      </c>
      <c r="K155" s="5">
        <f t="shared" si="36"/>
        <v>1822041.27</v>
      </c>
      <c r="L155" s="4">
        <f t="shared" si="27"/>
        <v>0</v>
      </c>
      <c r="M155" s="2">
        <f t="shared" si="28"/>
        <v>427.24485894517835</v>
      </c>
      <c r="N155" s="1">
        <f t="shared" si="29"/>
        <v>62</v>
      </c>
      <c r="O155" s="3">
        <f t="shared" si="30"/>
        <v>25486.589852244808</v>
      </c>
      <c r="P155" s="2">
        <f t="shared" si="31"/>
        <v>189.09318607411561</v>
      </c>
      <c r="Q155" s="2">
        <f t="shared" si="37"/>
        <v>184.91219029807903</v>
      </c>
      <c r="R155" s="2">
        <f t="shared" si="37"/>
        <v>669.57752759227765</v>
      </c>
      <c r="S155" s="2">
        <f t="shared" si="32"/>
        <v>586.8900588487295</v>
      </c>
    </row>
    <row r="156" spans="2:19" x14ac:dyDescent="0.25">
      <c r="B156" s="10">
        <v>854</v>
      </c>
      <c r="C156" s="10">
        <v>7</v>
      </c>
      <c r="D156" s="9" t="s">
        <v>275</v>
      </c>
      <c r="E156" s="8">
        <f>INDEX('From 2015 DataLockdown'!$M$5:$M$247,MATCH('Cost Bands for 2017 MFAM'!B156,'From 2015 DataLockdown'!$A$5:$A$247,0))</f>
        <v>739.91</v>
      </c>
      <c r="F156" s="7">
        <f>INDEX('2015 Data Summary-Datalockdown'!$E$5:$E$247,MATCH('Cost Bands for 2017 MFAM'!B156,'2015 Data Summary-Datalockdown'!$B$5:$B$247,0))</f>
        <v>372742.85</v>
      </c>
      <c r="G156" s="7">
        <f>INDEX('2015 Data Summary-Datalockdown'!$F$5:$F$247,MATCH('Cost Bands for 2017 MFAM'!B156,'2015 Data Summary-Datalockdown'!$B$5:$B$247,0))</f>
        <v>226.56</v>
      </c>
      <c r="H156" s="7">
        <f t="shared" si="33"/>
        <v>372516.29</v>
      </c>
      <c r="I156" s="6">
        <f t="shared" si="34"/>
        <v>503.46162371099189</v>
      </c>
      <c r="J156" s="6">
        <f t="shared" si="35"/>
        <v>503.46162371099189</v>
      </c>
      <c r="K156" s="5">
        <f t="shared" si="36"/>
        <v>372516.29</v>
      </c>
      <c r="L156" s="4">
        <f t="shared" si="27"/>
        <v>0</v>
      </c>
      <c r="M156" s="2">
        <f t="shared" si="28"/>
        <v>427.24485894517835</v>
      </c>
      <c r="N156" s="1">
        <f t="shared" si="29"/>
        <v>62</v>
      </c>
      <c r="O156" s="3">
        <f t="shared" si="30"/>
        <v>5808.9952313673557</v>
      </c>
      <c r="P156" s="2">
        <f t="shared" si="31"/>
        <v>189.09318607411561</v>
      </c>
      <c r="Q156" s="2">
        <f t="shared" si="37"/>
        <v>184.91219029807903</v>
      </c>
      <c r="R156" s="2">
        <f t="shared" si="37"/>
        <v>669.57752759227765</v>
      </c>
      <c r="S156" s="2">
        <f t="shared" si="32"/>
        <v>503.46162371099189</v>
      </c>
    </row>
    <row r="157" spans="2:19" x14ac:dyDescent="0.25">
      <c r="B157" s="10">
        <v>855</v>
      </c>
      <c r="C157" s="10">
        <v>7</v>
      </c>
      <c r="D157" s="9" t="s">
        <v>276</v>
      </c>
      <c r="E157" s="8">
        <f>INDEX('From 2015 DataLockdown'!$M$5:$M$247,MATCH('Cost Bands for 2017 MFAM'!B157,'From 2015 DataLockdown'!$A$5:$A$247,0))</f>
        <v>218.35</v>
      </c>
      <c r="F157" s="7">
        <f>INDEX('2015 Data Summary-Datalockdown'!$E$5:$E$247,MATCH('Cost Bands for 2017 MFAM'!B157,'2015 Data Summary-Datalockdown'!$B$5:$B$247,0))</f>
        <v>132793.26999999999</v>
      </c>
      <c r="G157" s="7">
        <f>INDEX('2015 Data Summary-Datalockdown'!$F$5:$F$247,MATCH('Cost Bands for 2017 MFAM'!B157,'2015 Data Summary-Datalockdown'!$B$5:$B$247,0))</f>
        <v>20458.66</v>
      </c>
      <c r="H157" s="7">
        <f t="shared" si="33"/>
        <v>112334.60999999999</v>
      </c>
      <c r="I157" s="6">
        <f t="shared" si="34"/>
        <v>514.47039157316226</v>
      </c>
      <c r="J157" s="6">
        <f t="shared" si="35"/>
        <v>514.47039157316226</v>
      </c>
      <c r="K157" s="5">
        <f t="shared" si="36"/>
        <v>112334.60999999997</v>
      </c>
      <c r="L157" s="4">
        <f t="shared" si="27"/>
        <v>0</v>
      </c>
      <c r="M157" s="2">
        <f t="shared" si="28"/>
        <v>427.24485894517835</v>
      </c>
      <c r="N157" s="1">
        <f t="shared" si="29"/>
        <v>62</v>
      </c>
      <c r="O157" s="3">
        <f t="shared" si="30"/>
        <v>7608.2935422354858</v>
      </c>
      <c r="P157" s="2">
        <f t="shared" si="31"/>
        <v>189.09318607411561</v>
      </c>
      <c r="Q157" s="2">
        <f t="shared" si="37"/>
        <v>184.91219029807903</v>
      </c>
      <c r="R157" s="2">
        <f t="shared" si="37"/>
        <v>669.57752759227765</v>
      </c>
      <c r="S157" s="2">
        <f t="shared" si="32"/>
        <v>514.47039157316226</v>
      </c>
    </row>
    <row r="158" spans="2:19" x14ac:dyDescent="0.25">
      <c r="B158" s="10">
        <v>862</v>
      </c>
      <c r="C158" s="10">
        <v>7</v>
      </c>
      <c r="D158" s="9" t="s">
        <v>277</v>
      </c>
      <c r="E158" s="8">
        <f>INDEX('From 2015 DataLockdown'!$M$5:$M$247,MATCH('Cost Bands for 2017 MFAM'!B158,'From 2015 DataLockdown'!$A$5:$A$247,0))</f>
        <v>17.291458969875634</v>
      </c>
      <c r="F158" s="7">
        <f>INDEX('2015 Data Summary-Datalockdown'!$E$5:$E$247,MATCH('Cost Bands for 2017 MFAM'!B158,'2015 Data Summary-Datalockdown'!$B$5:$B$247,0))</f>
        <v>9221.15</v>
      </c>
      <c r="G158" s="7">
        <f>INDEX('2015 Data Summary-Datalockdown'!$F$5:$F$247,MATCH('Cost Bands for 2017 MFAM'!B158,'2015 Data Summary-Datalockdown'!$B$5:$B$247,0))</f>
        <v>7583.34</v>
      </c>
      <c r="H158" s="7">
        <f t="shared" si="33"/>
        <v>1637.8099999999995</v>
      </c>
      <c r="I158" s="6">
        <f t="shared" si="34"/>
        <v>94.717860583847497</v>
      </c>
      <c r="J158" s="6">
        <f t="shared" si="35"/>
        <v>94.717860583847497</v>
      </c>
      <c r="K158" s="5">
        <f t="shared" si="36"/>
        <v>1637.8099999999995</v>
      </c>
      <c r="L158" s="4">
        <f t="shared" si="27"/>
        <v>0</v>
      </c>
      <c r="M158" s="2">
        <f t="shared" si="28"/>
        <v>427.24485894517835</v>
      </c>
      <c r="N158" s="1">
        <f t="shared" si="29"/>
        <v>62</v>
      </c>
      <c r="O158" s="3">
        <f t="shared" si="30"/>
        <v>110574.20463919654</v>
      </c>
      <c r="P158" s="2">
        <f t="shared" si="31"/>
        <v>189.09318607411561</v>
      </c>
      <c r="Q158" s="2">
        <f t="shared" si="37"/>
        <v>184.91219029807903</v>
      </c>
      <c r="R158" s="2">
        <f t="shared" si="37"/>
        <v>669.57752759227765</v>
      </c>
      <c r="S158" s="2">
        <f t="shared" si="32"/>
        <v>184.91219029807903</v>
      </c>
    </row>
    <row r="159" spans="2:19" x14ac:dyDescent="0.25">
      <c r="B159" s="10">
        <v>958</v>
      </c>
      <c r="C159" s="10">
        <v>7</v>
      </c>
      <c r="D159" s="9" t="s">
        <v>278</v>
      </c>
      <c r="E159" s="8">
        <f>INDEX('From 2015 DataLockdown'!$M$5:$M$247,MATCH('Cost Bands for 2017 MFAM'!B159,'From 2015 DataLockdown'!$A$5:$A$247,0))</f>
        <v>822.14091435323326</v>
      </c>
      <c r="F159" s="7">
        <f>INDEX('2015 Data Summary-Datalockdown'!$E$5:$E$247,MATCH('Cost Bands for 2017 MFAM'!B159,'2015 Data Summary-Datalockdown'!$B$5:$B$247,0))</f>
        <v>144465</v>
      </c>
      <c r="G159" s="7">
        <f>INDEX('2015 Data Summary-Datalockdown'!$F$5:$F$247,MATCH('Cost Bands for 2017 MFAM'!B159,'2015 Data Summary-Datalockdown'!$B$5:$B$247,0))</f>
        <v>296.64</v>
      </c>
      <c r="H159" s="7">
        <f t="shared" si="33"/>
        <v>144168.35999999999</v>
      </c>
      <c r="I159" s="6">
        <f t="shared" si="34"/>
        <v>175.3572380148666</v>
      </c>
      <c r="J159" s="6">
        <f t="shared" si="35"/>
        <v>175.3572380148666</v>
      </c>
      <c r="K159" s="5">
        <f t="shared" si="36"/>
        <v>144168.35999999999</v>
      </c>
      <c r="L159" s="4">
        <f t="shared" si="27"/>
        <v>0</v>
      </c>
      <c r="M159" s="2">
        <f t="shared" si="28"/>
        <v>427.24485894517835</v>
      </c>
      <c r="N159" s="1">
        <f t="shared" si="29"/>
        <v>62</v>
      </c>
      <c r="O159" s="3">
        <f t="shared" si="30"/>
        <v>63447.373577932427</v>
      </c>
      <c r="P159" s="2">
        <f t="shared" si="31"/>
        <v>189.09318607411561</v>
      </c>
      <c r="Q159" s="2">
        <f t="shared" si="37"/>
        <v>184.91219029807903</v>
      </c>
      <c r="R159" s="2">
        <f t="shared" si="37"/>
        <v>669.57752759227765</v>
      </c>
      <c r="S159" s="2">
        <f t="shared" si="32"/>
        <v>184.91219029807903</v>
      </c>
    </row>
    <row r="160" spans="2:19" x14ac:dyDescent="0.25">
      <c r="B160" s="10">
        <v>967</v>
      </c>
      <c r="C160" s="10">
        <v>7</v>
      </c>
      <c r="D160" s="9" t="s">
        <v>279</v>
      </c>
      <c r="E160" s="8">
        <f>INDEX('From 2015 DataLockdown'!$M$5:$M$247,MATCH('Cost Bands for 2017 MFAM'!B160,'From 2015 DataLockdown'!$A$5:$A$247,0))</f>
        <v>161.20392435788793</v>
      </c>
      <c r="F160" s="7">
        <f>INDEX('2015 Data Summary-Datalockdown'!$E$5:$E$247,MATCH('Cost Bands for 2017 MFAM'!B160,'2015 Data Summary-Datalockdown'!$B$5:$B$247,0))</f>
        <v>81003.53</v>
      </c>
      <c r="G160" s="7">
        <f>INDEX('2015 Data Summary-Datalockdown'!$F$5:$F$247,MATCH('Cost Bands for 2017 MFAM'!B160,'2015 Data Summary-Datalockdown'!$B$5:$B$247,0))</f>
        <v>0</v>
      </c>
      <c r="H160" s="7">
        <f t="shared" si="33"/>
        <v>81003.53</v>
      </c>
      <c r="I160" s="6">
        <f t="shared" si="34"/>
        <v>502.49105487137223</v>
      </c>
      <c r="J160" s="6">
        <f t="shared" si="35"/>
        <v>502.49105487137223</v>
      </c>
      <c r="K160" s="5">
        <f t="shared" si="36"/>
        <v>81003.53</v>
      </c>
      <c r="L160" s="4">
        <f t="shared" si="27"/>
        <v>0</v>
      </c>
      <c r="M160" s="2">
        <f t="shared" si="28"/>
        <v>427.24485894517835</v>
      </c>
      <c r="N160" s="1">
        <f t="shared" si="29"/>
        <v>62</v>
      </c>
      <c r="O160" s="3">
        <f t="shared" si="30"/>
        <v>5661.9900013631559</v>
      </c>
      <c r="P160" s="2">
        <f t="shared" si="31"/>
        <v>189.09318607411561</v>
      </c>
      <c r="Q160" s="2">
        <f t="shared" si="37"/>
        <v>184.91219029807903</v>
      </c>
      <c r="R160" s="2">
        <f t="shared" si="37"/>
        <v>669.57752759227765</v>
      </c>
      <c r="S160" s="2">
        <f t="shared" si="32"/>
        <v>502.49105487137223</v>
      </c>
    </row>
    <row r="161" spans="2:19" x14ac:dyDescent="0.25">
      <c r="B161" s="10">
        <v>971</v>
      </c>
      <c r="C161" s="10">
        <v>7</v>
      </c>
      <c r="D161" s="9" t="s">
        <v>280</v>
      </c>
      <c r="E161" s="8">
        <f>INDEX('From 2015 DataLockdown'!$M$5:$M$247,MATCH('Cost Bands for 2017 MFAM'!B161,'From 2015 DataLockdown'!$A$5:$A$247,0))</f>
        <v>1018.99</v>
      </c>
      <c r="F161" s="7">
        <f>INDEX('2015 Data Summary-Datalockdown'!$E$5:$E$247,MATCH('Cost Bands for 2017 MFAM'!B161,'2015 Data Summary-Datalockdown'!$B$5:$B$247,0))</f>
        <v>483236.56</v>
      </c>
      <c r="G161" s="7">
        <f>INDEX('2015 Data Summary-Datalockdown'!$F$5:$F$247,MATCH('Cost Bands for 2017 MFAM'!B161,'2015 Data Summary-Datalockdown'!$B$5:$B$247,0))</f>
        <v>126368.85999999999</v>
      </c>
      <c r="H161" s="7">
        <f t="shared" si="33"/>
        <v>356867.7</v>
      </c>
      <c r="I161" s="6">
        <f t="shared" si="34"/>
        <v>350.21707769457993</v>
      </c>
      <c r="J161" s="6">
        <f t="shared" si="35"/>
        <v>350.21707769457993</v>
      </c>
      <c r="K161" s="5">
        <f t="shared" si="36"/>
        <v>356867.7</v>
      </c>
      <c r="L161" s="4">
        <f t="shared" si="27"/>
        <v>0</v>
      </c>
      <c r="M161" s="2">
        <f t="shared" si="28"/>
        <v>427.24485894517835</v>
      </c>
      <c r="N161" s="1">
        <f t="shared" si="29"/>
        <v>62</v>
      </c>
      <c r="O161" s="3">
        <f t="shared" si="30"/>
        <v>5933.279084390042</v>
      </c>
      <c r="P161" s="2">
        <f t="shared" si="31"/>
        <v>189.09318607411561</v>
      </c>
      <c r="Q161" s="2">
        <f t="shared" si="37"/>
        <v>184.91219029807903</v>
      </c>
      <c r="R161" s="2">
        <f t="shared" si="37"/>
        <v>669.57752759227765</v>
      </c>
      <c r="S161" s="2">
        <f t="shared" si="32"/>
        <v>350.21707769457993</v>
      </c>
    </row>
    <row r="162" spans="2:19" x14ac:dyDescent="0.25">
      <c r="B162" s="10">
        <v>975</v>
      </c>
      <c r="C162" s="10">
        <v>7</v>
      </c>
      <c r="D162" s="9" t="s">
        <v>281</v>
      </c>
      <c r="E162" s="8">
        <f>INDEX('From 2015 DataLockdown'!$M$5:$M$247,MATCH('Cost Bands for 2017 MFAM'!B162,'From 2015 DataLockdown'!$A$5:$A$247,0))</f>
        <v>28.687079509106532</v>
      </c>
      <c r="F162" s="7">
        <f>INDEX('2015 Data Summary-Datalockdown'!$E$5:$E$247,MATCH('Cost Bands for 2017 MFAM'!B162,'2015 Data Summary-Datalockdown'!$B$5:$B$247,0))</f>
        <v>38878.620000000003</v>
      </c>
      <c r="G162" s="7">
        <f>INDEX('2015 Data Summary-Datalockdown'!$F$5:$F$247,MATCH('Cost Bands for 2017 MFAM'!B162,'2015 Data Summary-Datalockdown'!$B$5:$B$247,0))</f>
        <v>0</v>
      </c>
      <c r="H162" s="7">
        <f t="shared" si="33"/>
        <v>38878.620000000003</v>
      </c>
      <c r="I162" s="6">
        <f t="shared" si="34"/>
        <v>1355.2658780639636</v>
      </c>
      <c r="J162" s="6">
        <f t="shared" si="35"/>
        <v>669.57752759227765</v>
      </c>
      <c r="K162" s="5">
        <f t="shared" si="36"/>
        <v>19208.223771550642</v>
      </c>
      <c r="L162" s="4">
        <f t="shared" si="27"/>
        <v>0</v>
      </c>
      <c r="M162" s="2">
        <f t="shared" si="28"/>
        <v>427.24485894517835</v>
      </c>
      <c r="N162" s="1">
        <f t="shared" si="29"/>
        <v>62</v>
      </c>
      <c r="O162" s="3">
        <f t="shared" si="30"/>
        <v>861223.01192626881</v>
      </c>
      <c r="P162" s="2">
        <f t="shared" si="31"/>
        <v>189.09318607411561</v>
      </c>
      <c r="Q162" s="2">
        <f t="shared" si="37"/>
        <v>184.91219029807903</v>
      </c>
      <c r="R162" s="2">
        <f t="shared" si="37"/>
        <v>669.57752759227765</v>
      </c>
      <c r="S162" s="2">
        <f t="shared" si="32"/>
        <v>669.57752759227765</v>
      </c>
    </row>
    <row r="163" spans="2:19" x14ac:dyDescent="0.25">
      <c r="B163" s="10">
        <v>976</v>
      </c>
      <c r="C163" s="10">
        <v>7</v>
      </c>
      <c r="D163" s="83" t="s">
        <v>282</v>
      </c>
      <c r="E163" s="8">
        <f>INDEX('From 2015 DataLockdown'!$M$5:$M$247,MATCH('Cost Bands for 2017 MFAM'!B163,'From 2015 DataLockdown'!$A$5:$A$247,0))</f>
        <v>23.538347322345018</v>
      </c>
      <c r="F163" s="7">
        <f>INDEX('2015 Data Summary-Datalockdown'!$E$5:$E$247,MATCH('Cost Bands for 2017 MFAM'!B163,'2015 Data Summary-Datalockdown'!$B$5:$B$247,0))</f>
        <v>54719.55</v>
      </c>
      <c r="G163" s="7">
        <f>INDEX('2015 Data Summary-Datalockdown'!$F$5:$F$247,MATCH('Cost Bands for 2017 MFAM'!B163,'2015 Data Summary-Datalockdown'!$B$5:$B$247,0))</f>
        <v>0</v>
      </c>
      <c r="H163" s="7">
        <f t="shared" si="33"/>
        <v>54719.55</v>
      </c>
      <c r="I163" s="6">
        <f t="shared" si="34"/>
        <v>2324.6980448816212</v>
      </c>
      <c r="J163" s="6">
        <f t="shared" si="35"/>
        <v>669.57752759227765</v>
      </c>
      <c r="K163" s="5">
        <f t="shared" si="36"/>
        <v>15760.748403704087</v>
      </c>
      <c r="L163" s="4">
        <f t="shared" si="27"/>
        <v>0</v>
      </c>
      <c r="M163" s="2">
        <f t="shared" si="28"/>
        <v>427.24485894517835</v>
      </c>
      <c r="N163" s="1">
        <f t="shared" si="29"/>
        <v>62</v>
      </c>
      <c r="O163" s="3">
        <f t="shared" si="30"/>
        <v>3600328.5928203571</v>
      </c>
      <c r="P163" s="2">
        <f t="shared" si="31"/>
        <v>189.09318607411561</v>
      </c>
      <c r="Q163" s="2">
        <f t="shared" si="37"/>
        <v>184.91219029807903</v>
      </c>
      <c r="R163" s="2">
        <f t="shared" si="37"/>
        <v>669.57752759227765</v>
      </c>
      <c r="S163" s="2">
        <f t="shared" si="32"/>
        <v>669.57752759227765</v>
      </c>
    </row>
    <row r="164" spans="2:19" x14ac:dyDescent="0.25">
      <c r="B164" s="10">
        <v>977</v>
      </c>
      <c r="C164" s="10">
        <v>7</v>
      </c>
      <c r="D164" s="9" t="s">
        <v>39</v>
      </c>
      <c r="E164" s="8">
        <f>INDEX('From 2015 DataLockdown'!$M$5:$M$247,MATCH('Cost Bands for 2017 MFAM'!B164,'From 2015 DataLockdown'!$A$5:$A$247,0))</f>
        <v>40.54588187937884</v>
      </c>
      <c r="F164" s="7">
        <f>INDEX('2015 Data Summary-Datalockdown'!$E$5:$E$247,MATCH('Cost Bands for 2017 MFAM'!B164,'2015 Data Summary-Datalockdown'!$B$5:$B$247,0))</f>
        <v>2175.5500000000002</v>
      </c>
      <c r="G164" s="7">
        <f>INDEX('2015 Data Summary-Datalockdown'!$F$5:$F$247,MATCH('Cost Bands for 2017 MFAM'!B164,'2015 Data Summary-Datalockdown'!$B$5:$B$247,0))</f>
        <v>0</v>
      </c>
      <c r="H164" s="7">
        <f t="shared" si="33"/>
        <v>2175.5500000000002</v>
      </c>
      <c r="I164" s="6">
        <f t="shared" si="34"/>
        <v>53.656497260858927</v>
      </c>
      <c r="J164" s="6">
        <f t="shared" si="35"/>
        <v>53.656497260858927</v>
      </c>
      <c r="K164" s="5">
        <f t="shared" si="36"/>
        <v>2175.5500000000002</v>
      </c>
      <c r="L164" s="4">
        <f t="shared" si="27"/>
        <v>0</v>
      </c>
      <c r="M164" s="2">
        <f t="shared" si="28"/>
        <v>427.24485894517835</v>
      </c>
      <c r="N164" s="1">
        <f t="shared" si="29"/>
        <v>62</v>
      </c>
      <c r="O164" s="3">
        <f t="shared" si="30"/>
        <v>139568.26398597384</v>
      </c>
      <c r="P164" s="2">
        <f t="shared" si="31"/>
        <v>189.09318607411561</v>
      </c>
      <c r="Q164" s="2">
        <f t="shared" si="37"/>
        <v>184.91219029807903</v>
      </c>
      <c r="R164" s="2">
        <f t="shared" si="37"/>
        <v>669.57752759227765</v>
      </c>
      <c r="S164" s="2">
        <f t="shared" si="32"/>
        <v>184.91219029807903</v>
      </c>
    </row>
    <row r="165" spans="2:19" x14ac:dyDescent="0.25">
      <c r="B165" s="91">
        <v>979</v>
      </c>
      <c r="C165" s="91">
        <v>7</v>
      </c>
      <c r="D165" s="92" t="s">
        <v>283</v>
      </c>
      <c r="E165" s="8">
        <f>INDEX('From 2015 DataLockdown'!$M$5:$M$247,MATCH('Cost Bands for 2017 MFAM'!B165,'From 2015 DataLockdown'!$A$5:$A$247,0))</f>
        <v>20.24668065349811</v>
      </c>
      <c r="F165" s="7">
        <f>INDEX('2015 Data Summary-Datalockdown'!$E$5:$E$247,MATCH('Cost Bands for 2017 MFAM'!B165,'2015 Data Summary-Datalockdown'!$B$5:$B$247,0))</f>
        <v>112741.22</v>
      </c>
      <c r="G165" s="7">
        <f>INDEX('2015 Data Summary-Datalockdown'!$F$5:$F$247,MATCH('Cost Bands for 2017 MFAM'!B165,'2015 Data Summary-Datalockdown'!$B$5:$B$247,0))</f>
        <v>200</v>
      </c>
      <c r="H165" s="7">
        <f t="shared" si="33"/>
        <v>112541.22</v>
      </c>
      <c r="I165" s="6">
        <f t="shared" si="34"/>
        <v>5558.5022516051658</v>
      </c>
      <c r="J165" s="6">
        <f t="shared" si="35"/>
        <v>669.57752759227765</v>
      </c>
      <c r="K165" s="5">
        <f t="shared" si="36"/>
        <v>13556.722373919665</v>
      </c>
      <c r="L165" s="4">
        <f t="shared" si="27"/>
        <v>0</v>
      </c>
      <c r="M165" s="2">
        <f t="shared" si="28"/>
        <v>427.24485894517835</v>
      </c>
      <c r="N165" s="1">
        <f t="shared" si="29"/>
        <v>62</v>
      </c>
      <c r="O165" s="3">
        <f t="shared" si="30"/>
        <v>26329802.42972777</v>
      </c>
      <c r="P165" s="2">
        <f t="shared" si="31"/>
        <v>189.09318607411561</v>
      </c>
      <c r="Q165" s="2">
        <f t="shared" si="37"/>
        <v>184.91219029807903</v>
      </c>
      <c r="R165" s="2">
        <f t="shared" si="37"/>
        <v>669.57752759227765</v>
      </c>
      <c r="S165" s="2">
        <f t="shared" si="32"/>
        <v>669.57752759227765</v>
      </c>
    </row>
    <row r="166" spans="2:19" x14ac:dyDescent="0.25">
      <c r="B166" s="91">
        <v>981</v>
      </c>
      <c r="C166" s="91">
        <v>7</v>
      </c>
      <c r="D166" s="92" t="s">
        <v>284</v>
      </c>
      <c r="E166" s="8">
        <f>INDEX('From 2015 DataLockdown'!$M$5:$M$247,MATCH('Cost Bands for 2017 MFAM'!B166,'From 2015 DataLockdown'!$A$5:$A$247,0))</f>
        <v>117.1966662091519</v>
      </c>
      <c r="F166" s="7">
        <f>INDEX('2015 Data Summary-Datalockdown'!$E$5:$E$247,MATCH('Cost Bands for 2017 MFAM'!B166,'2015 Data Summary-Datalockdown'!$B$5:$B$247,0))</f>
        <v>150933.87</v>
      </c>
      <c r="G166" s="7">
        <f>INDEX('2015 Data Summary-Datalockdown'!$F$5:$F$247,MATCH('Cost Bands for 2017 MFAM'!B166,'2015 Data Summary-Datalockdown'!$B$5:$B$247,0))</f>
        <v>0</v>
      </c>
      <c r="H166" s="7">
        <f t="shared" si="33"/>
        <v>150933.87</v>
      </c>
      <c r="I166" s="6">
        <f t="shared" si="34"/>
        <v>1287.8682891084964</v>
      </c>
      <c r="J166" s="6">
        <f t="shared" si="35"/>
        <v>669.57752759227765</v>
      </c>
      <c r="K166" s="5">
        <f t="shared" si="36"/>
        <v>78472.254002381364</v>
      </c>
      <c r="L166" s="4">
        <f t="shared" si="27"/>
        <v>0</v>
      </c>
      <c r="M166" s="2">
        <f t="shared" si="28"/>
        <v>427.24485894517835</v>
      </c>
      <c r="N166" s="1">
        <f t="shared" si="29"/>
        <v>62</v>
      </c>
      <c r="O166" s="3">
        <f t="shared" si="30"/>
        <v>740672.6885460756</v>
      </c>
      <c r="P166" s="2">
        <f t="shared" si="31"/>
        <v>189.09318607411561</v>
      </c>
      <c r="Q166" s="2">
        <f t="shared" ref="Q166:R185" si="38">NORMINV(Q$4,$M166,$P166)</f>
        <v>184.91219029807903</v>
      </c>
      <c r="R166" s="2">
        <f t="shared" si="38"/>
        <v>669.57752759227765</v>
      </c>
      <c r="S166" s="2">
        <f t="shared" si="32"/>
        <v>669.57752759227765</v>
      </c>
    </row>
    <row r="167" spans="2:19" x14ac:dyDescent="0.25">
      <c r="B167" s="91">
        <v>983</v>
      </c>
      <c r="C167" s="91">
        <v>7</v>
      </c>
      <c r="D167" s="92" t="s">
        <v>285</v>
      </c>
      <c r="E167" s="8">
        <f>INDEX('From 2015 DataLockdown'!$M$5:$M$247,MATCH('Cost Bands for 2017 MFAM'!B167,'From 2015 DataLockdown'!$A$5:$A$247,0))</f>
        <v>93.559304806292218</v>
      </c>
      <c r="F167" s="7">
        <f>INDEX('2015 Data Summary-Datalockdown'!$E$5:$E$247,MATCH('Cost Bands for 2017 MFAM'!B167,'2015 Data Summary-Datalockdown'!$B$5:$B$247,0))</f>
        <v>40086</v>
      </c>
      <c r="G167" s="7">
        <f>INDEX('2015 Data Summary-Datalockdown'!$F$5:$F$247,MATCH('Cost Bands for 2017 MFAM'!B167,'2015 Data Summary-Datalockdown'!$B$5:$B$247,0))</f>
        <v>0</v>
      </c>
      <c r="H167" s="7">
        <f t="shared" si="33"/>
        <v>40086</v>
      </c>
      <c r="I167" s="6">
        <f t="shared" si="34"/>
        <v>428.45551367654099</v>
      </c>
      <c r="J167" s="6">
        <f t="shared" si="35"/>
        <v>428.45551367654099</v>
      </c>
      <c r="K167" s="5">
        <f t="shared" si="36"/>
        <v>40086</v>
      </c>
      <c r="L167" s="4">
        <f t="shared" si="27"/>
        <v>0</v>
      </c>
      <c r="M167" s="2">
        <f t="shared" si="28"/>
        <v>427.24485894517835</v>
      </c>
      <c r="N167" s="1">
        <f t="shared" si="29"/>
        <v>62</v>
      </c>
      <c r="O167" s="3">
        <f t="shared" si="30"/>
        <v>1.465684878570741</v>
      </c>
      <c r="P167" s="2">
        <f t="shared" si="31"/>
        <v>189.09318607411561</v>
      </c>
      <c r="Q167" s="2">
        <f t="shared" si="38"/>
        <v>184.91219029807903</v>
      </c>
      <c r="R167" s="2">
        <f t="shared" si="38"/>
        <v>669.57752759227765</v>
      </c>
      <c r="S167" s="2">
        <f t="shared" si="32"/>
        <v>428.45551367654099</v>
      </c>
    </row>
    <row r="168" spans="2:19" x14ac:dyDescent="0.25">
      <c r="B168" s="10">
        <v>188</v>
      </c>
      <c r="C168" s="10">
        <v>8</v>
      </c>
      <c r="D168" s="9" t="s">
        <v>286</v>
      </c>
      <c r="E168" s="8">
        <f>INDEX('From 2015 DataLockdown'!$M$5:$M$247,MATCH('Cost Bands for 2017 MFAM'!B168,'From 2015 DataLockdown'!$A$5:$A$247,0))</f>
        <v>244.22</v>
      </c>
      <c r="F168" s="7">
        <f>INDEX('2015 Data Summary-Datalockdown'!$E$5:$E$247,MATCH('Cost Bands for 2017 MFAM'!B168,'2015 Data Summary-Datalockdown'!$B$5:$B$247,0))</f>
        <v>213051.62</v>
      </c>
      <c r="G168" s="7">
        <f>INDEX('2015 Data Summary-Datalockdown'!$F$5:$F$247,MATCH('Cost Bands for 2017 MFAM'!B168,'2015 Data Summary-Datalockdown'!$B$5:$B$247,0))</f>
        <v>24731.71</v>
      </c>
      <c r="H168" s="7">
        <f t="shared" si="33"/>
        <v>188319.91</v>
      </c>
      <c r="I168" s="6">
        <f t="shared" si="34"/>
        <v>771.10764884120874</v>
      </c>
      <c r="J168" s="6">
        <f t="shared" si="35"/>
        <v>771.10764884120874</v>
      </c>
      <c r="K168" s="5">
        <f t="shared" si="36"/>
        <v>188319.91</v>
      </c>
      <c r="L168" s="4">
        <f t="shared" si="27"/>
        <v>0</v>
      </c>
      <c r="M168" s="2">
        <f t="shared" si="28"/>
        <v>707.3327454016121</v>
      </c>
      <c r="N168" s="1">
        <f t="shared" si="29"/>
        <v>49</v>
      </c>
      <c r="O168" s="3">
        <f t="shared" si="30"/>
        <v>4067.2383087298754</v>
      </c>
      <c r="P168" s="2">
        <f t="shared" si="31"/>
        <v>637.15499503590672</v>
      </c>
      <c r="Q168" s="2">
        <f t="shared" si="38"/>
        <v>-109.21423598121635</v>
      </c>
      <c r="R168" s="2">
        <f t="shared" si="38"/>
        <v>1523.8797267844407</v>
      </c>
      <c r="S168" s="2">
        <f t="shared" si="32"/>
        <v>771.10764884120874</v>
      </c>
    </row>
    <row r="169" spans="2:19" x14ac:dyDescent="0.25">
      <c r="B169" s="10">
        <v>232</v>
      </c>
      <c r="C169" s="10">
        <v>8</v>
      </c>
      <c r="D169" s="9" t="s">
        <v>287</v>
      </c>
      <c r="E169" s="8">
        <f>INDEX('From 2015 DataLockdown'!$M$5:$M$247,MATCH('Cost Bands for 2017 MFAM'!B169,'From 2015 DataLockdown'!$A$5:$A$247,0))</f>
        <v>76.348857356837641</v>
      </c>
      <c r="F169" s="7">
        <f>INDEX('2015 Data Summary-Datalockdown'!$E$5:$E$247,MATCH('Cost Bands for 2017 MFAM'!B169,'2015 Data Summary-Datalockdown'!$B$5:$B$247,0))</f>
        <v>88343.25</v>
      </c>
      <c r="G169" s="7">
        <f>INDEX('2015 Data Summary-Datalockdown'!$F$5:$F$247,MATCH('Cost Bands for 2017 MFAM'!B169,'2015 Data Summary-Datalockdown'!$B$5:$B$247,0))</f>
        <v>0</v>
      </c>
      <c r="H169" s="7">
        <f t="shared" si="33"/>
        <v>88343.25</v>
      </c>
      <c r="I169" s="6">
        <f t="shared" si="34"/>
        <v>1157.0998317250935</v>
      </c>
      <c r="J169" s="6">
        <f t="shared" si="35"/>
        <v>1157.0998317250935</v>
      </c>
      <c r="K169" s="5">
        <f t="shared" si="36"/>
        <v>88343.25</v>
      </c>
      <c r="L169" s="4">
        <f t="shared" si="27"/>
        <v>0</v>
      </c>
      <c r="M169" s="2">
        <f t="shared" si="28"/>
        <v>707.3327454016121</v>
      </c>
      <c r="N169" s="1">
        <f t="shared" si="29"/>
        <v>49</v>
      </c>
      <c r="O169" s="3">
        <f t="shared" si="30"/>
        <v>202290.43193991398</v>
      </c>
      <c r="P169" s="2">
        <f t="shared" si="31"/>
        <v>637.15499503590672</v>
      </c>
      <c r="Q169" s="2">
        <f t="shared" si="38"/>
        <v>-109.21423598121635</v>
      </c>
      <c r="R169" s="2">
        <f t="shared" si="38"/>
        <v>1523.8797267844407</v>
      </c>
      <c r="S169" s="2">
        <f t="shared" si="32"/>
        <v>1157.0998317250935</v>
      </c>
    </row>
    <row r="170" spans="2:19" x14ac:dyDescent="0.25">
      <c r="B170" s="10">
        <v>245</v>
      </c>
      <c r="C170" s="10">
        <v>8</v>
      </c>
      <c r="D170" s="9" t="s">
        <v>288</v>
      </c>
      <c r="E170" s="8">
        <f>INDEX('From 2015 DataLockdown'!$M$5:$M$247,MATCH('Cost Bands for 2017 MFAM'!B170,'From 2015 DataLockdown'!$A$5:$A$247,0))</f>
        <v>204.14903146110328</v>
      </c>
      <c r="F170" s="7">
        <f>INDEX('2015 Data Summary-Datalockdown'!$E$5:$E$247,MATCH('Cost Bands for 2017 MFAM'!B170,'2015 Data Summary-Datalockdown'!$B$5:$B$247,0))</f>
        <v>578624.64</v>
      </c>
      <c r="G170" s="7">
        <f>INDEX('2015 Data Summary-Datalockdown'!$F$5:$F$247,MATCH('Cost Bands for 2017 MFAM'!B170,'2015 Data Summary-Datalockdown'!$B$5:$B$247,0))</f>
        <v>0</v>
      </c>
      <c r="H170" s="7">
        <f t="shared" si="33"/>
        <v>578624.64</v>
      </c>
      <c r="I170" s="6">
        <f t="shared" si="34"/>
        <v>2834.3246884825217</v>
      </c>
      <c r="J170" s="6">
        <f t="shared" si="35"/>
        <v>1523.8797267844407</v>
      </c>
      <c r="K170" s="5">
        <f t="shared" si="36"/>
        <v>311098.57028625422</v>
      </c>
      <c r="L170" s="4">
        <f t="shared" si="27"/>
        <v>0</v>
      </c>
      <c r="M170" s="2">
        <f t="shared" si="28"/>
        <v>707.3327454016121</v>
      </c>
      <c r="N170" s="1">
        <f t="shared" si="29"/>
        <v>49</v>
      </c>
      <c r="O170" s="3">
        <f t="shared" si="30"/>
        <v>4524094.7259311033</v>
      </c>
      <c r="P170" s="2">
        <f t="shared" si="31"/>
        <v>637.15499503590672</v>
      </c>
      <c r="Q170" s="2">
        <f t="shared" si="38"/>
        <v>-109.21423598121635</v>
      </c>
      <c r="R170" s="2">
        <f t="shared" si="38"/>
        <v>1523.8797267844407</v>
      </c>
      <c r="S170" s="2">
        <f t="shared" si="32"/>
        <v>1523.8797267844407</v>
      </c>
    </row>
    <row r="171" spans="2:19" x14ac:dyDescent="0.25">
      <c r="B171" s="10">
        <v>372</v>
      </c>
      <c r="C171" s="10">
        <v>8</v>
      </c>
      <c r="D171" s="9" t="s">
        <v>289</v>
      </c>
      <c r="E171" s="8">
        <f>INDEX('From 2015 DataLockdown'!$M$5:$M$247,MATCH('Cost Bands for 2017 MFAM'!B171,'From 2015 DataLockdown'!$A$5:$A$247,0))</f>
        <v>101.95118442338628</v>
      </c>
      <c r="F171" s="7">
        <f>INDEX('2015 Data Summary-Datalockdown'!$E$5:$E$247,MATCH('Cost Bands for 2017 MFAM'!B171,'2015 Data Summary-Datalockdown'!$B$5:$B$247,0))</f>
        <v>90900.08</v>
      </c>
      <c r="G171" s="7">
        <f>INDEX('2015 Data Summary-Datalockdown'!$F$5:$F$247,MATCH('Cost Bands for 2017 MFAM'!B171,'2015 Data Summary-Datalockdown'!$B$5:$B$247,0))</f>
        <v>0</v>
      </c>
      <c r="H171" s="7">
        <f t="shared" si="33"/>
        <v>90900.08</v>
      </c>
      <c r="I171" s="6">
        <f t="shared" si="34"/>
        <v>891.60396236798113</v>
      </c>
      <c r="J171" s="6">
        <f t="shared" si="35"/>
        <v>891.60396236798113</v>
      </c>
      <c r="K171" s="5">
        <f t="shared" si="36"/>
        <v>90900.08</v>
      </c>
      <c r="L171" s="4">
        <f t="shared" si="27"/>
        <v>0</v>
      </c>
      <c r="M171" s="2">
        <f t="shared" si="28"/>
        <v>707.3327454016121</v>
      </c>
      <c r="N171" s="1">
        <f t="shared" si="29"/>
        <v>49</v>
      </c>
      <c r="O171" s="3">
        <f t="shared" si="30"/>
        <v>33955.881402266648</v>
      </c>
      <c r="P171" s="2">
        <f t="shared" si="31"/>
        <v>637.15499503590672</v>
      </c>
      <c r="Q171" s="2">
        <f t="shared" si="38"/>
        <v>-109.21423598121635</v>
      </c>
      <c r="R171" s="2">
        <f t="shared" si="38"/>
        <v>1523.8797267844407</v>
      </c>
      <c r="S171" s="2">
        <f t="shared" si="32"/>
        <v>891.60396236798113</v>
      </c>
    </row>
    <row r="172" spans="2:19" x14ac:dyDescent="0.25">
      <c r="B172" s="10">
        <v>375</v>
      </c>
      <c r="C172" s="10">
        <v>8</v>
      </c>
      <c r="D172" s="9" t="s">
        <v>290</v>
      </c>
      <c r="E172" s="8">
        <f>INDEX('From 2015 DataLockdown'!$M$5:$M$247,MATCH('Cost Bands for 2017 MFAM'!B172,'From 2015 DataLockdown'!$A$5:$A$247,0))</f>
        <v>167.94</v>
      </c>
      <c r="F172" s="7">
        <f>INDEX('2015 Data Summary-Datalockdown'!$E$5:$E$247,MATCH('Cost Bands for 2017 MFAM'!B172,'2015 Data Summary-Datalockdown'!$B$5:$B$247,0))</f>
        <v>146200.91</v>
      </c>
      <c r="G172" s="7">
        <f>INDEX('2015 Data Summary-Datalockdown'!$F$5:$F$247,MATCH('Cost Bands for 2017 MFAM'!B172,'2015 Data Summary-Datalockdown'!$B$5:$B$247,0))</f>
        <v>0</v>
      </c>
      <c r="H172" s="7">
        <f t="shared" si="33"/>
        <v>146200.91</v>
      </c>
      <c r="I172" s="6">
        <f t="shared" si="34"/>
        <v>870.55442419911878</v>
      </c>
      <c r="J172" s="6">
        <f t="shared" si="35"/>
        <v>870.55442419911878</v>
      </c>
      <c r="K172" s="5">
        <f t="shared" si="36"/>
        <v>146200.91</v>
      </c>
      <c r="L172" s="4">
        <f t="shared" si="27"/>
        <v>0</v>
      </c>
      <c r="M172" s="2">
        <f t="shared" si="28"/>
        <v>707.3327454016121</v>
      </c>
      <c r="N172" s="1">
        <f t="shared" si="29"/>
        <v>49</v>
      </c>
      <c r="O172" s="3">
        <f t="shared" si="30"/>
        <v>26641.316429476443</v>
      </c>
      <c r="P172" s="2">
        <f t="shared" si="31"/>
        <v>637.15499503590672</v>
      </c>
      <c r="Q172" s="2">
        <f t="shared" si="38"/>
        <v>-109.21423598121635</v>
      </c>
      <c r="R172" s="2">
        <f t="shared" si="38"/>
        <v>1523.8797267844407</v>
      </c>
      <c r="S172" s="2">
        <f t="shared" si="32"/>
        <v>870.55442419911878</v>
      </c>
    </row>
    <row r="173" spans="2:19" x14ac:dyDescent="0.25">
      <c r="B173" s="10">
        <v>404</v>
      </c>
      <c r="C173" s="10">
        <v>8</v>
      </c>
      <c r="D173" s="9" t="s">
        <v>291</v>
      </c>
      <c r="E173" s="8">
        <f>INDEX('From 2015 DataLockdown'!$M$5:$M$247,MATCH('Cost Bands for 2017 MFAM'!B173,'From 2015 DataLockdown'!$A$5:$A$247,0))</f>
        <v>446.78753640226284</v>
      </c>
      <c r="F173" s="7">
        <f>INDEX('2015 Data Summary-Datalockdown'!$E$5:$E$247,MATCH('Cost Bands for 2017 MFAM'!B173,'2015 Data Summary-Datalockdown'!$B$5:$B$247,0))</f>
        <v>180569.64</v>
      </c>
      <c r="G173" s="7">
        <f>INDEX('2015 Data Summary-Datalockdown'!$F$5:$F$247,MATCH('Cost Bands for 2017 MFAM'!B173,'2015 Data Summary-Datalockdown'!$B$5:$B$247,0))</f>
        <v>0</v>
      </c>
      <c r="H173" s="7">
        <f t="shared" si="33"/>
        <v>180569.64</v>
      </c>
      <c r="I173" s="6">
        <f t="shared" si="34"/>
        <v>404.15102322242285</v>
      </c>
      <c r="J173" s="6">
        <f t="shared" si="35"/>
        <v>404.15102322242285</v>
      </c>
      <c r="K173" s="5">
        <f t="shared" si="36"/>
        <v>180569.64</v>
      </c>
      <c r="L173" s="4">
        <f t="shared" si="27"/>
        <v>0</v>
      </c>
      <c r="M173" s="2">
        <f t="shared" si="28"/>
        <v>707.3327454016121</v>
      </c>
      <c r="N173" s="1">
        <f t="shared" si="29"/>
        <v>49</v>
      </c>
      <c r="O173" s="3">
        <f t="shared" si="30"/>
        <v>91919.156663539092</v>
      </c>
      <c r="P173" s="2">
        <f t="shared" si="31"/>
        <v>637.15499503590672</v>
      </c>
      <c r="Q173" s="2">
        <f t="shared" si="38"/>
        <v>-109.21423598121635</v>
      </c>
      <c r="R173" s="2">
        <f t="shared" si="38"/>
        <v>1523.8797267844407</v>
      </c>
      <c r="S173" s="2">
        <f t="shared" si="32"/>
        <v>404.15102322242285</v>
      </c>
    </row>
    <row r="174" spans="2:19" x14ac:dyDescent="0.25">
      <c r="B174" s="10">
        <v>413</v>
      </c>
      <c r="C174" s="10">
        <v>8</v>
      </c>
      <c r="D174" s="9" t="s">
        <v>292</v>
      </c>
      <c r="E174" s="8">
        <f>INDEX('From 2015 DataLockdown'!$M$5:$M$247,MATCH('Cost Bands for 2017 MFAM'!B174,'From 2015 DataLockdown'!$A$5:$A$247,0))</f>
        <v>89.679999999999993</v>
      </c>
      <c r="F174" s="7">
        <f>INDEX('2015 Data Summary-Datalockdown'!$E$5:$E$247,MATCH('Cost Bands for 2017 MFAM'!B174,'2015 Data Summary-Datalockdown'!$B$5:$B$247,0))</f>
        <v>54207.98</v>
      </c>
      <c r="G174" s="7">
        <f>INDEX('2015 Data Summary-Datalockdown'!$F$5:$F$247,MATCH('Cost Bands for 2017 MFAM'!B174,'2015 Data Summary-Datalockdown'!$B$5:$B$247,0))</f>
        <v>45</v>
      </c>
      <c r="H174" s="7">
        <f t="shared" si="33"/>
        <v>54162.98</v>
      </c>
      <c r="I174" s="6">
        <f t="shared" si="34"/>
        <v>603.95829616413926</v>
      </c>
      <c r="J174" s="6">
        <f t="shared" si="35"/>
        <v>603.95829616413926</v>
      </c>
      <c r="K174" s="5">
        <f t="shared" si="36"/>
        <v>54162.98</v>
      </c>
      <c r="L174" s="4">
        <f t="shared" si="27"/>
        <v>0</v>
      </c>
      <c r="M174" s="2">
        <f t="shared" si="28"/>
        <v>707.3327454016121</v>
      </c>
      <c r="N174" s="1">
        <f t="shared" si="29"/>
        <v>49</v>
      </c>
      <c r="O174" s="3">
        <f t="shared" si="30"/>
        <v>10686.27675515085</v>
      </c>
      <c r="P174" s="2">
        <f t="shared" si="31"/>
        <v>637.15499503590672</v>
      </c>
      <c r="Q174" s="2">
        <f t="shared" si="38"/>
        <v>-109.21423598121635</v>
      </c>
      <c r="R174" s="2">
        <f t="shared" si="38"/>
        <v>1523.8797267844407</v>
      </c>
      <c r="S174" s="2">
        <f t="shared" si="32"/>
        <v>603.95829616413926</v>
      </c>
    </row>
    <row r="175" spans="2:19" x14ac:dyDescent="0.25">
      <c r="B175" s="10">
        <v>537</v>
      </c>
      <c r="C175" s="10">
        <v>8</v>
      </c>
      <c r="D175" s="9" t="s">
        <v>293</v>
      </c>
      <c r="E175" s="8">
        <f>INDEX('From 2015 DataLockdown'!$M$5:$M$247,MATCH('Cost Bands for 2017 MFAM'!B175,'From 2015 DataLockdown'!$A$5:$A$247,0))</f>
        <v>20.315889065595684</v>
      </c>
      <c r="F175" s="7">
        <f>INDEX('2015 Data Summary-Datalockdown'!$E$5:$E$247,MATCH('Cost Bands for 2017 MFAM'!B175,'2015 Data Summary-Datalockdown'!$B$5:$B$247,0))</f>
        <v>10208.25</v>
      </c>
      <c r="G175" s="7">
        <f>INDEX('2015 Data Summary-Datalockdown'!$F$5:$F$247,MATCH('Cost Bands for 2017 MFAM'!B175,'2015 Data Summary-Datalockdown'!$B$5:$B$247,0))</f>
        <v>0</v>
      </c>
      <c r="H175" s="7">
        <f t="shared" si="33"/>
        <v>10208.25</v>
      </c>
      <c r="I175" s="6">
        <f t="shared" si="34"/>
        <v>502.47616370810709</v>
      </c>
      <c r="J175" s="6">
        <f t="shared" si="35"/>
        <v>502.47616370810709</v>
      </c>
      <c r="K175" s="5">
        <f t="shared" si="36"/>
        <v>10208.25</v>
      </c>
      <c r="L175" s="4">
        <f t="shared" si="27"/>
        <v>0</v>
      </c>
      <c r="M175" s="2">
        <f t="shared" si="28"/>
        <v>707.3327454016121</v>
      </c>
      <c r="N175" s="1">
        <f t="shared" si="29"/>
        <v>49</v>
      </c>
      <c r="O175" s="3">
        <f t="shared" si="30"/>
        <v>41966.219063147691</v>
      </c>
      <c r="P175" s="2">
        <f t="shared" si="31"/>
        <v>637.15499503590672</v>
      </c>
      <c r="Q175" s="2">
        <f t="shared" si="38"/>
        <v>-109.21423598121635</v>
      </c>
      <c r="R175" s="2">
        <f t="shared" si="38"/>
        <v>1523.8797267844407</v>
      </c>
      <c r="S175" s="2">
        <f t="shared" si="32"/>
        <v>502.47616370810709</v>
      </c>
    </row>
    <row r="176" spans="2:19" x14ac:dyDescent="0.25">
      <c r="B176" s="10">
        <v>545</v>
      </c>
      <c r="C176" s="10">
        <v>8</v>
      </c>
      <c r="D176" s="9" t="s">
        <v>294</v>
      </c>
      <c r="E176" s="8">
        <f>INDEX('From 2015 DataLockdown'!$M$5:$M$247,MATCH('Cost Bands for 2017 MFAM'!B176,'From 2015 DataLockdown'!$A$5:$A$247,0))</f>
        <v>18.697323768210968</v>
      </c>
      <c r="F176" s="7">
        <f>INDEX('2015 Data Summary-Datalockdown'!$E$5:$E$247,MATCH('Cost Bands for 2017 MFAM'!B176,'2015 Data Summary-Datalockdown'!$B$5:$B$247,0))</f>
        <v>5205.7700000000004</v>
      </c>
      <c r="G176" s="7">
        <f>INDEX('2015 Data Summary-Datalockdown'!$F$5:$F$247,MATCH('Cost Bands for 2017 MFAM'!B176,'2015 Data Summary-Datalockdown'!$B$5:$B$247,0))</f>
        <v>0</v>
      </c>
      <c r="H176" s="7">
        <f t="shared" si="33"/>
        <v>5205.7700000000004</v>
      </c>
      <c r="I176" s="6">
        <f t="shared" si="34"/>
        <v>278.4232687274104</v>
      </c>
      <c r="J176" s="6">
        <f t="shared" si="35"/>
        <v>278.4232687274104</v>
      </c>
      <c r="K176" s="5">
        <f t="shared" si="36"/>
        <v>5205.7699999999995</v>
      </c>
      <c r="L176" s="4">
        <f t="shared" si="27"/>
        <v>0</v>
      </c>
      <c r="M176" s="2">
        <f t="shared" si="28"/>
        <v>707.3327454016121</v>
      </c>
      <c r="N176" s="1">
        <f t="shared" si="29"/>
        <v>49</v>
      </c>
      <c r="O176" s="3">
        <f t="shared" si="30"/>
        <v>183963.33918093756</v>
      </c>
      <c r="P176" s="2">
        <f t="shared" si="31"/>
        <v>637.15499503590672</v>
      </c>
      <c r="Q176" s="2">
        <f t="shared" si="38"/>
        <v>-109.21423598121635</v>
      </c>
      <c r="R176" s="2">
        <f t="shared" si="38"/>
        <v>1523.8797267844407</v>
      </c>
      <c r="S176" s="2">
        <f t="shared" si="32"/>
        <v>278.4232687274104</v>
      </c>
    </row>
    <row r="177" spans="2:19" x14ac:dyDescent="0.25">
      <c r="B177" s="10">
        <v>605</v>
      </c>
      <c r="C177" s="10">
        <v>8</v>
      </c>
      <c r="D177" s="9" t="s">
        <v>295</v>
      </c>
      <c r="E177" s="8">
        <f>INDEX('From 2015 DataLockdown'!$M$5:$M$247,MATCH('Cost Bands for 2017 MFAM'!B177,'From 2015 DataLockdown'!$A$5:$A$247,0))</f>
        <v>10.972560377031961</v>
      </c>
      <c r="F177" s="7">
        <f>INDEX('2015 Data Summary-Datalockdown'!$E$5:$E$247,MATCH('Cost Bands for 2017 MFAM'!B177,'2015 Data Summary-Datalockdown'!$B$5:$B$247,0))</f>
        <v>5666.13</v>
      </c>
      <c r="G177" s="7">
        <f>INDEX('2015 Data Summary-Datalockdown'!$F$5:$F$247,MATCH('Cost Bands for 2017 MFAM'!B177,'2015 Data Summary-Datalockdown'!$B$5:$B$247,0))</f>
        <v>0</v>
      </c>
      <c r="H177" s="7">
        <f t="shared" si="33"/>
        <v>5666.13</v>
      </c>
      <c r="I177" s="6">
        <f t="shared" si="34"/>
        <v>516.3908700708073</v>
      </c>
      <c r="J177" s="6">
        <f t="shared" si="35"/>
        <v>516.3908700708073</v>
      </c>
      <c r="K177" s="5">
        <f t="shared" si="36"/>
        <v>5666.1299999999992</v>
      </c>
      <c r="L177" s="4">
        <f t="shared" si="27"/>
        <v>0</v>
      </c>
      <c r="M177" s="2">
        <f t="shared" si="28"/>
        <v>707.3327454016121</v>
      </c>
      <c r="N177" s="1">
        <f t="shared" si="29"/>
        <v>49</v>
      </c>
      <c r="O177" s="3">
        <f t="shared" si="30"/>
        <v>36458.799754844607</v>
      </c>
      <c r="P177" s="2">
        <f t="shared" si="31"/>
        <v>637.15499503590672</v>
      </c>
      <c r="Q177" s="2">
        <f t="shared" si="38"/>
        <v>-109.21423598121635</v>
      </c>
      <c r="R177" s="2">
        <f t="shared" si="38"/>
        <v>1523.8797267844407</v>
      </c>
      <c r="S177" s="2">
        <f t="shared" si="32"/>
        <v>516.3908700708073</v>
      </c>
    </row>
    <row r="178" spans="2:19" x14ac:dyDescent="0.25">
      <c r="B178" s="10">
        <v>607</v>
      </c>
      <c r="C178" s="10">
        <v>8</v>
      </c>
      <c r="D178" s="9" t="s">
        <v>296</v>
      </c>
      <c r="E178" s="8">
        <f>INDEX('From 2015 DataLockdown'!$M$5:$M$247,MATCH('Cost Bands for 2017 MFAM'!B178,'From 2015 DataLockdown'!$A$5:$A$247,0))</f>
        <v>16.001267719236729</v>
      </c>
      <c r="F178" s="7">
        <f>INDEX('2015 Data Summary-Datalockdown'!$E$5:$E$247,MATCH('Cost Bands for 2017 MFAM'!B178,'2015 Data Summary-Datalockdown'!$B$5:$B$247,0))</f>
        <v>8602.83</v>
      </c>
      <c r="G178" s="7">
        <f>INDEX('2015 Data Summary-Datalockdown'!$F$5:$F$247,MATCH('Cost Bands for 2017 MFAM'!B178,'2015 Data Summary-Datalockdown'!$B$5:$B$247,0))</f>
        <v>0</v>
      </c>
      <c r="H178" s="7">
        <f t="shared" si="33"/>
        <v>8602.83</v>
      </c>
      <c r="I178" s="6">
        <f t="shared" si="34"/>
        <v>537.63427691780169</v>
      </c>
      <c r="J178" s="6">
        <f t="shared" si="35"/>
        <v>537.63427691780169</v>
      </c>
      <c r="K178" s="5">
        <f t="shared" si="36"/>
        <v>8602.83</v>
      </c>
      <c r="L178" s="4">
        <f t="shared" si="27"/>
        <v>0</v>
      </c>
      <c r="M178" s="2">
        <f t="shared" si="28"/>
        <v>707.3327454016121</v>
      </c>
      <c r="N178" s="1">
        <f t="shared" si="29"/>
        <v>49</v>
      </c>
      <c r="O178" s="3">
        <f t="shared" si="30"/>
        <v>28797.570205750799</v>
      </c>
      <c r="P178" s="2">
        <f t="shared" si="31"/>
        <v>637.15499503590672</v>
      </c>
      <c r="Q178" s="2">
        <f t="shared" si="38"/>
        <v>-109.21423598121635</v>
      </c>
      <c r="R178" s="2">
        <f t="shared" si="38"/>
        <v>1523.8797267844407</v>
      </c>
      <c r="S178" s="2">
        <f t="shared" si="32"/>
        <v>537.63427691780169</v>
      </c>
    </row>
    <row r="179" spans="2:19" x14ac:dyDescent="0.25">
      <c r="B179" s="10">
        <v>610</v>
      </c>
      <c r="C179" s="10">
        <v>8</v>
      </c>
      <c r="D179" s="9" t="s">
        <v>297</v>
      </c>
      <c r="E179" s="8">
        <f>INDEX('From 2015 DataLockdown'!$M$5:$M$247,MATCH('Cost Bands for 2017 MFAM'!B179,'From 2015 DataLockdown'!$A$5:$A$247,0))</f>
        <v>81.056750043835933</v>
      </c>
      <c r="F179" s="7">
        <f>INDEX('2015 Data Summary-Datalockdown'!$E$5:$E$247,MATCH('Cost Bands for 2017 MFAM'!B179,'2015 Data Summary-Datalockdown'!$B$5:$B$247,0))</f>
        <v>32883.199999999997</v>
      </c>
      <c r="G179" s="7">
        <f>INDEX('2015 Data Summary-Datalockdown'!$F$5:$F$247,MATCH('Cost Bands for 2017 MFAM'!B179,'2015 Data Summary-Datalockdown'!$B$5:$B$247,0))</f>
        <v>0</v>
      </c>
      <c r="H179" s="7">
        <f t="shared" si="33"/>
        <v>32883.199999999997</v>
      </c>
      <c r="I179" s="6">
        <f t="shared" si="34"/>
        <v>405.68120461548955</v>
      </c>
      <c r="J179" s="6">
        <f t="shared" si="35"/>
        <v>405.68120461548955</v>
      </c>
      <c r="K179" s="5">
        <f t="shared" si="36"/>
        <v>32883.199999999997</v>
      </c>
      <c r="L179" s="4">
        <f t="shared" si="27"/>
        <v>0</v>
      </c>
      <c r="M179" s="2">
        <f t="shared" si="28"/>
        <v>707.3327454016121</v>
      </c>
      <c r="N179" s="1">
        <f t="shared" si="29"/>
        <v>49</v>
      </c>
      <c r="O179" s="3">
        <f t="shared" si="30"/>
        <v>90993.652058641761</v>
      </c>
      <c r="P179" s="2">
        <f t="shared" si="31"/>
        <v>637.15499503590672</v>
      </c>
      <c r="Q179" s="2">
        <f t="shared" si="38"/>
        <v>-109.21423598121635</v>
      </c>
      <c r="R179" s="2">
        <f t="shared" si="38"/>
        <v>1523.8797267844407</v>
      </c>
      <c r="S179" s="2">
        <f t="shared" si="32"/>
        <v>405.68120461548955</v>
      </c>
    </row>
    <row r="180" spans="2:19" x14ac:dyDescent="0.25">
      <c r="B180" s="10">
        <v>611</v>
      </c>
      <c r="C180" s="10">
        <v>8</v>
      </c>
      <c r="D180" s="9" t="s">
        <v>298</v>
      </c>
      <c r="E180" s="8">
        <f>INDEX('From 2015 DataLockdown'!$M$5:$M$247,MATCH('Cost Bands for 2017 MFAM'!B180,'From 2015 DataLockdown'!$A$5:$A$247,0))</f>
        <v>19.514775141431741</v>
      </c>
      <c r="F180" s="7">
        <f>INDEX('2015 Data Summary-Datalockdown'!$E$5:$E$247,MATCH('Cost Bands for 2017 MFAM'!B180,'2015 Data Summary-Datalockdown'!$B$5:$B$247,0))</f>
        <v>22696.62</v>
      </c>
      <c r="G180" s="7">
        <f>INDEX('2015 Data Summary-Datalockdown'!$F$5:$F$247,MATCH('Cost Bands for 2017 MFAM'!B180,'2015 Data Summary-Datalockdown'!$B$5:$B$247,0))</f>
        <v>0</v>
      </c>
      <c r="H180" s="7">
        <f t="shared" si="33"/>
        <v>22696.62</v>
      </c>
      <c r="I180" s="6">
        <f t="shared" si="34"/>
        <v>1163.0479898183862</v>
      </c>
      <c r="J180" s="6">
        <f t="shared" si="35"/>
        <v>1163.0479898183862</v>
      </c>
      <c r="K180" s="5">
        <f t="shared" si="36"/>
        <v>22696.62</v>
      </c>
      <c r="L180" s="4">
        <f t="shared" si="27"/>
        <v>0</v>
      </c>
      <c r="M180" s="2">
        <f t="shared" si="28"/>
        <v>707.3327454016121</v>
      </c>
      <c r="N180" s="1">
        <f t="shared" si="29"/>
        <v>49</v>
      </c>
      <c r="O180" s="3">
        <f t="shared" si="30"/>
        <v>207676.38399384017</v>
      </c>
      <c r="P180" s="2">
        <f t="shared" si="31"/>
        <v>637.15499503590672</v>
      </c>
      <c r="Q180" s="2">
        <f t="shared" si="38"/>
        <v>-109.21423598121635</v>
      </c>
      <c r="R180" s="2">
        <f t="shared" si="38"/>
        <v>1523.8797267844407</v>
      </c>
      <c r="S180" s="2">
        <f t="shared" si="32"/>
        <v>1163.0479898183862</v>
      </c>
    </row>
    <row r="181" spans="2:19" x14ac:dyDescent="0.25">
      <c r="B181" s="10">
        <v>616</v>
      </c>
      <c r="C181" s="10">
        <v>8</v>
      </c>
      <c r="D181" s="9" t="s">
        <v>299</v>
      </c>
      <c r="E181" s="8">
        <f>INDEX('From 2015 DataLockdown'!$M$5:$M$247,MATCH('Cost Bands for 2017 MFAM'!B181,'From 2015 DataLockdown'!$A$5:$A$247,0))</f>
        <v>169.75999999999996</v>
      </c>
      <c r="F181" s="7">
        <f>INDEX('2015 Data Summary-Datalockdown'!$E$5:$E$247,MATCH('Cost Bands for 2017 MFAM'!B181,'2015 Data Summary-Datalockdown'!$B$5:$B$247,0))</f>
        <v>182776.04</v>
      </c>
      <c r="G181" s="7">
        <f>INDEX('2015 Data Summary-Datalockdown'!$F$5:$F$247,MATCH('Cost Bands for 2017 MFAM'!B181,'2015 Data Summary-Datalockdown'!$B$5:$B$247,0))</f>
        <v>0</v>
      </c>
      <c r="H181" s="7">
        <f t="shared" si="33"/>
        <v>182776.04</v>
      </c>
      <c r="I181" s="6">
        <f t="shared" si="34"/>
        <v>1076.6731856738929</v>
      </c>
      <c r="J181" s="6">
        <f t="shared" si="35"/>
        <v>1076.6731856738929</v>
      </c>
      <c r="K181" s="5">
        <f t="shared" si="36"/>
        <v>182776.04000000004</v>
      </c>
      <c r="L181" s="4">
        <f t="shared" si="27"/>
        <v>0</v>
      </c>
      <c r="M181" s="2">
        <f t="shared" si="28"/>
        <v>707.3327454016121</v>
      </c>
      <c r="N181" s="1">
        <f t="shared" si="29"/>
        <v>49</v>
      </c>
      <c r="O181" s="3">
        <f t="shared" si="30"/>
        <v>136412.36082052224</v>
      </c>
      <c r="P181" s="2">
        <f t="shared" si="31"/>
        <v>637.15499503590672</v>
      </c>
      <c r="Q181" s="2">
        <f t="shared" si="38"/>
        <v>-109.21423598121635</v>
      </c>
      <c r="R181" s="2">
        <f t="shared" si="38"/>
        <v>1523.8797267844407</v>
      </c>
      <c r="S181" s="2">
        <f t="shared" si="32"/>
        <v>1076.6731856738929</v>
      </c>
    </row>
    <row r="182" spans="2:19" x14ac:dyDescent="0.25">
      <c r="B182" s="10">
        <v>692</v>
      </c>
      <c r="C182" s="10">
        <v>8</v>
      </c>
      <c r="D182" s="9" t="s">
        <v>300</v>
      </c>
      <c r="E182" s="8">
        <f>INDEX('From 2015 DataLockdown'!$M$5:$M$247,MATCH('Cost Bands for 2017 MFAM'!B182,'From 2015 DataLockdown'!$A$5:$A$247,0))</f>
        <v>710.21</v>
      </c>
      <c r="F182" s="7">
        <f>INDEX('2015 Data Summary-Datalockdown'!$E$5:$E$247,MATCH('Cost Bands for 2017 MFAM'!B182,'2015 Data Summary-Datalockdown'!$B$5:$B$247,0))</f>
        <v>243277.51</v>
      </c>
      <c r="G182" s="7">
        <f>INDEX('2015 Data Summary-Datalockdown'!$F$5:$F$247,MATCH('Cost Bands for 2017 MFAM'!B182,'2015 Data Summary-Datalockdown'!$B$5:$B$247,0))</f>
        <v>21174.12</v>
      </c>
      <c r="H182" s="7">
        <f t="shared" si="33"/>
        <v>222103.39</v>
      </c>
      <c r="I182" s="6">
        <f t="shared" si="34"/>
        <v>312.72917869362584</v>
      </c>
      <c r="J182" s="6">
        <f t="shared" si="35"/>
        <v>312.72917869362584</v>
      </c>
      <c r="K182" s="5">
        <f t="shared" si="36"/>
        <v>222103.39</v>
      </c>
      <c r="L182" s="4">
        <f t="shared" si="27"/>
        <v>0</v>
      </c>
      <c r="M182" s="2">
        <f t="shared" si="28"/>
        <v>707.3327454016121</v>
      </c>
      <c r="N182" s="1">
        <f t="shared" si="29"/>
        <v>49</v>
      </c>
      <c r="O182" s="3">
        <f t="shared" si="30"/>
        <v>155711.97485866415</v>
      </c>
      <c r="P182" s="2">
        <f t="shared" si="31"/>
        <v>637.15499503590672</v>
      </c>
      <c r="Q182" s="2">
        <f t="shared" si="38"/>
        <v>-109.21423598121635</v>
      </c>
      <c r="R182" s="2">
        <f t="shared" si="38"/>
        <v>1523.8797267844407</v>
      </c>
      <c r="S182" s="2">
        <f t="shared" si="32"/>
        <v>312.72917869362584</v>
      </c>
    </row>
    <row r="183" spans="2:19" x14ac:dyDescent="0.25">
      <c r="B183" s="10">
        <v>706</v>
      </c>
      <c r="C183" s="10">
        <v>8</v>
      </c>
      <c r="D183" s="9" t="s">
        <v>301</v>
      </c>
      <c r="E183" s="8">
        <f>INDEX('From 2015 DataLockdown'!$M$5:$M$247,MATCH('Cost Bands for 2017 MFAM'!B183,'From 2015 DataLockdown'!$A$5:$A$247,0))</f>
        <v>67.644619551595738</v>
      </c>
      <c r="F183" s="7">
        <f>INDEX('2015 Data Summary-Datalockdown'!$E$5:$E$247,MATCH('Cost Bands for 2017 MFAM'!B183,'2015 Data Summary-Datalockdown'!$B$5:$B$247,0))</f>
        <v>65198.879999999997</v>
      </c>
      <c r="G183" s="7">
        <f>INDEX('2015 Data Summary-Datalockdown'!$F$5:$F$247,MATCH('Cost Bands for 2017 MFAM'!B183,'2015 Data Summary-Datalockdown'!$B$5:$B$247,0))</f>
        <v>42142.5</v>
      </c>
      <c r="H183" s="7">
        <f t="shared" si="33"/>
        <v>23056.379999999997</v>
      </c>
      <c r="I183" s="6">
        <f t="shared" si="34"/>
        <v>340.84573396726415</v>
      </c>
      <c r="J183" s="6">
        <f t="shared" si="35"/>
        <v>340.84573396726415</v>
      </c>
      <c r="K183" s="5">
        <f t="shared" si="36"/>
        <v>23056.379999999997</v>
      </c>
      <c r="L183" s="4">
        <f t="shared" si="27"/>
        <v>0</v>
      </c>
      <c r="M183" s="2">
        <f t="shared" si="28"/>
        <v>707.3327454016121</v>
      </c>
      <c r="N183" s="1">
        <f t="shared" si="29"/>
        <v>49</v>
      </c>
      <c r="O183" s="3">
        <f t="shared" si="30"/>
        <v>134312.72955007988</v>
      </c>
      <c r="P183" s="2">
        <f t="shared" si="31"/>
        <v>637.15499503590672</v>
      </c>
      <c r="Q183" s="2">
        <f t="shared" si="38"/>
        <v>-109.21423598121635</v>
      </c>
      <c r="R183" s="2">
        <f t="shared" si="38"/>
        <v>1523.8797267844407</v>
      </c>
      <c r="S183" s="2">
        <f t="shared" si="32"/>
        <v>340.84573396726415</v>
      </c>
    </row>
    <row r="184" spans="2:19" x14ac:dyDescent="0.25">
      <c r="B184" s="10">
        <v>709</v>
      </c>
      <c r="C184" s="10">
        <v>8</v>
      </c>
      <c r="D184" s="9" t="s">
        <v>302</v>
      </c>
      <c r="E184" s="8">
        <f>INDEX('From 2015 DataLockdown'!$M$5:$M$247,MATCH('Cost Bands for 2017 MFAM'!B184,'From 2015 DataLockdown'!$A$5:$A$247,0))</f>
        <v>74.754281357922125</v>
      </c>
      <c r="F184" s="7">
        <f>INDEX('2015 Data Summary-Datalockdown'!$E$5:$E$247,MATCH('Cost Bands for 2017 MFAM'!B184,'2015 Data Summary-Datalockdown'!$B$5:$B$247,0))</f>
        <v>43099.38</v>
      </c>
      <c r="G184" s="7">
        <f>INDEX('2015 Data Summary-Datalockdown'!$F$5:$F$247,MATCH('Cost Bands for 2017 MFAM'!B184,'2015 Data Summary-Datalockdown'!$B$5:$B$247,0))</f>
        <v>0</v>
      </c>
      <c r="H184" s="7">
        <f t="shared" si="33"/>
        <v>43099.38</v>
      </c>
      <c r="I184" s="6">
        <f t="shared" si="34"/>
        <v>576.54731230230095</v>
      </c>
      <c r="J184" s="6">
        <f t="shared" si="35"/>
        <v>576.54731230230095</v>
      </c>
      <c r="K184" s="5">
        <f t="shared" si="36"/>
        <v>43099.380000000005</v>
      </c>
      <c r="L184" s="4">
        <f t="shared" si="27"/>
        <v>0</v>
      </c>
      <c r="M184" s="2">
        <f t="shared" si="28"/>
        <v>707.3327454016121</v>
      </c>
      <c r="N184" s="1">
        <f t="shared" si="29"/>
        <v>49</v>
      </c>
      <c r="O184" s="3">
        <f t="shared" si="30"/>
        <v>17104.829510974392</v>
      </c>
      <c r="P184" s="2">
        <f t="shared" si="31"/>
        <v>637.15499503590672</v>
      </c>
      <c r="Q184" s="2">
        <f t="shared" si="38"/>
        <v>-109.21423598121635</v>
      </c>
      <c r="R184" s="2">
        <f t="shared" si="38"/>
        <v>1523.8797267844407</v>
      </c>
      <c r="S184" s="2">
        <f t="shared" si="32"/>
        <v>576.54731230230095</v>
      </c>
    </row>
    <row r="185" spans="2:19" x14ac:dyDescent="0.25">
      <c r="B185" s="10">
        <v>714</v>
      </c>
      <c r="C185" s="10">
        <v>8</v>
      </c>
      <c r="D185" s="9" t="s">
        <v>303</v>
      </c>
      <c r="E185" s="8">
        <f>INDEX('From 2015 DataLockdown'!$M$5:$M$247,MATCH('Cost Bands for 2017 MFAM'!B185,'From 2015 DataLockdown'!$A$5:$A$247,0))</f>
        <v>47.128460284666595</v>
      </c>
      <c r="F185" s="7">
        <f>INDEX('2015 Data Summary-Datalockdown'!$E$5:$E$247,MATCH('Cost Bands for 2017 MFAM'!B185,'2015 Data Summary-Datalockdown'!$B$5:$B$247,0))</f>
        <v>30830.07</v>
      </c>
      <c r="G185" s="7">
        <f>INDEX('2015 Data Summary-Datalockdown'!$F$5:$F$247,MATCH('Cost Bands for 2017 MFAM'!B185,'2015 Data Summary-Datalockdown'!$B$5:$B$247,0))</f>
        <v>0</v>
      </c>
      <c r="H185" s="7">
        <f t="shared" si="33"/>
        <v>30830.07</v>
      </c>
      <c r="I185" s="6">
        <f t="shared" si="34"/>
        <v>654.17095771386084</v>
      </c>
      <c r="J185" s="6">
        <f t="shared" si="35"/>
        <v>654.17095771386084</v>
      </c>
      <c r="K185" s="5">
        <f t="shared" si="36"/>
        <v>30830.07</v>
      </c>
      <c r="L185" s="4">
        <f t="shared" si="27"/>
        <v>0</v>
      </c>
      <c r="M185" s="2">
        <f t="shared" si="28"/>
        <v>707.3327454016121</v>
      </c>
      <c r="N185" s="1">
        <f t="shared" si="29"/>
        <v>49</v>
      </c>
      <c r="O185" s="3">
        <f t="shared" si="30"/>
        <v>2826.1756701575409</v>
      </c>
      <c r="P185" s="2">
        <f t="shared" si="31"/>
        <v>637.15499503590672</v>
      </c>
      <c r="Q185" s="2">
        <f t="shared" si="38"/>
        <v>-109.21423598121635</v>
      </c>
      <c r="R185" s="2">
        <f t="shared" si="38"/>
        <v>1523.8797267844407</v>
      </c>
      <c r="S185" s="2">
        <f t="shared" si="32"/>
        <v>654.17095771386084</v>
      </c>
    </row>
    <row r="186" spans="2:19" x14ac:dyDescent="0.25">
      <c r="B186" s="10">
        <v>749</v>
      </c>
      <c r="C186" s="10">
        <v>8</v>
      </c>
      <c r="D186" s="9" t="s">
        <v>304</v>
      </c>
      <c r="E186" s="8">
        <f>INDEX('From 2015 DataLockdown'!$M$5:$M$247,MATCH('Cost Bands for 2017 MFAM'!B186,'From 2015 DataLockdown'!$A$5:$A$247,0))</f>
        <v>9.1453005275344328</v>
      </c>
      <c r="F186" s="7">
        <f>INDEX('2015 Data Summary-Datalockdown'!$E$5:$E$247,MATCH('Cost Bands for 2017 MFAM'!B186,'2015 Data Summary-Datalockdown'!$B$5:$B$247,0))</f>
        <v>5418.96</v>
      </c>
      <c r="G186" s="7">
        <f>INDEX('2015 Data Summary-Datalockdown'!$F$5:$F$247,MATCH('Cost Bands for 2017 MFAM'!B186,'2015 Data Summary-Datalockdown'!$B$5:$B$247,0))</f>
        <v>0</v>
      </c>
      <c r="H186" s="7">
        <f t="shared" si="33"/>
        <v>5418.96</v>
      </c>
      <c r="I186" s="6">
        <f t="shared" si="34"/>
        <v>592.54039642379564</v>
      </c>
      <c r="J186" s="6">
        <f t="shared" si="35"/>
        <v>592.54039642379564</v>
      </c>
      <c r="K186" s="5">
        <f t="shared" si="36"/>
        <v>5418.96</v>
      </c>
      <c r="L186" s="4">
        <f t="shared" si="27"/>
        <v>0</v>
      </c>
      <c r="M186" s="2">
        <f t="shared" si="28"/>
        <v>707.3327454016121</v>
      </c>
      <c r="N186" s="1">
        <f t="shared" si="29"/>
        <v>49</v>
      </c>
      <c r="O186" s="3">
        <f t="shared" si="30"/>
        <v>13177.283383844799</v>
      </c>
      <c r="P186" s="2">
        <f t="shared" si="31"/>
        <v>637.15499503590672</v>
      </c>
      <c r="Q186" s="2">
        <f t="shared" ref="Q186:R205" si="39">NORMINV(Q$4,$M186,$P186)</f>
        <v>-109.21423598121635</v>
      </c>
      <c r="R186" s="2">
        <f t="shared" si="39"/>
        <v>1523.8797267844407</v>
      </c>
      <c r="S186" s="2">
        <f t="shared" si="32"/>
        <v>592.54039642379564</v>
      </c>
    </row>
    <row r="187" spans="2:19" x14ac:dyDescent="0.25">
      <c r="B187" s="10">
        <v>764</v>
      </c>
      <c r="C187" s="10">
        <v>8</v>
      </c>
      <c r="D187" s="9" t="s">
        <v>305</v>
      </c>
      <c r="E187" s="8">
        <f>INDEX('From 2015 DataLockdown'!$M$5:$M$247,MATCH('Cost Bands for 2017 MFAM'!B187,'From 2015 DataLockdown'!$A$5:$A$247,0))</f>
        <v>47.436745846561472</v>
      </c>
      <c r="F187" s="7">
        <f>INDEX('2015 Data Summary-Datalockdown'!$E$5:$E$247,MATCH('Cost Bands for 2017 MFAM'!B187,'2015 Data Summary-Datalockdown'!$B$5:$B$247,0))</f>
        <v>16190.84</v>
      </c>
      <c r="G187" s="7">
        <f>INDEX('2015 Data Summary-Datalockdown'!$F$5:$F$247,MATCH('Cost Bands for 2017 MFAM'!B187,'2015 Data Summary-Datalockdown'!$B$5:$B$247,0))</f>
        <v>0</v>
      </c>
      <c r="H187" s="7">
        <f t="shared" si="33"/>
        <v>16190.84</v>
      </c>
      <c r="I187" s="6">
        <f t="shared" si="34"/>
        <v>341.31430626313966</v>
      </c>
      <c r="J187" s="6">
        <f t="shared" si="35"/>
        <v>341.31430626313966</v>
      </c>
      <c r="K187" s="5">
        <f t="shared" si="36"/>
        <v>16190.84</v>
      </c>
      <c r="L187" s="4">
        <f t="shared" si="27"/>
        <v>0</v>
      </c>
      <c r="M187" s="2">
        <f t="shared" si="28"/>
        <v>707.3327454016121</v>
      </c>
      <c r="N187" s="1">
        <f t="shared" si="29"/>
        <v>49</v>
      </c>
      <c r="O187" s="3">
        <f t="shared" si="30"/>
        <v>133969.49778936367</v>
      </c>
      <c r="P187" s="2">
        <f t="shared" si="31"/>
        <v>637.15499503590672</v>
      </c>
      <c r="Q187" s="2">
        <f t="shared" si="39"/>
        <v>-109.21423598121635</v>
      </c>
      <c r="R187" s="2">
        <f t="shared" si="39"/>
        <v>1523.8797267844407</v>
      </c>
      <c r="S187" s="2">
        <f t="shared" si="32"/>
        <v>341.31430626313966</v>
      </c>
    </row>
    <row r="188" spans="2:19" x14ac:dyDescent="0.25">
      <c r="B188" s="10">
        <v>775</v>
      </c>
      <c r="C188" s="10">
        <v>8</v>
      </c>
      <c r="D188" s="9" t="s">
        <v>306</v>
      </c>
      <c r="E188" s="8">
        <f>INDEX('From 2015 DataLockdown'!$M$5:$M$247,MATCH('Cost Bands for 2017 MFAM'!B188,'From 2015 DataLockdown'!$A$5:$A$247,0))</f>
        <v>200.52354535682437</v>
      </c>
      <c r="F188" s="7">
        <f>INDEX('2015 Data Summary-Datalockdown'!$E$5:$E$247,MATCH('Cost Bands for 2017 MFAM'!B188,'2015 Data Summary-Datalockdown'!$B$5:$B$247,0))</f>
        <v>105137.96</v>
      </c>
      <c r="G188" s="7">
        <f>INDEX('2015 Data Summary-Datalockdown'!$F$5:$F$247,MATCH('Cost Bands for 2017 MFAM'!B188,'2015 Data Summary-Datalockdown'!$B$5:$B$247,0))</f>
        <v>0</v>
      </c>
      <c r="H188" s="7">
        <f t="shared" si="33"/>
        <v>105137.96</v>
      </c>
      <c r="I188" s="6">
        <f t="shared" si="34"/>
        <v>524.31728061116621</v>
      </c>
      <c r="J188" s="6">
        <f t="shared" si="35"/>
        <v>524.31728061116621</v>
      </c>
      <c r="K188" s="5">
        <f t="shared" si="36"/>
        <v>105137.96</v>
      </c>
      <c r="L188" s="4">
        <f t="shared" si="27"/>
        <v>0</v>
      </c>
      <c r="M188" s="2">
        <f t="shared" si="28"/>
        <v>707.3327454016121</v>
      </c>
      <c r="N188" s="1">
        <f t="shared" si="29"/>
        <v>49</v>
      </c>
      <c r="O188" s="3">
        <f t="shared" si="30"/>
        <v>33494.660352462939</v>
      </c>
      <c r="P188" s="2">
        <f t="shared" si="31"/>
        <v>637.15499503590672</v>
      </c>
      <c r="Q188" s="2">
        <f t="shared" si="39"/>
        <v>-109.21423598121635</v>
      </c>
      <c r="R188" s="2">
        <f t="shared" si="39"/>
        <v>1523.8797267844407</v>
      </c>
      <c r="S188" s="2">
        <f t="shared" si="32"/>
        <v>524.31728061116621</v>
      </c>
    </row>
    <row r="189" spans="2:19" x14ac:dyDescent="0.25">
      <c r="B189" s="10">
        <v>790</v>
      </c>
      <c r="C189" s="10">
        <v>8</v>
      </c>
      <c r="D189" s="9" t="s">
        <v>307</v>
      </c>
      <c r="E189" s="8">
        <f>INDEX('From 2015 DataLockdown'!$M$5:$M$247,MATCH('Cost Bands for 2017 MFAM'!B189,'From 2015 DataLockdown'!$A$5:$A$247,0))</f>
        <v>19.756488644593706</v>
      </c>
      <c r="F189" s="7">
        <f>INDEX('2015 Data Summary-Datalockdown'!$E$5:$E$247,MATCH('Cost Bands for 2017 MFAM'!B189,'2015 Data Summary-Datalockdown'!$B$5:$B$247,0))</f>
        <v>10334.25</v>
      </c>
      <c r="G189" s="7">
        <f>INDEX('2015 Data Summary-Datalockdown'!$F$5:$F$247,MATCH('Cost Bands for 2017 MFAM'!B189,'2015 Data Summary-Datalockdown'!$B$5:$B$247,0))</f>
        <v>0</v>
      </c>
      <c r="H189" s="7">
        <f t="shared" si="33"/>
        <v>10334.25</v>
      </c>
      <c r="I189" s="6">
        <f t="shared" si="34"/>
        <v>523.081311963193</v>
      </c>
      <c r="J189" s="6">
        <f t="shared" si="35"/>
        <v>523.081311963193</v>
      </c>
      <c r="K189" s="5">
        <f t="shared" si="36"/>
        <v>10334.25</v>
      </c>
      <c r="L189" s="4">
        <f t="shared" si="27"/>
        <v>0</v>
      </c>
      <c r="M189" s="2">
        <f t="shared" si="28"/>
        <v>707.3327454016121</v>
      </c>
      <c r="N189" s="1">
        <f t="shared" si="29"/>
        <v>49</v>
      </c>
      <c r="O189" s="3">
        <f t="shared" si="30"/>
        <v>33948.590724112182</v>
      </c>
      <c r="P189" s="2">
        <f t="shared" si="31"/>
        <v>637.15499503590672</v>
      </c>
      <c r="Q189" s="2">
        <f t="shared" si="39"/>
        <v>-109.21423598121635</v>
      </c>
      <c r="R189" s="2">
        <f t="shared" si="39"/>
        <v>1523.8797267844407</v>
      </c>
      <c r="S189" s="2">
        <f t="shared" si="32"/>
        <v>523.081311963193</v>
      </c>
    </row>
    <row r="190" spans="2:19" x14ac:dyDescent="0.25">
      <c r="B190" s="10">
        <v>796</v>
      </c>
      <c r="C190" s="10">
        <v>8</v>
      </c>
      <c r="D190" s="9" t="s">
        <v>308</v>
      </c>
      <c r="E190" s="8">
        <f>INDEX('From 2015 DataLockdown'!$M$5:$M$247,MATCH('Cost Bands for 2017 MFAM'!B190,'From 2015 DataLockdown'!$A$5:$A$247,0))</f>
        <v>2.958658910887316</v>
      </c>
      <c r="F190" s="7">
        <f>INDEX('2015 Data Summary-Datalockdown'!$E$5:$E$247,MATCH('Cost Bands for 2017 MFAM'!B190,'2015 Data Summary-Datalockdown'!$B$5:$B$247,0))</f>
        <v>16890.900000000001</v>
      </c>
      <c r="G190" s="7">
        <f>INDEX('2015 Data Summary-Datalockdown'!$F$5:$F$247,MATCH('Cost Bands for 2017 MFAM'!B190,'2015 Data Summary-Datalockdown'!$B$5:$B$247,0))</f>
        <v>0</v>
      </c>
      <c r="H190" s="7">
        <f t="shared" si="33"/>
        <v>16890.900000000001</v>
      </c>
      <c r="I190" s="6">
        <f t="shared" si="34"/>
        <v>5708.9717026334538</v>
      </c>
      <c r="J190" s="6">
        <f t="shared" si="35"/>
        <v>1523.8797267844407</v>
      </c>
      <c r="K190" s="5">
        <f t="shared" si="36"/>
        <v>4508.6403327713142</v>
      </c>
      <c r="L190" s="4">
        <f t="shared" si="27"/>
        <v>0</v>
      </c>
      <c r="M190" s="2">
        <f t="shared" si="28"/>
        <v>707.3327454016121</v>
      </c>
      <c r="N190" s="1">
        <f t="shared" si="29"/>
        <v>49</v>
      </c>
      <c r="O190" s="3">
        <f t="shared" si="30"/>
        <v>25016392.258499227</v>
      </c>
      <c r="P190" s="2">
        <f t="shared" si="31"/>
        <v>637.15499503590672</v>
      </c>
      <c r="Q190" s="2">
        <f t="shared" si="39"/>
        <v>-109.21423598121635</v>
      </c>
      <c r="R190" s="2">
        <f t="shared" si="39"/>
        <v>1523.8797267844407</v>
      </c>
      <c r="S190" s="2">
        <f t="shared" si="32"/>
        <v>1523.8797267844407</v>
      </c>
    </row>
    <row r="191" spans="2:19" x14ac:dyDescent="0.25">
      <c r="B191" s="10">
        <v>797</v>
      </c>
      <c r="C191" s="10">
        <v>8</v>
      </c>
      <c r="D191" s="9" t="s">
        <v>309</v>
      </c>
      <c r="E191" s="8">
        <f>INDEX('From 2015 DataLockdown'!$M$5:$M$247,MATCH('Cost Bands for 2017 MFAM'!B191,'From 2015 DataLockdown'!$A$5:$A$247,0))</f>
        <v>21.882111793736421</v>
      </c>
      <c r="F191" s="7">
        <f>INDEX('2015 Data Summary-Datalockdown'!$E$5:$E$247,MATCH('Cost Bands for 2017 MFAM'!B191,'2015 Data Summary-Datalockdown'!$B$5:$B$247,0))</f>
        <v>29772.11</v>
      </c>
      <c r="G191" s="7">
        <f>INDEX('2015 Data Summary-Datalockdown'!$F$5:$F$247,MATCH('Cost Bands for 2017 MFAM'!B191,'2015 Data Summary-Datalockdown'!$B$5:$B$247,0))</f>
        <v>2009.9</v>
      </c>
      <c r="H191" s="7">
        <f t="shared" si="33"/>
        <v>27762.21</v>
      </c>
      <c r="I191" s="6">
        <f t="shared" si="34"/>
        <v>1268.717126650761</v>
      </c>
      <c r="J191" s="6">
        <f t="shared" si="35"/>
        <v>1268.717126650761</v>
      </c>
      <c r="K191" s="5">
        <f t="shared" si="36"/>
        <v>27762.21</v>
      </c>
      <c r="L191" s="4">
        <f t="shared" si="27"/>
        <v>0</v>
      </c>
      <c r="M191" s="2">
        <f t="shared" si="28"/>
        <v>707.3327454016121</v>
      </c>
      <c r="N191" s="1">
        <f t="shared" si="29"/>
        <v>49</v>
      </c>
      <c r="O191" s="3">
        <f t="shared" si="30"/>
        <v>315152.42351048975</v>
      </c>
      <c r="P191" s="2">
        <f t="shared" si="31"/>
        <v>637.15499503590672</v>
      </c>
      <c r="Q191" s="2">
        <f t="shared" si="39"/>
        <v>-109.21423598121635</v>
      </c>
      <c r="R191" s="2">
        <f t="shared" si="39"/>
        <v>1523.8797267844407</v>
      </c>
      <c r="S191" s="2">
        <f t="shared" si="32"/>
        <v>1268.717126650761</v>
      </c>
    </row>
    <row r="192" spans="2:19" x14ac:dyDescent="0.25">
      <c r="B192" s="10">
        <v>801</v>
      </c>
      <c r="C192" s="10">
        <v>8</v>
      </c>
      <c r="D192" s="9" t="s">
        <v>310</v>
      </c>
      <c r="E192" s="8">
        <f>INDEX('From 2015 DataLockdown'!$M$5:$M$247,MATCH('Cost Bands for 2017 MFAM'!B192,'From 2015 DataLockdown'!$A$5:$A$247,0))</f>
        <v>107.73632087997994</v>
      </c>
      <c r="F192" s="7">
        <f>INDEX('2015 Data Summary-Datalockdown'!$E$5:$E$247,MATCH('Cost Bands for 2017 MFAM'!B192,'2015 Data Summary-Datalockdown'!$B$5:$B$247,0))</f>
        <v>47679.07</v>
      </c>
      <c r="G192" s="7">
        <f>INDEX('2015 Data Summary-Datalockdown'!$F$5:$F$247,MATCH('Cost Bands for 2017 MFAM'!B192,'2015 Data Summary-Datalockdown'!$B$5:$B$247,0))</f>
        <v>0</v>
      </c>
      <c r="H192" s="7">
        <f t="shared" si="33"/>
        <v>47679.07</v>
      </c>
      <c r="I192" s="6">
        <f t="shared" si="34"/>
        <v>442.55335257935229</v>
      </c>
      <c r="J192" s="6">
        <f t="shared" si="35"/>
        <v>442.55335257935229</v>
      </c>
      <c r="K192" s="5">
        <f t="shared" si="36"/>
        <v>47679.07</v>
      </c>
      <c r="L192" s="4">
        <f t="shared" si="27"/>
        <v>0</v>
      </c>
      <c r="M192" s="2">
        <f t="shared" si="28"/>
        <v>707.3327454016121</v>
      </c>
      <c r="N192" s="1">
        <f t="shared" si="29"/>
        <v>49</v>
      </c>
      <c r="O192" s="3">
        <f t="shared" si="30"/>
        <v>70108.126863324564</v>
      </c>
      <c r="P192" s="2">
        <f t="shared" si="31"/>
        <v>637.15499503590672</v>
      </c>
      <c r="Q192" s="2">
        <f t="shared" si="39"/>
        <v>-109.21423598121635</v>
      </c>
      <c r="R192" s="2">
        <f t="shared" si="39"/>
        <v>1523.8797267844407</v>
      </c>
      <c r="S192" s="2">
        <f t="shared" si="32"/>
        <v>442.55335257935229</v>
      </c>
    </row>
    <row r="193" spans="2:19" x14ac:dyDescent="0.25">
      <c r="B193" s="10">
        <v>810</v>
      </c>
      <c r="C193" s="10">
        <v>8</v>
      </c>
      <c r="D193" s="9" t="s">
        <v>311</v>
      </c>
      <c r="E193" s="8">
        <f>INDEX('From 2015 DataLockdown'!$M$5:$M$247,MATCH('Cost Bands for 2017 MFAM'!B193,'From 2015 DataLockdown'!$A$5:$A$247,0))</f>
        <v>114.08999999999999</v>
      </c>
      <c r="F193" s="7">
        <f>INDEX('2015 Data Summary-Datalockdown'!$E$5:$E$247,MATCH('Cost Bands for 2017 MFAM'!B193,'2015 Data Summary-Datalockdown'!$B$5:$B$247,0))</f>
        <v>106196.3</v>
      </c>
      <c r="G193" s="7">
        <f>INDEX('2015 Data Summary-Datalockdown'!$F$5:$F$247,MATCH('Cost Bands for 2017 MFAM'!B193,'2015 Data Summary-Datalockdown'!$B$5:$B$247,0))</f>
        <v>0</v>
      </c>
      <c r="H193" s="7">
        <f t="shared" si="33"/>
        <v>106196.3</v>
      </c>
      <c r="I193" s="6">
        <f t="shared" si="34"/>
        <v>930.811639933386</v>
      </c>
      <c r="J193" s="6">
        <f t="shared" si="35"/>
        <v>930.811639933386</v>
      </c>
      <c r="K193" s="5">
        <f t="shared" si="36"/>
        <v>106196.3</v>
      </c>
      <c r="L193" s="4">
        <f t="shared" si="27"/>
        <v>0</v>
      </c>
      <c r="M193" s="2">
        <f t="shared" si="28"/>
        <v>707.3327454016121</v>
      </c>
      <c r="N193" s="1">
        <f t="shared" si="29"/>
        <v>49</v>
      </c>
      <c r="O193" s="3">
        <f t="shared" si="30"/>
        <v>49942.816301143721</v>
      </c>
      <c r="P193" s="2">
        <f t="shared" si="31"/>
        <v>637.15499503590672</v>
      </c>
      <c r="Q193" s="2">
        <f t="shared" si="39"/>
        <v>-109.21423598121635</v>
      </c>
      <c r="R193" s="2">
        <f t="shared" si="39"/>
        <v>1523.8797267844407</v>
      </c>
      <c r="S193" s="2">
        <f t="shared" si="32"/>
        <v>930.811639933386</v>
      </c>
    </row>
    <row r="194" spans="2:19" x14ac:dyDescent="0.25">
      <c r="B194" s="10">
        <v>812</v>
      </c>
      <c r="C194" s="10">
        <v>8</v>
      </c>
      <c r="D194" s="9" t="s">
        <v>312</v>
      </c>
      <c r="E194" s="8">
        <f>INDEX('From 2015 DataLockdown'!$M$5:$M$247,MATCH('Cost Bands for 2017 MFAM'!B194,'From 2015 DataLockdown'!$A$5:$A$247,0))</f>
        <v>56.55504253395555</v>
      </c>
      <c r="F194" s="7">
        <f>INDEX('2015 Data Summary-Datalockdown'!$E$5:$E$247,MATCH('Cost Bands for 2017 MFAM'!B194,'2015 Data Summary-Datalockdown'!$B$5:$B$247,0))</f>
        <v>64854.26</v>
      </c>
      <c r="G194" s="7">
        <f>INDEX('2015 Data Summary-Datalockdown'!$F$5:$F$247,MATCH('Cost Bands for 2017 MFAM'!B194,'2015 Data Summary-Datalockdown'!$B$5:$B$247,0))</f>
        <v>509.88</v>
      </c>
      <c r="H194" s="7">
        <f t="shared" si="33"/>
        <v>64344.380000000005</v>
      </c>
      <c r="I194" s="6">
        <f t="shared" si="34"/>
        <v>1137.730202596307</v>
      </c>
      <c r="J194" s="6">
        <f t="shared" si="35"/>
        <v>1137.730202596307</v>
      </c>
      <c r="K194" s="5">
        <f t="shared" si="36"/>
        <v>64344.380000000005</v>
      </c>
      <c r="L194" s="4">
        <f t="shared" si="27"/>
        <v>0</v>
      </c>
      <c r="M194" s="2">
        <f t="shared" si="28"/>
        <v>707.3327454016121</v>
      </c>
      <c r="N194" s="1">
        <f t="shared" si="29"/>
        <v>49</v>
      </c>
      <c r="O194" s="3">
        <f t="shared" si="30"/>
        <v>185241.97115965921</v>
      </c>
      <c r="P194" s="2">
        <f t="shared" si="31"/>
        <v>637.15499503590672</v>
      </c>
      <c r="Q194" s="2">
        <f t="shared" si="39"/>
        <v>-109.21423598121635</v>
      </c>
      <c r="R194" s="2">
        <f t="shared" si="39"/>
        <v>1523.8797267844407</v>
      </c>
      <c r="S194" s="2">
        <f t="shared" si="32"/>
        <v>1137.730202596307</v>
      </c>
    </row>
    <row r="195" spans="2:19" x14ac:dyDescent="0.25">
      <c r="B195" s="10">
        <v>818</v>
      </c>
      <c r="C195" s="10">
        <v>8</v>
      </c>
      <c r="D195" s="9" t="s">
        <v>313</v>
      </c>
      <c r="E195" s="8">
        <f>INDEX('From 2015 DataLockdown'!$M$5:$M$247,MATCH('Cost Bands for 2017 MFAM'!B195,'From 2015 DataLockdown'!$A$5:$A$247,0))</f>
        <v>40.143224157778789</v>
      </c>
      <c r="F195" s="7">
        <f>INDEX('2015 Data Summary-Datalockdown'!$E$5:$E$247,MATCH('Cost Bands for 2017 MFAM'!B195,'2015 Data Summary-Datalockdown'!$B$5:$B$247,0))</f>
        <v>18605.38</v>
      </c>
      <c r="G195" s="7">
        <f>INDEX('2015 Data Summary-Datalockdown'!$F$5:$F$247,MATCH('Cost Bands for 2017 MFAM'!B195,'2015 Data Summary-Datalockdown'!$B$5:$B$247,0))</f>
        <v>0</v>
      </c>
      <c r="H195" s="7">
        <f t="shared" si="33"/>
        <v>18605.38</v>
      </c>
      <c r="I195" s="6">
        <f t="shared" si="34"/>
        <v>463.47497965966761</v>
      </c>
      <c r="J195" s="6">
        <f t="shared" si="35"/>
        <v>463.47497965966761</v>
      </c>
      <c r="K195" s="5">
        <f t="shared" si="36"/>
        <v>18605.38</v>
      </c>
      <c r="L195" s="4">
        <f t="shared" si="27"/>
        <v>0</v>
      </c>
      <c r="M195" s="2">
        <f t="shared" si="28"/>
        <v>707.3327454016121</v>
      </c>
      <c r="N195" s="1">
        <f t="shared" si="29"/>
        <v>49</v>
      </c>
      <c r="O195" s="3">
        <f t="shared" si="30"/>
        <v>59466.609912653075</v>
      </c>
      <c r="P195" s="2">
        <f t="shared" si="31"/>
        <v>637.15499503590672</v>
      </c>
      <c r="Q195" s="2">
        <f t="shared" si="39"/>
        <v>-109.21423598121635</v>
      </c>
      <c r="R195" s="2">
        <f t="shared" si="39"/>
        <v>1523.8797267844407</v>
      </c>
      <c r="S195" s="2">
        <f t="shared" si="32"/>
        <v>463.47497965966761</v>
      </c>
    </row>
    <row r="196" spans="2:19" x14ac:dyDescent="0.25">
      <c r="B196" s="10">
        <v>833</v>
      </c>
      <c r="C196" s="10">
        <v>8</v>
      </c>
      <c r="D196" s="9" t="s">
        <v>314</v>
      </c>
      <c r="E196" s="8">
        <f>INDEX('From 2015 DataLockdown'!$M$5:$M$247,MATCH('Cost Bands for 2017 MFAM'!B196,'From 2015 DataLockdown'!$A$5:$A$247,0))</f>
        <v>52.045401230515843</v>
      </c>
      <c r="F196" s="7">
        <f>INDEX('2015 Data Summary-Datalockdown'!$E$5:$E$247,MATCH('Cost Bands for 2017 MFAM'!B196,'2015 Data Summary-Datalockdown'!$B$5:$B$247,0))</f>
        <v>29466.37</v>
      </c>
      <c r="G196" s="7">
        <f>INDEX('2015 Data Summary-Datalockdown'!$F$5:$F$247,MATCH('Cost Bands for 2017 MFAM'!B196,'2015 Data Summary-Datalockdown'!$B$5:$B$247,0))</f>
        <v>0</v>
      </c>
      <c r="H196" s="7">
        <f t="shared" si="33"/>
        <v>29466.37</v>
      </c>
      <c r="I196" s="6">
        <f t="shared" si="34"/>
        <v>566.16664111185571</v>
      </c>
      <c r="J196" s="6">
        <f t="shared" si="35"/>
        <v>566.16664111185571</v>
      </c>
      <c r="K196" s="5">
        <f t="shared" si="36"/>
        <v>29466.369999999995</v>
      </c>
      <c r="L196" s="4">
        <f t="shared" si="27"/>
        <v>0</v>
      </c>
      <c r="M196" s="2">
        <f t="shared" si="28"/>
        <v>707.3327454016121</v>
      </c>
      <c r="N196" s="1">
        <f t="shared" si="29"/>
        <v>49</v>
      </c>
      <c r="O196" s="3">
        <f t="shared" si="30"/>
        <v>19927.869000346378</v>
      </c>
      <c r="P196" s="2">
        <f t="shared" si="31"/>
        <v>637.15499503590672</v>
      </c>
      <c r="Q196" s="2">
        <f t="shared" si="39"/>
        <v>-109.21423598121635</v>
      </c>
      <c r="R196" s="2">
        <f t="shared" si="39"/>
        <v>1523.8797267844407</v>
      </c>
      <c r="S196" s="2">
        <f t="shared" si="32"/>
        <v>566.16664111185571</v>
      </c>
    </row>
    <row r="197" spans="2:19" x14ac:dyDescent="0.25">
      <c r="B197" s="10">
        <v>834</v>
      </c>
      <c r="C197" s="10">
        <v>8</v>
      </c>
      <c r="D197" s="9" t="s">
        <v>315</v>
      </c>
      <c r="E197" s="8">
        <f>INDEX('From 2015 DataLockdown'!$M$5:$M$247,MATCH('Cost Bands for 2017 MFAM'!B197,'From 2015 DataLockdown'!$A$5:$A$247,0))</f>
        <v>98.48</v>
      </c>
      <c r="F197" s="7">
        <f>INDEX('2015 Data Summary-Datalockdown'!$E$5:$E$247,MATCH('Cost Bands for 2017 MFAM'!B197,'2015 Data Summary-Datalockdown'!$B$5:$B$247,0))</f>
        <v>58821.49</v>
      </c>
      <c r="G197" s="7">
        <f>INDEX('2015 Data Summary-Datalockdown'!$F$5:$F$247,MATCH('Cost Bands for 2017 MFAM'!B197,'2015 Data Summary-Datalockdown'!$B$5:$B$247,0))</f>
        <v>6965.41</v>
      </c>
      <c r="H197" s="7">
        <f t="shared" si="33"/>
        <v>51856.08</v>
      </c>
      <c r="I197" s="6">
        <f t="shared" si="34"/>
        <v>526.56458164094227</v>
      </c>
      <c r="J197" s="6">
        <f t="shared" si="35"/>
        <v>526.56458164094227</v>
      </c>
      <c r="K197" s="5">
        <f t="shared" si="36"/>
        <v>51856.079999999994</v>
      </c>
      <c r="L197" s="4">
        <f t="shared" si="27"/>
        <v>0</v>
      </c>
      <c r="M197" s="2">
        <f t="shared" si="28"/>
        <v>707.3327454016121</v>
      </c>
      <c r="N197" s="1">
        <f t="shared" si="29"/>
        <v>49</v>
      </c>
      <c r="O197" s="3">
        <f t="shared" si="30"/>
        <v>32677.129029404347</v>
      </c>
      <c r="P197" s="2">
        <f t="shared" si="31"/>
        <v>637.15499503590672</v>
      </c>
      <c r="Q197" s="2">
        <f t="shared" si="39"/>
        <v>-109.21423598121635</v>
      </c>
      <c r="R197" s="2">
        <f t="shared" si="39"/>
        <v>1523.8797267844407</v>
      </c>
      <c r="S197" s="2">
        <f t="shared" si="32"/>
        <v>526.56458164094227</v>
      </c>
    </row>
    <row r="198" spans="2:19" x14ac:dyDescent="0.25">
      <c r="B198" s="10">
        <v>837</v>
      </c>
      <c r="C198" s="10">
        <v>8</v>
      </c>
      <c r="D198" s="9" t="s">
        <v>316</v>
      </c>
      <c r="E198" s="8">
        <f>INDEX('From 2015 DataLockdown'!$M$5:$M$247,MATCH('Cost Bands for 2017 MFAM'!B198,'From 2015 DataLockdown'!$A$5:$A$247,0))</f>
        <v>164.78</v>
      </c>
      <c r="F198" s="7">
        <f>INDEX('2015 Data Summary-Datalockdown'!$E$5:$E$247,MATCH('Cost Bands for 2017 MFAM'!B198,'2015 Data Summary-Datalockdown'!$B$5:$B$247,0))</f>
        <v>82185.350000000006</v>
      </c>
      <c r="G198" s="7">
        <f>INDEX('2015 Data Summary-Datalockdown'!$F$5:$F$247,MATCH('Cost Bands for 2017 MFAM'!B198,'2015 Data Summary-Datalockdown'!$B$5:$B$247,0))</f>
        <v>0</v>
      </c>
      <c r="H198" s="7">
        <f t="shared" si="33"/>
        <v>82185.350000000006</v>
      </c>
      <c r="I198" s="6">
        <f t="shared" si="34"/>
        <v>498.75804102439622</v>
      </c>
      <c r="J198" s="6">
        <f t="shared" si="35"/>
        <v>498.75804102439622</v>
      </c>
      <c r="K198" s="5">
        <f t="shared" si="36"/>
        <v>82185.350000000006</v>
      </c>
      <c r="L198" s="4">
        <f t="shared" ref="L198:L241" si="40">IF(ISERROR(I198),1,0)</f>
        <v>0</v>
      </c>
      <c r="M198" s="2">
        <f t="shared" ref="M198:M248" si="41">SUMPRODUCT(--($L$6:$L$300&lt;&gt;1),--($C$6:$C$300=$C198),$H$6:$H$300)/SUMPRODUCT(--($L$6:$L$300&lt;&gt;1),--($C$6:$C$300=$C198),$E$6:$E$300)</f>
        <v>707.3327454016121</v>
      </c>
      <c r="N198" s="1">
        <f t="shared" ref="N198:N248" si="42">SUMPRODUCT(--($L$6:$L$300&lt;&gt;1),--($C$6:$C$300=$C198),--($L$6:$L$300&lt;&gt;1))</f>
        <v>49</v>
      </c>
      <c r="O198" s="3">
        <f t="shared" ref="O198:O236" si="43">IF(ISERROR((I198-M198)^2),0,(I198-M198)^2)</f>
        <v>43503.407306042995</v>
      </c>
      <c r="P198" s="2">
        <f t="shared" ref="P198:P248" si="44">SQRT(SUMPRODUCT(--($L$6:$L$300&lt;&gt;1),--($C$6:$C$300=$C198),$E$6:$E$300,$O$6:$O$300)/((N198-1)*SUMPRODUCT(--($L$6:$L$300&lt;&gt;1),--($C$6:$C$300=$C198),$E$6:$E$300)/N198))</f>
        <v>637.15499503590672</v>
      </c>
      <c r="Q198" s="2">
        <f t="shared" si="39"/>
        <v>-109.21423598121635</v>
      </c>
      <c r="R198" s="2">
        <f t="shared" si="39"/>
        <v>1523.8797267844407</v>
      </c>
      <c r="S198" s="2">
        <f t="shared" ref="S198:S239" si="45">IF(ISERROR(MAX(MIN(I198,R198),Q198)),R198,MAX(MIN(I198,R198),Q198))</f>
        <v>498.75804102439622</v>
      </c>
    </row>
    <row r="199" spans="2:19" x14ac:dyDescent="0.25">
      <c r="B199" s="10">
        <v>847</v>
      </c>
      <c r="C199" s="10">
        <v>8</v>
      </c>
      <c r="D199" s="9" t="s">
        <v>317</v>
      </c>
      <c r="E199" s="8">
        <f>INDEX('From 2015 DataLockdown'!$M$5:$M$247,MATCH('Cost Bands for 2017 MFAM'!B199,'From 2015 DataLockdown'!$A$5:$A$247,0))</f>
        <v>73.045387579667249</v>
      </c>
      <c r="F199" s="7">
        <f>INDEX('2015 Data Summary-Datalockdown'!$E$5:$E$247,MATCH('Cost Bands for 2017 MFAM'!B199,'2015 Data Summary-Datalockdown'!$B$5:$B$247,0))</f>
        <v>71503.289999999994</v>
      </c>
      <c r="G199" s="7">
        <f>INDEX('2015 Data Summary-Datalockdown'!$F$5:$F$247,MATCH('Cost Bands for 2017 MFAM'!B199,'2015 Data Summary-Datalockdown'!$B$5:$B$247,0))</f>
        <v>0</v>
      </c>
      <c r="H199" s="7">
        <f t="shared" ref="H199:H248" si="46">F199-G199</f>
        <v>71503.289999999994</v>
      </c>
      <c r="I199" s="6">
        <f t="shared" ref="I199:I248" si="47">H199/E199</f>
        <v>978.88850164583823</v>
      </c>
      <c r="J199" s="6">
        <f t="shared" ref="J199:J248" si="48">IF(ISERROR(IF($J$2=1,MAX(MIN(I199,R199),Q199),MIN(I199,R199))),R199,IF($J$2=1,MAX(MIN(I199,R199),Q199),MIN(I199,R199)))</f>
        <v>978.88850164583823</v>
      </c>
      <c r="K199" s="5">
        <f t="shared" ref="K199:K248" si="49">J199*E199</f>
        <v>71503.289999999994</v>
      </c>
      <c r="L199" s="4">
        <f t="shared" si="40"/>
        <v>0</v>
      </c>
      <c r="M199" s="2">
        <f t="shared" si="41"/>
        <v>707.3327454016121</v>
      </c>
      <c r="N199" s="1">
        <f t="shared" si="42"/>
        <v>49</v>
      </c>
      <c r="O199" s="3">
        <f t="shared" si="43"/>
        <v>73742.528749373567</v>
      </c>
      <c r="P199" s="2">
        <f t="shared" si="44"/>
        <v>637.15499503590672</v>
      </c>
      <c r="Q199" s="2">
        <f t="shared" si="39"/>
        <v>-109.21423598121635</v>
      </c>
      <c r="R199" s="2">
        <f t="shared" si="39"/>
        <v>1523.8797267844407</v>
      </c>
      <c r="S199" s="2">
        <f t="shared" si="45"/>
        <v>978.88850164583823</v>
      </c>
    </row>
    <row r="200" spans="2:19" x14ac:dyDescent="0.25">
      <c r="B200" s="10">
        <v>866</v>
      </c>
      <c r="C200" s="10">
        <v>8</v>
      </c>
      <c r="D200" s="9" t="s">
        <v>318</v>
      </c>
      <c r="E200" s="8">
        <f>INDEX('From 2015 DataLockdown'!$M$5:$M$247,MATCH('Cost Bands for 2017 MFAM'!B200,'From 2015 DataLockdown'!$A$5:$A$247,0))</f>
        <v>451.12615338481373</v>
      </c>
      <c r="F200" s="7">
        <f>INDEX('2015 Data Summary-Datalockdown'!$E$5:$E$247,MATCH('Cost Bands for 2017 MFAM'!B200,'2015 Data Summary-Datalockdown'!$B$5:$B$247,0))</f>
        <v>55892.7</v>
      </c>
      <c r="G200" s="7">
        <f>INDEX('2015 Data Summary-Datalockdown'!$F$5:$F$247,MATCH('Cost Bands for 2017 MFAM'!B200,'2015 Data Summary-Datalockdown'!$B$5:$B$247,0))</f>
        <v>0</v>
      </c>
      <c r="H200" s="7">
        <f t="shared" si="46"/>
        <v>55892.7</v>
      </c>
      <c r="I200" s="6">
        <f t="shared" si="47"/>
        <v>123.89594258864247</v>
      </c>
      <c r="J200" s="6">
        <f t="shared" si="48"/>
        <v>123.89594258864247</v>
      </c>
      <c r="K200" s="5">
        <f t="shared" si="49"/>
        <v>55892.7</v>
      </c>
      <c r="L200" s="4">
        <f t="shared" si="40"/>
        <v>0</v>
      </c>
      <c r="M200" s="2">
        <f t="shared" si="41"/>
        <v>707.3327454016121</v>
      </c>
      <c r="N200" s="1">
        <f t="shared" si="42"/>
        <v>49</v>
      </c>
      <c r="O200" s="3">
        <f t="shared" si="43"/>
        <v>340398.50287661998</v>
      </c>
      <c r="P200" s="2">
        <f t="shared" si="44"/>
        <v>637.15499503590672</v>
      </c>
      <c r="Q200" s="2">
        <f t="shared" si="39"/>
        <v>-109.21423598121635</v>
      </c>
      <c r="R200" s="2">
        <f t="shared" si="39"/>
        <v>1523.8797267844407</v>
      </c>
      <c r="S200" s="2">
        <f t="shared" si="45"/>
        <v>123.89594258864247</v>
      </c>
    </row>
    <row r="201" spans="2:19" x14ac:dyDescent="0.25">
      <c r="B201" s="10">
        <v>871</v>
      </c>
      <c r="C201" s="10">
        <v>8</v>
      </c>
      <c r="D201" s="9" t="s">
        <v>319</v>
      </c>
      <c r="E201" s="8">
        <f>INDEX('From 2015 DataLockdown'!$M$5:$M$247,MATCH('Cost Bands for 2017 MFAM'!B201,'From 2015 DataLockdown'!$A$5:$A$247,0))</f>
        <v>15.799938858436702</v>
      </c>
      <c r="F201" s="7">
        <f>INDEX('2015 Data Summary-Datalockdown'!$E$5:$E$247,MATCH('Cost Bands for 2017 MFAM'!B201,'2015 Data Summary-Datalockdown'!$B$5:$B$247,0))</f>
        <v>10503.23</v>
      </c>
      <c r="G201" s="7">
        <f>INDEX('2015 Data Summary-Datalockdown'!$F$5:$F$247,MATCH('Cost Bands for 2017 MFAM'!B201,'2015 Data Summary-Datalockdown'!$B$5:$B$247,0))</f>
        <v>0</v>
      </c>
      <c r="H201" s="7">
        <f t="shared" si="46"/>
        <v>10503.23</v>
      </c>
      <c r="I201" s="6">
        <f t="shared" si="47"/>
        <v>664.76396485493888</v>
      </c>
      <c r="J201" s="6">
        <f t="shared" si="48"/>
        <v>664.76396485493888</v>
      </c>
      <c r="K201" s="5">
        <f t="shared" si="49"/>
        <v>10503.23</v>
      </c>
      <c r="L201" s="4">
        <f t="shared" si="40"/>
        <v>0</v>
      </c>
      <c r="M201" s="2">
        <f t="shared" si="41"/>
        <v>707.3327454016121</v>
      </c>
      <c r="N201" s="1">
        <f t="shared" si="42"/>
        <v>49</v>
      </c>
      <c r="O201" s="3">
        <f t="shared" si="43"/>
        <v>1812.1010772308248</v>
      </c>
      <c r="P201" s="2">
        <f t="shared" si="44"/>
        <v>637.15499503590672</v>
      </c>
      <c r="Q201" s="2">
        <f t="shared" si="39"/>
        <v>-109.21423598121635</v>
      </c>
      <c r="R201" s="2">
        <f t="shared" si="39"/>
        <v>1523.8797267844407</v>
      </c>
      <c r="S201" s="2">
        <f t="shared" si="45"/>
        <v>664.76396485493888</v>
      </c>
    </row>
    <row r="202" spans="2:19" x14ac:dyDescent="0.25">
      <c r="B202" s="10">
        <v>873</v>
      </c>
      <c r="C202" s="10">
        <v>8</v>
      </c>
      <c r="D202" s="9" t="s">
        <v>320</v>
      </c>
      <c r="E202" s="8">
        <f>INDEX('From 2015 DataLockdown'!$M$5:$M$247,MATCH('Cost Bands for 2017 MFAM'!B202,'From 2015 DataLockdown'!$A$5:$A$247,0))</f>
        <v>136.9184707916597</v>
      </c>
      <c r="F202" s="7">
        <f>INDEX('2015 Data Summary-Datalockdown'!$E$5:$E$247,MATCH('Cost Bands for 2017 MFAM'!B202,'2015 Data Summary-Datalockdown'!$B$5:$B$247,0))</f>
        <v>59308.39</v>
      </c>
      <c r="G202" s="7">
        <f>INDEX('2015 Data Summary-Datalockdown'!$F$5:$F$247,MATCH('Cost Bands for 2017 MFAM'!B202,'2015 Data Summary-Datalockdown'!$B$5:$B$247,0))</f>
        <v>0</v>
      </c>
      <c r="H202" s="7">
        <f t="shared" si="46"/>
        <v>59308.39</v>
      </c>
      <c r="I202" s="6">
        <f t="shared" si="47"/>
        <v>433.16573474039069</v>
      </c>
      <c r="J202" s="6">
        <f t="shared" si="48"/>
        <v>433.16573474039069</v>
      </c>
      <c r="K202" s="5">
        <f t="shared" si="49"/>
        <v>59308.39</v>
      </c>
      <c r="L202" s="4">
        <f t="shared" si="40"/>
        <v>0</v>
      </c>
      <c r="M202" s="2">
        <f t="shared" si="41"/>
        <v>707.3327454016121</v>
      </c>
      <c r="N202" s="1">
        <f t="shared" si="42"/>
        <v>49</v>
      </c>
      <c r="O202" s="3">
        <f t="shared" si="43"/>
        <v>75167.549734910295</v>
      </c>
      <c r="P202" s="2">
        <f t="shared" si="44"/>
        <v>637.15499503590672</v>
      </c>
      <c r="Q202" s="2">
        <f t="shared" si="39"/>
        <v>-109.21423598121635</v>
      </c>
      <c r="R202" s="2">
        <f t="shared" si="39"/>
        <v>1523.8797267844407</v>
      </c>
      <c r="S202" s="2">
        <f t="shared" si="45"/>
        <v>433.16573474039069</v>
      </c>
    </row>
    <row r="203" spans="2:19" x14ac:dyDescent="0.25">
      <c r="B203" s="10">
        <v>895</v>
      </c>
      <c r="C203" s="10">
        <v>8</v>
      </c>
      <c r="D203" s="9" t="s">
        <v>321</v>
      </c>
      <c r="E203" s="8">
        <f>INDEX('From 2015 DataLockdown'!$M$5:$M$247,MATCH('Cost Bands for 2017 MFAM'!B203,'From 2015 DataLockdown'!$A$5:$A$247,0))</f>
        <v>30.637000556525461</v>
      </c>
      <c r="F203" s="7">
        <f>INDEX('2015 Data Summary-Datalockdown'!$E$5:$E$247,MATCH('Cost Bands for 2017 MFAM'!B203,'2015 Data Summary-Datalockdown'!$B$5:$B$247,0))</f>
        <v>12923.4</v>
      </c>
      <c r="G203" s="7">
        <f>INDEX('2015 Data Summary-Datalockdown'!$F$5:$F$247,MATCH('Cost Bands for 2017 MFAM'!B203,'2015 Data Summary-Datalockdown'!$B$5:$B$247,0))</f>
        <v>0</v>
      </c>
      <c r="H203" s="7">
        <f t="shared" si="46"/>
        <v>12923.4</v>
      </c>
      <c r="I203" s="6">
        <f t="shared" si="47"/>
        <v>421.82327790725611</v>
      </c>
      <c r="J203" s="6">
        <f t="shared" si="48"/>
        <v>421.82327790725611</v>
      </c>
      <c r="K203" s="5">
        <f t="shared" si="49"/>
        <v>12923.4</v>
      </c>
      <c r="L203" s="4">
        <f t="shared" si="40"/>
        <v>0</v>
      </c>
      <c r="M203" s="2">
        <f t="shared" si="41"/>
        <v>707.3327454016121</v>
      </c>
      <c r="N203" s="1">
        <f t="shared" si="42"/>
        <v>49</v>
      </c>
      <c r="O203" s="3">
        <f t="shared" si="43"/>
        <v>81515.656028910715</v>
      </c>
      <c r="P203" s="2">
        <f t="shared" si="44"/>
        <v>637.15499503590672</v>
      </c>
      <c r="Q203" s="2">
        <f t="shared" si="39"/>
        <v>-109.21423598121635</v>
      </c>
      <c r="R203" s="2">
        <f t="shared" si="39"/>
        <v>1523.8797267844407</v>
      </c>
      <c r="S203" s="2">
        <f t="shared" si="45"/>
        <v>421.82327790725611</v>
      </c>
    </row>
    <row r="204" spans="2:19" x14ac:dyDescent="0.25">
      <c r="B204" s="10">
        <v>897</v>
      </c>
      <c r="C204" s="10">
        <v>8</v>
      </c>
      <c r="D204" s="9" t="s">
        <v>322</v>
      </c>
      <c r="E204" s="8">
        <f>INDEX('From 2015 DataLockdown'!$M$5:$M$247,MATCH('Cost Bands for 2017 MFAM'!B204,'From 2015 DataLockdown'!$A$5:$A$247,0))</f>
        <v>194.23862212959204</v>
      </c>
      <c r="F204" s="7">
        <f>INDEX('2015 Data Summary-Datalockdown'!$E$5:$E$247,MATCH('Cost Bands for 2017 MFAM'!B204,'2015 Data Summary-Datalockdown'!$B$5:$B$247,0))</f>
        <v>328517.40999999997</v>
      </c>
      <c r="G204" s="7">
        <f>INDEX('2015 Data Summary-Datalockdown'!$F$5:$F$247,MATCH('Cost Bands for 2017 MFAM'!B204,'2015 Data Summary-Datalockdown'!$B$5:$B$247,0))</f>
        <v>126</v>
      </c>
      <c r="H204" s="7">
        <f t="shared" si="46"/>
        <v>328391.40999999997</v>
      </c>
      <c r="I204" s="6">
        <f t="shared" si="47"/>
        <v>1690.6596968181948</v>
      </c>
      <c r="J204" s="6">
        <f t="shared" si="48"/>
        <v>1523.8797267844407</v>
      </c>
      <c r="K204" s="5">
        <f t="shared" si="49"/>
        <v>295996.29842182895</v>
      </c>
      <c r="L204" s="4">
        <f t="shared" si="40"/>
        <v>0</v>
      </c>
      <c r="M204" s="2">
        <f t="shared" si="41"/>
        <v>707.3327454016121</v>
      </c>
      <c r="N204" s="1">
        <f t="shared" si="42"/>
        <v>49</v>
      </c>
      <c r="O204" s="3">
        <f t="shared" si="43"/>
        <v>966931.89338223042</v>
      </c>
      <c r="P204" s="2">
        <f t="shared" si="44"/>
        <v>637.15499503590672</v>
      </c>
      <c r="Q204" s="2">
        <f t="shared" si="39"/>
        <v>-109.21423598121635</v>
      </c>
      <c r="R204" s="2">
        <f t="shared" si="39"/>
        <v>1523.8797267844407</v>
      </c>
      <c r="S204" s="2">
        <f t="shared" si="45"/>
        <v>1523.8797267844407</v>
      </c>
    </row>
    <row r="205" spans="2:19" x14ac:dyDescent="0.25">
      <c r="B205" s="10">
        <v>905</v>
      </c>
      <c r="C205" s="10">
        <v>8</v>
      </c>
      <c r="D205" s="9" t="s">
        <v>323</v>
      </c>
      <c r="E205" s="8">
        <f>INDEX('From 2015 DataLockdown'!$M$5:$M$247,MATCH('Cost Bands for 2017 MFAM'!B205,'From 2015 DataLockdown'!$A$5:$A$247,0))</f>
        <v>96.357743464637792</v>
      </c>
      <c r="F205" s="7">
        <f>INDEX('2015 Data Summary-Datalockdown'!$E$5:$E$247,MATCH('Cost Bands for 2017 MFAM'!B205,'2015 Data Summary-Datalockdown'!$B$5:$B$247,0))</f>
        <v>62281.79</v>
      </c>
      <c r="G205" s="7">
        <f>INDEX('2015 Data Summary-Datalockdown'!$F$5:$F$247,MATCH('Cost Bands for 2017 MFAM'!B205,'2015 Data Summary-Datalockdown'!$B$5:$B$247,0))</f>
        <v>0</v>
      </c>
      <c r="H205" s="7">
        <f t="shared" si="46"/>
        <v>62281.79</v>
      </c>
      <c r="I205" s="6">
        <f t="shared" si="47"/>
        <v>646.35998893910084</v>
      </c>
      <c r="J205" s="6">
        <f t="shared" si="48"/>
        <v>646.35998893910084</v>
      </c>
      <c r="K205" s="5">
        <f t="shared" si="49"/>
        <v>62281.79</v>
      </c>
      <c r="L205" s="4">
        <f t="shared" si="40"/>
        <v>0</v>
      </c>
      <c r="M205" s="2">
        <f t="shared" si="41"/>
        <v>707.3327454016121</v>
      </c>
      <c r="N205" s="1">
        <f t="shared" si="42"/>
        <v>49</v>
      </c>
      <c r="O205" s="3">
        <f t="shared" si="43"/>
        <v>3717.677030636708</v>
      </c>
      <c r="P205" s="2">
        <f t="shared" si="44"/>
        <v>637.15499503590672</v>
      </c>
      <c r="Q205" s="2">
        <f t="shared" si="39"/>
        <v>-109.21423598121635</v>
      </c>
      <c r="R205" s="2">
        <f t="shared" si="39"/>
        <v>1523.8797267844407</v>
      </c>
      <c r="S205" s="2">
        <f t="shared" si="45"/>
        <v>646.35998893910084</v>
      </c>
    </row>
    <row r="206" spans="2:19" x14ac:dyDescent="0.25">
      <c r="B206" s="10">
        <v>907</v>
      </c>
      <c r="C206" s="10">
        <v>8</v>
      </c>
      <c r="D206" s="9" t="s">
        <v>324</v>
      </c>
      <c r="E206" s="8">
        <f>INDEX('From 2015 DataLockdown'!$M$5:$M$247,MATCH('Cost Bands for 2017 MFAM'!B206,'From 2015 DataLockdown'!$A$5:$A$247,0))</f>
        <v>5.3746052404876101</v>
      </c>
      <c r="F206" s="7">
        <f>INDEX('2015 Data Summary-Datalockdown'!$E$5:$E$247,MATCH('Cost Bands for 2017 MFAM'!B206,'2015 Data Summary-Datalockdown'!$B$5:$B$247,0))</f>
        <v>22247.05</v>
      </c>
      <c r="G206" s="7">
        <f>INDEX('2015 Data Summary-Datalockdown'!$F$5:$F$247,MATCH('Cost Bands for 2017 MFAM'!B206,'2015 Data Summary-Datalockdown'!$B$5:$B$247,0))</f>
        <v>0</v>
      </c>
      <c r="H206" s="7">
        <f t="shared" si="46"/>
        <v>22247.05</v>
      </c>
      <c r="I206" s="6">
        <f t="shared" si="47"/>
        <v>4139.2900509994743</v>
      </c>
      <c r="J206" s="6">
        <f t="shared" si="48"/>
        <v>1523.8797267844407</v>
      </c>
      <c r="K206" s="5">
        <f t="shared" si="49"/>
        <v>8190.2519654484822</v>
      </c>
      <c r="L206" s="4">
        <f t="shared" si="40"/>
        <v>0</v>
      </c>
      <c r="M206" s="2">
        <f t="shared" si="41"/>
        <v>707.3327454016121</v>
      </c>
      <c r="N206" s="1">
        <f t="shared" si="42"/>
        <v>49</v>
      </c>
      <c r="O206" s="3">
        <f t="shared" si="43"/>
        <v>11778330.947446538</v>
      </c>
      <c r="P206" s="2">
        <f t="shared" si="44"/>
        <v>637.15499503590672</v>
      </c>
      <c r="Q206" s="2">
        <f t="shared" ref="Q206:R225" si="50">NORMINV(Q$4,$M206,$P206)</f>
        <v>-109.21423598121635</v>
      </c>
      <c r="R206" s="2">
        <f t="shared" si="50"/>
        <v>1523.8797267844407</v>
      </c>
      <c r="S206" s="2">
        <f t="shared" si="45"/>
        <v>1523.8797267844407</v>
      </c>
    </row>
    <row r="207" spans="2:19" x14ac:dyDescent="0.25">
      <c r="B207" s="10">
        <v>918</v>
      </c>
      <c r="C207" s="10">
        <v>8</v>
      </c>
      <c r="D207" s="9" t="s">
        <v>325</v>
      </c>
      <c r="E207" s="8">
        <f>INDEX('From 2015 DataLockdown'!$M$5:$M$247,MATCH('Cost Bands for 2017 MFAM'!B207,'From 2015 DataLockdown'!$A$5:$A$247,0))</f>
        <v>61.54175167987492</v>
      </c>
      <c r="F207" s="7">
        <f>INDEX('2015 Data Summary-Datalockdown'!$E$5:$E$247,MATCH('Cost Bands for 2017 MFAM'!B207,'2015 Data Summary-Datalockdown'!$B$5:$B$247,0))</f>
        <v>48604.24</v>
      </c>
      <c r="G207" s="7">
        <f>INDEX('2015 Data Summary-Datalockdown'!$F$5:$F$247,MATCH('Cost Bands for 2017 MFAM'!B207,'2015 Data Summary-Datalockdown'!$B$5:$B$247,0))</f>
        <v>0</v>
      </c>
      <c r="H207" s="7">
        <f t="shared" si="46"/>
        <v>48604.24</v>
      </c>
      <c r="I207" s="6">
        <f t="shared" si="47"/>
        <v>789.77667474964505</v>
      </c>
      <c r="J207" s="6">
        <f t="shared" si="48"/>
        <v>789.77667474964505</v>
      </c>
      <c r="K207" s="5">
        <f t="shared" si="49"/>
        <v>48604.24</v>
      </c>
      <c r="L207" s="4">
        <f t="shared" si="40"/>
        <v>0</v>
      </c>
      <c r="M207" s="2">
        <f t="shared" si="41"/>
        <v>707.3327454016121</v>
      </c>
      <c r="N207" s="1">
        <f t="shared" si="42"/>
        <v>49</v>
      </c>
      <c r="O207" s="3">
        <f t="shared" si="43"/>
        <v>6797.001486343449</v>
      </c>
      <c r="P207" s="2">
        <f t="shared" si="44"/>
        <v>637.15499503590672</v>
      </c>
      <c r="Q207" s="2">
        <f t="shared" si="50"/>
        <v>-109.21423598121635</v>
      </c>
      <c r="R207" s="2">
        <f t="shared" si="50"/>
        <v>1523.8797267844407</v>
      </c>
      <c r="S207" s="2">
        <f t="shared" si="45"/>
        <v>789.77667474964505</v>
      </c>
    </row>
    <row r="208" spans="2:19" x14ac:dyDescent="0.25">
      <c r="B208" s="10">
        <v>922</v>
      </c>
      <c r="C208" s="10">
        <v>8</v>
      </c>
      <c r="D208" s="9" t="s">
        <v>326</v>
      </c>
      <c r="E208" s="8">
        <f>INDEX('From 2015 DataLockdown'!$M$5:$M$247,MATCH('Cost Bands for 2017 MFAM'!B208,'From 2015 DataLockdown'!$A$5:$A$247,0))</f>
        <v>154.13</v>
      </c>
      <c r="F208" s="7">
        <f>INDEX('2015 Data Summary-Datalockdown'!$E$5:$E$247,MATCH('Cost Bands for 2017 MFAM'!B208,'2015 Data Summary-Datalockdown'!$B$5:$B$247,0))</f>
        <v>117454.54</v>
      </c>
      <c r="G208" s="7">
        <f>INDEX('2015 Data Summary-Datalockdown'!$F$5:$F$247,MATCH('Cost Bands for 2017 MFAM'!B208,'2015 Data Summary-Datalockdown'!$B$5:$B$247,0))</f>
        <v>9531.2900000000009</v>
      </c>
      <c r="H208" s="7">
        <f t="shared" si="46"/>
        <v>107923.25</v>
      </c>
      <c r="I208" s="6">
        <f t="shared" si="47"/>
        <v>700.20923895412966</v>
      </c>
      <c r="J208" s="6">
        <f t="shared" si="48"/>
        <v>700.20923895412966</v>
      </c>
      <c r="K208" s="5">
        <f t="shared" si="49"/>
        <v>107923.25</v>
      </c>
      <c r="L208" s="4">
        <f t="shared" si="40"/>
        <v>0</v>
      </c>
      <c r="M208" s="2">
        <f t="shared" si="41"/>
        <v>707.3327454016121</v>
      </c>
      <c r="N208" s="1">
        <f t="shared" si="42"/>
        <v>49</v>
      </c>
      <c r="O208" s="3">
        <f t="shared" si="43"/>
        <v>50.744344107323911</v>
      </c>
      <c r="P208" s="2">
        <f t="shared" si="44"/>
        <v>637.15499503590672</v>
      </c>
      <c r="Q208" s="2">
        <f t="shared" si="50"/>
        <v>-109.21423598121635</v>
      </c>
      <c r="R208" s="2">
        <f t="shared" si="50"/>
        <v>1523.8797267844407</v>
      </c>
      <c r="S208" s="2">
        <f t="shared" si="45"/>
        <v>700.20923895412966</v>
      </c>
    </row>
    <row r="209" spans="2:19" x14ac:dyDescent="0.25">
      <c r="B209" s="10">
        <v>924</v>
      </c>
      <c r="C209" s="10">
        <v>8</v>
      </c>
      <c r="D209" s="9" t="s">
        <v>327</v>
      </c>
      <c r="E209" s="8">
        <f>INDEX('From 2015 DataLockdown'!$M$5:$M$247,MATCH('Cost Bands for 2017 MFAM'!B209,'From 2015 DataLockdown'!$A$5:$A$247,0))</f>
        <v>170.30421848518844</v>
      </c>
      <c r="F209" s="7">
        <f>INDEX('2015 Data Summary-Datalockdown'!$E$5:$E$247,MATCH('Cost Bands for 2017 MFAM'!B209,'2015 Data Summary-Datalockdown'!$B$5:$B$247,0))</f>
        <v>70352.240000000005</v>
      </c>
      <c r="G209" s="7">
        <f>INDEX('2015 Data Summary-Datalockdown'!$F$5:$F$247,MATCH('Cost Bands for 2017 MFAM'!B209,'2015 Data Summary-Datalockdown'!$B$5:$B$247,0))</f>
        <v>0</v>
      </c>
      <c r="H209" s="7">
        <f t="shared" si="46"/>
        <v>70352.240000000005</v>
      </c>
      <c r="I209" s="6">
        <f t="shared" si="47"/>
        <v>413.09745950960468</v>
      </c>
      <c r="J209" s="6">
        <f t="shared" si="48"/>
        <v>413.09745950960468</v>
      </c>
      <c r="K209" s="5">
        <f t="shared" si="49"/>
        <v>70352.240000000005</v>
      </c>
      <c r="L209" s="4">
        <f t="shared" si="40"/>
        <v>0</v>
      </c>
      <c r="M209" s="2">
        <f t="shared" si="41"/>
        <v>707.3327454016121</v>
      </c>
      <c r="N209" s="1">
        <f t="shared" si="42"/>
        <v>49</v>
      </c>
      <c r="O209" s="3">
        <f t="shared" si="43"/>
        <v>86574.403463951341</v>
      </c>
      <c r="P209" s="2">
        <f t="shared" si="44"/>
        <v>637.15499503590672</v>
      </c>
      <c r="Q209" s="2">
        <f t="shared" si="50"/>
        <v>-109.21423598121635</v>
      </c>
      <c r="R209" s="2">
        <f t="shared" si="50"/>
        <v>1523.8797267844407</v>
      </c>
      <c r="S209" s="2">
        <f t="shared" si="45"/>
        <v>413.09745950960468</v>
      </c>
    </row>
    <row r="210" spans="2:19" x14ac:dyDescent="0.25">
      <c r="B210" s="10">
        <v>929</v>
      </c>
      <c r="C210" s="10">
        <v>8</v>
      </c>
      <c r="D210" s="9" t="s">
        <v>328</v>
      </c>
      <c r="E210" s="8">
        <f>INDEX('From 2015 DataLockdown'!$M$5:$M$247,MATCH('Cost Bands for 2017 MFAM'!B210,'From 2015 DataLockdown'!$A$5:$A$247,0))</f>
        <v>49.813083778912947</v>
      </c>
      <c r="F210" s="7">
        <f>INDEX('2015 Data Summary-Datalockdown'!$E$5:$E$247,MATCH('Cost Bands for 2017 MFAM'!B210,'2015 Data Summary-Datalockdown'!$B$5:$B$247,0))</f>
        <v>32198.16</v>
      </c>
      <c r="G210" s="7">
        <f>INDEX('2015 Data Summary-Datalockdown'!$F$5:$F$247,MATCH('Cost Bands for 2017 MFAM'!B210,'2015 Data Summary-Datalockdown'!$B$5:$B$247,0))</f>
        <v>0</v>
      </c>
      <c r="H210" s="7">
        <f t="shared" si="46"/>
        <v>32198.16</v>
      </c>
      <c r="I210" s="6">
        <f t="shared" si="47"/>
        <v>646.37957655675677</v>
      </c>
      <c r="J210" s="6">
        <f t="shared" si="48"/>
        <v>646.37957655675677</v>
      </c>
      <c r="K210" s="5">
        <f t="shared" si="49"/>
        <v>32198.16</v>
      </c>
      <c r="L210" s="4">
        <f t="shared" si="40"/>
        <v>0</v>
      </c>
      <c r="M210" s="2">
        <f t="shared" si="41"/>
        <v>707.3327454016121</v>
      </c>
      <c r="N210" s="1">
        <f t="shared" si="42"/>
        <v>49</v>
      </c>
      <c r="O210" s="3">
        <f t="shared" si="43"/>
        <v>3715.2887922294422</v>
      </c>
      <c r="P210" s="2">
        <f t="shared" si="44"/>
        <v>637.15499503590672</v>
      </c>
      <c r="Q210" s="2">
        <f t="shared" si="50"/>
        <v>-109.21423598121635</v>
      </c>
      <c r="R210" s="2">
        <f t="shared" si="50"/>
        <v>1523.8797267844407</v>
      </c>
      <c r="S210" s="2">
        <f t="shared" si="45"/>
        <v>646.37957655675677</v>
      </c>
    </row>
    <row r="211" spans="2:19" x14ac:dyDescent="0.25">
      <c r="B211" s="10">
        <v>955</v>
      </c>
      <c r="C211" s="10">
        <v>8</v>
      </c>
      <c r="D211" s="9" t="s">
        <v>329</v>
      </c>
      <c r="E211" s="8">
        <f>INDEX('From 2015 DataLockdown'!$M$5:$M$247,MATCH('Cost Bands for 2017 MFAM'!B211,'From 2015 DataLockdown'!$A$5:$A$247,0))</f>
        <v>48.660919932924358</v>
      </c>
      <c r="F211" s="7">
        <f>INDEX('2015 Data Summary-Datalockdown'!$E$5:$E$247,MATCH('Cost Bands for 2017 MFAM'!B211,'2015 Data Summary-Datalockdown'!$B$5:$B$247,0))</f>
        <v>23483.31</v>
      </c>
      <c r="G211" s="7">
        <f>INDEX('2015 Data Summary-Datalockdown'!$F$5:$F$247,MATCH('Cost Bands for 2017 MFAM'!B211,'2015 Data Summary-Datalockdown'!$B$5:$B$247,0))</f>
        <v>0</v>
      </c>
      <c r="H211" s="7">
        <f t="shared" si="46"/>
        <v>23483.31</v>
      </c>
      <c r="I211" s="6">
        <f t="shared" si="47"/>
        <v>482.59075316229297</v>
      </c>
      <c r="J211" s="6">
        <f t="shared" si="48"/>
        <v>482.59075316229297</v>
      </c>
      <c r="K211" s="5">
        <f t="shared" si="49"/>
        <v>23483.31</v>
      </c>
      <c r="L211" s="4">
        <f t="shared" si="40"/>
        <v>0</v>
      </c>
      <c r="M211" s="2">
        <f t="shared" si="41"/>
        <v>707.3327454016121</v>
      </c>
      <c r="N211" s="1">
        <f t="shared" si="42"/>
        <v>49</v>
      </c>
      <c r="O211" s="3">
        <f t="shared" si="43"/>
        <v>50508.963075698179</v>
      </c>
      <c r="P211" s="2">
        <f t="shared" si="44"/>
        <v>637.15499503590672</v>
      </c>
      <c r="Q211" s="2">
        <f t="shared" si="50"/>
        <v>-109.21423598121635</v>
      </c>
      <c r="R211" s="2">
        <f t="shared" si="50"/>
        <v>1523.8797267844407</v>
      </c>
      <c r="S211" s="2">
        <f t="shared" si="45"/>
        <v>482.59075316229297</v>
      </c>
    </row>
    <row r="212" spans="2:19" x14ac:dyDescent="0.25">
      <c r="B212" s="10">
        <v>973</v>
      </c>
      <c r="C212" s="10">
        <v>8</v>
      </c>
      <c r="D212" s="9" t="s">
        <v>330</v>
      </c>
      <c r="E212" s="8">
        <f>INDEX('From 2015 DataLockdown'!$M$5:$M$247,MATCH('Cost Bands for 2017 MFAM'!B212,'From 2015 DataLockdown'!$A$5:$A$247,0))</f>
        <v>1.7244254598958617</v>
      </c>
      <c r="F212" s="7">
        <f>INDEX('2015 Data Summary-Datalockdown'!$E$5:$E$247,MATCH('Cost Bands for 2017 MFAM'!B212,'2015 Data Summary-Datalockdown'!$B$5:$B$247,0))</f>
        <v>8185.23</v>
      </c>
      <c r="G212" s="7">
        <f>INDEX('2015 Data Summary-Datalockdown'!$F$5:$F$247,MATCH('Cost Bands for 2017 MFAM'!B212,'2015 Data Summary-Datalockdown'!$B$5:$B$247,0))</f>
        <v>0</v>
      </c>
      <c r="H212" s="7">
        <f t="shared" si="46"/>
        <v>8185.23</v>
      </c>
      <c r="I212" s="6">
        <f t="shared" si="47"/>
        <v>4746.6418180199607</v>
      </c>
      <c r="J212" s="6">
        <f t="shared" si="48"/>
        <v>1523.8797267844407</v>
      </c>
      <c r="K212" s="5">
        <f t="shared" si="49"/>
        <v>2627.816998686239</v>
      </c>
      <c r="L212" s="4">
        <f t="shared" si="40"/>
        <v>0</v>
      </c>
      <c r="M212" s="2">
        <f t="shared" si="41"/>
        <v>707.3327454016121</v>
      </c>
      <c r="N212" s="1">
        <f t="shared" si="42"/>
        <v>49</v>
      </c>
      <c r="O212" s="3">
        <f t="shared" si="43"/>
        <v>16316017.784136904</v>
      </c>
      <c r="P212" s="2">
        <f t="shared" si="44"/>
        <v>637.15499503590672</v>
      </c>
      <c r="Q212" s="2">
        <f t="shared" si="50"/>
        <v>-109.21423598121635</v>
      </c>
      <c r="R212" s="2">
        <f t="shared" si="50"/>
        <v>1523.8797267844407</v>
      </c>
      <c r="S212" s="2">
        <f t="shared" si="45"/>
        <v>1523.8797267844407</v>
      </c>
    </row>
    <row r="213" spans="2:19" x14ac:dyDescent="0.25">
      <c r="B213" s="10">
        <v>974</v>
      </c>
      <c r="C213" s="10">
        <v>8</v>
      </c>
      <c r="D213" s="9" t="s">
        <v>331</v>
      </c>
      <c r="E213" s="8">
        <f>INDEX('From 2015 DataLockdown'!$M$5:$M$247,MATCH('Cost Bands for 2017 MFAM'!B213,'From 2015 DataLockdown'!$A$5:$A$247,0))</f>
        <v>12.83252651881895</v>
      </c>
      <c r="F213" s="7">
        <f>INDEX('2015 Data Summary-Datalockdown'!$E$5:$E$247,MATCH('Cost Bands for 2017 MFAM'!B213,'2015 Data Summary-Datalockdown'!$B$5:$B$247,0))</f>
        <v>10931.07</v>
      </c>
      <c r="G213" s="7">
        <f>INDEX('2015 Data Summary-Datalockdown'!$F$5:$F$247,MATCH('Cost Bands for 2017 MFAM'!B213,'2015 Data Summary-Datalockdown'!$B$5:$B$247,0))</f>
        <v>0</v>
      </c>
      <c r="H213" s="7">
        <f t="shared" si="46"/>
        <v>10931.07</v>
      </c>
      <c r="I213" s="6">
        <f t="shared" si="47"/>
        <v>851.82524142611692</v>
      </c>
      <c r="J213" s="6">
        <f t="shared" si="48"/>
        <v>851.82524142611692</v>
      </c>
      <c r="K213" s="5">
        <f t="shared" si="49"/>
        <v>10931.07</v>
      </c>
      <c r="L213" s="4">
        <f t="shared" si="40"/>
        <v>0</v>
      </c>
      <c r="M213" s="2">
        <f t="shared" si="41"/>
        <v>707.3327454016121</v>
      </c>
      <c r="N213" s="1">
        <f t="shared" si="42"/>
        <v>49</v>
      </c>
      <c r="O213" s="3">
        <f t="shared" si="43"/>
        <v>20878.081407391539</v>
      </c>
      <c r="P213" s="2">
        <f t="shared" si="44"/>
        <v>637.15499503590672</v>
      </c>
      <c r="Q213" s="2">
        <f t="shared" si="50"/>
        <v>-109.21423598121635</v>
      </c>
      <c r="R213" s="2">
        <f t="shared" si="50"/>
        <v>1523.8797267844407</v>
      </c>
      <c r="S213" s="2">
        <f t="shared" si="45"/>
        <v>851.82524142611692</v>
      </c>
    </row>
    <row r="214" spans="2:19" x14ac:dyDescent="0.25">
      <c r="B214" s="10">
        <v>978</v>
      </c>
      <c r="C214" s="10">
        <v>8</v>
      </c>
      <c r="D214" s="9" t="s">
        <v>332</v>
      </c>
      <c r="E214" s="8">
        <f>INDEX('From 2015 DataLockdown'!$M$5:$M$247,MATCH('Cost Bands for 2017 MFAM'!B214,'From 2015 DataLockdown'!$A$5:$A$247,0))</f>
        <v>34.888961461341992</v>
      </c>
      <c r="F214" s="7">
        <f>INDEX('2015 Data Summary-Datalockdown'!$E$5:$E$247,MATCH('Cost Bands for 2017 MFAM'!B214,'2015 Data Summary-Datalockdown'!$B$5:$B$247,0))</f>
        <v>106850.54</v>
      </c>
      <c r="G214" s="7">
        <f>INDEX('2015 Data Summary-Datalockdown'!$F$5:$F$247,MATCH('Cost Bands for 2017 MFAM'!B214,'2015 Data Summary-Datalockdown'!$B$5:$B$247,0))</f>
        <v>0</v>
      </c>
      <c r="H214" s="7">
        <f t="shared" si="46"/>
        <v>106850.54</v>
      </c>
      <c r="I214" s="6">
        <f t="shared" si="47"/>
        <v>3062.5887250439819</v>
      </c>
      <c r="J214" s="6">
        <f t="shared" si="48"/>
        <v>1523.8797267844407</v>
      </c>
      <c r="K214" s="5">
        <f t="shared" si="49"/>
        <v>53166.581059502714</v>
      </c>
      <c r="L214" s="4">
        <f t="shared" si="40"/>
        <v>0</v>
      </c>
      <c r="M214" s="2">
        <f t="shared" si="41"/>
        <v>707.3327454016121</v>
      </c>
      <c r="N214" s="1">
        <f t="shared" si="42"/>
        <v>49</v>
      </c>
      <c r="O214" s="3">
        <f t="shared" si="43"/>
        <v>5547230.7296411386</v>
      </c>
      <c r="P214" s="2">
        <f t="shared" si="44"/>
        <v>637.15499503590672</v>
      </c>
      <c r="Q214" s="2">
        <f t="shared" si="50"/>
        <v>-109.21423598121635</v>
      </c>
      <c r="R214" s="2">
        <f t="shared" si="50"/>
        <v>1523.8797267844407</v>
      </c>
      <c r="S214" s="2">
        <f t="shared" si="45"/>
        <v>1523.8797267844407</v>
      </c>
    </row>
    <row r="215" spans="2:19" x14ac:dyDescent="0.25">
      <c r="B215" s="91">
        <v>985</v>
      </c>
      <c r="C215" s="91">
        <v>8</v>
      </c>
      <c r="D215" s="92" t="s">
        <v>333</v>
      </c>
      <c r="E215" s="8">
        <f>INDEX('From 2015 DataLockdown'!$M$5:$M$247,MATCH('Cost Bands for 2017 MFAM'!B215,'From 2015 DataLockdown'!$A$5:$A$247,0))</f>
        <v>19.590173498715423</v>
      </c>
      <c r="F215" s="7">
        <f>INDEX('2015 Data Summary-Datalockdown'!$E$5:$E$247,MATCH('Cost Bands for 2017 MFAM'!B215,'2015 Data Summary-Datalockdown'!$B$5:$B$247,0))</f>
        <v>50275.8</v>
      </c>
      <c r="G215" s="7">
        <f>INDEX('2015 Data Summary-Datalockdown'!$F$5:$F$247,MATCH('Cost Bands for 2017 MFAM'!B215,'2015 Data Summary-Datalockdown'!$B$5:$B$247,0))</f>
        <v>0</v>
      </c>
      <c r="H215" s="7">
        <f t="shared" si="46"/>
        <v>50275.8</v>
      </c>
      <c r="I215" s="6">
        <f t="shared" si="47"/>
        <v>2566.37849599937</v>
      </c>
      <c r="J215" s="6">
        <f t="shared" si="48"/>
        <v>1523.8797267844407</v>
      </c>
      <c r="K215" s="5">
        <f t="shared" si="49"/>
        <v>29853.06823888225</v>
      </c>
      <c r="L215" s="4">
        <f t="shared" si="40"/>
        <v>0</v>
      </c>
      <c r="M215" s="2">
        <f t="shared" si="41"/>
        <v>707.3327454016121</v>
      </c>
      <c r="N215" s="1">
        <f t="shared" si="42"/>
        <v>49</v>
      </c>
      <c r="O215" s="3">
        <f t="shared" si="43"/>
        <v>3456051.102815581</v>
      </c>
      <c r="P215" s="2">
        <f t="shared" si="44"/>
        <v>637.15499503590672</v>
      </c>
      <c r="Q215" s="2">
        <f t="shared" si="50"/>
        <v>-109.21423598121635</v>
      </c>
      <c r="R215" s="2">
        <f t="shared" si="50"/>
        <v>1523.8797267844407</v>
      </c>
      <c r="S215" s="2">
        <f t="shared" si="45"/>
        <v>1523.8797267844407</v>
      </c>
    </row>
    <row r="216" spans="2:19" x14ac:dyDescent="0.25">
      <c r="B216" s="91">
        <v>990</v>
      </c>
      <c r="C216" s="91">
        <v>8</v>
      </c>
      <c r="D216" s="92" t="s">
        <v>0</v>
      </c>
      <c r="E216" s="8">
        <f>INDEX('From 2015 DataLockdown'!$M$5:$M$247,MATCH('Cost Bands for 2017 MFAM'!B216,'From 2015 DataLockdown'!$A$5:$A$247,0))</f>
        <v>4.5366451435800732</v>
      </c>
      <c r="F216" s="7">
        <f>INDEX('2015 Data Summary-Datalockdown'!$E$5:$E$247,MATCH('Cost Bands for 2017 MFAM'!B216,'2015 Data Summary-Datalockdown'!$B$5:$B$247,0))</f>
        <v>3891.97</v>
      </c>
      <c r="G216" s="7">
        <f>INDEX('2015 Data Summary-Datalockdown'!$F$5:$F$247,MATCH('Cost Bands for 2017 MFAM'!B216,'2015 Data Summary-Datalockdown'!$B$5:$B$247,0))</f>
        <v>0</v>
      </c>
      <c r="H216" s="7">
        <f t="shared" si="46"/>
        <v>3891.97</v>
      </c>
      <c r="I216" s="6">
        <f t="shared" si="47"/>
        <v>857.8960612574316</v>
      </c>
      <c r="J216" s="6">
        <f t="shared" si="48"/>
        <v>857.8960612574316</v>
      </c>
      <c r="K216" s="5">
        <f t="shared" si="49"/>
        <v>3891.9700000000003</v>
      </c>
      <c r="L216" s="4">
        <f t="shared" si="40"/>
        <v>0</v>
      </c>
      <c r="M216" s="2">
        <f t="shared" si="41"/>
        <v>707.3327454016121</v>
      </c>
      <c r="N216" s="1">
        <f t="shared" si="42"/>
        <v>49</v>
      </c>
      <c r="O216" s="3">
        <f t="shared" si="43"/>
        <v>22669.312081499265</v>
      </c>
      <c r="P216" s="2">
        <f t="shared" si="44"/>
        <v>637.15499503590672</v>
      </c>
      <c r="Q216" s="2">
        <f t="shared" si="50"/>
        <v>-109.21423598121635</v>
      </c>
      <c r="R216" s="2">
        <f t="shared" si="50"/>
        <v>1523.8797267844407</v>
      </c>
      <c r="S216" s="2">
        <f t="shared" si="45"/>
        <v>857.8960612574316</v>
      </c>
    </row>
    <row r="217" spans="2:19" x14ac:dyDescent="0.25">
      <c r="B217" s="10">
        <v>100</v>
      </c>
      <c r="C217" s="10">
        <v>9</v>
      </c>
      <c r="D217" s="9" t="s">
        <v>334</v>
      </c>
      <c r="E217" s="8">
        <f>INDEX('From 2015 DataLockdown'!$M$5:$M$247,MATCH('Cost Bands for 2017 MFAM'!B217,'From 2015 DataLockdown'!$A$5:$A$247,0))</f>
        <v>32.854672170768382</v>
      </c>
      <c r="F217" s="7">
        <f>INDEX('2015 Data Summary-Datalockdown'!$E$5:$E$247,MATCH('Cost Bands for 2017 MFAM'!B217,'2015 Data Summary-Datalockdown'!$B$5:$B$247,0))</f>
        <v>29427.72</v>
      </c>
      <c r="G217" s="7">
        <f>INDEX('2015 Data Summary-Datalockdown'!$F$5:$F$247,MATCH('Cost Bands for 2017 MFAM'!B217,'2015 Data Summary-Datalockdown'!$B$5:$B$247,0))</f>
        <v>0</v>
      </c>
      <c r="H217" s="7">
        <f t="shared" si="46"/>
        <v>29427.72</v>
      </c>
      <c r="I217" s="6">
        <f t="shared" si="47"/>
        <v>895.6936123740287</v>
      </c>
      <c r="J217" s="6">
        <f t="shared" si="48"/>
        <v>895.6936123740287</v>
      </c>
      <c r="K217" s="5">
        <f t="shared" si="49"/>
        <v>29427.72</v>
      </c>
      <c r="L217" s="4">
        <f t="shared" si="40"/>
        <v>0</v>
      </c>
      <c r="M217" s="2">
        <f t="shared" si="41"/>
        <v>506.63352595890353</v>
      </c>
      <c r="N217" s="1">
        <f t="shared" si="42"/>
        <v>32</v>
      </c>
      <c r="O217" s="3">
        <f t="shared" si="43"/>
        <v>151367.75084134468</v>
      </c>
      <c r="P217" s="2">
        <f t="shared" si="44"/>
        <v>419.81448960973887</v>
      </c>
      <c r="Q217" s="2">
        <f t="shared" si="50"/>
        <v>-31.380390438764721</v>
      </c>
      <c r="R217" s="2">
        <f t="shared" si="50"/>
        <v>1044.6474423565719</v>
      </c>
      <c r="S217" s="2">
        <f t="shared" si="45"/>
        <v>895.6936123740287</v>
      </c>
    </row>
    <row r="218" spans="2:19" x14ac:dyDescent="0.25">
      <c r="B218" s="10">
        <v>159</v>
      </c>
      <c r="C218" s="10">
        <v>9</v>
      </c>
      <c r="D218" s="9" t="s">
        <v>335</v>
      </c>
      <c r="E218" s="8">
        <f>INDEX('From 2015 DataLockdown'!$M$5:$M$247,MATCH('Cost Bands for 2017 MFAM'!B218,'From 2015 DataLockdown'!$A$5:$A$247,0))</f>
        <v>864.83875856706163</v>
      </c>
      <c r="F218" s="7">
        <f>INDEX('2015 Data Summary-Datalockdown'!$E$5:$E$247,MATCH('Cost Bands for 2017 MFAM'!B218,'2015 Data Summary-Datalockdown'!$B$5:$B$247,0))</f>
        <v>216577.6</v>
      </c>
      <c r="G218" s="7">
        <f>INDEX('2015 Data Summary-Datalockdown'!$F$5:$F$247,MATCH('Cost Bands for 2017 MFAM'!B218,'2015 Data Summary-Datalockdown'!$B$5:$B$247,0))</f>
        <v>0</v>
      </c>
      <c r="H218" s="7">
        <f t="shared" si="46"/>
        <v>216577.6</v>
      </c>
      <c r="I218" s="6">
        <f t="shared" si="47"/>
        <v>250.42540919285833</v>
      </c>
      <c r="J218" s="6">
        <f t="shared" si="48"/>
        <v>250.42540919285833</v>
      </c>
      <c r="K218" s="5">
        <f t="shared" si="49"/>
        <v>216577.6</v>
      </c>
      <c r="L218" s="4">
        <f t="shared" si="40"/>
        <v>0</v>
      </c>
      <c r="M218" s="2">
        <f t="shared" si="41"/>
        <v>506.63352595890353</v>
      </c>
      <c r="N218" s="1">
        <f t="shared" si="42"/>
        <v>32</v>
      </c>
      <c r="O218" s="3">
        <f t="shared" si="43"/>
        <v>65642.599096803475</v>
      </c>
      <c r="P218" s="2">
        <f t="shared" si="44"/>
        <v>419.81448960973887</v>
      </c>
      <c r="Q218" s="2">
        <f t="shared" si="50"/>
        <v>-31.380390438764721</v>
      </c>
      <c r="R218" s="2">
        <f t="shared" si="50"/>
        <v>1044.6474423565719</v>
      </c>
      <c r="S218" s="2">
        <f t="shared" si="45"/>
        <v>250.42540919285833</v>
      </c>
    </row>
    <row r="219" spans="2:19" x14ac:dyDescent="0.25">
      <c r="B219" s="10">
        <v>173</v>
      </c>
      <c r="C219" s="10">
        <v>9</v>
      </c>
      <c r="D219" s="9" t="s">
        <v>336</v>
      </c>
      <c r="E219" s="8">
        <f>INDEX('From 2015 DataLockdown'!$M$5:$M$247,MATCH('Cost Bands for 2017 MFAM'!B219,'From 2015 DataLockdown'!$A$5:$A$247,0))</f>
        <v>326.28000000000003</v>
      </c>
      <c r="F219" s="7">
        <f>INDEX('2015 Data Summary-Datalockdown'!$E$5:$E$247,MATCH('Cost Bands for 2017 MFAM'!B219,'2015 Data Summary-Datalockdown'!$B$5:$B$247,0))</f>
        <v>190081.07</v>
      </c>
      <c r="G219" s="7">
        <f>INDEX('2015 Data Summary-Datalockdown'!$F$5:$F$247,MATCH('Cost Bands for 2017 MFAM'!B219,'2015 Data Summary-Datalockdown'!$B$5:$B$247,0))</f>
        <v>430</v>
      </c>
      <c r="H219" s="7">
        <f t="shared" si="46"/>
        <v>189651.07</v>
      </c>
      <c r="I219" s="6">
        <f t="shared" si="47"/>
        <v>581.25251317886477</v>
      </c>
      <c r="J219" s="6">
        <f t="shared" si="48"/>
        <v>581.25251317886477</v>
      </c>
      <c r="K219" s="5">
        <f t="shared" si="49"/>
        <v>189651.07</v>
      </c>
      <c r="L219" s="4">
        <f t="shared" si="40"/>
        <v>0</v>
      </c>
      <c r="M219" s="2">
        <f t="shared" si="41"/>
        <v>506.63352595890353</v>
      </c>
      <c r="N219" s="1">
        <f t="shared" si="42"/>
        <v>32</v>
      </c>
      <c r="O219" s="3">
        <f t="shared" si="43"/>
        <v>5567.9932537327386</v>
      </c>
      <c r="P219" s="2">
        <f t="shared" si="44"/>
        <v>419.81448960973887</v>
      </c>
      <c r="Q219" s="2">
        <f t="shared" si="50"/>
        <v>-31.380390438764721</v>
      </c>
      <c r="R219" s="2">
        <f t="shared" si="50"/>
        <v>1044.6474423565719</v>
      </c>
      <c r="S219" s="2">
        <f t="shared" si="45"/>
        <v>581.25251317886477</v>
      </c>
    </row>
    <row r="220" spans="2:19" x14ac:dyDescent="0.25">
      <c r="B220" s="10">
        <v>204</v>
      </c>
      <c r="C220" s="10">
        <v>9</v>
      </c>
      <c r="D220" s="9" t="s">
        <v>337</v>
      </c>
      <c r="E220" s="8">
        <f>INDEX('From 2015 DataLockdown'!$M$5:$M$247,MATCH('Cost Bands for 2017 MFAM'!B220,'From 2015 DataLockdown'!$A$5:$A$247,0))</f>
        <v>568.74587975616453</v>
      </c>
      <c r="F220" s="7">
        <f>INDEX('2015 Data Summary-Datalockdown'!$E$5:$E$247,MATCH('Cost Bands for 2017 MFAM'!B220,'2015 Data Summary-Datalockdown'!$B$5:$B$247,0))</f>
        <v>317224.81</v>
      </c>
      <c r="G220" s="7">
        <f>INDEX('2015 Data Summary-Datalockdown'!$F$5:$F$247,MATCH('Cost Bands for 2017 MFAM'!B220,'2015 Data Summary-Datalockdown'!$B$5:$B$247,0))</f>
        <v>1338.9099999999999</v>
      </c>
      <c r="H220" s="7">
        <f t="shared" si="46"/>
        <v>315885.90000000002</v>
      </c>
      <c r="I220" s="6">
        <f t="shared" si="47"/>
        <v>555.40780380761294</v>
      </c>
      <c r="J220" s="6">
        <f t="shared" si="48"/>
        <v>555.40780380761294</v>
      </c>
      <c r="K220" s="5">
        <f t="shared" si="49"/>
        <v>315885.90000000002</v>
      </c>
      <c r="L220" s="4">
        <f t="shared" si="40"/>
        <v>0</v>
      </c>
      <c r="M220" s="2">
        <f t="shared" si="41"/>
        <v>506.63352595890353</v>
      </c>
      <c r="N220" s="1">
        <f t="shared" si="42"/>
        <v>32</v>
      </c>
      <c r="O220" s="3">
        <f t="shared" si="43"/>
        <v>2378.9301796631048</v>
      </c>
      <c r="P220" s="2">
        <f t="shared" si="44"/>
        <v>419.81448960973887</v>
      </c>
      <c r="Q220" s="2">
        <f t="shared" si="50"/>
        <v>-31.380390438764721</v>
      </c>
      <c r="R220" s="2">
        <f t="shared" si="50"/>
        <v>1044.6474423565719</v>
      </c>
      <c r="S220" s="2">
        <f t="shared" si="45"/>
        <v>555.40780380761294</v>
      </c>
    </row>
    <row r="221" spans="2:19" x14ac:dyDescent="0.25">
      <c r="B221" s="10">
        <v>218</v>
      </c>
      <c r="C221" s="10">
        <v>9</v>
      </c>
      <c r="D221" s="9" t="s">
        <v>338</v>
      </c>
      <c r="E221" s="8">
        <f>INDEX('From 2015 DataLockdown'!$M$5:$M$247,MATCH('Cost Bands for 2017 MFAM'!B221,'From 2015 DataLockdown'!$A$5:$A$247,0))</f>
        <v>324.73918024789344</v>
      </c>
      <c r="F221" s="7">
        <f>INDEX('2015 Data Summary-Datalockdown'!$E$5:$E$247,MATCH('Cost Bands for 2017 MFAM'!B221,'2015 Data Summary-Datalockdown'!$B$5:$B$247,0))</f>
        <v>200356.76</v>
      </c>
      <c r="G221" s="7">
        <f>INDEX('2015 Data Summary-Datalockdown'!$F$5:$F$247,MATCH('Cost Bands for 2017 MFAM'!B221,'2015 Data Summary-Datalockdown'!$B$5:$B$247,0))</f>
        <v>58</v>
      </c>
      <c r="H221" s="7">
        <f t="shared" si="46"/>
        <v>200298.76</v>
      </c>
      <c r="I221" s="6">
        <f t="shared" si="47"/>
        <v>616.79887178103854</v>
      </c>
      <c r="J221" s="6">
        <f t="shared" si="48"/>
        <v>616.79887178103854</v>
      </c>
      <c r="K221" s="5">
        <f t="shared" si="49"/>
        <v>200298.75999999998</v>
      </c>
      <c r="L221" s="4">
        <f t="shared" si="40"/>
        <v>0</v>
      </c>
      <c r="M221" s="2">
        <f t="shared" si="41"/>
        <v>506.63352595890353</v>
      </c>
      <c r="N221" s="1">
        <f t="shared" si="42"/>
        <v>32</v>
      </c>
      <c r="O221" s="3">
        <f t="shared" si="43"/>
        <v>12136.403420110599</v>
      </c>
      <c r="P221" s="2">
        <f t="shared" si="44"/>
        <v>419.81448960973887</v>
      </c>
      <c r="Q221" s="2">
        <f t="shared" si="50"/>
        <v>-31.380390438764721</v>
      </c>
      <c r="R221" s="2">
        <f t="shared" si="50"/>
        <v>1044.6474423565719</v>
      </c>
      <c r="S221" s="2">
        <f t="shared" si="45"/>
        <v>616.79887178103854</v>
      </c>
    </row>
    <row r="222" spans="2:19" x14ac:dyDescent="0.25">
      <c r="B222" s="10">
        <v>230</v>
      </c>
      <c r="C222" s="10">
        <v>9</v>
      </c>
      <c r="D222" s="9" t="s">
        <v>339</v>
      </c>
      <c r="E222" s="8">
        <f>INDEX('From 2015 DataLockdown'!$M$5:$M$247,MATCH('Cost Bands for 2017 MFAM'!B222,'From 2015 DataLockdown'!$A$5:$A$247,0))</f>
        <v>130.17223865031147</v>
      </c>
      <c r="F222" s="7">
        <f>INDEX('2015 Data Summary-Datalockdown'!$E$5:$E$247,MATCH('Cost Bands for 2017 MFAM'!B222,'2015 Data Summary-Datalockdown'!$B$5:$B$247,0))</f>
        <v>73068.070000000007</v>
      </c>
      <c r="G222" s="7">
        <f>INDEX('2015 Data Summary-Datalockdown'!$F$5:$F$247,MATCH('Cost Bands for 2017 MFAM'!B222,'2015 Data Summary-Datalockdown'!$B$5:$B$247,0))</f>
        <v>231.88</v>
      </c>
      <c r="H222" s="7">
        <f t="shared" si="46"/>
        <v>72836.19</v>
      </c>
      <c r="I222" s="6">
        <f t="shared" si="47"/>
        <v>559.53704687881793</v>
      </c>
      <c r="J222" s="6">
        <f t="shared" si="48"/>
        <v>559.53704687881793</v>
      </c>
      <c r="K222" s="5">
        <f t="shared" si="49"/>
        <v>72836.19</v>
      </c>
      <c r="L222" s="4">
        <f t="shared" si="40"/>
        <v>0</v>
      </c>
      <c r="M222" s="2">
        <f t="shared" si="41"/>
        <v>506.63352595890353</v>
      </c>
      <c r="N222" s="1">
        <f t="shared" si="42"/>
        <v>32</v>
      </c>
      <c r="O222" s="3">
        <f t="shared" si="43"/>
        <v>2798.7825257238205</v>
      </c>
      <c r="P222" s="2">
        <f t="shared" si="44"/>
        <v>419.81448960973887</v>
      </c>
      <c r="Q222" s="2">
        <f t="shared" si="50"/>
        <v>-31.380390438764721</v>
      </c>
      <c r="R222" s="2">
        <f t="shared" si="50"/>
        <v>1044.6474423565719</v>
      </c>
      <c r="S222" s="2">
        <f t="shared" si="45"/>
        <v>559.53704687881793</v>
      </c>
    </row>
    <row r="223" spans="2:19" x14ac:dyDescent="0.25">
      <c r="B223" s="10">
        <v>277</v>
      </c>
      <c r="C223" s="10">
        <v>9</v>
      </c>
      <c r="D223" s="9" t="s">
        <v>340</v>
      </c>
      <c r="E223" s="8">
        <f>INDEX('From 2015 DataLockdown'!$M$5:$M$247,MATCH('Cost Bands for 2017 MFAM'!B223,'From 2015 DataLockdown'!$A$5:$A$247,0))</f>
        <v>114.46027707492898</v>
      </c>
      <c r="F223" s="7">
        <f>INDEX('2015 Data Summary-Datalockdown'!$E$5:$E$247,MATCH('Cost Bands for 2017 MFAM'!B223,'2015 Data Summary-Datalockdown'!$B$5:$B$247,0))</f>
        <v>65605.63</v>
      </c>
      <c r="G223" s="7">
        <f>INDEX('2015 Data Summary-Datalockdown'!$F$5:$F$247,MATCH('Cost Bands for 2017 MFAM'!B223,'2015 Data Summary-Datalockdown'!$B$5:$B$247,0))</f>
        <v>0</v>
      </c>
      <c r="H223" s="7">
        <f t="shared" si="46"/>
        <v>65605.63</v>
      </c>
      <c r="I223" s="6">
        <f t="shared" si="47"/>
        <v>573.17378287536974</v>
      </c>
      <c r="J223" s="6">
        <f t="shared" si="48"/>
        <v>573.17378287536974</v>
      </c>
      <c r="K223" s="5">
        <f t="shared" si="49"/>
        <v>65605.63</v>
      </c>
      <c r="L223" s="4">
        <f t="shared" si="40"/>
        <v>0</v>
      </c>
      <c r="M223" s="2">
        <f t="shared" si="41"/>
        <v>506.63352595890353</v>
      </c>
      <c r="N223" s="1">
        <f t="shared" si="42"/>
        <v>32</v>
      </c>
      <c r="O223" s="3">
        <f t="shared" si="43"/>
        <v>4427.6057905093285</v>
      </c>
      <c r="P223" s="2">
        <f t="shared" si="44"/>
        <v>419.81448960973887</v>
      </c>
      <c r="Q223" s="2">
        <f t="shared" si="50"/>
        <v>-31.380390438764721</v>
      </c>
      <c r="R223" s="2">
        <f t="shared" si="50"/>
        <v>1044.6474423565719</v>
      </c>
      <c r="S223" s="2">
        <f t="shared" si="45"/>
        <v>573.17378287536974</v>
      </c>
    </row>
    <row r="224" spans="2:19" x14ac:dyDescent="0.25">
      <c r="B224" s="10">
        <v>279</v>
      </c>
      <c r="C224" s="10">
        <v>9</v>
      </c>
      <c r="D224" s="9" t="s">
        <v>341</v>
      </c>
      <c r="E224" s="8">
        <f>INDEX('From 2015 DataLockdown'!$M$5:$M$247,MATCH('Cost Bands for 2017 MFAM'!B224,'From 2015 DataLockdown'!$A$5:$A$247,0))</f>
        <v>525.26699782726371</v>
      </c>
      <c r="F224" s="7">
        <f>INDEX('2015 Data Summary-Datalockdown'!$E$5:$E$247,MATCH('Cost Bands for 2017 MFAM'!B224,'2015 Data Summary-Datalockdown'!$B$5:$B$247,0))</f>
        <v>113636.19</v>
      </c>
      <c r="G224" s="7">
        <f>INDEX('2015 Data Summary-Datalockdown'!$F$5:$F$247,MATCH('Cost Bands for 2017 MFAM'!B224,'2015 Data Summary-Datalockdown'!$B$5:$B$247,0))</f>
        <v>144</v>
      </c>
      <c r="H224" s="7">
        <f t="shared" si="46"/>
        <v>113492.19</v>
      </c>
      <c r="I224" s="6">
        <f t="shared" si="47"/>
        <v>216.06571604432378</v>
      </c>
      <c r="J224" s="6">
        <f t="shared" si="48"/>
        <v>216.06571604432378</v>
      </c>
      <c r="K224" s="5">
        <f t="shared" si="49"/>
        <v>113492.19</v>
      </c>
      <c r="L224" s="4">
        <f t="shared" si="40"/>
        <v>0</v>
      </c>
      <c r="M224" s="2">
        <f t="shared" si="41"/>
        <v>506.63352595890353</v>
      </c>
      <c r="N224" s="1">
        <f t="shared" si="42"/>
        <v>32</v>
      </c>
      <c r="O224" s="3">
        <f t="shared" si="43"/>
        <v>84429.652158555356</v>
      </c>
      <c r="P224" s="2">
        <f t="shared" si="44"/>
        <v>419.81448960973887</v>
      </c>
      <c r="Q224" s="2">
        <f t="shared" si="50"/>
        <v>-31.380390438764721</v>
      </c>
      <c r="R224" s="2">
        <f t="shared" si="50"/>
        <v>1044.6474423565719</v>
      </c>
      <c r="S224" s="2">
        <f t="shared" si="45"/>
        <v>216.06571604432378</v>
      </c>
    </row>
    <row r="225" spans="2:19" x14ac:dyDescent="0.25">
      <c r="B225" s="10">
        <v>331</v>
      </c>
      <c r="C225" s="10">
        <v>9</v>
      </c>
      <c r="D225" s="9" t="s">
        <v>342</v>
      </c>
      <c r="E225" s="8">
        <f>INDEX('From 2015 DataLockdown'!$M$5:$M$247,MATCH('Cost Bands for 2017 MFAM'!B225,'From 2015 DataLockdown'!$A$5:$A$247,0))</f>
        <v>737.493877396681</v>
      </c>
      <c r="F225" s="7">
        <f>INDEX('2015 Data Summary-Datalockdown'!$E$5:$E$247,MATCH('Cost Bands for 2017 MFAM'!B225,'2015 Data Summary-Datalockdown'!$B$5:$B$247,0))</f>
        <v>127960.52</v>
      </c>
      <c r="G225" s="7">
        <f>INDEX('2015 Data Summary-Datalockdown'!$F$5:$F$247,MATCH('Cost Bands for 2017 MFAM'!B225,'2015 Data Summary-Datalockdown'!$B$5:$B$247,0))</f>
        <v>10343.35</v>
      </c>
      <c r="H225" s="7">
        <f t="shared" si="46"/>
        <v>117617.17</v>
      </c>
      <c r="I225" s="6">
        <f t="shared" si="47"/>
        <v>159.48223246975707</v>
      </c>
      <c r="J225" s="6">
        <f t="shared" si="48"/>
        <v>159.48223246975707</v>
      </c>
      <c r="K225" s="5">
        <f t="shared" si="49"/>
        <v>117617.17</v>
      </c>
      <c r="L225" s="4">
        <f t="shared" si="40"/>
        <v>0</v>
      </c>
      <c r="M225" s="2">
        <f t="shared" si="41"/>
        <v>506.63352595890353</v>
      </c>
      <c r="N225" s="1">
        <f t="shared" si="42"/>
        <v>32</v>
      </c>
      <c r="O225" s="3">
        <f t="shared" si="43"/>
        <v>120514.02057118753</v>
      </c>
      <c r="P225" s="2">
        <f t="shared" si="44"/>
        <v>419.81448960973887</v>
      </c>
      <c r="Q225" s="2">
        <f t="shared" si="50"/>
        <v>-31.380390438764721</v>
      </c>
      <c r="R225" s="2">
        <f t="shared" si="50"/>
        <v>1044.6474423565719</v>
      </c>
      <c r="S225" s="2">
        <f t="shared" si="45"/>
        <v>159.48223246975707</v>
      </c>
    </row>
    <row r="226" spans="2:19" x14ac:dyDescent="0.25">
      <c r="B226" s="10">
        <v>369</v>
      </c>
      <c r="C226" s="10">
        <v>9</v>
      </c>
      <c r="D226" s="9" t="s">
        <v>343</v>
      </c>
      <c r="E226" s="8">
        <f>INDEX('From 2015 DataLockdown'!$M$5:$M$247,MATCH('Cost Bands for 2017 MFAM'!B226,'From 2015 DataLockdown'!$A$5:$A$247,0))</f>
        <v>339.40999999999997</v>
      </c>
      <c r="F226" s="7">
        <f>INDEX('2015 Data Summary-Datalockdown'!$E$5:$E$247,MATCH('Cost Bands for 2017 MFAM'!B226,'2015 Data Summary-Datalockdown'!$B$5:$B$247,0))</f>
        <v>385576.36</v>
      </c>
      <c r="G226" s="7">
        <f>INDEX('2015 Data Summary-Datalockdown'!$F$5:$F$247,MATCH('Cost Bands for 2017 MFAM'!B226,'2015 Data Summary-Datalockdown'!$B$5:$B$247,0))</f>
        <v>0</v>
      </c>
      <c r="H226" s="7">
        <f t="shared" si="46"/>
        <v>385576.36</v>
      </c>
      <c r="I226" s="6">
        <f t="shared" si="47"/>
        <v>1136.0194455083822</v>
      </c>
      <c r="J226" s="6">
        <f t="shared" si="48"/>
        <v>1044.6474423565719</v>
      </c>
      <c r="K226" s="5">
        <f t="shared" si="49"/>
        <v>354563.78841024404</v>
      </c>
      <c r="L226" s="4">
        <f t="shared" si="40"/>
        <v>0</v>
      </c>
      <c r="M226" s="2">
        <f t="shared" si="41"/>
        <v>506.63352595890353</v>
      </c>
      <c r="N226" s="1">
        <f t="shared" si="42"/>
        <v>32</v>
      </c>
      <c r="O226" s="3">
        <f t="shared" si="43"/>
        <v>396126.63572714286</v>
      </c>
      <c r="P226" s="2">
        <f t="shared" si="44"/>
        <v>419.81448960973887</v>
      </c>
      <c r="Q226" s="2">
        <f t="shared" ref="Q226:R240" si="51">NORMINV(Q$4,$M226,$P226)</f>
        <v>-31.380390438764721</v>
      </c>
      <c r="R226" s="2">
        <f t="shared" si="51"/>
        <v>1044.6474423565719</v>
      </c>
      <c r="S226" s="2">
        <f t="shared" si="45"/>
        <v>1044.6474423565719</v>
      </c>
    </row>
    <row r="227" spans="2:19" x14ac:dyDescent="0.25">
      <c r="B227" s="10">
        <v>416</v>
      </c>
      <c r="C227" s="10">
        <v>9</v>
      </c>
      <c r="D227" s="9" t="s">
        <v>344</v>
      </c>
      <c r="E227" s="8">
        <f>INDEX('From 2015 DataLockdown'!$M$5:$M$247,MATCH('Cost Bands for 2017 MFAM'!B227,'From 2015 DataLockdown'!$A$5:$A$247,0))</f>
        <v>77.474017362685885</v>
      </c>
      <c r="F227" s="7">
        <f>INDEX('2015 Data Summary-Datalockdown'!$E$5:$E$247,MATCH('Cost Bands for 2017 MFAM'!B227,'2015 Data Summary-Datalockdown'!$B$5:$B$247,0))</f>
        <v>58015.31</v>
      </c>
      <c r="G227" s="7">
        <f>INDEX('2015 Data Summary-Datalockdown'!$F$5:$F$247,MATCH('Cost Bands for 2017 MFAM'!B227,'2015 Data Summary-Datalockdown'!$B$5:$B$247,0))</f>
        <v>45</v>
      </c>
      <c r="H227" s="7">
        <f t="shared" si="46"/>
        <v>57970.31</v>
      </c>
      <c r="I227" s="6">
        <f t="shared" si="47"/>
        <v>748.25485980181611</v>
      </c>
      <c r="J227" s="6">
        <f t="shared" si="48"/>
        <v>748.25485980181611</v>
      </c>
      <c r="K227" s="5">
        <f t="shared" si="49"/>
        <v>57970.30999999999</v>
      </c>
      <c r="L227" s="4">
        <f t="shared" si="40"/>
        <v>0</v>
      </c>
      <c r="M227" s="2">
        <f t="shared" si="41"/>
        <v>506.63352595890353</v>
      </c>
      <c r="N227" s="1">
        <f t="shared" si="42"/>
        <v>32</v>
      </c>
      <c r="O227" s="3">
        <f t="shared" si="43"/>
        <v>58380.868968028211</v>
      </c>
      <c r="P227" s="2">
        <f t="shared" si="44"/>
        <v>419.81448960973887</v>
      </c>
      <c r="Q227" s="2">
        <f t="shared" si="51"/>
        <v>-31.380390438764721</v>
      </c>
      <c r="R227" s="2">
        <f t="shared" si="51"/>
        <v>1044.6474423565719</v>
      </c>
      <c r="S227" s="2">
        <f t="shared" si="45"/>
        <v>748.25485980181611</v>
      </c>
    </row>
    <row r="228" spans="2:19" x14ac:dyDescent="0.25">
      <c r="B228" s="10">
        <v>420</v>
      </c>
      <c r="C228" s="10">
        <v>9</v>
      </c>
      <c r="D228" s="9" t="s">
        <v>345</v>
      </c>
      <c r="E228" s="8">
        <f>INDEX('From 2015 DataLockdown'!$M$5:$M$247,MATCH('Cost Bands for 2017 MFAM'!B228,'From 2015 DataLockdown'!$A$5:$A$247,0))</f>
        <v>369.22350623910916</v>
      </c>
      <c r="F228" s="7">
        <f>INDEX('2015 Data Summary-Datalockdown'!$E$5:$E$247,MATCH('Cost Bands for 2017 MFAM'!B228,'2015 Data Summary-Datalockdown'!$B$5:$B$247,0))</f>
        <v>96275.54</v>
      </c>
      <c r="G228" s="7">
        <f>INDEX('2015 Data Summary-Datalockdown'!$F$5:$F$247,MATCH('Cost Bands for 2017 MFAM'!B228,'2015 Data Summary-Datalockdown'!$B$5:$B$247,0))</f>
        <v>135.41</v>
      </c>
      <c r="H228" s="7">
        <f t="shared" si="46"/>
        <v>96140.12999999999</v>
      </c>
      <c r="I228" s="6">
        <f t="shared" si="47"/>
        <v>260.384640672741</v>
      </c>
      <c r="J228" s="6">
        <f t="shared" si="48"/>
        <v>260.384640672741</v>
      </c>
      <c r="K228" s="5">
        <f t="shared" si="49"/>
        <v>96140.129999999976</v>
      </c>
      <c r="L228" s="4">
        <f t="shared" si="40"/>
        <v>0</v>
      </c>
      <c r="M228" s="2">
        <f t="shared" si="41"/>
        <v>506.63352595890353</v>
      </c>
      <c r="N228" s="1">
        <f t="shared" si="42"/>
        <v>32</v>
      </c>
      <c r="O228" s="3">
        <f t="shared" si="43"/>
        <v>60638.513504677634</v>
      </c>
      <c r="P228" s="2">
        <f t="shared" si="44"/>
        <v>419.81448960973887</v>
      </c>
      <c r="Q228" s="2">
        <f t="shared" si="51"/>
        <v>-31.380390438764721</v>
      </c>
      <c r="R228" s="2">
        <f t="shared" si="51"/>
        <v>1044.6474423565719</v>
      </c>
      <c r="S228" s="2">
        <f t="shared" si="45"/>
        <v>260.384640672741</v>
      </c>
    </row>
    <row r="229" spans="2:19" x14ac:dyDescent="0.25">
      <c r="B229" s="10">
        <v>508</v>
      </c>
      <c r="C229" s="10">
        <v>9</v>
      </c>
      <c r="D229" s="9" t="s">
        <v>346</v>
      </c>
      <c r="E229" s="8">
        <f>INDEX('From 2015 DataLockdown'!$M$5:$M$247,MATCH('Cost Bands for 2017 MFAM'!B229,'From 2015 DataLockdown'!$A$5:$A$247,0))</f>
        <v>86.151245564949591</v>
      </c>
      <c r="F229" s="7">
        <f>INDEX('2015 Data Summary-Datalockdown'!$E$5:$E$247,MATCH('Cost Bands for 2017 MFAM'!B229,'2015 Data Summary-Datalockdown'!$B$5:$B$247,0))</f>
        <v>49105.2</v>
      </c>
      <c r="G229" s="7">
        <f>INDEX('2015 Data Summary-Datalockdown'!$F$5:$F$247,MATCH('Cost Bands for 2017 MFAM'!B229,'2015 Data Summary-Datalockdown'!$B$5:$B$247,0))</f>
        <v>0</v>
      </c>
      <c r="H229" s="7">
        <f t="shared" si="46"/>
        <v>49105.2</v>
      </c>
      <c r="I229" s="6">
        <f t="shared" si="47"/>
        <v>569.98827675659652</v>
      </c>
      <c r="J229" s="6">
        <f t="shared" si="48"/>
        <v>569.98827675659652</v>
      </c>
      <c r="K229" s="5">
        <f t="shared" si="49"/>
        <v>49105.2</v>
      </c>
      <c r="L229" s="4">
        <f t="shared" si="40"/>
        <v>0</v>
      </c>
      <c r="M229" s="2">
        <f t="shared" si="41"/>
        <v>506.63352595890353</v>
      </c>
      <c r="N229" s="1">
        <f t="shared" si="42"/>
        <v>32</v>
      </c>
      <c r="O229" s="3">
        <f t="shared" si="43"/>
        <v>4013.8244486377803</v>
      </c>
      <c r="P229" s="2">
        <f t="shared" si="44"/>
        <v>419.81448960973887</v>
      </c>
      <c r="Q229" s="2">
        <f t="shared" si="51"/>
        <v>-31.380390438764721</v>
      </c>
      <c r="R229" s="2">
        <f t="shared" si="51"/>
        <v>1044.6474423565719</v>
      </c>
      <c r="S229" s="2">
        <f t="shared" si="45"/>
        <v>569.98827675659652</v>
      </c>
    </row>
    <row r="230" spans="2:19" x14ac:dyDescent="0.25">
      <c r="B230" s="10">
        <v>512</v>
      </c>
      <c r="C230" s="10">
        <v>9</v>
      </c>
      <c r="D230" s="9" t="s">
        <v>347</v>
      </c>
      <c r="E230" s="8">
        <f>INDEX('From 2015 DataLockdown'!$M$5:$M$247,MATCH('Cost Bands for 2017 MFAM'!B230,'From 2015 DataLockdown'!$A$5:$A$247,0))</f>
        <v>237.39075867388348</v>
      </c>
      <c r="F230" s="7">
        <f>INDEX('2015 Data Summary-Datalockdown'!$E$5:$E$247,MATCH('Cost Bands for 2017 MFAM'!B230,'2015 Data Summary-Datalockdown'!$B$5:$B$247,0))</f>
        <v>276481.19</v>
      </c>
      <c r="G230" s="7">
        <f>INDEX('2015 Data Summary-Datalockdown'!$F$5:$F$247,MATCH('Cost Bands for 2017 MFAM'!B230,'2015 Data Summary-Datalockdown'!$B$5:$B$247,0))</f>
        <v>6876.5</v>
      </c>
      <c r="H230" s="7">
        <f t="shared" si="46"/>
        <v>269604.69</v>
      </c>
      <c r="I230" s="6">
        <f t="shared" si="47"/>
        <v>1135.7000226380781</v>
      </c>
      <c r="J230" s="6">
        <f t="shared" si="48"/>
        <v>1044.6474423565719</v>
      </c>
      <c r="K230" s="5">
        <f t="shared" si="49"/>
        <v>247989.64888775858</v>
      </c>
      <c r="L230" s="4">
        <f t="shared" si="40"/>
        <v>0</v>
      </c>
      <c r="M230" s="2">
        <f t="shared" si="41"/>
        <v>506.63352595890353</v>
      </c>
      <c r="N230" s="1">
        <f t="shared" si="42"/>
        <v>32</v>
      </c>
      <c r="O230" s="3">
        <f t="shared" si="43"/>
        <v>395724.6572442099</v>
      </c>
      <c r="P230" s="2">
        <f t="shared" si="44"/>
        <v>419.81448960973887</v>
      </c>
      <c r="Q230" s="2">
        <f t="shared" si="51"/>
        <v>-31.380390438764721</v>
      </c>
      <c r="R230" s="2">
        <f t="shared" si="51"/>
        <v>1044.6474423565719</v>
      </c>
      <c r="S230" s="2">
        <f t="shared" si="45"/>
        <v>1044.6474423565719</v>
      </c>
    </row>
    <row r="231" spans="2:19" x14ac:dyDescent="0.25">
      <c r="B231" s="10">
        <v>516</v>
      </c>
      <c r="C231" s="10">
        <v>9</v>
      </c>
      <c r="D231" s="9" t="s">
        <v>348</v>
      </c>
      <c r="E231" s="8">
        <f>INDEX('From 2015 DataLockdown'!$M$5:$M$247,MATCH('Cost Bands for 2017 MFAM'!B231,'From 2015 DataLockdown'!$A$5:$A$247,0))</f>
        <v>333.94748973575537</v>
      </c>
      <c r="F231" s="7">
        <f>INDEX('2015 Data Summary-Datalockdown'!$E$5:$E$247,MATCH('Cost Bands for 2017 MFAM'!B231,'2015 Data Summary-Datalockdown'!$B$5:$B$247,0))</f>
        <v>179866.55</v>
      </c>
      <c r="G231" s="7">
        <f>INDEX('2015 Data Summary-Datalockdown'!$F$5:$F$247,MATCH('Cost Bands for 2017 MFAM'!B231,'2015 Data Summary-Datalockdown'!$B$5:$B$247,0))</f>
        <v>48</v>
      </c>
      <c r="H231" s="7">
        <f t="shared" si="46"/>
        <v>179818.55</v>
      </c>
      <c r="I231" s="6">
        <f t="shared" si="47"/>
        <v>538.46354749450609</v>
      </c>
      <c r="J231" s="6">
        <f t="shared" si="48"/>
        <v>538.46354749450609</v>
      </c>
      <c r="K231" s="5">
        <f t="shared" si="49"/>
        <v>179818.55</v>
      </c>
      <c r="L231" s="4">
        <f t="shared" si="40"/>
        <v>0</v>
      </c>
      <c r="M231" s="2">
        <f t="shared" si="41"/>
        <v>506.63352595890353</v>
      </c>
      <c r="N231" s="1">
        <f t="shared" si="42"/>
        <v>32</v>
      </c>
      <c r="O231" s="3">
        <f t="shared" si="43"/>
        <v>1013.1502709569224</v>
      </c>
      <c r="P231" s="2">
        <f t="shared" si="44"/>
        <v>419.81448960973887</v>
      </c>
      <c r="Q231" s="2">
        <f t="shared" si="51"/>
        <v>-31.380390438764721</v>
      </c>
      <c r="R231" s="2">
        <f t="shared" si="51"/>
        <v>1044.6474423565719</v>
      </c>
      <c r="S231" s="2">
        <f t="shared" si="45"/>
        <v>538.46354749450609</v>
      </c>
    </row>
    <row r="232" spans="2:19" x14ac:dyDescent="0.25">
      <c r="B232" s="10">
        <v>521</v>
      </c>
      <c r="C232" s="10">
        <v>9</v>
      </c>
      <c r="D232" s="9" t="s">
        <v>349</v>
      </c>
      <c r="E232" s="8">
        <f>INDEX('From 2015 DataLockdown'!$M$5:$M$247,MATCH('Cost Bands for 2017 MFAM'!B232,'From 2015 DataLockdown'!$A$5:$A$247,0))</f>
        <v>123.09071480738888</v>
      </c>
      <c r="F232" s="7">
        <f>INDEX('2015 Data Summary-Datalockdown'!$E$5:$E$247,MATCH('Cost Bands for 2017 MFAM'!B232,'2015 Data Summary-Datalockdown'!$B$5:$B$247,0))</f>
        <v>349225.33</v>
      </c>
      <c r="G232" s="7">
        <f>INDEX('2015 Data Summary-Datalockdown'!$F$5:$F$247,MATCH('Cost Bands for 2017 MFAM'!B232,'2015 Data Summary-Datalockdown'!$B$5:$B$247,0))</f>
        <v>35.4</v>
      </c>
      <c r="H232" s="7">
        <f t="shared" si="46"/>
        <v>349189.93</v>
      </c>
      <c r="I232" s="6">
        <f t="shared" si="47"/>
        <v>2836.8502900191042</v>
      </c>
      <c r="J232" s="6">
        <f t="shared" si="48"/>
        <v>1044.6474423565719</v>
      </c>
      <c r="K232" s="5">
        <f t="shared" si="49"/>
        <v>128586.400401381</v>
      </c>
      <c r="L232" s="4">
        <f t="shared" si="40"/>
        <v>0</v>
      </c>
      <c r="M232" s="2">
        <f t="shared" si="41"/>
        <v>506.63352595890353</v>
      </c>
      <c r="N232" s="1">
        <f t="shared" si="42"/>
        <v>32</v>
      </c>
      <c r="O232" s="3">
        <f t="shared" si="43"/>
        <v>5429910.1675071931</v>
      </c>
      <c r="P232" s="2">
        <f t="shared" si="44"/>
        <v>419.81448960973887</v>
      </c>
      <c r="Q232" s="2">
        <f t="shared" si="51"/>
        <v>-31.380390438764721</v>
      </c>
      <c r="R232" s="2">
        <f t="shared" si="51"/>
        <v>1044.6474423565719</v>
      </c>
      <c r="S232" s="2">
        <f t="shared" si="45"/>
        <v>1044.6474423565719</v>
      </c>
    </row>
    <row r="233" spans="2:19" x14ac:dyDescent="0.25">
      <c r="B233" s="10">
        <v>522</v>
      </c>
      <c r="C233" s="10">
        <v>9</v>
      </c>
      <c r="D233" s="9" t="s">
        <v>350</v>
      </c>
      <c r="E233" s="8">
        <f>INDEX('From 2015 DataLockdown'!$M$5:$M$247,MATCH('Cost Bands for 2017 MFAM'!B233,'From 2015 DataLockdown'!$A$5:$A$247,0))</f>
        <v>103.99178838051702</v>
      </c>
      <c r="F233" s="7">
        <f>INDEX('2015 Data Summary-Datalockdown'!$E$5:$E$247,MATCH('Cost Bands for 2017 MFAM'!B233,'2015 Data Summary-Datalockdown'!$B$5:$B$247,0))</f>
        <v>91617.600000000006</v>
      </c>
      <c r="G233" s="7">
        <f>INDEX('2015 Data Summary-Datalockdown'!$F$5:$F$247,MATCH('Cost Bands for 2017 MFAM'!B233,'2015 Data Summary-Datalockdown'!$B$5:$B$247,0))</f>
        <v>18</v>
      </c>
      <c r="H233" s="7">
        <f t="shared" si="46"/>
        <v>91599.6</v>
      </c>
      <c r="I233" s="6">
        <f t="shared" si="47"/>
        <v>880.83493347404817</v>
      </c>
      <c r="J233" s="6">
        <f t="shared" si="48"/>
        <v>880.83493347404817</v>
      </c>
      <c r="K233" s="5">
        <f t="shared" si="49"/>
        <v>91599.6</v>
      </c>
      <c r="L233" s="4">
        <f t="shared" si="40"/>
        <v>0</v>
      </c>
      <c r="M233" s="2">
        <f t="shared" si="41"/>
        <v>506.63352595890353</v>
      </c>
      <c r="N233" s="1">
        <f t="shared" si="42"/>
        <v>32</v>
      </c>
      <c r="O233" s="3">
        <f t="shared" si="43"/>
        <v>140026.69338631534</v>
      </c>
      <c r="P233" s="2">
        <f t="shared" si="44"/>
        <v>419.81448960973887</v>
      </c>
      <c r="Q233" s="2">
        <f t="shared" si="51"/>
        <v>-31.380390438764721</v>
      </c>
      <c r="R233" s="2">
        <f t="shared" si="51"/>
        <v>1044.6474423565719</v>
      </c>
      <c r="S233" s="2">
        <f t="shared" si="45"/>
        <v>880.83493347404817</v>
      </c>
    </row>
    <row r="234" spans="2:19" x14ac:dyDescent="0.25">
      <c r="B234" s="10">
        <v>523</v>
      </c>
      <c r="C234" s="10">
        <v>9</v>
      </c>
      <c r="D234" s="9" t="s">
        <v>351</v>
      </c>
      <c r="E234" s="8">
        <f>INDEX('From 2015 DataLockdown'!$M$5:$M$247,MATCH('Cost Bands for 2017 MFAM'!B234,'From 2015 DataLockdown'!$A$5:$A$247,0))</f>
        <v>987.1613814509584</v>
      </c>
      <c r="F234" s="7">
        <f>INDEX('2015 Data Summary-Datalockdown'!$E$5:$E$247,MATCH('Cost Bands for 2017 MFAM'!B234,'2015 Data Summary-Datalockdown'!$B$5:$B$247,0))</f>
        <v>249998.93</v>
      </c>
      <c r="G234" s="7">
        <f>INDEX('2015 Data Summary-Datalockdown'!$F$5:$F$247,MATCH('Cost Bands for 2017 MFAM'!B234,'2015 Data Summary-Datalockdown'!$B$5:$B$247,0))</f>
        <v>275</v>
      </c>
      <c r="H234" s="7">
        <f t="shared" si="46"/>
        <v>249723.93</v>
      </c>
      <c r="I234" s="6">
        <f t="shared" si="47"/>
        <v>252.97173764329042</v>
      </c>
      <c r="J234" s="6">
        <f t="shared" si="48"/>
        <v>252.97173764329042</v>
      </c>
      <c r="K234" s="5">
        <f t="shared" si="49"/>
        <v>249723.93</v>
      </c>
      <c r="L234" s="4">
        <f t="shared" si="40"/>
        <v>0</v>
      </c>
      <c r="M234" s="2">
        <f t="shared" si="41"/>
        <v>506.63352595890353</v>
      </c>
      <c r="N234" s="1">
        <f t="shared" si="42"/>
        <v>32</v>
      </c>
      <c r="O234" s="3">
        <f t="shared" si="43"/>
        <v>64344.302851474917</v>
      </c>
      <c r="P234" s="2">
        <f t="shared" si="44"/>
        <v>419.81448960973887</v>
      </c>
      <c r="Q234" s="2">
        <f t="shared" si="51"/>
        <v>-31.380390438764721</v>
      </c>
      <c r="R234" s="2">
        <f t="shared" si="51"/>
        <v>1044.6474423565719</v>
      </c>
      <c r="S234" s="2">
        <f t="shared" si="45"/>
        <v>252.97173764329042</v>
      </c>
    </row>
    <row r="235" spans="2:19" x14ac:dyDescent="0.25">
      <c r="B235" s="10">
        <v>527</v>
      </c>
      <c r="C235" s="10">
        <v>9</v>
      </c>
      <c r="D235" s="9" t="s">
        <v>352</v>
      </c>
      <c r="E235" s="8">
        <f>INDEX('From 2015 DataLockdown'!$M$5:$M$247,MATCH('Cost Bands for 2017 MFAM'!B235,'From 2015 DataLockdown'!$A$5:$A$247,0))</f>
        <v>222.29561203542357</v>
      </c>
      <c r="F235" s="7">
        <f>INDEX('2015 Data Summary-Datalockdown'!$E$5:$E$247,MATCH('Cost Bands for 2017 MFAM'!B235,'2015 Data Summary-Datalockdown'!$B$5:$B$247,0))</f>
        <v>90807.56</v>
      </c>
      <c r="G235" s="7">
        <f>INDEX('2015 Data Summary-Datalockdown'!$F$5:$F$247,MATCH('Cost Bands for 2017 MFAM'!B235,'2015 Data Summary-Datalockdown'!$B$5:$B$247,0))</f>
        <v>0</v>
      </c>
      <c r="H235" s="7">
        <f t="shared" si="46"/>
        <v>90807.56</v>
      </c>
      <c r="I235" s="6">
        <f t="shared" si="47"/>
        <v>408.49911146932357</v>
      </c>
      <c r="J235" s="6">
        <f t="shared" si="48"/>
        <v>408.49911146932357</v>
      </c>
      <c r="K235" s="5">
        <f t="shared" si="49"/>
        <v>90807.56</v>
      </c>
      <c r="L235" s="4">
        <f t="shared" si="40"/>
        <v>0</v>
      </c>
      <c r="M235" s="2">
        <f t="shared" si="41"/>
        <v>506.63352595890353</v>
      </c>
      <c r="N235" s="1">
        <f t="shared" si="42"/>
        <v>32</v>
      </c>
      <c r="O235" s="3">
        <f t="shared" si="43"/>
        <v>9630.3633072126831</v>
      </c>
      <c r="P235" s="2">
        <f t="shared" si="44"/>
        <v>419.81448960973887</v>
      </c>
      <c r="Q235" s="2">
        <f t="shared" si="51"/>
        <v>-31.380390438764721</v>
      </c>
      <c r="R235" s="2">
        <f t="shared" si="51"/>
        <v>1044.6474423565719</v>
      </c>
      <c r="S235" s="2">
        <f t="shared" si="45"/>
        <v>408.49911146932357</v>
      </c>
    </row>
    <row r="236" spans="2:19" x14ac:dyDescent="0.25">
      <c r="B236" s="10">
        <v>543</v>
      </c>
      <c r="C236" s="10">
        <v>9</v>
      </c>
      <c r="D236" s="9" t="s">
        <v>353</v>
      </c>
      <c r="E236" s="8">
        <f>INDEX('From 2015 DataLockdown'!$M$5:$M$247,MATCH('Cost Bands for 2017 MFAM'!B236,'From 2015 DataLockdown'!$A$5:$A$247,0))</f>
        <v>98.591020352445511</v>
      </c>
      <c r="F236" s="7">
        <f>INDEX('2015 Data Summary-Datalockdown'!$E$5:$E$247,MATCH('Cost Bands for 2017 MFAM'!B236,'2015 Data Summary-Datalockdown'!$B$5:$B$247,0))</f>
        <v>24446.48</v>
      </c>
      <c r="G236" s="7">
        <f>INDEX('2015 Data Summary-Datalockdown'!$F$5:$F$247,MATCH('Cost Bands for 2017 MFAM'!B236,'2015 Data Summary-Datalockdown'!$B$5:$B$247,0))</f>
        <v>0</v>
      </c>
      <c r="H236" s="7">
        <f t="shared" si="46"/>
        <v>24446.48</v>
      </c>
      <c r="I236" s="6">
        <f t="shared" si="47"/>
        <v>247.95848458214698</v>
      </c>
      <c r="J236" s="6">
        <f t="shared" si="48"/>
        <v>247.95848458214698</v>
      </c>
      <c r="K236" s="5">
        <f t="shared" si="49"/>
        <v>24446.48</v>
      </c>
      <c r="L236" s="4">
        <f t="shared" si="40"/>
        <v>0</v>
      </c>
      <c r="M236" s="2">
        <f t="shared" si="41"/>
        <v>506.63352595890353</v>
      </c>
      <c r="N236" s="1">
        <f t="shared" si="42"/>
        <v>32</v>
      </c>
      <c r="O236" s="3">
        <f t="shared" si="43"/>
        <v>66912.777031266713</v>
      </c>
      <c r="P236" s="2">
        <f t="shared" si="44"/>
        <v>419.81448960973887</v>
      </c>
      <c r="Q236" s="2">
        <f t="shared" si="51"/>
        <v>-31.380390438764721</v>
      </c>
      <c r="R236" s="2">
        <f t="shared" si="51"/>
        <v>1044.6474423565719</v>
      </c>
      <c r="S236" s="2">
        <f t="shared" si="45"/>
        <v>247.95848458214698</v>
      </c>
    </row>
    <row r="237" spans="2:19" x14ac:dyDescent="0.25">
      <c r="B237" s="93">
        <v>547</v>
      </c>
      <c r="C237" s="93">
        <v>9</v>
      </c>
      <c r="D237" s="94" t="s">
        <v>354</v>
      </c>
      <c r="E237" s="8">
        <f>INDEX('From 2015 DataLockdown'!$M$5:$M$247,MATCH('Cost Bands for 2017 MFAM'!B237,'From 2015 DataLockdown'!$A$5:$A$247,0))</f>
        <v>282.44688484497351</v>
      </c>
      <c r="F237" s="7">
        <f>INDEX('2015 Data Summary-Datalockdown'!$E$5:$E$247,MATCH('Cost Bands for 2017 MFAM'!B237,'2015 Data Summary-Datalockdown'!$B$5:$B$247,0))</f>
        <v>93717.8</v>
      </c>
      <c r="G237" s="7">
        <f>INDEX('2015 Data Summary-Datalockdown'!$F$5:$F$247,MATCH('Cost Bands for 2017 MFAM'!B237,'2015 Data Summary-Datalockdown'!$B$5:$B$247,0))</f>
        <v>0</v>
      </c>
      <c r="H237" s="7">
        <f t="shared" si="46"/>
        <v>93717.8</v>
      </c>
      <c r="I237" s="6">
        <f t="shared" si="47"/>
        <v>331.806810513909</v>
      </c>
      <c r="J237" s="6">
        <f t="shared" si="48"/>
        <v>331.806810513909</v>
      </c>
      <c r="K237" s="5">
        <f t="shared" si="49"/>
        <v>93717.8</v>
      </c>
      <c r="L237" s="4">
        <f t="shared" si="40"/>
        <v>0</v>
      </c>
      <c r="M237" s="2">
        <f t="shared" si="41"/>
        <v>506.63352595890353</v>
      </c>
      <c r="N237" s="1">
        <f t="shared" si="42"/>
        <v>32</v>
      </c>
      <c r="O237" s="3">
        <f t="shared" ref="O237:O248" si="52">IF(ISERROR((I237-M237)^2),0,(I237-M237)^2)</f>
        <v>30564.380433285089</v>
      </c>
      <c r="P237" s="2">
        <f t="shared" si="44"/>
        <v>419.81448960973887</v>
      </c>
      <c r="Q237" s="2">
        <f t="shared" si="51"/>
        <v>-31.380390438764721</v>
      </c>
      <c r="R237" s="2">
        <f t="shared" si="51"/>
        <v>1044.6474423565719</v>
      </c>
      <c r="S237" s="2">
        <f t="shared" si="45"/>
        <v>331.806810513909</v>
      </c>
    </row>
    <row r="238" spans="2:19" x14ac:dyDescent="0.25">
      <c r="B238" s="93">
        <v>552</v>
      </c>
      <c r="C238" s="93">
        <v>9</v>
      </c>
      <c r="D238" s="94" t="s">
        <v>355</v>
      </c>
      <c r="E238" s="8">
        <f>INDEX('From 2015 DataLockdown'!$M$5:$M$247,MATCH('Cost Bands for 2017 MFAM'!B238,'From 2015 DataLockdown'!$A$5:$A$247,0))</f>
        <v>144.71</v>
      </c>
      <c r="F238" s="7">
        <f>INDEX('2015 Data Summary-Datalockdown'!$E$5:$E$247,MATCH('Cost Bands for 2017 MFAM'!B238,'2015 Data Summary-Datalockdown'!$B$5:$B$247,0))</f>
        <v>103060.69</v>
      </c>
      <c r="G238" s="7">
        <f>INDEX('2015 Data Summary-Datalockdown'!$F$5:$F$247,MATCH('Cost Bands for 2017 MFAM'!B238,'2015 Data Summary-Datalockdown'!$B$5:$B$247,0))</f>
        <v>60</v>
      </c>
      <c r="H238" s="7">
        <f t="shared" si="46"/>
        <v>103000.69</v>
      </c>
      <c r="I238" s="6">
        <f t="shared" si="47"/>
        <v>711.7731324718402</v>
      </c>
      <c r="J238" s="6">
        <f t="shared" si="48"/>
        <v>711.7731324718402</v>
      </c>
      <c r="K238" s="5">
        <f t="shared" si="49"/>
        <v>103000.69</v>
      </c>
      <c r="L238" s="4">
        <f t="shared" si="40"/>
        <v>0</v>
      </c>
      <c r="M238" s="2">
        <f t="shared" si="41"/>
        <v>506.63352595890353</v>
      </c>
      <c r="N238" s="1">
        <f t="shared" si="42"/>
        <v>32</v>
      </c>
      <c r="O238" s="3">
        <f t="shared" si="52"/>
        <v>42082.258160282487</v>
      </c>
      <c r="P238" s="2">
        <f t="shared" si="44"/>
        <v>419.81448960973887</v>
      </c>
      <c r="Q238" s="2">
        <f t="shared" si="51"/>
        <v>-31.380390438764721</v>
      </c>
      <c r="R238" s="2">
        <f t="shared" si="51"/>
        <v>1044.6474423565719</v>
      </c>
      <c r="S238" s="2">
        <f t="shared" si="45"/>
        <v>711.7731324718402</v>
      </c>
    </row>
    <row r="239" spans="2:19" x14ac:dyDescent="0.25">
      <c r="B239" s="93">
        <v>567</v>
      </c>
      <c r="C239" s="93">
        <v>9</v>
      </c>
      <c r="D239" s="94" t="s">
        <v>356</v>
      </c>
      <c r="E239" s="8">
        <f>INDEX('From 2015 DataLockdown'!$M$5:$M$247,MATCH('Cost Bands for 2017 MFAM'!B239,'From 2015 DataLockdown'!$A$5:$A$247,0))</f>
        <v>347.80946100780557</v>
      </c>
      <c r="F239" s="7">
        <f>INDEX('2015 Data Summary-Datalockdown'!$E$5:$E$247,MATCH('Cost Bands for 2017 MFAM'!B239,'2015 Data Summary-Datalockdown'!$B$5:$B$247,0))</f>
        <v>216661.49</v>
      </c>
      <c r="G239" s="7">
        <f>INDEX('2015 Data Summary-Datalockdown'!$F$5:$F$247,MATCH('Cost Bands for 2017 MFAM'!B239,'2015 Data Summary-Datalockdown'!$B$5:$B$247,0))</f>
        <v>310</v>
      </c>
      <c r="H239" s="7">
        <f t="shared" si="46"/>
        <v>216351.49</v>
      </c>
      <c r="I239" s="6">
        <f t="shared" si="47"/>
        <v>622.04026702753958</v>
      </c>
      <c r="J239" s="6">
        <f t="shared" si="48"/>
        <v>622.04026702753958</v>
      </c>
      <c r="K239" s="5">
        <f t="shared" si="49"/>
        <v>216351.49</v>
      </c>
      <c r="L239" s="4">
        <f t="shared" si="40"/>
        <v>0</v>
      </c>
      <c r="M239" s="2">
        <f t="shared" si="41"/>
        <v>506.63352595890353</v>
      </c>
      <c r="N239" s="1">
        <f t="shared" si="42"/>
        <v>32</v>
      </c>
      <c r="O239" s="3">
        <f t="shared" si="52"/>
        <v>13318.715884083207</v>
      </c>
      <c r="P239" s="2">
        <f t="shared" si="44"/>
        <v>419.81448960973887</v>
      </c>
      <c r="Q239" s="2">
        <f t="shared" si="51"/>
        <v>-31.380390438764721</v>
      </c>
      <c r="R239" s="2">
        <f t="shared" si="51"/>
        <v>1044.6474423565719</v>
      </c>
      <c r="S239" s="2">
        <f t="shared" si="45"/>
        <v>622.04026702753958</v>
      </c>
    </row>
    <row r="240" spans="2:19" x14ac:dyDescent="0.25">
      <c r="B240" s="93">
        <v>629</v>
      </c>
      <c r="C240" s="93">
        <v>9</v>
      </c>
      <c r="D240" s="94" t="s">
        <v>357</v>
      </c>
      <c r="E240" s="8">
        <f>INDEX('From 2015 DataLockdown'!$M$5:$M$247,MATCH('Cost Bands for 2017 MFAM'!B240,'From 2015 DataLockdown'!$A$5:$A$247,0))</f>
        <v>271.91966893335399</v>
      </c>
      <c r="F240" s="7">
        <f>INDEX('2015 Data Summary-Datalockdown'!$E$5:$E$247,MATCH('Cost Bands for 2017 MFAM'!B240,'2015 Data Summary-Datalockdown'!$B$5:$B$247,0))</f>
        <v>196610.17</v>
      </c>
      <c r="G240" s="7">
        <f>INDEX('2015 Data Summary-Datalockdown'!$F$5:$F$247,MATCH('Cost Bands for 2017 MFAM'!B240,'2015 Data Summary-Datalockdown'!$B$5:$B$247,0))</f>
        <v>2752.07</v>
      </c>
      <c r="H240" s="7">
        <f t="shared" si="46"/>
        <v>193858.1</v>
      </c>
      <c r="I240" s="6">
        <f t="shared" si="47"/>
        <v>712.9241542564306</v>
      </c>
      <c r="J240" s="6">
        <f t="shared" si="48"/>
        <v>712.9241542564306</v>
      </c>
      <c r="K240" s="5">
        <f t="shared" si="49"/>
        <v>193858.1</v>
      </c>
      <c r="L240" s="4">
        <f t="shared" si="40"/>
        <v>0</v>
      </c>
      <c r="M240" s="2">
        <f t="shared" si="41"/>
        <v>506.63352595890353</v>
      </c>
      <c r="N240" s="1">
        <f t="shared" si="42"/>
        <v>32</v>
      </c>
      <c r="O240" s="3">
        <f t="shared" si="52"/>
        <v>42555.823323388475</v>
      </c>
      <c r="P240" s="2">
        <f t="shared" si="44"/>
        <v>419.81448960973887</v>
      </c>
      <c r="Q240" s="2">
        <f t="shared" si="51"/>
        <v>-31.380390438764721</v>
      </c>
      <c r="R240" s="2">
        <f t="shared" si="51"/>
        <v>1044.6474423565719</v>
      </c>
      <c r="S240" s="2">
        <f t="shared" ref="S240:S248" si="53">IF(ISERROR(MAX(MIN(I240,R240),Q240)),R240,MAX(MIN(I240,R240),Q240))</f>
        <v>712.9241542564306</v>
      </c>
    </row>
    <row r="241" spans="2:19" x14ac:dyDescent="0.25">
      <c r="B241" s="93">
        <v>630</v>
      </c>
      <c r="C241" s="93">
        <v>9</v>
      </c>
      <c r="D241" s="94" t="s">
        <v>358</v>
      </c>
      <c r="E241" s="8">
        <f>INDEX('From 2015 DataLockdown'!$M$5:$M$247,MATCH('Cost Bands for 2017 MFAM'!B241,'From 2015 DataLockdown'!$A$5:$A$247,0))</f>
        <v>170.30421848518847</v>
      </c>
      <c r="F241" s="7">
        <f>INDEX('2015 Data Summary-Datalockdown'!$E$5:$E$247,MATCH('Cost Bands for 2017 MFAM'!B241,'2015 Data Summary-Datalockdown'!$B$5:$B$247,0))</f>
        <v>209074.16</v>
      </c>
      <c r="G241" s="7">
        <f>INDEX('2015 Data Summary-Datalockdown'!$F$5:$F$247,MATCH('Cost Bands for 2017 MFAM'!B241,'2015 Data Summary-Datalockdown'!$B$5:$B$247,0))</f>
        <v>2843.24</v>
      </c>
      <c r="H241" s="7">
        <f t="shared" si="46"/>
        <v>206230.92</v>
      </c>
      <c r="I241" s="6">
        <f t="shared" si="47"/>
        <v>1210.9560281851511</v>
      </c>
      <c r="J241" s="6">
        <f t="shared" si="48"/>
        <v>1044.6474423565719</v>
      </c>
      <c r="K241" s="5">
        <f t="shared" si="49"/>
        <v>177907.86626308694</v>
      </c>
      <c r="L241" s="4">
        <f t="shared" si="40"/>
        <v>0</v>
      </c>
      <c r="M241" s="2">
        <f t="shared" si="41"/>
        <v>506.63352595890353</v>
      </c>
      <c r="N241" s="1">
        <f t="shared" si="42"/>
        <v>32</v>
      </c>
      <c r="O241" s="3">
        <f t="shared" si="52"/>
        <v>496070.18714224256</v>
      </c>
      <c r="P241" s="2">
        <f t="shared" si="44"/>
        <v>419.81448960973887</v>
      </c>
      <c r="Q241" s="2">
        <f t="shared" ref="Q241:R248" si="54">NORMINV(Q$4,$M241,$P241)</f>
        <v>-31.380390438764721</v>
      </c>
      <c r="R241" s="2">
        <f t="shared" si="54"/>
        <v>1044.6474423565719</v>
      </c>
      <c r="S241" s="2">
        <f t="shared" si="53"/>
        <v>1044.6474423565719</v>
      </c>
    </row>
    <row r="242" spans="2:19" x14ac:dyDescent="0.25">
      <c r="B242" s="93">
        <v>695</v>
      </c>
      <c r="C242" s="93">
        <v>9</v>
      </c>
      <c r="D242" s="94" t="s">
        <v>359</v>
      </c>
      <c r="E242" s="8">
        <f>INDEX('From 2015 DataLockdown'!$M$5:$M$247,MATCH('Cost Bands for 2017 MFAM'!B242,'From 2015 DataLockdown'!$A$5:$A$247,0))</f>
        <v>31.288449442627645</v>
      </c>
      <c r="F242" s="7">
        <f>INDEX('2015 Data Summary-Datalockdown'!$E$5:$E$247,MATCH('Cost Bands for 2017 MFAM'!B242,'2015 Data Summary-Datalockdown'!$B$5:$B$247,0))</f>
        <v>15992.82</v>
      </c>
      <c r="G242" s="7">
        <f>INDEX('2015 Data Summary-Datalockdown'!$F$5:$F$247,MATCH('Cost Bands for 2017 MFAM'!B242,'2015 Data Summary-Datalockdown'!$B$5:$B$247,0))</f>
        <v>0</v>
      </c>
      <c r="H242" s="7">
        <f t="shared" si="46"/>
        <v>15992.82</v>
      </c>
      <c r="I242" s="6">
        <f t="shared" si="47"/>
        <v>511.14134081093988</v>
      </c>
      <c r="J242" s="6">
        <f t="shared" si="48"/>
        <v>511.14134081093988</v>
      </c>
      <c r="K242" s="5">
        <f t="shared" si="49"/>
        <v>15992.82</v>
      </c>
      <c r="L242" s="4">
        <f t="shared" ref="L242:L248" si="55">IF(ISERROR(I242),1,0)</f>
        <v>0</v>
      </c>
      <c r="M242" s="2">
        <f t="shared" si="41"/>
        <v>506.63352595890353</v>
      </c>
      <c r="N242" s="1">
        <f t="shared" si="42"/>
        <v>32</v>
      </c>
      <c r="O242" s="3">
        <f t="shared" si="52"/>
        <v>20.320394740239472</v>
      </c>
      <c r="P242" s="2">
        <f t="shared" si="44"/>
        <v>419.81448960973887</v>
      </c>
      <c r="Q242" s="2">
        <f t="shared" si="54"/>
        <v>-31.380390438764721</v>
      </c>
      <c r="R242" s="2">
        <f t="shared" si="54"/>
        <v>1044.6474423565719</v>
      </c>
      <c r="S242" s="2">
        <f t="shared" si="53"/>
        <v>511.14134081093988</v>
      </c>
    </row>
    <row r="243" spans="2:19" x14ac:dyDescent="0.25">
      <c r="B243" s="93">
        <v>771</v>
      </c>
      <c r="C243" s="93">
        <v>9</v>
      </c>
      <c r="D243" s="94" t="s">
        <v>360</v>
      </c>
      <c r="E243" s="8">
        <f>INDEX('From 2015 DataLockdown'!$M$5:$M$247,MATCH('Cost Bands for 2017 MFAM'!B243,'From 2015 DataLockdown'!$A$5:$A$247,0))</f>
        <v>185.835291947153</v>
      </c>
      <c r="F243" s="7">
        <f>INDEX('2015 Data Summary-Datalockdown'!$E$5:$E$247,MATCH('Cost Bands for 2017 MFAM'!B243,'2015 Data Summary-Datalockdown'!$B$5:$B$247,0))</f>
        <v>63131.15</v>
      </c>
      <c r="G243" s="7">
        <f>INDEX('2015 Data Summary-Datalockdown'!$F$5:$F$247,MATCH('Cost Bands for 2017 MFAM'!B243,'2015 Data Summary-Datalockdown'!$B$5:$B$247,0))</f>
        <v>30</v>
      </c>
      <c r="H243" s="7">
        <f t="shared" si="46"/>
        <v>63101.15</v>
      </c>
      <c r="I243" s="6">
        <f t="shared" si="47"/>
        <v>339.55417907350142</v>
      </c>
      <c r="J243" s="6">
        <f t="shared" si="48"/>
        <v>339.55417907350142</v>
      </c>
      <c r="K243" s="5">
        <f t="shared" si="49"/>
        <v>63101.15</v>
      </c>
      <c r="L243" s="4">
        <f t="shared" si="55"/>
        <v>0</v>
      </c>
      <c r="M243" s="2">
        <f t="shared" si="41"/>
        <v>506.63352595890353</v>
      </c>
      <c r="N243" s="1">
        <f t="shared" si="42"/>
        <v>32</v>
      </c>
      <c r="O243" s="3">
        <f t="shared" si="52"/>
        <v>27915.508155652529</v>
      </c>
      <c r="P243" s="2">
        <f t="shared" si="44"/>
        <v>419.81448960973887</v>
      </c>
      <c r="Q243" s="2">
        <f t="shared" si="54"/>
        <v>-31.380390438764721</v>
      </c>
      <c r="R243" s="2">
        <f t="shared" si="54"/>
        <v>1044.6474423565719</v>
      </c>
      <c r="S243" s="2">
        <f t="shared" si="53"/>
        <v>339.55417907350142</v>
      </c>
    </row>
    <row r="244" spans="2:19" x14ac:dyDescent="0.25">
      <c r="B244" s="93">
        <v>830</v>
      </c>
      <c r="C244" s="93">
        <v>9</v>
      </c>
      <c r="D244" s="94" t="s">
        <v>361</v>
      </c>
      <c r="E244" s="8">
        <f>INDEX('From 2015 DataLockdown'!$M$5:$M$247,MATCH('Cost Bands for 2017 MFAM'!B244,'From 2015 DataLockdown'!$A$5:$A$247,0))</f>
        <v>21.846106673549283</v>
      </c>
      <c r="F244" s="7">
        <f>INDEX('2015 Data Summary-Datalockdown'!$E$5:$E$247,MATCH('Cost Bands for 2017 MFAM'!B244,'2015 Data Summary-Datalockdown'!$B$5:$B$247,0))</f>
        <v>1029.9100000000001</v>
      </c>
      <c r="G244" s="7">
        <f>INDEX('2015 Data Summary-Datalockdown'!$F$5:$F$247,MATCH('Cost Bands for 2017 MFAM'!B244,'2015 Data Summary-Datalockdown'!$B$5:$B$247,0))</f>
        <v>0</v>
      </c>
      <c r="H244" s="7">
        <f t="shared" si="46"/>
        <v>1029.9100000000001</v>
      </c>
      <c r="I244" s="6">
        <f t="shared" si="47"/>
        <v>47.143869403832454</v>
      </c>
      <c r="J244" s="6">
        <f t="shared" si="48"/>
        <v>47.143869403832454</v>
      </c>
      <c r="K244" s="5">
        <f t="shared" si="49"/>
        <v>1029.9100000000001</v>
      </c>
      <c r="L244" s="4">
        <f t="shared" si="55"/>
        <v>0</v>
      </c>
      <c r="M244" s="2">
        <f t="shared" si="41"/>
        <v>506.63352595890353</v>
      </c>
      <c r="N244" s="1">
        <f t="shared" si="42"/>
        <v>32</v>
      </c>
      <c r="O244" s="3">
        <f t="shared" si="52"/>
        <v>211130.74448109715</v>
      </c>
      <c r="P244" s="2">
        <f t="shared" si="44"/>
        <v>419.81448960973887</v>
      </c>
      <c r="Q244" s="2">
        <f t="shared" si="54"/>
        <v>-31.380390438764721</v>
      </c>
      <c r="R244" s="2">
        <f t="shared" si="54"/>
        <v>1044.6474423565719</v>
      </c>
      <c r="S244" s="2">
        <f t="shared" si="53"/>
        <v>47.143869403832454</v>
      </c>
    </row>
    <row r="245" spans="2:19" x14ac:dyDescent="0.25">
      <c r="B245" s="93">
        <v>936</v>
      </c>
      <c r="C245" s="93">
        <v>9</v>
      </c>
      <c r="D245" s="94" t="s">
        <v>362</v>
      </c>
      <c r="E245" s="8">
        <f>INDEX('From 2015 DataLockdown'!$M$5:$M$247,MATCH('Cost Bands for 2017 MFAM'!B245,'From 2015 DataLockdown'!$A$5:$A$247,0))</f>
        <v>30.127284316592274</v>
      </c>
      <c r="F245" s="7">
        <f>INDEX('2015 Data Summary-Datalockdown'!$E$5:$E$247,MATCH('Cost Bands for 2017 MFAM'!B245,'2015 Data Summary-Datalockdown'!$B$5:$B$247,0))</f>
        <v>49010.21</v>
      </c>
      <c r="G245" s="7">
        <f>INDEX('2015 Data Summary-Datalockdown'!$F$5:$F$247,MATCH('Cost Bands for 2017 MFAM'!B245,'2015 Data Summary-Datalockdown'!$B$5:$B$247,0))</f>
        <v>0</v>
      </c>
      <c r="H245" s="7">
        <f t="shared" si="46"/>
        <v>49010.21</v>
      </c>
      <c r="I245" s="6">
        <f t="shared" si="47"/>
        <v>1626.7715830267568</v>
      </c>
      <c r="J245" s="6">
        <f t="shared" si="48"/>
        <v>1044.6474423565719</v>
      </c>
      <c r="K245" s="5">
        <f t="shared" si="49"/>
        <v>31472.390506477379</v>
      </c>
      <c r="L245" s="4">
        <f t="shared" si="55"/>
        <v>0</v>
      </c>
      <c r="M245" s="2">
        <f t="shared" si="41"/>
        <v>506.63352595890353</v>
      </c>
      <c r="N245" s="1">
        <f t="shared" si="42"/>
        <v>32</v>
      </c>
      <c r="O245" s="3">
        <f t="shared" si="52"/>
        <v>1254709.2668917456</v>
      </c>
      <c r="P245" s="2">
        <f t="shared" si="44"/>
        <v>419.81448960973887</v>
      </c>
      <c r="Q245" s="2">
        <f t="shared" si="54"/>
        <v>-31.380390438764721</v>
      </c>
      <c r="R245" s="2">
        <f t="shared" si="54"/>
        <v>1044.6474423565719</v>
      </c>
      <c r="S245" s="2">
        <f t="shared" si="53"/>
        <v>1044.6474423565719</v>
      </c>
    </row>
    <row r="246" spans="2:19" x14ac:dyDescent="0.25">
      <c r="B246" s="93">
        <v>952</v>
      </c>
      <c r="C246" s="93">
        <v>9</v>
      </c>
      <c r="D246" s="94" t="s">
        <v>363</v>
      </c>
      <c r="E246" s="8">
        <f>INDEX('From 2015 DataLockdown'!$M$5:$M$247,MATCH('Cost Bands for 2017 MFAM'!B246,'From 2015 DataLockdown'!$A$5:$A$247,0))</f>
        <v>72.757346618170089</v>
      </c>
      <c r="F246" s="7">
        <f>INDEX('2015 Data Summary-Datalockdown'!$E$5:$E$247,MATCH('Cost Bands for 2017 MFAM'!B246,'2015 Data Summary-Datalockdown'!$B$5:$B$247,0))</f>
        <v>95781.79</v>
      </c>
      <c r="G246" s="7">
        <f>INDEX('2015 Data Summary-Datalockdown'!$F$5:$F$247,MATCH('Cost Bands for 2017 MFAM'!B246,'2015 Data Summary-Datalockdown'!$B$5:$B$247,0))</f>
        <v>3406.5</v>
      </c>
      <c r="H246" s="7">
        <f t="shared" si="46"/>
        <v>92375.29</v>
      </c>
      <c r="I246" s="6">
        <f t="shared" si="47"/>
        <v>1269.6352230213217</v>
      </c>
      <c r="J246" s="6">
        <f t="shared" si="48"/>
        <v>1044.6474423565719</v>
      </c>
      <c r="K246" s="5">
        <f t="shared" si="49"/>
        <v>76005.776057321957</v>
      </c>
      <c r="L246" s="4">
        <f t="shared" si="55"/>
        <v>0</v>
      </c>
      <c r="M246" s="2">
        <f t="shared" si="41"/>
        <v>506.63352595890353</v>
      </c>
      <c r="N246" s="1">
        <f t="shared" si="42"/>
        <v>32</v>
      </c>
      <c r="O246" s="3">
        <f t="shared" si="52"/>
        <v>582171.5897201302</v>
      </c>
      <c r="P246" s="2">
        <f t="shared" si="44"/>
        <v>419.81448960973887</v>
      </c>
      <c r="Q246" s="2">
        <f t="shared" si="54"/>
        <v>-31.380390438764721</v>
      </c>
      <c r="R246" s="2">
        <f t="shared" si="54"/>
        <v>1044.6474423565719</v>
      </c>
      <c r="S246" s="2">
        <f t="shared" si="53"/>
        <v>1044.6474423565719</v>
      </c>
    </row>
    <row r="247" spans="2:19" x14ac:dyDescent="0.25">
      <c r="B247" s="1">
        <v>982</v>
      </c>
      <c r="C247" s="1">
        <v>9</v>
      </c>
      <c r="D247" t="s">
        <v>364</v>
      </c>
      <c r="E247" s="8">
        <f>INDEX('From 2015 DataLockdown'!$M$5:$M$247,MATCH('Cost Bands for 2017 MFAM'!B247,'From 2015 DataLockdown'!$A$5:$A$247,0))</f>
        <v>70.90277271653035</v>
      </c>
      <c r="F247" s="7">
        <f>INDEX('2015 Data Summary-Datalockdown'!$E$5:$E$247,MATCH('Cost Bands for 2017 MFAM'!B247,'2015 Data Summary-Datalockdown'!$B$5:$B$247,0))</f>
        <v>13878.06</v>
      </c>
      <c r="G247" s="7">
        <f>INDEX('2015 Data Summary-Datalockdown'!$F$5:$F$247,MATCH('Cost Bands for 2017 MFAM'!B247,'2015 Data Summary-Datalockdown'!$B$5:$B$247,0))</f>
        <v>0</v>
      </c>
      <c r="H247" s="7">
        <f t="shared" si="46"/>
        <v>13878.06</v>
      </c>
      <c r="I247" s="6">
        <f t="shared" si="47"/>
        <v>195.73367117086599</v>
      </c>
      <c r="J247" s="6">
        <f t="shared" si="48"/>
        <v>195.73367117086599</v>
      </c>
      <c r="K247" s="5">
        <f t="shared" si="49"/>
        <v>13878.06</v>
      </c>
      <c r="L247" s="4">
        <f t="shared" si="55"/>
        <v>0</v>
      </c>
      <c r="M247" s="2">
        <f t="shared" si="41"/>
        <v>506.63352595890353</v>
      </c>
      <c r="N247" s="1">
        <f t="shared" si="42"/>
        <v>32</v>
      </c>
      <c r="O247" s="3">
        <f t="shared" si="52"/>
        <v>96658.71970722283</v>
      </c>
      <c r="P247" s="2">
        <f t="shared" si="44"/>
        <v>419.81448960973887</v>
      </c>
      <c r="Q247" s="2">
        <f t="shared" si="54"/>
        <v>-31.380390438764721</v>
      </c>
      <c r="R247" s="2">
        <f t="shared" si="54"/>
        <v>1044.6474423565719</v>
      </c>
      <c r="S247" s="2">
        <f t="shared" si="53"/>
        <v>195.73367117086599</v>
      </c>
    </row>
    <row r="248" spans="2:19" x14ac:dyDescent="0.25">
      <c r="B248" s="1">
        <v>987</v>
      </c>
      <c r="C248" s="1">
        <v>9</v>
      </c>
      <c r="D248" t="s">
        <v>365</v>
      </c>
      <c r="E248" s="8">
        <f>INDEX('From 2015 DataLockdown'!$M$5:$M$247,MATCH('Cost Bands for 2017 MFAM'!B248,'From 2015 DataLockdown'!$A$5:$A$247,0))</f>
        <v>179.59000000000003</v>
      </c>
      <c r="F248" s="7">
        <f>INDEX('2015 Data Summary-Datalockdown'!$E$5:$E$247,MATCH('Cost Bands for 2017 MFAM'!B248,'2015 Data Summary-Datalockdown'!$B$5:$B$247,0))</f>
        <v>48445.67</v>
      </c>
      <c r="G248" s="7">
        <f>INDEX('2015 Data Summary-Datalockdown'!$F$5:$F$247,MATCH('Cost Bands for 2017 MFAM'!B248,'2015 Data Summary-Datalockdown'!$B$5:$B$247,0))</f>
        <v>0</v>
      </c>
      <c r="H248" s="7">
        <f t="shared" si="46"/>
        <v>48445.67</v>
      </c>
      <c r="I248" s="6">
        <f t="shared" si="47"/>
        <v>269.75705774263594</v>
      </c>
      <c r="J248" s="6">
        <f t="shared" si="48"/>
        <v>269.75705774263594</v>
      </c>
      <c r="K248" s="5">
        <f t="shared" si="49"/>
        <v>48445.67</v>
      </c>
      <c r="L248" s="4">
        <f t="shared" si="55"/>
        <v>0</v>
      </c>
      <c r="M248" s="2">
        <f t="shared" si="41"/>
        <v>506.63352595890353</v>
      </c>
      <c r="N248" s="1">
        <f t="shared" si="42"/>
        <v>32</v>
      </c>
      <c r="O248" s="3">
        <f t="shared" si="52"/>
        <v>56110.461194612435</v>
      </c>
      <c r="P248" s="2">
        <f t="shared" si="44"/>
        <v>419.81448960973887</v>
      </c>
      <c r="Q248" s="2">
        <f t="shared" si="54"/>
        <v>-31.380390438764721</v>
      </c>
      <c r="R248" s="2">
        <f t="shared" si="54"/>
        <v>1044.6474423565719</v>
      </c>
      <c r="S248" s="2">
        <f t="shared" si="53"/>
        <v>269.75705774263594</v>
      </c>
    </row>
  </sheetData>
  <conditionalFormatting sqref="E6:S248">
    <cfRule type="expression" dxfId="11" priority="7">
      <formula>$C6&lt;&gt;$C5</formula>
    </cfRule>
  </conditionalFormatting>
  <conditionalFormatting sqref="J6:J248">
    <cfRule type="expression" dxfId="10" priority="5">
      <formula>$J6&lt;$I6=TRUE</formula>
    </cfRule>
  </conditionalFormatting>
  <conditionalFormatting sqref="B51:D77 B151:D163 B165:D170 B214:D236 B84:D149 B79:D81 B172:D182 B184:D212 B6:D49">
    <cfRule type="expression" dxfId="9" priority="1">
      <formula>$C6&lt;&gt;$C5</formula>
    </cfRule>
  </conditionalFormatting>
  <conditionalFormatting sqref="B50:D50 B78:D78 B164:D164 B213:D213 B82:D82 B183:D183">
    <cfRule type="expression" dxfId="8" priority="2">
      <formula>$C50&lt;&gt;$C48</formula>
    </cfRule>
  </conditionalFormatting>
  <conditionalFormatting sqref="B150:D150 B171:D171">
    <cfRule type="expression" dxfId="7" priority="3">
      <formula>$C150&lt;&gt;#REF!</formula>
    </cfRule>
  </conditionalFormatting>
  <conditionalFormatting sqref="B83:D83">
    <cfRule type="expression" dxfId="6" priority="4">
      <formula>$C83&lt;&gt;$C80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47"/>
  <sheetViews>
    <sheetView workbookViewId="0">
      <selection activeCell="C28" sqref="C28"/>
    </sheetView>
  </sheetViews>
  <sheetFormatPr defaultColWidth="8.5703125" defaultRowHeight="15" x14ac:dyDescent="0.25"/>
  <cols>
    <col min="1" max="2" width="8.5703125" style="19" customWidth="1"/>
    <col min="3" max="3" width="50.5703125" style="29" customWidth="1"/>
    <col min="4" max="7" width="12.5703125" customWidth="1"/>
    <col min="8" max="9" width="12.5703125" style="31" customWidth="1"/>
    <col min="10" max="11" width="9.5703125" customWidth="1"/>
    <col min="12" max="13" width="12.5703125" customWidth="1"/>
    <col min="14" max="14" width="4.5703125" customWidth="1"/>
    <col min="15" max="16" width="12.5703125" customWidth="1"/>
  </cols>
  <sheetData>
    <row r="1" spans="1:16" x14ac:dyDescent="0.25">
      <c r="C1" s="24"/>
      <c r="F1" s="25">
        <v>59616.56498174835</v>
      </c>
      <c r="H1" s="26">
        <v>1</v>
      </c>
      <c r="I1" s="27">
        <v>0.1246571269564154</v>
      </c>
      <c r="J1" s="22" t="s">
        <v>15</v>
      </c>
      <c r="K1" s="22">
        <v>0.02</v>
      </c>
      <c r="M1" s="25">
        <v>89193.886649015592</v>
      </c>
    </row>
    <row r="2" spans="1:16" x14ac:dyDescent="0.25">
      <c r="A2" s="28" t="s">
        <v>16</v>
      </c>
      <c r="F2" s="25">
        <v>40325.655198959343</v>
      </c>
      <c r="H2" s="26">
        <v>0</v>
      </c>
      <c r="I2" s="27">
        <v>9.9871995321414067E-2</v>
      </c>
      <c r="J2" s="22" t="s">
        <v>17</v>
      </c>
      <c r="K2" s="22">
        <v>0.25</v>
      </c>
      <c r="M2" s="22"/>
    </row>
    <row r="3" spans="1:16" ht="15.75" thickBot="1" x14ac:dyDescent="0.3">
      <c r="D3" s="25">
        <v>897952.09999999963</v>
      </c>
      <c r="E3" s="25">
        <v>43678.85</v>
      </c>
      <c r="F3" s="25">
        <v>806361.68000000017</v>
      </c>
      <c r="G3" s="30">
        <v>84768203.569999993</v>
      </c>
      <c r="L3" s="25"/>
      <c r="M3" s="25">
        <v>852437.06335098401</v>
      </c>
      <c r="N3" s="25">
        <v>0</v>
      </c>
      <c r="O3" s="30">
        <v>1024637.4300000002</v>
      </c>
      <c r="P3" s="30">
        <v>85792840.999999985</v>
      </c>
    </row>
    <row r="4" spans="1:16" ht="30.75" thickBot="1" x14ac:dyDescent="0.3">
      <c r="A4" s="32" t="s">
        <v>11</v>
      </c>
      <c r="B4" s="32" t="s">
        <v>10</v>
      </c>
      <c r="C4" s="32" t="s">
        <v>9</v>
      </c>
      <c r="D4" s="32" t="s">
        <v>18</v>
      </c>
      <c r="E4" s="32" t="s">
        <v>19</v>
      </c>
      <c r="F4" s="32" t="s">
        <v>20</v>
      </c>
      <c r="G4" s="32" t="s">
        <v>21</v>
      </c>
      <c r="H4" s="33" t="s">
        <v>22</v>
      </c>
      <c r="I4" s="33" t="s">
        <v>23</v>
      </c>
      <c r="J4" s="32" t="s">
        <v>24</v>
      </c>
      <c r="K4" s="32" t="s">
        <v>25</v>
      </c>
      <c r="L4" s="32" t="s">
        <v>26</v>
      </c>
      <c r="M4" s="32" t="s">
        <v>27</v>
      </c>
      <c r="O4" s="32" t="s">
        <v>28</v>
      </c>
      <c r="P4" s="32" t="s">
        <v>29</v>
      </c>
    </row>
    <row r="5" spans="1:16" x14ac:dyDescent="0.25">
      <c r="A5" s="34">
        <v>1</v>
      </c>
      <c r="B5" s="34">
        <v>1</v>
      </c>
      <c r="C5" s="35" t="s">
        <v>125</v>
      </c>
      <c r="D5" s="36">
        <v>46519.31</v>
      </c>
      <c r="E5" s="36">
        <v>683.56</v>
      </c>
      <c r="F5" s="36">
        <v>43108.04</v>
      </c>
      <c r="G5" s="37">
        <v>1270024.5999999999</v>
      </c>
      <c r="H5" s="38">
        <v>1</v>
      </c>
      <c r="I5" s="39">
        <v>1</v>
      </c>
      <c r="J5" s="40">
        <v>8.6749598064693845E-2</v>
      </c>
      <c r="K5" s="40">
        <v>8.6749598064693845E-2</v>
      </c>
      <c r="L5" s="41">
        <v>0</v>
      </c>
      <c r="M5" s="36">
        <v>43108.04</v>
      </c>
      <c r="N5" s="36"/>
      <c r="O5" s="37">
        <v>21676.84</v>
      </c>
      <c r="P5" s="37">
        <v>1291701.44</v>
      </c>
    </row>
    <row r="6" spans="1:16" x14ac:dyDescent="0.25">
      <c r="A6" s="42">
        <v>20</v>
      </c>
      <c r="B6" s="42">
        <v>1</v>
      </c>
      <c r="C6" s="43" t="s">
        <v>126</v>
      </c>
      <c r="D6" s="36">
        <v>198987.37</v>
      </c>
      <c r="E6" s="36">
        <v>0</v>
      </c>
      <c r="F6" s="36">
        <v>136458.23000000004</v>
      </c>
      <c r="G6" s="37">
        <v>17293469.969999999</v>
      </c>
      <c r="H6" s="38">
        <v>1</v>
      </c>
      <c r="I6" s="39">
        <v>0</v>
      </c>
      <c r="J6" s="40">
        <v>0.31423672768779221</v>
      </c>
      <c r="K6" s="40">
        <v>0.1246571269564154</v>
      </c>
      <c r="L6" s="44">
        <v>136458.23000000004</v>
      </c>
      <c r="M6" s="36">
        <v>136458.23000000004</v>
      </c>
      <c r="N6" s="36"/>
      <c r="O6" s="37">
        <v>0</v>
      </c>
      <c r="P6" s="37">
        <v>17293469.969999999</v>
      </c>
    </row>
    <row r="7" spans="1:16" x14ac:dyDescent="0.25">
      <c r="A7" s="42">
        <v>50</v>
      </c>
      <c r="B7" s="42">
        <v>1</v>
      </c>
      <c r="C7" s="43" t="s">
        <v>127</v>
      </c>
      <c r="D7" s="36">
        <v>24961.31</v>
      </c>
      <c r="E7" s="36">
        <v>588</v>
      </c>
      <c r="F7" s="36">
        <v>23338.46</v>
      </c>
      <c r="G7" s="37">
        <v>3075797.59</v>
      </c>
      <c r="H7" s="38">
        <v>0</v>
      </c>
      <c r="I7" s="39">
        <v>1</v>
      </c>
      <c r="J7" s="40">
        <v>8.6532669571115703E-2</v>
      </c>
      <c r="K7" s="40">
        <v>8.6532669571115703E-2</v>
      </c>
      <c r="L7" s="41">
        <v>0</v>
      </c>
      <c r="M7" s="36">
        <v>23338.46</v>
      </c>
      <c r="N7" s="36"/>
      <c r="O7" s="37">
        <v>14090.74</v>
      </c>
      <c r="P7" s="37">
        <v>3089888.33</v>
      </c>
    </row>
    <row r="8" spans="1:16" x14ac:dyDescent="0.25">
      <c r="A8" s="42">
        <v>97</v>
      </c>
      <c r="B8" s="42">
        <v>1</v>
      </c>
      <c r="C8" s="43" t="s">
        <v>128</v>
      </c>
      <c r="D8" s="36">
        <v>82073.259999999995</v>
      </c>
      <c r="E8" s="36">
        <v>1416.3300000000002</v>
      </c>
      <c r="F8" s="36">
        <v>72832.329999999987</v>
      </c>
      <c r="G8" s="37">
        <v>7418993.1099999994</v>
      </c>
      <c r="H8" s="38">
        <v>1</v>
      </c>
      <c r="I8" s="39">
        <v>1</v>
      </c>
      <c r="J8" s="40">
        <v>0.12764777021901785</v>
      </c>
      <c r="K8" s="40">
        <v>0.12764777021901785</v>
      </c>
      <c r="L8" s="41">
        <v>0</v>
      </c>
      <c r="M8" s="36">
        <v>72832.329999999987</v>
      </c>
      <c r="N8" s="36"/>
      <c r="O8" s="37">
        <v>116903.62999999999</v>
      </c>
      <c r="P8" s="37">
        <v>7535896.7399999993</v>
      </c>
    </row>
    <row r="9" spans="1:16" x14ac:dyDescent="0.25">
      <c r="A9" s="42">
        <v>172</v>
      </c>
      <c r="B9" s="42">
        <v>1</v>
      </c>
      <c r="C9" s="43" t="s">
        <v>129</v>
      </c>
      <c r="D9" s="36">
        <v>41676.879999999997</v>
      </c>
      <c r="E9" s="36">
        <v>1320.16</v>
      </c>
      <c r="F9" s="36">
        <v>38132.259999999995</v>
      </c>
      <c r="G9" s="37">
        <v>4055316.6399999997</v>
      </c>
      <c r="H9" s="38">
        <v>0</v>
      </c>
      <c r="I9" s="39">
        <v>1</v>
      </c>
      <c r="J9" s="40">
        <v>0.11314220699843539</v>
      </c>
      <c r="K9" s="40">
        <v>0.11314220699843539</v>
      </c>
      <c r="L9" s="41">
        <v>0</v>
      </c>
      <c r="M9" s="36">
        <v>38132.259999999995</v>
      </c>
      <c r="N9" s="36"/>
      <c r="O9" s="37">
        <v>0</v>
      </c>
      <c r="P9" s="37">
        <v>4055316.6399999997</v>
      </c>
    </row>
    <row r="10" spans="1:16" x14ac:dyDescent="0.25">
      <c r="A10" s="45">
        <v>270</v>
      </c>
      <c r="B10" s="45">
        <v>1</v>
      </c>
      <c r="C10" s="46" t="s">
        <v>130</v>
      </c>
      <c r="D10" s="47">
        <v>96448.75999999998</v>
      </c>
      <c r="E10" s="47">
        <v>2370.62</v>
      </c>
      <c r="F10" s="47">
        <v>84973.780000000013</v>
      </c>
      <c r="G10" s="48">
        <v>9271070.5599999987</v>
      </c>
      <c r="H10" s="49">
        <v>1</v>
      </c>
      <c r="I10" s="50">
        <v>1</v>
      </c>
      <c r="J10" s="51">
        <v>0.14011016867339146</v>
      </c>
      <c r="K10" s="51">
        <v>0.14011016867339146</v>
      </c>
      <c r="L10" s="52">
        <v>0</v>
      </c>
      <c r="M10" s="47">
        <v>84973.780000000013</v>
      </c>
      <c r="N10" s="47"/>
      <c r="O10" s="48">
        <v>125731.23</v>
      </c>
      <c r="P10" s="48">
        <v>9396801.7899999991</v>
      </c>
    </row>
    <row r="11" spans="1:16" x14ac:dyDescent="0.25">
      <c r="A11" s="53">
        <v>6</v>
      </c>
      <c r="B11" s="53">
        <v>2</v>
      </c>
      <c r="C11" s="54" t="s">
        <v>131</v>
      </c>
      <c r="D11" s="55">
        <v>47616.100000000006</v>
      </c>
      <c r="E11" s="55">
        <v>573.58000000000004</v>
      </c>
      <c r="F11" s="55">
        <v>44091</v>
      </c>
      <c r="G11" s="56">
        <v>4955273</v>
      </c>
      <c r="H11" s="57">
        <v>0</v>
      </c>
      <c r="I11" s="58">
        <v>1</v>
      </c>
      <c r="J11" s="59">
        <v>8.5053065303608719E-2</v>
      </c>
      <c r="K11" s="59">
        <v>8.5053065303608719E-2</v>
      </c>
      <c r="L11" s="60">
        <v>0</v>
      </c>
      <c r="M11" s="55">
        <v>44091</v>
      </c>
      <c r="N11" s="55"/>
      <c r="O11" s="56">
        <v>21360.73</v>
      </c>
      <c r="P11" s="56">
        <v>4976633.7300000004</v>
      </c>
    </row>
    <row r="12" spans="1:16" x14ac:dyDescent="0.25">
      <c r="A12" s="42">
        <v>18</v>
      </c>
      <c r="B12" s="42">
        <v>2</v>
      </c>
      <c r="C12" s="43" t="s">
        <v>132</v>
      </c>
      <c r="D12" s="36">
        <v>26502.31</v>
      </c>
      <c r="E12" s="36">
        <v>561.75</v>
      </c>
      <c r="F12" s="36">
        <v>23715.48</v>
      </c>
      <c r="G12" s="37">
        <v>2984627.7900000005</v>
      </c>
      <c r="H12" s="38">
        <v>0</v>
      </c>
      <c r="I12" s="39">
        <v>1</v>
      </c>
      <c r="J12" s="40">
        <v>0.12372792552189145</v>
      </c>
      <c r="K12" s="40">
        <v>0.12372792552189145</v>
      </c>
      <c r="L12" s="41">
        <v>0</v>
      </c>
      <c r="M12" s="36">
        <v>23715.48</v>
      </c>
      <c r="N12" s="36"/>
      <c r="O12" s="37">
        <v>58299.37</v>
      </c>
      <c r="P12" s="37">
        <v>3042927.1600000006</v>
      </c>
    </row>
    <row r="13" spans="1:16" x14ac:dyDescent="0.25">
      <c r="A13" s="42">
        <v>53</v>
      </c>
      <c r="B13" s="42">
        <v>2</v>
      </c>
      <c r="C13" s="43" t="s">
        <v>133</v>
      </c>
      <c r="D13" s="36">
        <v>33228.78</v>
      </c>
      <c r="E13" s="36">
        <v>605.97</v>
      </c>
      <c r="F13" s="36">
        <v>33225.47</v>
      </c>
      <c r="G13" s="37">
        <v>3629057.59</v>
      </c>
      <c r="H13" s="38">
        <v>0</v>
      </c>
      <c r="I13" s="39">
        <v>0</v>
      </c>
      <c r="J13" s="40">
        <v>1.8007521852533234E-2</v>
      </c>
      <c r="K13" s="40">
        <v>0.02</v>
      </c>
      <c r="L13" s="41">
        <v>0</v>
      </c>
      <c r="M13" s="36">
        <v>33158.055</v>
      </c>
      <c r="N13" s="36"/>
      <c r="O13" s="37">
        <v>0</v>
      </c>
      <c r="P13" s="37">
        <v>3629057.59</v>
      </c>
    </row>
    <row r="14" spans="1:16" x14ac:dyDescent="0.25">
      <c r="A14" s="42">
        <v>335</v>
      </c>
      <c r="B14" s="42">
        <v>2</v>
      </c>
      <c r="C14" s="43" t="s">
        <v>134</v>
      </c>
      <c r="D14" s="36">
        <v>23958.43</v>
      </c>
      <c r="E14" s="36">
        <v>1687.7</v>
      </c>
      <c r="F14" s="36">
        <v>24977.67</v>
      </c>
      <c r="G14" s="37">
        <v>2967462.8899999997</v>
      </c>
      <c r="H14" s="38">
        <v>0</v>
      </c>
      <c r="I14" s="39">
        <v>0</v>
      </c>
      <c r="J14" s="40">
        <v>2.6064751289960813E-2</v>
      </c>
      <c r="K14" s="40">
        <v>2.6064751289960813E-2</v>
      </c>
      <c r="L14" s="41">
        <v>0</v>
      </c>
      <c r="M14" s="36">
        <v>24977.67</v>
      </c>
      <c r="N14" s="36"/>
      <c r="O14" s="37">
        <v>43835.360000000001</v>
      </c>
      <c r="P14" s="37">
        <v>3011298.2499999995</v>
      </c>
    </row>
    <row r="15" spans="1:16" x14ac:dyDescent="0.25">
      <c r="A15" s="42">
        <v>357</v>
      </c>
      <c r="B15" s="42">
        <v>2</v>
      </c>
      <c r="C15" s="43" t="s">
        <v>135</v>
      </c>
      <c r="D15" s="36">
        <v>36567.72</v>
      </c>
      <c r="E15" s="36">
        <v>746.12999999999977</v>
      </c>
      <c r="F15" s="36">
        <v>37374.909999999996</v>
      </c>
      <c r="G15" s="37">
        <v>4196065.6900000004</v>
      </c>
      <c r="H15" s="38">
        <v>0</v>
      </c>
      <c r="I15" s="61">
        <v>0</v>
      </c>
      <c r="J15" s="40" t="s">
        <v>116</v>
      </c>
      <c r="K15" s="40">
        <v>9.9871995321414067E-2</v>
      </c>
      <c r="L15" s="41">
        <v>0</v>
      </c>
      <c r="M15" s="36">
        <v>37374.909999999996</v>
      </c>
      <c r="N15" s="36"/>
      <c r="O15" s="37">
        <v>44533.36</v>
      </c>
      <c r="P15" s="37">
        <v>4240599.0500000007</v>
      </c>
    </row>
    <row r="16" spans="1:16" x14ac:dyDescent="0.25">
      <c r="A16" s="45">
        <v>441</v>
      </c>
      <c r="B16" s="45">
        <v>2</v>
      </c>
      <c r="C16" s="46" t="s">
        <v>136</v>
      </c>
      <c r="D16" s="47">
        <v>65449.84</v>
      </c>
      <c r="E16" s="47">
        <v>181.88</v>
      </c>
      <c r="F16" s="47">
        <v>58897.530000000006</v>
      </c>
      <c r="G16" s="48">
        <v>7188798.1399999987</v>
      </c>
      <c r="H16" s="49">
        <v>0</v>
      </c>
      <c r="I16" s="50">
        <v>1</v>
      </c>
      <c r="J16" s="51">
        <v>0.10260572174552175</v>
      </c>
      <c r="K16" s="51">
        <v>0.10260572174552175</v>
      </c>
      <c r="L16" s="52">
        <v>0</v>
      </c>
      <c r="M16" s="47">
        <v>58897.530000000006</v>
      </c>
      <c r="N16" s="47"/>
      <c r="O16" s="48">
        <v>141294.32</v>
      </c>
      <c r="P16" s="48">
        <v>7330092.459999999</v>
      </c>
    </row>
    <row r="17" spans="1:16" x14ac:dyDescent="0.25">
      <c r="A17" s="53">
        <v>14</v>
      </c>
      <c r="B17" s="53">
        <v>3</v>
      </c>
      <c r="C17" s="54" t="s">
        <v>137</v>
      </c>
      <c r="D17" s="55">
        <v>12504.68</v>
      </c>
      <c r="E17" s="55">
        <v>316.22000000000003</v>
      </c>
      <c r="F17" s="55">
        <v>11973.29</v>
      </c>
      <c r="G17" s="56">
        <v>233073.87</v>
      </c>
      <c r="H17" s="57">
        <v>1</v>
      </c>
      <c r="I17" s="58">
        <v>0</v>
      </c>
      <c r="J17" s="59">
        <v>6.611158343018031E-2</v>
      </c>
      <c r="K17" s="59">
        <v>6.611158343018031E-2</v>
      </c>
      <c r="L17" s="60"/>
      <c r="M17" s="55">
        <v>11973.29</v>
      </c>
      <c r="N17" s="55"/>
      <c r="O17" s="56">
        <v>0</v>
      </c>
      <c r="P17" s="56">
        <v>233073.87</v>
      </c>
    </row>
    <row r="18" spans="1:16" x14ac:dyDescent="0.25">
      <c r="A18" s="42">
        <v>36</v>
      </c>
      <c r="B18" s="42">
        <v>3</v>
      </c>
      <c r="C18" s="43" t="s">
        <v>138</v>
      </c>
      <c r="D18" s="36">
        <v>9693.94</v>
      </c>
      <c r="E18" s="36">
        <v>668.98</v>
      </c>
      <c r="F18" s="36">
        <v>7185.76</v>
      </c>
      <c r="G18" s="37">
        <v>1096757.4100000001</v>
      </c>
      <c r="H18" s="38">
        <v>1</v>
      </c>
      <c r="I18" s="39">
        <v>0</v>
      </c>
      <c r="J18" s="40">
        <v>0.30658926248586305</v>
      </c>
      <c r="K18" s="40">
        <v>0.1246571269564154</v>
      </c>
      <c r="L18" s="44">
        <v>7185.76</v>
      </c>
      <c r="M18" s="36">
        <v>7185.76</v>
      </c>
      <c r="N18" s="36"/>
      <c r="O18" s="37">
        <v>0</v>
      </c>
      <c r="P18" s="37">
        <v>1096757.4100000001</v>
      </c>
    </row>
    <row r="19" spans="1:16" x14ac:dyDescent="0.25">
      <c r="A19" s="42">
        <v>55</v>
      </c>
      <c r="B19" s="42">
        <v>3</v>
      </c>
      <c r="C19" s="43" t="s">
        <v>139</v>
      </c>
      <c r="D19" s="36">
        <v>0</v>
      </c>
      <c r="E19" s="36">
        <v>94.560000000000016</v>
      </c>
      <c r="F19" s="36">
        <v>5599.76</v>
      </c>
      <c r="G19" s="37">
        <v>200211.81000000003</v>
      </c>
      <c r="H19" s="38">
        <v>0</v>
      </c>
      <c r="I19" s="39">
        <v>0</v>
      </c>
      <c r="J19" s="40" t="s">
        <v>116</v>
      </c>
      <c r="K19" s="40">
        <v>9.9871995321414067E-2</v>
      </c>
      <c r="L19" s="41">
        <v>0</v>
      </c>
      <c r="M19" s="36">
        <v>5599.76</v>
      </c>
      <c r="N19" s="36"/>
      <c r="O19" s="37">
        <v>0</v>
      </c>
      <c r="P19" s="37">
        <v>200211.81000000003</v>
      </c>
    </row>
    <row r="20" spans="1:16" x14ac:dyDescent="0.25">
      <c r="A20" s="42">
        <v>103</v>
      </c>
      <c r="B20" s="42">
        <v>3</v>
      </c>
      <c r="C20" s="43" t="s">
        <v>140</v>
      </c>
      <c r="D20" s="36">
        <v>0</v>
      </c>
      <c r="E20" s="36">
        <v>0</v>
      </c>
      <c r="F20" s="36">
        <v>4420.41</v>
      </c>
      <c r="G20" s="37">
        <v>693449.46</v>
      </c>
      <c r="H20" s="38">
        <v>1</v>
      </c>
      <c r="I20" s="39">
        <v>0</v>
      </c>
      <c r="J20" s="40" t="s">
        <v>116</v>
      </c>
      <c r="K20" s="40">
        <v>0.1246571269564154</v>
      </c>
      <c r="L20" s="41">
        <v>0</v>
      </c>
      <c r="M20" s="36">
        <v>4420.41</v>
      </c>
      <c r="N20" s="36"/>
      <c r="O20" s="37">
        <v>331</v>
      </c>
      <c r="P20" s="37">
        <v>693780.46</v>
      </c>
    </row>
    <row r="21" spans="1:16" x14ac:dyDescent="0.25">
      <c r="A21" s="42">
        <v>123</v>
      </c>
      <c r="B21" s="42">
        <v>3</v>
      </c>
      <c r="C21" s="43" t="s">
        <v>141</v>
      </c>
      <c r="D21" s="36">
        <v>4588.18</v>
      </c>
      <c r="E21" s="36">
        <v>2171.36</v>
      </c>
      <c r="F21" s="36">
        <v>5930.89</v>
      </c>
      <c r="G21" s="37">
        <v>0</v>
      </c>
      <c r="H21" s="38">
        <v>0</v>
      </c>
      <c r="I21" s="39">
        <v>0</v>
      </c>
      <c r="J21" s="40">
        <v>0.12258970284960226</v>
      </c>
      <c r="K21" s="40">
        <v>0.12258970284960226</v>
      </c>
      <c r="L21" s="41">
        <v>0</v>
      </c>
      <c r="M21" s="36">
        <v>5930.89</v>
      </c>
      <c r="N21" s="36"/>
      <c r="O21" s="37">
        <v>3</v>
      </c>
      <c r="P21" s="37">
        <v>3</v>
      </c>
    </row>
    <row r="22" spans="1:16" x14ac:dyDescent="0.25">
      <c r="A22" s="42">
        <v>179</v>
      </c>
      <c r="B22" s="42">
        <v>3</v>
      </c>
      <c r="C22" s="43" t="s">
        <v>142</v>
      </c>
      <c r="D22" s="36">
        <v>0</v>
      </c>
      <c r="E22" s="36">
        <v>64.34</v>
      </c>
      <c r="F22" s="36">
        <v>6705.9000000000005</v>
      </c>
      <c r="G22" s="37">
        <v>751425.40000000014</v>
      </c>
      <c r="H22" s="38">
        <v>0</v>
      </c>
      <c r="I22" s="39">
        <v>0</v>
      </c>
      <c r="J22" s="40" t="s">
        <v>116</v>
      </c>
      <c r="K22" s="40">
        <v>9.9871995321414067E-2</v>
      </c>
      <c r="L22" s="41">
        <v>0</v>
      </c>
      <c r="M22" s="36">
        <v>6705.9000000000005</v>
      </c>
      <c r="N22" s="36"/>
      <c r="O22" s="37">
        <v>0</v>
      </c>
      <c r="P22" s="37">
        <v>751425.40000000014</v>
      </c>
    </row>
    <row r="23" spans="1:16" x14ac:dyDescent="0.25">
      <c r="A23" s="45">
        <v>293</v>
      </c>
      <c r="B23" s="45">
        <v>3</v>
      </c>
      <c r="C23" s="46" t="s">
        <v>143</v>
      </c>
      <c r="D23" s="47">
        <v>7080.84</v>
      </c>
      <c r="E23" s="47">
        <v>877.69999999999993</v>
      </c>
      <c r="F23" s="47">
        <v>8194.33</v>
      </c>
      <c r="G23" s="48">
        <v>889128</v>
      </c>
      <c r="H23" s="49">
        <v>0</v>
      </c>
      <c r="I23" s="62">
        <v>0</v>
      </c>
      <c r="J23" s="51" t="s">
        <v>116</v>
      </c>
      <c r="K23" s="51">
        <v>9.9871995321414067E-2</v>
      </c>
      <c r="L23" s="52"/>
      <c r="M23" s="47">
        <v>8194.33</v>
      </c>
      <c r="N23" s="47"/>
      <c r="O23" s="48">
        <v>11038.85</v>
      </c>
      <c r="P23" s="48">
        <v>900166.85</v>
      </c>
    </row>
    <row r="24" spans="1:16" x14ac:dyDescent="0.25">
      <c r="A24" s="53">
        <v>12</v>
      </c>
      <c r="B24" s="53">
        <v>4</v>
      </c>
      <c r="C24" s="54" t="s">
        <v>144</v>
      </c>
      <c r="D24" s="55">
        <v>6603.07</v>
      </c>
      <c r="E24" s="55">
        <v>560.9</v>
      </c>
      <c r="F24" s="55">
        <v>5579.48</v>
      </c>
      <c r="G24" s="56">
        <v>527106.92000000004</v>
      </c>
      <c r="H24" s="57">
        <v>1</v>
      </c>
      <c r="I24" s="58">
        <v>1</v>
      </c>
      <c r="J24" s="59">
        <v>0.22117485137430781</v>
      </c>
      <c r="K24" s="59">
        <v>0.22117485137430781</v>
      </c>
      <c r="L24" s="60">
        <v>0</v>
      </c>
      <c r="M24" s="55">
        <v>5579.48</v>
      </c>
      <c r="N24" s="55"/>
      <c r="O24" s="56">
        <v>0</v>
      </c>
      <c r="P24" s="56">
        <v>527106.92000000004</v>
      </c>
    </row>
    <row r="25" spans="1:16" x14ac:dyDescent="0.25">
      <c r="A25" s="42">
        <v>21</v>
      </c>
      <c r="B25" s="42">
        <v>4</v>
      </c>
      <c r="C25" s="43" t="s">
        <v>145</v>
      </c>
      <c r="D25" s="36">
        <v>3851.76</v>
      </c>
      <c r="E25" s="36">
        <v>1257.1600000000001</v>
      </c>
      <c r="F25" s="36">
        <v>4620.2</v>
      </c>
      <c r="G25" s="37">
        <v>657810.58999999985</v>
      </c>
      <c r="H25" s="38">
        <v>0</v>
      </c>
      <c r="I25" s="63">
        <v>0</v>
      </c>
      <c r="J25" s="40">
        <v>9.5660139520681517E-2</v>
      </c>
      <c r="K25" s="40">
        <v>9.5660139520681517E-2</v>
      </c>
      <c r="L25" s="41">
        <v>0</v>
      </c>
      <c r="M25" s="36">
        <v>4620.2</v>
      </c>
      <c r="N25" s="36"/>
      <c r="O25" s="37">
        <v>730.08</v>
      </c>
      <c r="P25" s="37">
        <v>658540.66999999981</v>
      </c>
    </row>
    <row r="26" spans="1:16" x14ac:dyDescent="0.25">
      <c r="A26" s="42">
        <v>34</v>
      </c>
      <c r="B26" s="42">
        <v>4</v>
      </c>
      <c r="C26" s="43" t="s">
        <v>146</v>
      </c>
      <c r="D26" s="36">
        <v>4762.26</v>
      </c>
      <c r="E26" s="36">
        <v>0</v>
      </c>
      <c r="F26" s="36">
        <v>4914.88</v>
      </c>
      <c r="G26" s="37">
        <v>468753.65</v>
      </c>
      <c r="H26" s="38">
        <v>0</v>
      </c>
      <c r="I26" s="39">
        <v>0</v>
      </c>
      <c r="J26" s="40" t="s">
        <v>116</v>
      </c>
      <c r="K26" s="40">
        <v>9.9871995321414067E-2</v>
      </c>
      <c r="L26" s="41">
        <v>0</v>
      </c>
      <c r="M26" s="36">
        <v>4914.88</v>
      </c>
      <c r="N26" s="36"/>
      <c r="O26" s="37">
        <v>0</v>
      </c>
      <c r="P26" s="37">
        <v>468753.65</v>
      </c>
    </row>
    <row r="27" spans="1:16" x14ac:dyDescent="0.25">
      <c r="A27" s="42">
        <v>87</v>
      </c>
      <c r="B27" s="42">
        <v>4</v>
      </c>
      <c r="C27" s="43" t="s">
        <v>147</v>
      </c>
      <c r="D27" s="36">
        <v>11174.24</v>
      </c>
      <c r="E27" s="36">
        <v>0</v>
      </c>
      <c r="F27" s="36">
        <v>12026.400000000001</v>
      </c>
      <c r="G27" s="37">
        <v>1318153.8499999999</v>
      </c>
      <c r="H27" s="38">
        <v>0</v>
      </c>
      <c r="I27" s="39">
        <v>0</v>
      </c>
      <c r="J27" s="40" t="s">
        <v>116</v>
      </c>
      <c r="K27" s="40">
        <v>9.9871995321414067E-2</v>
      </c>
      <c r="L27" s="41">
        <v>0</v>
      </c>
      <c r="M27" s="36">
        <v>12026.400000000001</v>
      </c>
      <c r="N27" s="36"/>
      <c r="O27" s="37">
        <v>25747.18</v>
      </c>
      <c r="P27" s="37">
        <v>1343901.0299999998</v>
      </c>
    </row>
    <row r="28" spans="1:16" x14ac:dyDescent="0.25">
      <c r="A28" s="42">
        <v>88</v>
      </c>
      <c r="B28" s="42">
        <v>4</v>
      </c>
      <c r="C28" s="43" t="s">
        <v>148</v>
      </c>
      <c r="D28" s="36">
        <v>3512.97</v>
      </c>
      <c r="E28" s="36">
        <v>1823.18</v>
      </c>
      <c r="F28" s="36">
        <v>5057.1000000000004</v>
      </c>
      <c r="G28" s="37">
        <v>514461.76</v>
      </c>
      <c r="H28" s="38">
        <v>0</v>
      </c>
      <c r="I28" s="39">
        <v>1</v>
      </c>
      <c r="J28" s="40">
        <v>5.2294257095471322E-2</v>
      </c>
      <c r="K28" s="40">
        <v>5.2294257095471322E-2</v>
      </c>
      <c r="L28" s="41">
        <v>0</v>
      </c>
      <c r="M28" s="36">
        <v>5057.1000000000004</v>
      </c>
      <c r="N28" s="36"/>
      <c r="O28" s="37">
        <v>98873.37</v>
      </c>
      <c r="P28" s="37">
        <v>613335.13</v>
      </c>
    </row>
    <row r="29" spans="1:16" x14ac:dyDescent="0.25">
      <c r="A29" s="42">
        <v>89</v>
      </c>
      <c r="B29" s="42">
        <v>4</v>
      </c>
      <c r="C29" s="43" t="s">
        <v>149</v>
      </c>
      <c r="D29" s="36">
        <v>0</v>
      </c>
      <c r="E29" s="36">
        <v>0</v>
      </c>
      <c r="F29" s="36">
        <v>5659.9800000000005</v>
      </c>
      <c r="G29" s="37">
        <v>458391.95000000007</v>
      </c>
      <c r="H29" s="38">
        <v>0</v>
      </c>
      <c r="I29" s="39">
        <v>0</v>
      </c>
      <c r="J29" s="40" t="s">
        <v>116</v>
      </c>
      <c r="K29" s="40">
        <v>9.9871995321414067E-2</v>
      </c>
      <c r="L29" s="41">
        <v>0</v>
      </c>
      <c r="M29" s="36">
        <v>5659.9800000000005</v>
      </c>
      <c r="N29" s="36"/>
      <c r="O29" s="37">
        <v>4036.68</v>
      </c>
      <c r="P29" s="37">
        <v>462428.63000000006</v>
      </c>
    </row>
    <row r="30" spans="1:16" x14ac:dyDescent="0.25">
      <c r="A30" s="42">
        <v>143</v>
      </c>
      <c r="B30" s="42">
        <v>4</v>
      </c>
      <c r="C30" s="43" t="s">
        <v>150</v>
      </c>
      <c r="D30" s="36">
        <v>0</v>
      </c>
      <c r="E30" s="36">
        <v>0</v>
      </c>
      <c r="F30" s="36">
        <v>3083.89</v>
      </c>
      <c r="G30" s="37">
        <v>316625.74</v>
      </c>
      <c r="H30" s="38">
        <v>0</v>
      </c>
      <c r="I30" s="39">
        <v>0</v>
      </c>
      <c r="J30" s="40" t="s">
        <v>116</v>
      </c>
      <c r="K30" s="40">
        <v>9.9871995321414067E-2</v>
      </c>
      <c r="L30" s="41">
        <v>0</v>
      </c>
      <c r="M30" s="36">
        <v>3083.89</v>
      </c>
      <c r="N30" s="36"/>
      <c r="O30" s="37">
        <v>5972.01</v>
      </c>
      <c r="P30" s="37">
        <v>322597.75</v>
      </c>
    </row>
    <row r="31" spans="1:16" x14ac:dyDescent="0.25">
      <c r="A31" s="42">
        <v>183</v>
      </c>
      <c r="B31" s="42">
        <v>4</v>
      </c>
      <c r="C31" s="43" t="s">
        <v>151</v>
      </c>
      <c r="D31" s="36">
        <v>9377.8799999999992</v>
      </c>
      <c r="E31" s="36">
        <v>3868.67</v>
      </c>
      <c r="F31" s="36">
        <v>12702.630000000001</v>
      </c>
      <c r="G31" s="37">
        <v>689458.20000000007</v>
      </c>
      <c r="H31" s="38">
        <v>1</v>
      </c>
      <c r="I31" s="39">
        <v>0</v>
      </c>
      <c r="J31" s="40">
        <v>4.1061257459489325E-2</v>
      </c>
      <c r="K31" s="40">
        <v>4.1061257459489325E-2</v>
      </c>
      <c r="L31" s="41">
        <v>0</v>
      </c>
      <c r="M31" s="36">
        <v>12702.630000000001</v>
      </c>
      <c r="N31" s="36"/>
      <c r="O31" s="37">
        <v>10757.539999999999</v>
      </c>
      <c r="P31" s="37">
        <v>700215.74000000011</v>
      </c>
    </row>
    <row r="32" spans="1:16" x14ac:dyDescent="0.25">
      <c r="A32" s="42">
        <v>186</v>
      </c>
      <c r="B32" s="42">
        <v>4</v>
      </c>
      <c r="C32" s="43" t="s">
        <v>152</v>
      </c>
      <c r="D32" s="36">
        <v>11703.08</v>
      </c>
      <c r="E32" s="36">
        <v>1332.96</v>
      </c>
      <c r="F32" s="36">
        <v>12278.68</v>
      </c>
      <c r="G32" s="37">
        <v>975091.75000000012</v>
      </c>
      <c r="H32" s="38">
        <v>1</v>
      </c>
      <c r="I32" s="39">
        <v>1</v>
      </c>
      <c r="J32" s="40">
        <v>5.8097397675981398E-2</v>
      </c>
      <c r="K32" s="40">
        <v>5.8097397675981398E-2</v>
      </c>
      <c r="L32" s="41">
        <v>0</v>
      </c>
      <c r="M32" s="36">
        <v>12278.68</v>
      </c>
      <c r="N32" s="36"/>
      <c r="O32" s="37">
        <v>34393</v>
      </c>
      <c r="P32" s="37">
        <v>1009484.7500000001</v>
      </c>
    </row>
    <row r="33" spans="1:16" x14ac:dyDescent="0.25">
      <c r="A33" s="42">
        <v>190</v>
      </c>
      <c r="B33" s="42">
        <v>4</v>
      </c>
      <c r="C33" s="43" t="s">
        <v>153</v>
      </c>
      <c r="D33" s="36">
        <v>3245.84</v>
      </c>
      <c r="E33" s="36">
        <v>561.20000000000005</v>
      </c>
      <c r="F33" s="36">
        <v>3470.1099999999992</v>
      </c>
      <c r="G33" s="37">
        <v>511905.61</v>
      </c>
      <c r="H33" s="38">
        <v>0</v>
      </c>
      <c r="I33" s="39">
        <v>1</v>
      </c>
      <c r="J33" s="40">
        <v>8.8501828191981366E-2</v>
      </c>
      <c r="K33" s="40">
        <v>8.8501828191981366E-2</v>
      </c>
      <c r="L33" s="41">
        <v>0</v>
      </c>
      <c r="M33" s="36">
        <v>3470.1099999999992</v>
      </c>
      <c r="N33" s="36"/>
      <c r="O33" s="37">
        <v>17953</v>
      </c>
      <c r="P33" s="37">
        <v>529858.61</v>
      </c>
    </row>
    <row r="34" spans="1:16" x14ac:dyDescent="0.25">
      <c r="A34" s="42">
        <v>324</v>
      </c>
      <c r="B34" s="42">
        <v>4</v>
      </c>
      <c r="C34" s="43" t="s">
        <v>154</v>
      </c>
      <c r="D34" s="36">
        <v>8603.84</v>
      </c>
      <c r="E34" s="36">
        <v>719.08</v>
      </c>
      <c r="F34" s="36">
        <v>8435.36</v>
      </c>
      <c r="G34" s="37">
        <v>1037883.11</v>
      </c>
      <c r="H34" s="38">
        <v>0</v>
      </c>
      <c r="I34" s="39">
        <v>1</v>
      </c>
      <c r="J34" s="40">
        <v>9.5201932441767112E-2</v>
      </c>
      <c r="K34" s="40">
        <v>9.5201932441767112E-2</v>
      </c>
      <c r="L34" s="41">
        <v>0</v>
      </c>
      <c r="M34" s="36">
        <v>8435.36</v>
      </c>
      <c r="N34" s="36"/>
      <c r="O34" s="37">
        <v>1070</v>
      </c>
      <c r="P34" s="37">
        <v>1038953.11</v>
      </c>
    </row>
    <row r="35" spans="1:16" x14ac:dyDescent="0.25">
      <c r="A35" s="42">
        <v>429</v>
      </c>
      <c r="B35" s="42">
        <v>4</v>
      </c>
      <c r="C35" s="43" t="s">
        <v>155</v>
      </c>
      <c r="D35" s="36">
        <v>3906.84</v>
      </c>
      <c r="E35" s="36">
        <v>742.76</v>
      </c>
      <c r="F35" s="36">
        <v>0</v>
      </c>
      <c r="G35" s="37">
        <v>406783.46</v>
      </c>
      <c r="H35" s="38">
        <v>0</v>
      </c>
      <c r="I35" s="39">
        <v>0</v>
      </c>
      <c r="J35" s="40" t="s">
        <v>116</v>
      </c>
      <c r="K35" s="40">
        <v>9.9871995321414067E-2</v>
      </c>
      <c r="L35" s="41">
        <v>0</v>
      </c>
      <c r="M35" s="36">
        <v>4185.235170553553</v>
      </c>
      <c r="N35" s="36"/>
      <c r="O35" s="37">
        <v>3926.81</v>
      </c>
      <c r="P35" s="37">
        <v>410710.27</v>
      </c>
    </row>
    <row r="36" spans="1:16" x14ac:dyDescent="0.25">
      <c r="A36" s="42">
        <v>601</v>
      </c>
      <c r="B36" s="42">
        <v>4</v>
      </c>
      <c r="C36" s="43" t="s">
        <v>156</v>
      </c>
      <c r="D36" s="36">
        <v>5833.89</v>
      </c>
      <c r="E36" s="36">
        <v>147.99</v>
      </c>
      <c r="F36" s="36">
        <v>5590.9599999999982</v>
      </c>
      <c r="G36" s="37">
        <v>298300.44</v>
      </c>
      <c r="H36" s="38">
        <v>0</v>
      </c>
      <c r="I36" s="39">
        <v>0</v>
      </c>
      <c r="J36" s="40">
        <v>6.53506924244555E-2</v>
      </c>
      <c r="K36" s="40">
        <v>6.53506924244555E-2</v>
      </c>
      <c r="L36" s="41">
        <v>0</v>
      </c>
      <c r="M36" s="36">
        <v>5590.9599999999982</v>
      </c>
      <c r="N36" s="36"/>
      <c r="O36" s="37">
        <v>36380.57</v>
      </c>
      <c r="P36" s="37">
        <v>334681.01</v>
      </c>
    </row>
    <row r="37" spans="1:16" x14ac:dyDescent="0.25">
      <c r="A37" s="42">
        <v>760</v>
      </c>
      <c r="B37" s="42">
        <v>4</v>
      </c>
      <c r="C37" s="43" t="s">
        <v>366</v>
      </c>
      <c r="D37" s="36">
        <v>6071.6</v>
      </c>
      <c r="E37" s="36">
        <v>0</v>
      </c>
      <c r="F37" s="36">
        <v>5125.9099999999989</v>
      </c>
      <c r="G37" s="37">
        <v>780937.84000000008</v>
      </c>
      <c r="H37" s="38">
        <v>1</v>
      </c>
      <c r="I37" s="39">
        <v>1</v>
      </c>
      <c r="J37" s="40">
        <v>0.15575630805718449</v>
      </c>
      <c r="K37" s="40">
        <v>0.15575630805718449</v>
      </c>
      <c r="L37" s="41">
        <v>0</v>
      </c>
      <c r="M37" s="36">
        <v>5125.9099999999989</v>
      </c>
      <c r="N37" s="36"/>
      <c r="O37" s="37">
        <v>62.02</v>
      </c>
      <c r="P37" s="37">
        <v>780999.8600000001</v>
      </c>
    </row>
    <row r="38" spans="1:16" x14ac:dyDescent="0.25">
      <c r="A38" s="45">
        <v>878</v>
      </c>
      <c r="B38" s="45">
        <v>4</v>
      </c>
      <c r="C38" s="46" t="s">
        <v>158</v>
      </c>
      <c r="D38" s="47">
        <v>0</v>
      </c>
      <c r="E38" s="47">
        <v>0</v>
      </c>
      <c r="F38" s="47">
        <v>7110.8</v>
      </c>
      <c r="G38" s="48">
        <v>784077.84000000008</v>
      </c>
      <c r="H38" s="49">
        <v>0</v>
      </c>
      <c r="I38" s="50">
        <v>0</v>
      </c>
      <c r="J38" s="51" t="s">
        <v>116</v>
      </c>
      <c r="K38" s="51">
        <v>9.9871995321414067E-2</v>
      </c>
      <c r="L38" s="52">
        <v>0</v>
      </c>
      <c r="M38" s="47">
        <v>7110.8</v>
      </c>
      <c r="N38" s="47"/>
      <c r="O38" s="48">
        <v>17359.41</v>
      </c>
      <c r="P38" s="48">
        <v>801437.25000000012</v>
      </c>
    </row>
    <row r="39" spans="1:16" x14ac:dyDescent="0.25">
      <c r="A39" s="53">
        <v>8</v>
      </c>
      <c r="B39" s="53">
        <v>5</v>
      </c>
      <c r="C39" s="54" t="s">
        <v>159</v>
      </c>
      <c r="D39" s="55">
        <v>2054.73</v>
      </c>
      <c r="E39" s="55">
        <v>289.68</v>
      </c>
      <c r="F39" s="55">
        <v>2138.94</v>
      </c>
      <c r="G39" s="56">
        <v>15988.48</v>
      </c>
      <c r="H39" s="57">
        <v>1</v>
      </c>
      <c r="I39" s="58">
        <v>0</v>
      </c>
      <c r="J39" s="59">
        <v>8.7642519866405547E-2</v>
      </c>
      <c r="K39" s="59">
        <v>8.7642519866405547E-2</v>
      </c>
      <c r="L39" s="60">
        <v>0</v>
      </c>
      <c r="M39" s="55">
        <v>2138.94</v>
      </c>
      <c r="N39" s="55"/>
      <c r="O39" s="56">
        <v>3325</v>
      </c>
      <c r="P39" s="56">
        <v>19313.48</v>
      </c>
    </row>
    <row r="40" spans="1:16" x14ac:dyDescent="0.25">
      <c r="A40" s="42">
        <v>41</v>
      </c>
      <c r="B40" s="42">
        <v>5</v>
      </c>
      <c r="C40" s="43" t="s">
        <v>160</v>
      </c>
      <c r="D40" s="36">
        <v>0</v>
      </c>
      <c r="E40" s="36">
        <v>0</v>
      </c>
      <c r="F40" s="36">
        <v>1798.58</v>
      </c>
      <c r="G40" s="37">
        <v>192331.84</v>
      </c>
      <c r="H40" s="38">
        <v>0</v>
      </c>
      <c r="I40" s="39">
        <v>0</v>
      </c>
      <c r="J40" s="40" t="s">
        <v>116</v>
      </c>
      <c r="K40" s="40">
        <v>9.9871995321414067E-2</v>
      </c>
      <c r="L40" s="41">
        <v>0</v>
      </c>
      <c r="M40" s="36">
        <v>1798.58</v>
      </c>
      <c r="N40" s="36"/>
      <c r="O40" s="37">
        <v>1610</v>
      </c>
      <c r="P40" s="37">
        <v>193941.84</v>
      </c>
    </row>
    <row r="41" spans="1:16" x14ac:dyDescent="0.25">
      <c r="A41" s="42">
        <v>56</v>
      </c>
      <c r="B41" s="42">
        <v>5</v>
      </c>
      <c r="C41" s="43" t="s">
        <v>161</v>
      </c>
      <c r="D41" s="36">
        <v>2976.83</v>
      </c>
      <c r="E41" s="36">
        <v>113.78</v>
      </c>
      <c r="F41" s="36">
        <v>2998.76</v>
      </c>
      <c r="G41" s="37">
        <v>0</v>
      </c>
      <c r="H41" s="38">
        <v>0</v>
      </c>
      <c r="I41" s="39">
        <v>0</v>
      </c>
      <c r="J41" s="40">
        <v>2.971905222593595E-2</v>
      </c>
      <c r="K41" s="40">
        <v>2.971905222593595E-2</v>
      </c>
      <c r="L41" s="41">
        <v>0</v>
      </c>
      <c r="M41" s="36">
        <v>2998.76</v>
      </c>
      <c r="N41" s="36"/>
      <c r="O41" s="37">
        <v>1913.22</v>
      </c>
      <c r="P41" s="37">
        <v>1913.22</v>
      </c>
    </row>
    <row r="42" spans="1:16" x14ac:dyDescent="0.25">
      <c r="A42" s="42">
        <v>67</v>
      </c>
      <c r="B42" s="42">
        <v>5</v>
      </c>
      <c r="C42" s="43" t="s">
        <v>162</v>
      </c>
      <c r="D42" s="36">
        <v>1611.35</v>
      </c>
      <c r="E42" s="36">
        <v>0</v>
      </c>
      <c r="F42" s="36">
        <v>0</v>
      </c>
      <c r="G42" s="37">
        <v>0</v>
      </c>
      <c r="H42" s="38">
        <v>1</v>
      </c>
      <c r="I42" s="39">
        <v>0</v>
      </c>
      <c r="J42" s="40" t="s">
        <v>116</v>
      </c>
      <c r="K42" s="40">
        <v>0.1246571269564154</v>
      </c>
      <c r="L42" s="41">
        <v>0</v>
      </c>
      <c r="M42" s="36">
        <v>1410.48373847878</v>
      </c>
      <c r="N42" s="36"/>
      <c r="O42" s="37">
        <v>0</v>
      </c>
      <c r="P42" s="37">
        <v>0</v>
      </c>
    </row>
    <row r="43" spans="1:16" x14ac:dyDescent="0.25">
      <c r="A43" s="42">
        <v>157</v>
      </c>
      <c r="B43" s="42">
        <v>5</v>
      </c>
      <c r="C43" s="43" t="s">
        <v>163</v>
      </c>
      <c r="D43" s="36">
        <v>403.66</v>
      </c>
      <c r="E43" s="36">
        <v>167.37</v>
      </c>
      <c r="F43" s="36">
        <v>0</v>
      </c>
      <c r="G43" s="37">
        <v>0</v>
      </c>
      <c r="H43" s="38">
        <v>1</v>
      </c>
      <c r="I43" s="39">
        <v>0</v>
      </c>
      <c r="J43" s="40" t="s">
        <v>116</v>
      </c>
      <c r="K43" s="40">
        <v>0.1246571269564154</v>
      </c>
      <c r="L43" s="41">
        <v>0</v>
      </c>
      <c r="M43" s="36">
        <v>499.84704079407811</v>
      </c>
      <c r="N43" s="36"/>
      <c r="O43" s="37">
        <v>140</v>
      </c>
      <c r="P43" s="37">
        <v>140</v>
      </c>
    </row>
    <row r="44" spans="1:16" x14ac:dyDescent="0.25">
      <c r="A44" s="42">
        <v>214</v>
      </c>
      <c r="B44" s="42">
        <v>5</v>
      </c>
      <c r="C44" s="43" t="s">
        <v>164</v>
      </c>
      <c r="D44" s="36">
        <v>2929.43</v>
      </c>
      <c r="E44" s="36">
        <v>233.18</v>
      </c>
      <c r="F44" s="36">
        <v>2891.9099999999994</v>
      </c>
      <c r="G44" s="37">
        <v>301799.11000000004</v>
      </c>
      <c r="H44" s="38">
        <v>1</v>
      </c>
      <c r="I44" s="39">
        <v>0</v>
      </c>
      <c r="J44" s="40">
        <v>8.5593860766898316E-2</v>
      </c>
      <c r="K44" s="40">
        <v>8.5593860766898316E-2</v>
      </c>
      <c r="L44" s="41">
        <v>0</v>
      </c>
      <c r="M44" s="36">
        <v>2891.9099999999994</v>
      </c>
      <c r="N44" s="36"/>
      <c r="O44" s="37">
        <v>9545.6</v>
      </c>
      <c r="P44" s="37">
        <v>311344.71000000002</v>
      </c>
    </row>
    <row r="45" spans="1:16" x14ac:dyDescent="0.25">
      <c r="A45" s="42">
        <v>223</v>
      </c>
      <c r="B45" s="42">
        <v>5</v>
      </c>
      <c r="C45" s="43" t="s">
        <v>165</v>
      </c>
      <c r="D45" s="36">
        <v>270.58</v>
      </c>
      <c r="E45" s="36">
        <v>107.46000000000001</v>
      </c>
      <c r="F45" s="36">
        <v>337.05</v>
      </c>
      <c r="G45" s="37">
        <v>3068.98</v>
      </c>
      <c r="H45" s="38">
        <v>0</v>
      </c>
      <c r="I45" s="39">
        <v>0</v>
      </c>
      <c r="J45" s="40">
        <v>0.10842767961062309</v>
      </c>
      <c r="K45" s="40">
        <v>0.10842767961062309</v>
      </c>
      <c r="L45" s="41">
        <v>0</v>
      </c>
      <c r="M45" s="36">
        <v>337.05</v>
      </c>
      <c r="N45" s="36"/>
      <c r="O45" s="37">
        <v>0</v>
      </c>
      <c r="P45" s="37">
        <v>3068.98</v>
      </c>
    </row>
    <row r="46" spans="1:16" x14ac:dyDescent="0.25">
      <c r="A46" s="42">
        <v>224</v>
      </c>
      <c r="B46" s="42">
        <v>5</v>
      </c>
      <c r="C46" s="43" t="s">
        <v>367</v>
      </c>
      <c r="D46" s="36">
        <v>288.20999999999998</v>
      </c>
      <c r="E46" s="36">
        <v>0</v>
      </c>
      <c r="F46" s="36">
        <v>0</v>
      </c>
      <c r="G46" s="37">
        <v>0</v>
      </c>
      <c r="H46" s="38">
        <v>1</v>
      </c>
      <c r="I46" s="39">
        <v>0</v>
      </c>
      <c r="J46" s="40" t="s">
        <v>116</v>
      </c>
      <c r="K46" s="40">
        <v>0.1246571269564154</v>
      </c>
      <c r="L46" s="41">
        <v>0</v>
      </c>
      <c r="M46" s="36">
        <v>252.28256943989149</v>
      </c>
      <c r="N46" s="36"/>
      <c r="O46" s="37">
        <v>0</v>
      </c>
      <c r="P46" s="37">
        <v>0</v>
      </c>
    </row>
    <row r="47" spans="1:16" x14ac:dyDescent="0.25">
      <c r="A47" s="42">
        <v>233</v>
      </c>
      <c r="B47" s="42">
        <v>5</v>
      </c>
      <c r="C47" s="43" t="s">
        <v>167</v>
      </c>
      <c r="D47" s="36">
        <v>0</v>
      </c>
      <c r="E47" s="36">
        <v>0</v>
      </c>
      <c r="F47" s="36">
        <v>1996.99</v>
      </c>
      <c r="G47" s="37">
        <v>230631.95</v>
      </c>
      <c r="H47" s="38">
        <v>0</v>
      </c>
      <c r="I47" s="39">
        <v>0</v>
      </c>
      <c r="J47" s="40" t="s">
        <v>116</v>
      </c>
      <c r="K47" s="40">
        <v>9.9871995321414067E-2</v>
      </c>
      <c r="L47" s="41">
        <v>0</v>
      </c>
      <c r="M47" s="36">
        <v>1996.99</v>
      </c>
      <c r="N47" s="36"/>
      <c r="O47" s="37">
        <v>3000</v>
      </c>
      <c r="P47" s="37">
        <v>233631.95</v>
      </c>
    </row>
    <row r="48" spans="1:16" x14ac:dyDescent="0.25">
      <c r="A48" s="42">
        <v>272</v>
      </c>
      <c r="B48" s="42">
        <v>5</v>
      </c>
      <c r="C48" s="43" t="s">
        <v>168</v>
      </c>
      <c r="D48" s="36">
        <v>489.69</v>
      </c>
      <c r="E48" s="36">
        <v>0</v>
      </c>
      <c r="F48" s="36">
        <v>0</v>
      </c>
      <c r="G48" s="37">
        <v>0</v>
      </c>
      <c r="H48" s="38">
        <v>0</v>
      </c>
      <c r="I48" s="39">
        <v>0</v>
      </c>
      <c r="J48" s="40" t="s">
        <v>116</v>
      </c>
      <c r="K48" s="40">
        <v>9.9871995321414067E-2</v>
      </c>
      <c r="L48" s="41">
        <v>0</v>
      </c>
      <c r="M48" s="36">
        <v>440.78368261105675</v>
      </c>
      <c r="N48" s="36"/>
      <c r="O48" s="37">
        <v>0</v>
      </c>
      <c r="P48" s="37">
        <v>0</v>
      </c>
    </row>
    <row r="49" spans="1:17" x14ac:dyDescent="0.25">
      <c r="A49" s="42">
        <v>427</v>
      </c>
      <c r="B49" s="42">
        <v>5</v>
      </c>
      <c r="C49" s="43" t="s">
        <v>169</v>
      </c>
      <c r="D49" s="36">
        <v>32.21</v>
      </c>
      <c r="E49" s="36">
        <v>0</v>
      </c>
      <c r="F49" s="36">
        <v>422.92</v>
      </c>
      <c r="G49" s="37">
        <v>49957.020000000004</v>
      </c>
      <c r="H49" s="38">
        <v>0</v>
      </c>
      <c r="I49" s="39">
        <v>0</v>
      </c>
      <c r="J49" s="40" t="s">
        <v>116</v>
      </c>
      <c r="K49" s="40">
        <v>9.9871995321414067E-2</v>
      </c>
      <c r="L49" s="41">
        <v>0</v>
      </c>
      <c r="M49" s="36">
        <v>422.92</v>
      </c>
      <c r="N49" s="36"/>
      <c r="O49" s="37">
        <v>0</v>
      </c>
      <c r="P49" s="37">
        <v>49957.020000000004</v>
      </c>
    </row>
    <row r="50" spans="1:17" x14ac:dyDescent="0.25">
      <c r="A50" s="42">
        <v>524</v>
      </c>
      <c r="B50" s="42">
        <v>5</v>
      </c>
      <c r="C50" s="43" t="s">
        <v>170</v>
      </c>
      <c r="D50" s="36">
        <v>567.48</v>
      </c>
      <c r="E50" s="36">
        <v>39.559999999999995</v>
      </c>
      <c r="F50" s="36">
        <v>0</v>
      </c>
      <c r="G50" s="37">
        <v>0</v>
      </c>
      <c r="H50" s="38">
        <v>0</v>
      </c>
      <c r="I50" s="39">
        <v>0</v>
      </c>
      <c r="J50" s="40" t="s">
        <v>116</v>
      </c>
      <c r="K50" s="40">
        <v>9.9871995321414067E-2</v>
      </c>
      <c r="L50" s="41">
        <v>0</v>
      </c>
      <c r="M50" s="36">
        <v>546.4137039600887</v>
      </c>
      <c r="N50" s="36"/>
      <c r="O50" s="37">
        <v>154.80000000000001</v>
      </c>
      <c r="P50" s="37">
        <v>154.80000000000001</v>
      </c>
    </row>
    <row r="51" spans="1:17" x14ac:dyDescent="0.25">
      <c r="A51" s="42">
        <v>565</v>
      </c>
      <c r="B51" s="42">
        <v>5</v>
      </c>
      <c r="C51" s="43" t="s">
        <v>171</v>
      </c>
      <c r="D51" s="36">
        <v>468.59999999999997</v>
      </c>
      <c r="E51" s="36">
        <v>29.47</v>
      </c>
      <c r="F51" s="36">
        <v>0</v>
      </c>
      <c r="G51" s="37">
        <v>0</v>
      </c>
      <c r="H51" s="38">
        <v>0</v>
      </c>
      <c r="I51" s="39">
        <v>0</v>
      </c>
      <c r="J51" s="40" t="s">
        <v>116</v>
      </c>
      <c r="K51" s="40">
        <v>9.9871995321414067E-2</v>
      </c>
      <c r="L51" s="41">
        <v>0</v>
      </c>
      <c r="M51" s="36">
        <v>448.32675529026324</v>
      </c>
      <c r="N51" s="36"/>
      <c r="O51" s="37">
        <v>1029.3699999999999</v>
      </c>
      <c r="P51" s="37">
        <v>1029.3699999999999</v>
      </c>
    </row>
    <row r="52" spans="1:17" x14ac:dyDescent="0.25">
      <c r="A52" s="42">
        <v>613</v>
      </c>
      <c r="B52" s="42">
        <v>5</v>
      </c>
      <c r="C52" s="43" t="s">
        <v>172</v>
      </c>
      <c r="D52" s="36">
        <v>150.41999999999999</v>
      </c>
      <c r="E52" s="36">
        <v>0</v>
      </c>
      <c r="F52" s="36">
        <v>0</v>
      </c>
      <c r="G52" s="37">
        <v>0</v>
      </c>
      <c r="H52" s="38">
        <v>1</v>
      </c>
      <c r="I52" s="39">
        <v>0</v>
      </c>
      <c r="J52" s="40" t="s">
        <v>116</v>
      </c>
      <c r="K52" s="40">
        <v>0.1246571269564154</v>
      </c>
      <c r="L52" s="41">
        <v>0</v>
      </c>
      <c r="M52" s="36">
        <v>131.66907496321599</v>
      </c>
      <c r="N52" s="36"/>
      <c r="O52" s="37">
        <v>0</v>
      </c>
      <c r="P52" s="37">
        <v>0</v>
      </c>
    </row>
    <row r="53" spans="1:17" x14ac:dyDescent="0.25">
      <c r="A53" s="42">
        <v>696</v>
      </c>
      <c r="B53" s="42">
        <v>5</v>
      </c>
      <c r="C53" s="43" t="s">
        <v>173</v>
      </c>
      <c r="D53" s="36">
        <v>372.18</v>
      </c>
      <c r="E53" s="36">
        <v>0</v>
      </c>
      <c r="F53" s="36">
        <v>353.57</v>
      </c>
      <c r="G53" s="37">
        <v>0</v>
      </c>
      <c r="H53" s="38">
        <v>1</v>
      </c>
      <c r="I53" s="39">
        <v>0</v>
      </c>
      <c r="J53" s="40">
        <v>5.0002686871943716E-2</v>
      </c>
      <c r="K53" s="40">
        <v>5.0002686871943716E-2</v>
      </c>
      <c r="L53" s="41">
        <v>0</v>
      </c>
      <c r="M53" s="36">
        <v>353.57</v>
      </c>
      <c r="N53" s="36"/>
      <c r="O53" s="37">
        <v>115.5</v>
      </c>
      <c r="P53" s="37">
        <v>115.5</v>
      </c>
    </row>
    <row r="54" spans="1:17" x14ac:dyDescent="0.25">
      <c r="A54" s="42">
        <v>731</v>
      </c>
      <c r="B54" s="42">
        <v>5</v>
      </c>
      <c r="C54" s="43" t="s">
        <v>174</v>
      </c>
      <c r="D54" s="36">
        <v>928.23000000000013</v>
      </c>
      <c r="E54" s="36">
        <v>0</v>
      </c>
      <c r="F54" s="36">
        <v>876.62</v>
      </c>
      <c r="G54" s="37">
        <v>0</v>
      </c>
      <c r="H54" s="38">
        <v>1</v>
      </c>
      <c r="I54" s="39">
        <v>0</v>
      </c>
      <c r="J54" s="40">
        <v>5.5600443855510079E-2</v>
      </c>
      <c r="K54" s="40">
        <v>5.5600443855510079E-2</v>
      </c>
      <c r="L54" s="41">
        <v>0</v>
      </c>
      <c r="M54" s="36">
        <v>876.62</v>
      </c>
      <c r="N54" s="36"/>
      <c r="O54" s="37">
        <v>0</v>
      </c>
      <c r="P54" s="37">
        <v>0</v>
      </c>
    </row>
    <row r="55" spans="1:17" x14ac:dyDescent="0.25">
      <c r="A55" s="42">
        <v>732</v>
      </c>
      <c r="B55" s="42">
        <v>5</v>
      </c>
      <c r="C55" s="43" t="s">
        <v>175</v>
      </c>
      <c r="D55" s="36">
        <v>270.57</v>
      </c>
      <c r="E55" s="36">
        <v>0</v>
      </c>
      <c r="F55" s="36">
        <v>0</v>
      </c>
      <c r="G55" s="37">
        <v>0</v>
      </c>
      <c r="H55" s="38">
        <v>1</v>
      </c>
      <c r="I55" s="39">
        <v>0</v>
      </c>
      <c r="J55" s="40" t="s">
        <v>116</v>
      </c>
      <c r="K55" s="40">
        <v>0.1246571269564154</v>
      </c>
      <c r="L55" s="41">
        <v>0</v>
      </c>
      <c r="M55" s="36">
        <v>236.84152115940267</v>
      </c>
      <c r="N55" s="36"/>
      <c r="O55" s="37">
        <v>0</v>
      </c>
      <c r="P55" s="37">
        <v>0</v>
      </c>
    </row>
    <row r="56" spans="1:17" x14ac:dyDescent="0.25">
      <c r="A56" s="42">
        <v>754</v>
      </c>
      <c r="B56" s="42">
        <v>5</v>
      </c>
      <c r="C56" s="43" t="s">
        <v>176</v>
      </c>
      <c r="D56" s="36">
        <v>123.4</v>
      </c>
      <c r="E56" s="36">
        <v>0</v>
      </c>
      <c r="F56" s="36">
        <v>0</v>
      </c>
      <c r="G56" s="37">
        <v>0</v>
      </c>
      <c r="H56" s="38">
        <v>0</v>
      </c>
      <c r="I56" s="39">
        <v>0</v>
      </c>
      <c r="J56" s="40" t="s">
        <v>116</v>
      </c>
      <c r="K56" s="40">
        <v>9.9871995321414067E-2</v>
      </c>
      <c r="L56" s="41">
        <v>0</v>
      </c>
      <c r="M56" s="36">
        <v>111.0757957773375</v>
      </c>
      <c r="N56" s="36"/>
      <c r="O56" s="37">
        <v>80</v>
      </c>
      <c r="P56" s="37">
        <v>80</v>
      </c>
    </row>
    <row r="57" spans="1:17" x14ac:dyDescent="0.25">
      <c r="A57" s="42">
        <v>885</v>
      </c>
      <c r="B57" s="42">
        <v>5</v>
      </c>
      <c r="C57" s="43" t="s">
        <v>177</v>
      </c>
      <c r="D57" s="36">
        <v>0</v>
      </c>
      <c r="E57" s="36">
        <v>27.01</v>
      </c>
      <c r="F57" s="36">
        <v>414.7</v>
      </c>
      <c r="G57" s="37">
        <v>56852.329999999987</v>
      </c>
      <c r="H57" s="38">
        <v>0</v>
      </c>
      <c r="I57" s="39">
        <v>0</v>
      </c>
      <c r="J57" s="40" t="s">
        <v>116</v>
      </c>
      <c r="K57" s="40">
        <v>9.9871995321414067E-2</v>
      </c>
      <c r="L57" s="41">
        <v>0</v>
      </c>
      <c r="M57" s="36">
        <v>414.7</v>
      </c>
      <c r="N57" s="36"/>
      <c r="O57" s="37">
        <v>0</v>
      </c>
      <c r="P57" s="37">
        <v>56852.329999999987</v>
      </c>
    </row>
    <row r="58" spans="1:17" x14ac:dyDescent="0.25">
      <c r="A58" s="42">
        <v>909</v>
      </c>
      <c r="B58" s="42">
        <v>5</v>
      </c>
      <c r="C58" s="43" t="s">
        <v>178</v>
      </c>
      <c r="D58" s="36">
        <v>482.17999999999995</v>
      </c>
      <c r="E58" s="36">
        <v>0</v>
      </c>
      <c r="F58" s="36">
        <v>539.5</v>
      </c>
      <c r="G58" s="37">
        <v>77707.209999999992</v>
      </c>
      <c r="H58" s="38">
        <v>0</v>
      </c>
      <c r="I58" s="39">
        <v>0</v>
      </c>
      <c r="J58" s="40" t="s">
        <v>116</v>
      </c>
      <c r="K58" s="40">
        <v>9.9871995321414067E-2</v>
      </c>
      <c r="L58" s="41">
        <v>0</v>
      </c>
      <c r="M58" s="36">
        <v>539.5</v>
      </c>
      <c r="N58" s="36"/>
      <c r="O58" s="37">
        <v>412.48</v>
      </c>
      <c r="P58" s="37">
        <v>78119.689999999988</v>
      </c>
    </row>
    <row r="59" spans="1:17" x14ac:dyDescent="0.25">
      <c r="A59" s="45">
        <v>923</v>
      </c>
      <c r="B59" s="45">
        <v>5</v>
      </c>
      <c r="C59" s="46" t="s">
        <v>179</v>
      </c>
      <c r="D59" s="47">
        <v>71.569999999999979</v>
      </c>
      <c r="E59" s="47">
        <v>0</v>
      </c>
      <c r="F59" s="47">
        <v>0</v>
      </c>
      <c r="G59" s="48">
        <v>0</v>
      </c>
      <c r="H59" s="49">
        <v>0</v>
      </c>
      <c r="I59" s="50">
        <v>0</v>
      </c>
      <c r="J59" s="51" t="s">
        <v>116</v>
      </c>
      <c r="K59" s="51">
        <v>9.9871995321414067E-2</v>
      </c>
      <c r="L59" s="52">
        <v>0</v>
      </c>
      <c r="M59" s="47">
        <v>64.422161294846376</v>
      </c>
      <c r="N59" s="47"/>
      <c r="O59" s="48">
        <v>0</v>
      </c>
      <c r="P59" s="48">
        <v>0</v>
      </c>
    </row>
    <row r="60" spans="1:17" x14ac:dyDescent="0.25">
      <c r="A60" s="34">
        <v>394</v>
      </c>
      <c r="B60" s="34">
        <v>6</v>
      </c>
      <c r="C60" s="35" t="s">
        <v>180</v>
      </c>
      <c r="D60" s="36">
        <v>819.7</v>
      </c>
      <c r="E60" s="36">
        <v>22</v>
      </c>
      <c r="F60" s="36">
        <v>774</v>
      </c>
      <c r="G60" s="37">
        <v>39524.89</v>
      </c>
      <c r="H60" s="38">
        <v>0</v>
      </c>
      <c r="I60" s="39">
        <v>0</v>
      </c>
      <c r="J60" s="40">
        <v>8.0432458120470521E-2</v>
      </c>
      <c r="K60" s="40">
        <v>8.0432458120470521E-2</v>
      </c>
      <c r="L60" s="41">
        <v>0</v>
      </c>
      <c r="M60" s="36">
        <v>774</v>
      </c>
      <c r="N60" s="36"/>
      <c r="O60" s="37">
        <v>8963</v>
      </c>
      <c r="P60" s="37">
        <v>48487.89</v>
      </c>
      <c r="Q60" s="19"/>
    </row>
    <row r="61" spans="1:17" x14ac:dyDescent="0.25">
      <c r="A61" s="42">
        <v>414</v>
      </c>
      <c r="B61" s="42">
        <v>6</v>
      </c>
      <c r="C61" s="43" t="s">
        <v>181</v>
      </c>
      <c r="D61" s="36">
        <v>303.89999999999998</v>
      </c>
      <c r="E61" s="36">
        <v>0</v>
      </c>
      <c r="F61" s="36">
        <v>0</v>
      </c>
      <c r="G61" s="37">
        <v>0</v>
      </c>
      <c r="H61" s="38">
        <v>0</v>
      </c>
      <c r="I61" s="39">
        <v>0</v>
      </c>
      <c r="J61" s="40" t="s">
        <v>116</v>
      </c>
      <c r="K61" s="40">
        <v>9.9871995321414067E-2</v>
      </c>
      <c r="L61" s="41">
        <v>0</v>
      </c>
      <c r="M61" s="36">
        <v>273.54890062182221</v>
      </c>
      <c r="N61" s="36"/>
      <c r="O61" s="37">
        <v>163.68</v>
      </c>
      <c r="P61" s="37">
        <v>163.68</v>
      </c>
      <c r="Q61" s="19"/>
    </row>
    <row r="62" spans="1:17" x14ac:dyDescent="0.25">
      <c r="A62" s="42">
        <v>426</v>
      </c>
      <c r="B62" s="42">
        <v>6</v>
      </c>
      <c r="C62" s="43" t="s">
        <v>182</v>
      </c>
      <c r="D62" s="36">
        <v>284.20999999999998</v>
      </c>
      <c r="E62" s="36">
        <v>167.15</v>
      </c>
      <c r="F62" s="36">
        <v>0</v>
      </c>
      <c r="G62" s="37">
        <v>0</v>
      </c>
      <c r="H62" s="38">
        <v>0</v>
      </c>
      <c r="I62" s="39">
        <v>0</v>
      </c>
      <c r="J62" s="40" t="s">
        <v>116</v>
      </c>
      <c r="K62" s="40">
        <v>9.9871995321414067E-2</v>
      </c>
      <c r="L62" s="41">
        <v>0</v>
      </c>
      <c r="M62" s="36">
        <v>406.28177619172652</v>
      </c>
      <c r="N62" s="36"/>
      <c r="O62" s="37">
        <v>0</v>
      </c>
      <c r="P62" s="37">
        <v>0</v>
      </c>
      <c r="Q62" s="19"/>
    </row>
    <row r="63" spans="1:17" x14ac:dyDescent="0.25">
      <c r="A63" s="42">
        <v>430</v>
      </c>
      <c r="B63" s="42">
        <v>6</v>
      </c>
      <c r="C63" s="43" t="s">
        <v>183</v>
      </c>
      <c r="D63" s="36">
        <v>3362</v>
      </c>
      <c r="E63" s="36">
        <v>0</v>
      </c>
      <c r="F63" s="36">
        <v>0</v>
      </c>
      <c r="G63" s="37">
        <v>0</v>
      </c>
      <c r="H63" s="38">
        <v>1</v>
      </c>
      <c r="I63" s="39">
        <v>0</v>
      </c>
      <c r="J63" s="40" t="s">
        <v>116</v>
      </c>
      <c r="K63" s="40">
        <v>0.1246571269564154</v>
      </c>
      <c r="L63" s="41">
        <v>0</v>
      </c>
      <c r="M63" s="36">
        <v>2942.9027391725313</v>
      </c>
      <c r="N63" s="36"/>
      <c r="O63" s="37">
        <v>605</v>
      </c>
      <c r="P63" s="37">
        <v>605</v>
      </c>
      <c r="Q63" s="19"/>
    </row>
    <row r="64" spans="1:17" x14ac:dyDescent="0.25">
      <c r="A64" s="42">
        <v>562</v>
      </c>
      <c r="B64" s="42">
        <v>6</v>
      </c>
      <c r="C64" s="43" t="s">
        <v>184</v>
      </c>
      <c r="D64" s="36">
        <v>39.43</v>
      </c>
      <c r="E64" s="36">
        <v>0</v>
      </c>
      <c r="F64" s="36">
        <v>0</v>
      </c>
      <c r="G64" s="37">
        <v>0</v>
      </c>
      <c r="H64" s="38">
        <v>1</v>
      </c>
      <c r="I64" s="39">
        <v>0</v>
      </c>
      <c r="J64" s="40" t="s">
        <v>116</v>
      </c>
      <c r="K64" s="40">
        <v>0.1246571269564154</v>
      </c>
      <c r="L64" s="41">
        <v>0</v>
      </c>
      <c r="M64" s="36">
        <v>34.514769484108541</v>
      </c>
      <c r="N64" s="36"/>
      <c r="O64" s="37">
        <v>0</v>
      </c>
      <c r="P64" s="37">
        <v>0</v>
      </c>
      <c r="Q64" s="19"/>
    </row>
    <row r="65" spans="1:17" x14ac:dyDescent="0.25">
      <c r="A65" s="42">
        <v>603</v>
      </c>
      <c r="B65" s="42">
        <v>6</v>
      </c>
      <c r="C65" s="43" t="s">
        <v>185</v>
      </c>
      <c r="D65" s="36">
        <v>109.96</v>
      </c>
      <c r="E65" s="36">
        <v>0</v>
      </c>
      <c r="F65" s="36">
        <v>0</v>
      </c>
      <c r="G65" s="37">
        <v>0</v>
      </c>
      <c r="H65" s="38">
        <v>0</v>
      </c>
      <c r="I65" s="39">
        <v>0</v>
      </c>
      <c r="J65" s="40" t="s">
        <v>116</v>
      </c>
      <c r="K65" s="40">
        <v>9.9871995321414067E-2</v>
      </c>
      <c r="L65" s="41">
        <v>0</v>
      </c>
      <c r="M65" s="36">
        <v>98.978075394457292</v>
      </c>
      <c r="N65" s="36"/>
      <c r="O65" s="37">
        <v>0</v>
      </c>
      <c r="P65" s="37">
        <v>0</v>
      </c>
      <c r="Q65" s="19"/>
    </row>
    <row r="66" spans="1:17" x14ac:dyDescent="0.25">
      <c r="A66" s="42">
        <v>618</v>
      </c>
      <c r="B66" s="42">
        <v>6</v>
      </c>
      <c r="C66" s="43" t="s">
        <v>186</v>
      </c>
      <c r="D66" s="36">
        <v>21.67</v>
      </c>
      <c r="E66" s="36">
        <v>0</v>
      </c>
      <c r="F66" s="36">
        <v>0</v>
      </c>
      <c r="G66" s="37">
        <v>0</v>
      </c>
      <c r="H66" s="38">
        <v>1</v>
      </c>
      <c r="I66" s="39">
        <v>0</v>
      </c>
      <c r="J66" s="40" t="s">
        <v>116</v>
      </c>
      <c r="K66" s="40">
        <v>0.1246571269564154</v>
      </c>
      <c r="L66" s="41">
        <v>0</v>
      </c>
      <c r="M66" s="36">
        <v>18.968680058854481</v>
      </c>
      <c r="N66" s="36"/>
      <c r="O66" s="37">
        <v>0</v>
      </c>
      <c r="P66" s="37">
        <v>0</v>
      </c>
      <c r="Q66" s="19"/>
    </row>
    <row r="67" spans="1:17" x14ac:dyDescent="0.25">
      <c r="A67" s="42">
        <v>620</v>
      </c>
      <c r="B67" s="42">
        <v>6</v>
      </c>
      <c r="C67" s="43" t="s">
        <v>187</v>
      </c>
      <c r="D67" s="36">
        <v>194.69</v>
      </c>
      <c r="E67" s="36">
        <v>14.61</v>
      </c>
      <c r="F67" s="36">
        <v>0</v>
      </c>
      <c r="G67" s="37">
        <v>0</v>
      </c>
      <c r="H67" s="38">
        <v>0</v>
      </c>
      <c r="I67" s="39">
        <v>0</v>
      </c>
      <c r="J67" s="40" t="s">
        <v>116</v>
      </c>
      <c r="K67" s="40">
        <v>9.9871995321414067E-2</v>
      </c>
      <c r="L67" s="41">
        <v>0</v>
      </c>
      <c r="M67" s="36">
        <v>188.39679137922803</v>
      </c>
      <c r="N67" s="36"/>
      <c r="O67" s="37">
        <v>0</v>
      </c>
      <c r="P67" s="37">
        <v>0</v>
      </c>
      <c r="Q67" s="19"/>
    </row>
    <row r="68" spans="1:17" x14ac:dyDescent="0.25">
      <c r="A68" s="42">
        <v>622</v>
      </c>
      <c r="B68" s="42">
        <v>6</v>
      </c>
      <c r="C68" s="43" t="s">
        <v>188</v>
      </c>
      <c r="D68" s="36">
        <v>113.14</v>
      </c>
      <c r="E68" s="36">
        <v>20.59</v>
      </c>
      <c r="F68" s="36">
        <v>0</v>
      </c>
      <c r="G68" s="37">
        <v>0</v>
      </c>
      <c r="H68" s="38">
        <v>0</v>
      </c>
      <c r="I68" s="39">
        <v>0</v>
      </c>
      <c r="J68" s="40" t="s">
        <v>116</v>
      </c>
      <c r="K68" s="40">
        <v>9.9871995321414067E-2</v>
      </c>
      <c r="L68" s="41">
        <v>0</v>
      </c>
      <c r="M68" s="36">
        <v>120.37411806566728</v>
      </c>
      <c r="N68" s="36"/>
      <c r="O68" s="37">
        <v>190</v>
      </c>
      <c r="P68" s="37">
        <v>190</v>
      </c>
      <c r="Q68" s="19"/>
    </row>
    <row r="69" spans="1:17" x14ac:dyDescent="0.25">
      <c r="A69" s="42">
        <v>623</v>
      </c>
      <c r="B69" s="42">
        <v>6</v>
      </c>
      <c r="C69" s="43" t="s">
        <v>189</v>
      </c>
      <c r="D69" s="36">
        <v>264.36</v>
      </c>
      <c r="E69" s="36">
        <v>0</v>
      </c>
      <c r="F69" s="36">
        <v>0</v>
      </c>
      <c r="G69" s="37">
        <v>0</v>
      </c>
      <c r="H69" s="38">
        <v>1</v>
      </c>
      <c r="I69" s="39">
        <v>0</v>
      </c>
      <c r="J69" s="40" t="s">
        <v>116</v>
      </c>
      <c r="K69" s="40">
        <v>0.1246571269564154</v>
      </c>
      <c r="L69" s="41">
        <v>0</v>
      </c>
      <c r="M69" s="36">
        <v>231.40564191780203</v>
      </c>
      <c r="N69" s="36"/>
      <c r="O69" s="37">
        <v>0</v>
      </c>
      <c r="P69" s="37">
        <v>0</v>
      </c>
      <c r="Q69" s="19"/>
    </row>
    <row r="70" spans="1:17" x14ac:dyDescent="0.25">
      <c r="A70" s="42">
        <v>626</v>
      </c>
      <c r="B70" s="42">
        <v>6</v>
      </c>
      <c r="C70" s="43" t="s">
        <v>190</v>
      </c>
      <c r="D70" s="36">
        <v>18.72</v>
      </c>
      <c r="E70" s="36">
        <v>5.6700000000000008</v>
      </c>
      <c r="F70" s="36">
        <v>0</v>
      </c>
      <c r="G70" s="37">
        <v>0</v>
      </c>
      <c r="H70" s="38">
        <v>0</v>
      </c>
      <c r="I70" s="39">
        <v>0</v>
      </c>
      <c r="J70" s="40" t="s">
        <v>116</v>
      </c>
      <c r="K70" s="40">
        <v>9.9871995321414067E-2</v>
      </c>
      <c r="L70" s="41">
        <v>0</v>
      </c>
      <c r="M70" s="36">
        <v>21.954122034110711</v>
      </c>
      <c r="N70" s="36"/>
      <c r="O70" s="37">
        <v>0</v>
      </c>
      <c r="P70" s="37">
        <v>0</v>
      </c>
      <c r="Q70" s="19"/>
    </row>
    <row r="71" spans="1:17" x14ac:dyDescent="0.25">
      <c r="A71" s="42">
        <v>627</v>
      </c>
      <c r="B71" s="42">
        <v>6</v>
      </c>
      <c r="C71" s="43" t="s">
        <v>191</v>
      </c>
      <c r="D71" s="36">
        <v>35.94</v>
      </c>
      <c r="E71" s="36">
        <v>155.76</v>
      </c>
      <c r="F71" s="36">
        <v>0</v>
      </c>
      <c r="G71" s="37">
        <v>0</v>
      </c>
      <c r="H71" s="38">
        <v>0</v>
      </c>
      <c r="I71" s="39">
        <v>0</v>
      </c>
      <c r="J71" s="40" t="s">
        <v>116</v>
      </c>
      <c r="K71" s="40">
        <v>9.9871995321414067E-2</v>
      </c>
      <c r="L71" s="41">
        <v>0</v>
      </c>
      <c r="M71" s="36">
        <v>172.5545384968849</v>
      </c>
      <c r="N71" s="36"/>
      <c r="O71" s="37">
        <v>53.1</v>
      </c>
      <c r="P71" s="37">
        <v>53.1</v>
      </c>
      <c r="Q71" s="19"/>
    </row>
    <row r="72" spans="1:17" x14ac:dyDescent="0.25">
      <c r="A72" s="42">
        <v>634</v>
      </c>
      <c r="B72" s="42">
        <v>6</v>
      </c>
      <c r="C72" s="43" t="s">
        <v>192</v>
      </c>
      <c r="D72" s="36">
        <v>753.05</v>
      </c>
      <c r="E72" s="36">
        <v>46.54</v>
      </c>
      <c r="F72" s="36">
        <v>0</v>
      </c>
      <c r="G72" s="37">
        <v>0</v>
      </c>
      <c r="H72" s="38">
        <v>1</v>
      </c>
      <c r="I72" s="39">
        <v>0</v>
      </c>
      <c r="J72" s="40" t="s">
        <v>116</v>
      </c>
      <c r="K72" s="40">
        <v>0.1246571269564154</v>
      </c>
      <c r="L72" s="41">
        <v>0</v>
      </c>
      <c r="M72" s="36">
        <v>699.91540785691973</v>
      </c>
      <c r="N72" s="36"/>
      <c r="O72" s="37">
        <v>0</v>
      </c>
      <c r="P72" s="37">
        <v>0</v>
      </c>
      <c r="Q72" s="19"/>
    </row>
    <row r="73" spans="1:17" x14ac:dyDescent="0.25">
      <c r="A73" s="42">
        <v>694</v>
      </c>
      <c r="B73" s="42">
        <v>6</v>
      </c>
      <c r="C73" s="43" t="s">
        <v>38</v>
      </c>
      <c r="D73" s="36">
        <v>4.6500000000000004</v>
      </c>
      <c r="E73" s="36">
        <v>9.25</v>
      </c>
      <c r="F73" s="36">
        <v>0</v>
      </c>
      <c r="G73" s="37">
        <v>0</v>
      </c>
      <c r="H73" s="38">
        <v>1</v>
      </c>
      <c r="I73" s="39">
        <v>0</v>
      </c>
      <c r="J73" s="40" t="s">
        <v>116</v>
      </c>
      <c r="K73" s="40">
        <v>0.1246571269564154</v>
      </c>
      <c r="L73" s="41">
        <v>0</v>
      </c>
      <c r="M73" s="36">
        <v>12.167265935305826</v>
      </c>
      <c r="N73" s="36"/>
      <c r="O73" s="37">
        <v>0</v>
      </c>
      <c r="P73" s="37">
        <v>0</v>
      </c>
      <c r="Q73" s="19"/>
    </row>
    <row r="74" spans="1:17" x14ac:dyDescent="0.25">
      <c r="A74" s="42">
        <v>697</v>
      </c>
      <c r="B74" s="42">
        <v>6</v>
      </c>
      <c r="C74" s="43" t="s">
        <v>193</v>
      </c>
      <c r="D74" s="36">
        <v>43</v>
      </c>
      <c r="E74" s="36">
        <v>7</v>
      </c>
      <c r="F74" s="36">
        <v>0</v>
      </c>
      <c r="G74" s="37">
        <v>0</v>
      </c>
      <c r="H74" s="38">
        <v>1</v>
      </c>
      <c r="I74" s="39">
        <v>0</v>
      </c>
      <c r="J74" s="40" t="s">
        <v>116</v>
      </c>
      <c r="K74" s="40">
        <v>0.1246571269564154</v>
      </c>
      <c r="L74" s="41">
        <v>0</v>
      </c>
      <c r="M74" s="36">
        <v>43.767143652179229</v>
      </c>
      <c r="N74" s="36"/>
      <c r="O74" s="37">
        <v>0</v>
      </c>
      <c r="P74" s="37">
        <v>0</v>
      </c>
      <c r="Q74" s="19"/>
    </row>
    <row r="75" spans="1:17" x14ac:dyDescent="0.25">
      <c r="A75" s="42">
        <v>710</v>
      </c>
      <c r="B75" s="42">
        <v>6</v>
      </c>
      <c r="C75" s="43" t="s">
        <v>194</v>
      </c>
      <c r="D75" s="36">
        <v>0</v>
      </c>
      <c r="E75" s="36">
        <v>78.66</v>
      </c>
      <c r="F75" s="36">
        <v>0</v>
      </c>
      <c r="G75" s="37">
        <v>0</v>
      </c>
      <c r="H75" s="38">
        <v>1</v>
      </c>
      <c r="I75" s="39">
        <v>0</v>
      </c>
      <c r="J75" s="40" t="s">
        <v>116</v>
      </c>
      <c r="K75" s="40">
        <v>0.1246571269564154</v>
      </c>
      <c r="L75" s="41">
        <v>0</v>
      </c>
      <c r="M75" s="36">
        <v>68.854470393608366</v>
      </c>
      <c r="N75" s="36"/>
      <c r="O75" s="37">
        <v>0</v>
      </c>
      <c r="P75" s="37">
        <v>0</v>
      </c>
      <c r="Q75" s="19"/>
    </row>
    <row r="76" spans="1:17" x14ac:dyDescent="0.25">
      <c r="A76" s="42">
        <v>715</v>
      </c>
      <c r="B76" s="42">
        <v>6</v>
      </c>
      <c r="C76" s="43" t="s">
        <v>195</v>
      </c>
      <c r="D76" s="36">
        <v>44.39</v>
      </c>
      <c r="E76" s="36">
        <v>18.91</v>
      </c>
      <c r="F76" s="36">
        <v>0</v>
      </c>
      <c r="G76" s="37">
        <v>0</v>
      </c>
      <c r="H76" s="38">
        <v>1</v>
      </c>
      <c r="I76" s="39">
        <v>0</v>
      </c>
      <c r="J76" s="40" t="s">
        <v>116</v>
      </c>
      <c r="K76" s="40">
        <v>0.1246571269564154</v>
      </c>
      <c r="L76" s="41">
        <v>0</v>
      </c>
      <c r="M76" s="36">
        <v>55.409203863658902</v>
      </c>
      <c r="N76" s="36"/>
      <c r="O76" s="37">
        <v>0</v>
      </c>
      <c r="P76" s="37">
        <v>0</v>
      </c>
      <c r="Q76" s="19"/>
    </row>
    <row r="77" spans="1:17" x14ac:dyDescent="0.25">
      <c r="A77" s="42">
        <v>743</v>
      </c>
      <c r="B77" s="42">
        <v>6</v>
      </c>
      <c r="C77" s="43" t="s">
        <v>196</v>
      </c>
      <c r="D77" s="36">
        <v>96.11</v>
      </c>
      <c r="E77" s="36">
        <v>0</v>
      </c>
      <c r="F77" s="36">
        <v>0</v>
      </c>
      <c r="G77" s="37">
        <v>0</v>
      </c>
      <c r="H77" s="38">
        <v>1</v>
      </c>
      <c r="I77" s="39">
        <v>0</v>
      </c>
      <c r="J77" s="40" t="s">
        <v>116</v>
      </c>
      <c r="K77" s="40">
        <v>0.1246571269564154</v>
      </c>
      <c r="L77" s="41">
        <v>0</v>
      </c>
      <c r="M77" s="36">
        <v>84.129203528218909</v>
      </c>
      <c r="N77" s="36"/>
      <c r="O77" s="37">
        <v>0</v>
      </c>
      <c r="P77" s="37">
        <v>0</v>
      </c>
      <c r="Q77" s="19"/>
    </row>
    <row r="78" spans="1:17" x14ac:dyDescent="0.25">
      <c r="A78" s="42">
        <v>747</v>
      </c>
      <c r="B78" s="42">
        <v>6</v>
      </c>
      <c r="C78" s="43" t="s">
        <v>368</v>
      </c>
      <c r="D78" s="36">
        <v>28.64</v>
      </c>
      <c r="E78" s="36">
        <v>4.9800000000000004</v>
      </c>
      <c r="F78" s="36">
        <v>33.11</v>
      </c>
      <c r="G78" s="37">
        <v>0</v>
      </c>
      <c r="H78" s="38">
        <v>1</v>
      </c>
      <c r="I78" s="39">
        <v>0</v>
      </c>
      <c r="J78" s="40">
        <v>1.5169541939321983E-2</v>
      </c>
      <c r="K78" s="40">
        <v>0.02</v>
      </c>
      <c r="L78" s="41">
        <v>0</v>
      </c>
      <c r="M78" s="36">
        <v>32.947600000000001</v>
      </c>
      <c r="N78" s="36"/>
      <c r="O78" s="37">
        <v>0</v>
      </c>
      <c r="P78" s="37">
        <v>0</v>
      </c>
      <c r="Q78" s="19"/>
    </row>
    <row r="79" spans="1:17" x14ac:dyDescent="0.25">
      <c r="A79" s="42">
        <v>758</v>
      </c>
      <c r="B79" s="42">
        <v>6</v>
      </c>
      <c r="C79" s="43" t="s">
        <v>198</v>
      </c>
      <c r="D79" s="36">
        <v>296.05</v>
      </c>
      <c r="E79" s="36">
        <v>134.18</v>
      </c>
      <c r="F79" s="36">
        <v>0</v>
      </c>
      <c r="G79" s="37">
        <v>610.84</v>
      </c>
      <c r="H79" s="38">
        <v>1</v>
      </c>
      <c r="I79" s="39">
        <v>0</v>
      </c>
      <c r="J79" s="40" t="s">
        <v>116</v>
      </c>
      <c r="K79" s="40">
        <v>0.1246571269564154</v>
      </c>
      <c r="L79" s="41">
        <v>0</v>
      </c>
      <c r="M79" s="36">
        <v>376.59876426954139</v>
      </c>
      <c r="N79" s="36"/>
      <c r="O79" s="37">
        <v>351</v>
      </c>
      <c r="P79" s="37">
        <v>961.84</v>
      </c>
      <c r="Q79" s="19"/>
    </row>
    <row r="80" spans="1:17" x14ac:dyDescent="0.25">
      <c r="A80" s="42">
        <v>765</v>
      </c>
      <c r="B80" s="42">
        <v>6</v>
      </c>
      <c r="C80" s="43" t="s">
        <v>199</v>
      </c>
      <c r="D80" s="36">
        <v>77.989999999999995</v>
      </c>
      <c r="E80" s="36">
        <v>4</v>
      </c>
      <c r="F80" s="36">
        <v>81.41</v>
      </c>
      <c r="G80" s="37">
        <v>0</v>
      </c>
      <c r="H80" s="38">
        <v>1</v>
      </c>
      <c r="I80" s="39">
        <v>0</v>
      </c>
      <c r="J80" s="40">
        <v>7.0740334187095787E-3</v>
      </c>
      <c r="K80" s="40">
        <v>0.02</v>
      </c>
      <c r="L80" s="41">
        <v>0</v>
      </c>
      <c r="M80" s="36">
        <v>80.350199999999987</v>
      </c>
      <c r="N80" s="36"/>
      <c r="O80" s="37">
        <v>0</v>
      </c>
      <c r="P80" s="37">
        <v>0</v>
      </c>
      <c r="Q80" s="19"/>
    </row>
    <row r="81" spans="1:17" x14ac:dyDescent="0.25">
      <c r="A81" s="42">
        <v>770</v>
      </c>
      <c r="B81" s="42">
        <v>6</v>
      </c>
      <c r="C81" s="43" t="s">
        <v>200</v>
      </c>
      <c r="D81" s="36">
        <v>12.55</v>
      </c>
      <c r="E81" s="36">
        <v>18.829999999999998</v>
      </c>
      <c r="F81" s="36">
        <v>31.38</v>
      </c>
      <c r="G81" s="37">
        <v>0</v>
      </c>
      <c r="H81" s="38">
        <v>1</v>
      </c>
      <c r="I81" s="39">
        <v>0</v>
      </c>
      <c r="J81" s="40" t="s">
        <v>116</v>
      </c>
      <c r="K81" s="40">
        <v>0.1246571269564154</v>
      </c>
      <c r="L81" s="41">
        <v>0</v>
      </c>
      <c r="M81" s="36">
        <v>31.38</v>
      </c>
      <c r="N81" s="36"/>
      <c r="O81" s="37">
        <v>0</v>
      </c>
      <c r="P81" s="37">
        <v>0</v>
      </c>
      <c r="Q81" s="19"/>
    </row>
    <row r="82" spans="1:17" x14ac:dyDescent="0.25">
      <c r="A82" s="42">
        <v>774</v>
      </c>
      <c r="B82" s="42">
        <v>6</v>
      </c>
      <c r="C82" s="43" t="s">
        <v>201</v>
      </c>
      <c r="D82" s="36">
        <v>334.44</v>
      </c>
      <c r="E82" s="36">
        <v>218.94</v>
      </c>
      <c r="F82" s="36">
        <v>487.11</v>
      </c>
      <c r="G82" s="37">
        <v>9203.61</v>
      </c>
      <c r="H82" s="38">
        <v>1</v>
      </c>
      <c r="I82" s="39">
        <v>0</v>
      </c>
      <c r="J82" s="40">
        <v>0.11975496042502437</v>
      </c>
      <c r="K82" s="40">
        <v>0.11975496042502437</v>
      </c>
      <c r="L82" s="41">
        <v>0</v>
      </c>
      <c r="M82" s="36">
        <v>487.11</v>
      </c>
      <c r="N82" s="36"/>
      <c r="O82" s="37">
        <v>0</v>
      </c>
      <c r="P82" s="37">
        <v>9203.61</v>
      </c>
      <c r="Q82" s="19"/>
    </row>
    <row r="83" spans="1:17" x14ac:dyDescent="0.25">
      <c r="A83" s="42">
        <v>794</v>
      </c>
      <c r="B83" s="42">
        <v>6</v>
      </c>
      <c r="C83" s="43" t="s">
        <v>369</v>
      </c>
      <c r="D83" s="36">
        <v>34.96</v>
      </c>
      <c r="E83" s="36">
        <v>4.59</v>
      </c>
      <c r="F83" s="36">
        <v>0</v>
      </c>
      <c r="G83" s="37">
        <v>0</v>
      </c>
      <c r="H83" s="38">
        <v>0</v>
      </c>
      <c r="I83" s="39">
        <v>0</v>
      </c>
      <c r="J83" s="40" t="s">
        <v>116</v>
      </c>
      <c r="K83" s="40">
        <v>9.9871995321414067E-2</v>
      </c>
      <c r="L83" s="41">
        <v>0</v>
      </c>
      <c r="M83" s="36">
        <v>35.600062585038067</v>
      </c>
      <c r="N83" s="36"/>
      <c r="O83" s="37">
        <v>0</v>
      </c>
      <c r="P83" s="37">
        <v>0</v>
      </c>
      <c r="Q83" s="19"/>
    </row>
    <row r="84" spans="1:17" x14ac:dyDescent="0.25">
      <c r="A84" s="42">
        <v>806</v>
      </c>
      <c r="B84" s="42">
        <v>6</v>
      </c>
      <c r="C84" s="43" t="s">
        <v>370</v>
      </c>
      <c r="D84" s="36">
        <v>27</v>
      </c>
      <c r="E84" s="36">
        <v>0</v>
      </c>
      <c r="F84" s="36">
        <v>0</v>
      </c>
      <c r="G84" s="37">
        <v>0</v>
      </c>
      <c r="H84" s="38">
        <v>1</v>
      </c>
      <c r="I84" s="39">
        <v>0</v>
      </c>
      <c r="J84" s="40" t="s">
        <v>116</v>
      </c>
      <c r="K84" s="40">
        <v>0.1246571269564154</v>
      </c>
      <c r="L84" s="41">
        <v>0</v>
      </c>
      <c r="M84" s="36">
        <v>23.634257572176786</v>
      </c>
      <c r="N84" s="36"/>
      <c r="O84" s="37">
        <v>0</v>
      </c>
      <c r="P84" s="37">
        <v>0</v>
      </c>
      <c r="Q84" s="19"/>
    </row>
    <row r="85" spans="1:17" x14ac:dyDescent="0.25">
      <c r="A85" s="42">
        <v>811</v>
      </c>
      <c r="B85" s="42">
        <v>6</v>
      </c>
      <c r="C85" s="43" t="s">
        <v>204</v>
      </c>
      <c r="D85" s="36">
        <v>446.24</v>
      </c>
      <c r="E85" s="36">
        <v>480.46000000000004</v>
      </c>
      <c r="F85" s="36">
        <v>0</v>
      </c>
      <c r="G85" s="37">
        <v>0</v>
      </c>
      <c r="H85" s="38">
        <v>1</v>
      </c>
      <c r="I85" s="39">
        <v>0</v>
      </c>
      <c r="J85" s="40" t="s">
        <v>116</v>
      </c>
      <c r="K85" s="40">
        <v>0.1246571269564154</v>
      </c>
      <c r="L85" s="41">
        <v>0</v>
      </c>
      <c r="M85" s="36">
        <v>811.18024044948993</v>
      </c>
      <c r="N85" s="36"/>
      <c r="O85" s="37">
        <v>1046</v>
      </c>
      <c r="P85" s="37">
        <v>1046</v>
      </c>
      <c r="Q85" s="19"/>
    </row>
    <row r="86" spans="1:17" x14ac:dyDescent="0.25">
      <c r="A86" s="42">
        <v>824</v>
      </c>
      <c r="B86" s="42">
        <v>6</v>
      </c>
      <c r="C86" s="43" t="s">
        <v>371</v>
      </c>
      <c r="D86" s="36">
        <v>31.52</v>
      </c>
      <c r="E86" s="36">
        <v>6</v>
      </c>
      <c r="F86" s="36">
        <v>31.52</v>
      </c>
      <c r="G86" s="37">
        <v>0</v>
      </c>
      <c r="H86" s="38">
        <v>1</v>
      </c>
      <c r="I86" s="39">
        <v>0</v>
      </c>
      <c r="J86" s="40">
        <v>0.15991471215351805</v>
      </c>
      <c r="K86" s="40">
        <v>0.15991471215351805</v>
      </c>
      <c r="L86" s="41">
        <v>0</v>
      </c>
      <c r="M86" s="36">
        <v>31.52</v>
      </c>
      <c r="N86" s="36"/>
      <c r="O86" s="37">
        <v>0</v>
      </c>
      <c r="P86" s="37">
        <v>0</v>
      </c>
      <c r="Q86" s="19"/>
    </row>
    <row r="87" spans="1:17" x14ac:dyDescent="0.25">
      <c r="A87" s="42">
        <v>826</v>
      </c>
      <c r="B87" s="42">
        <v>6</v>
      </c>
      <c r="C87" s="43" t="s">
        <v>372</v>
      </c>
      <c r="D87" s="36">
        <v>26.19</v>
      </c>
      <c r="E87" s="36">
        <v>0</v>
      </c>
      <c r="F87" s="36">
        <v>26.19</v>
      </c>
      <c r="G87" s="37">
        <v>0</v>
      </c>
      <c r="H87" s="38">
        <v>1</v>
      </c>
      <c r="I87" s="39">
        <v>0</v>
      </c>
      <c r="J87" s="40" t="s">
        <v>116</v>
      </c>
      <c r="K87" s="40">
        <v>0.1246571269564154</v>
      </c>
      <c r="L87" s="41">
        <v>0</v>
      </c>
      <c r="M87" s="36">
        <v>26.19</v>
      </c>
      <c r="N87" s="36"/>
      <c r="O87" s="37">
        <v>0</v>
      </c>
      <c r="P87" s="37">
        <v>0</v>
      </c>
      <c r="Q87" s="19"/>
    </row>
    <row r="88" spans="1:17" x14ac:dyDescent="0.25">
      <c r="A88" s="42">
        <v>840</v>
      </c>
      <c r="B88" s="42">
        <v>6</v>
      </c>
      <c r="C88" s="43" t="s">
        <v>207</v>
      </c>
      <c r="D88" s="36">
        <v>96.53</v>
      </c>
      <c r="E88" s="36">
        <v>51.94</v>
      </c>
      <c r="F88" s="36">
        <v>0</v>
      </c>
      <c r="G88" s="37">
        <v>0</v>
      </c>
      <c r="H88" s="38">
        <v>0</v>
      </c>
      <c r="I88" s="39">
        <v>0</v>
      </c>
      <c r="J88" s="40" t="s">
        <v>116</v>
      </c>
      <c r="K88" s="40">
        <v>9.9871995321414067E-2</v>
      </c>
      <c r="L88" s="41">
        <v>0</v>
      </c>
      <c r="M88" s="36">
        <v>133.64200485462965</v>
      </c>
      <c r="N88" s="36"/>
      <c r="O88" s="37">
        <v>0</v>
      </c>
      <c r="P88" s="37">
        <v>0</v>
      </c>
      <c r="Q88" s="19"/>
    </row>
    <row r="89" spans="1:17" x14ac:dyDescent="0.25">
      <c r="A89" s="42">
        <v>843</v>
      </c>
      <c r="B89" s="42">
        <v>6</v>
      </c>
      <c r="C89" s="43" t="s">
        <v>373</v>
      </c>
      <c r="D89" s="36">
        <v>24</v>
      </c>
      <c r="E89" s="36">
        <v>0</v>
      </c>
      <c r="F89" s="36">
        <v>24</v>
      </c>
      <c r="G89" s="37">
        <v>0</v>
      </c>
      <c r="H89" s="38">
        <v>1</v>
      </c>
      <c r="I89" s="39">
        <v>0</v>
      </c>
      <c r="J89" s="40" t="s">
        <v>116</v>
      </c>
      <c r="K89" s="40">
        <v>0.1246571269564154</v>
      </c>
      <c r="L89" s="41">
        <v>0</v>
      </c>
      <c r="M89" s="36">
        <v>24</v>
      </c>
      <c r="N89" s="36"/>
      <c r="O89" s="37">
        <v>0</v>
      </c>
      <c r="P89" s="37">
        <v>0</v>
      </c>
      <c r="Q89" s="19"/>
    </row>
    <row r="90" spans="1:17" x14ac:dyDescent="0.25">
      <c r="A90" s="42">
        <v>846</v>
      </c>
      <c r="B90" s="42">
        <v>6</v>
      </c>
      <c r="C90" s="43" t="s">
        <v>209</v>
      </c>
      <c r="D90" s="36">
        <v>24.91</v>
      </c>
      <c r="E90" s="36">
        <v>0</v>
      </c>
      <c r="F90" s="36">
        <v>24.91</v>
      </c>
      <c r="G90" s="37">
        <v>0</v>
      </c>
      <c r="H90" s="38">
        <v>1</v>
      </c>
      <c r="I90" s="39">
        <v>0</v>
      </c>
      <c r="J90" s="40" t="s">
        <v>116</v>
      </c>
      <c r="K90" s="40">
        <v>0.1246571269564154</v>
      </c>
      <c r="L90" s="41">
        <v>0</v>
      </c>
      <c r="M90" s="36">
        <v>24.91</v>
      </c>
      <c r="N90" s="36"/>
      <c r="O90" s="37">
        <v>0</v>
      </c>
      <c r="P90" s="37">
        <v>0</v>
      </c>
      <c r="Q90" s="19"/>
    </row>
    <row r="91" spans="1:17" x14ac:dyDescent="0.25">
      <c r="A91" s="42">
        <v>888</v>
      </c>
      <c r="B91" s="42">
        <v>6</v>
      </c>
      <c r="C91" s="43" t="s">
        <v>210</v>
      </c>
      <c r="D91" s="36">
        <v>98.97999999999999</v>
      </c>
      <c r="E91" s="36">
        <v>0</v>
      </c>
      <c r="F91" s="36">
        <v>0</v>
      </c>
      <c r="G91" s="37">
        <v>0</v>
      </c>
      <c r="H91" s="38">
        <v>0</v>
      </c>
      <c r="I91" s="39">
        <v>0</v>
      </c>
      <c r="J91" s="40" t="s">
        <v>116</v>
      </c>
      <c r="K91" s="40">
        <v>9.9871995321414067E-2</v>
      </c>
      <c r="L91" s="41">
        <v>0</v>
      </c>
      <c r="M91" s="36">
        <v>89.094669903086427</v>
      </c>
      <c r="N91" s="36"/>
      <c r="O91" s="37">
        <v>0</v>
      </c>
      <c r="P91" s="37">
        <v>0</v>
      </c>
      <c r="Q91" s="19"/>
    </row>
    <row r="92" spans="1:17" x14ac:dyDescent="0.25">
      <c r="A92" s="42">
        <v>889</v>
      </c>
      <c r="B92" s="42">
        <v>6</v>
      </c>
      <c r="C92" s="43" t="s">
        <v>211</v>
      </c>
      <c r="D92" s="36">
        <v>92.94</v>
      </c>
      <c r="E92" s="36">
        <v>0</v>
      </c>
      <c r="F92" s="36">
        <v>0</v>
      </c>
      <c r="G92" s="37">
        <v>0</v>
      </c>
      <c r="H92" s="38">
        <v>1</v>
      </c>
      <c r="I92" s="39">
        <v>0</v>
      </c>
      <c r="J92" s="40" t="s">
        <v>116</v>
      </c>
      <c r="K92" s="40">
        <v>0.1246571269564154</v>
      </c>
      <c r="L92" s="41">
        <v>0</v>
      </c>
      <c r="M92" s="36">
        <v>81.354366620670746</v>
      </c>
      <c r="N92" s="36"/>
      <c r="O92" s="37">
        <v>0</v>
      </c>
      <c r="P92" s="37">
        <v>0</v>
      </c>
      <c r="Q92" s="19"/>
    </row>
    <row r="93" spans="1:17" x14ac:dyDescent="0.25">
      <c r="A93" s="42">
        <v>891</v>
      </c>
      <c r="B93" s="42">
        <v>6</v>
      </c>
      <c r="C93" s="43" t="s">
        <v>212</v>
      </c>
      <c r="D93" s="36">
        <v>384.10999999999996</v>
      </c>
      <c r="E93" s="36">
        <v>0</v>
      </c>
      <c r="F93" s="36">
        <v>0</v>
      </c>
      <c r="G93" s="37">
        <v>0</v>
      </c>
      <c r="H93" s="38">
        <v>1</v>
      </c>
      <c r="I93" s="39">
        <v>0</v>
      </c>
      <c r="J93" s="40" t="s">
        <v>116</v>
      </c>
      <c r="K93" s="40">
        <v>0.1246571269564154</v>
      </c>
      <c r="L93" s="41">
        <v>0</v>
      </c>
      <c r="M93" s="36">
        <v>336.22795096477125</v>
      </c>
      <c r="N93" s="36"/>
      <c r="O93" s="37">
        <v>0</v>
      </c>
      <c r="P93" s="37">
        <v>0</v>
      </c>
      <c r="Q93" s="19"/>
    </row>
    <row r="94" spans="1:17" x14ac:dyDescent="0.25">
      <c r="A94" s="42">
        <v>904</v>
      </c>
      <c r="B94" s="42">
        <v>6</v>
      </c>
      <c r="C94" s="43" t="s">
        <v>213</v>
      </c>
      <c r="D94" s="36">
        <v>33.28</v>
      </c>
      <c r="E94" s="36">
        <v>0</v>
      </c>
      <c r="F94" s="36">
        <v>0</v>
      </c>
      <c r="G94" s="37">
        <v>0</v>
      </c>
      <c r="H94" s="38">
        <v>1</v>
      </c>
      <c r="I94" s="39">
        <v>0</v>
      </c>
      <c r="J94" s="40" t="s">
        <v>116</v>
      </c>
      <c r="K94" s="40">
        <v>0.1246571269564154</v>
      </c>
      <c r="L94" s="41">
        <v>0</v>
      </c>
      <c r="M94" s="36">
        <v>29.131410814890497</v>
      </c>
      <c r="N94" s="36"/>
      <c r="O94" s="37">
        <v>0</v>
      </c>
      <c r="P94" s="37">
        <v>0</v>
      </c>
      <c r="Q94" s="19"/>
    </row>
    <row r="95" spans="1:17" x14ac:dyDescent="0.25">
      <c r="A95" s="42">
        <v>906</v>
      </c>
      <c r="B95" s="42">
        <v>6</v>
      </c>
      <c r="C95" s="43" t="s">
        <v>214</v>
      </c>
      <c r="D95" s="36">
        <v>297.34999999999997</v>
      </c>
      <c r="E95" s="36">
        <v>0</v>
      </c>
      <c r="F95" s="36">
        <v>232.99</v>
      </c>
      <c r="G95" s="37">
        <v>0</v>
      </c>
      <c r="H95" s="38">
        <v>1</v>
      </c>
      <c r="I95" s="39">
        <v>0</v>
      </c>
      <c r="J95" s="40">
        <v>0.21644526652093479</v>
      </c>
      <c r="K95" s="40">
        <v>0.21644526652093479</v>
      </c>
      <c r="L95" s="41">
        <v>0</v>
      </c>
      <c r="M95" s="36">
        <v>232.99</v>
      </c>
      <c r="N95" s="36"/>
      <c r="O95" s="37">
        <v>175</v>
      </c>
      <c r="P95" s="37">
        <v>175</v>
      </c>
      <c r="Q95" s="19"/>
    </row>
    <row r="96" spans="1:17" x14ac:dyDescent="0.25">
      <c r="A96" s="42">
        <v>917</v>
      </c>
      <c r="B96" s="42">
        <v>6</v>
      </c>
      <c r="C96" s="43" t="s">
        <v>215</v>
      </c>
      <c r="D96" s="36">
        <v>70.239999999999995</v>
      </c>
      <c r="E96" s="36">
        <v>0</v>
      </c>
      <c r="F96" s="36">
        <v>0</v>
      </c>
      <c r="G96" s="37">
        <v>0</v>
      </c>
      <c r="H96" s="38">
        <v>1</v>
      </c>
      <c r="I96" s="39">
        <v>0</v>
      </c>
      <c r="J96" s="40" t="s">
        <v>116</v>
      </c>
      <c r="K96" s="40">
        <v>0.1246571269564154</v>
      </c>
      <c r="L96" s="41">
        <v>0</v>
      </c>
      <c r="M96" s="36">
        <v>61.484083402581376</v>
      </c>
      <c r="N96" s="36"/>
      <c r="O96" s="37">
        <v>0</v>
      </c>
      <c r="P96" s="37">
        <v>0</v>
      </c>
      <c r="Q96" s="19"/>
    </row>
    <row r="97" spans="1:17" x14ac:dyDescent="0.25">
      <c r="A97" s="42">
        <v>957</v>
      </c>
      <c r="B97" s="42">
        <v>6</v>
      </c>
      <c r="C97" s="43" t="s">
        <v>216</v>
      </c>
      <c r="D97" s="36">
        <v>111.95000000000002</v>
      </c>
      <c r="E97" s="36">
        <v>0</v>
      </c>
      <c r="F97" s="36">
        <v>0</v>
      </c>
      <c r="G97" s="37">
        <v>0</v>
      </c>
      <c r="H97" s="38">
        <v>0</v>
      </c>
      <c r="I97" s="39">
        <v>0</v>
      </c>
      <c r="J97" s="40" t="s">
        <v>116</v>
      </c>
      <c r="K97" s="40">
        <v>9.9871995321414067E-2</v>
      </c>
      <c r="L97" s="41">
        <v>0</v>
      </c>
      <c r="M97" s="36">
        <v>100.7693301237677</v>
      </c>
      <c r="N97" s="36"/>
      <c r="O97" s="37">
        <v>0</v>
      </c>
      <c r="P97" s="37">
        <v>0</v>
      </c>
      <c r="Q97" s="19"/>
    </row>
    <row r="98" spans="1:17" x14ac:dyDescent="0.25">
      <c r="A98" s="42">
        <v>959</v>
      </c>
      <c r="B98" s="42">
        <v>6</v>
      </c>
      <c r="C98" s="43" t="s">
        <v>374</v>
      </c>
      <c r="D98" s="36">
        <v>372.26</v>
      </c>
      <c r="E98" s="36">
        <v>0</v>
      </c>
      <c r="F98" s="36">
        <v>0</v>
      </c>
      <c r="G98" s="37">
        <v>0</v>
      </c>
      <c r="H98" s="38">
        <v>1</v>
      </c>
      <c r="I98" s="39">
        <v>0</v>
      </c>
      <c r="J98" s="40" t="s">
        <v>116</v>
      </c>
      <c r="K98" s="40">
        <v>0.1246571269564154</v>
      </c>
      <c r="L98" s="41">
        <v>0</v>
      </c>
      <c r="M98" s="36">
        <v>325.85513791920482</v>
      </c>
      <c r="N98" s="36"/>
      <c r="O98" s="37">
        <v>328</v>
      </c>
      <c r="P98" s="37">
        <v>328</v>
      </c>
      <c r="Q98" s="19"/>
    </row>
    <row r="99" spans="1:17" x14ac:dyDescent="0.25">
      <c r="A99" s="42">
        <v>969</v>
      </c>
      <c r="B99" s="42">
        <v>6</v>
      </c>
      <c r="C99" s="43" t="s">
        <v>218</v>
      </c>
      <c r="D99" s="36">
        <v>20.100000000000001</v>
      </c>
      <c r="E99" s="36">
        <v>0</v>
      </c>
      <c r="F99" s="36">
        <v>0</v>
      </c>
      <c r="G99" s="37">
        <v>0</v>
      </c>
      <c r="H99" s="38">
        <v>1</v>
      </c>
      <c r="I99" s="39">
        <v>0</v>
      </c>
      <c r="J99" s="40" t="s">
        <v>116</v>
      </c>
      <c r="K99" s="40">
        <v>0.1246571269564154</v>
      </c>
      <c r="L99" s="41">
        <v>0</v>
      </c>
      <c r="M99" s="36">
        <v>17.594391748176051</v>
      </c>
      <c r="N99" s="36"/>
      <c r="O99" s="37">
        <v>0</v>
      </c>
      <c r="P99" s="37">
        <v>0</v>
      </c>
      <c r="Q99" s="19"/>
    </row>
    <row r="100" spans="1:17" x14ac:dyDescent="0.25">
      <c r="A100" s="42">
        <v>970</v>
      </c>
      <c r="B100" s="42">
        <v>6</v>
      </c>
      <c r="C100" s="43" t="s">
        <v>219</v>
      </c>
      <c r="D100" s="36">
        <v>214.47</v>
      </c>
      <c r="E100" s="36">
        <v>0</v>
      </c>
      <c r="F100" s="36">
        <v>0</v>
      </c>
      <c r="G100" s="37">
        <v>0</v>
      </c>
      <c r="H100" s="38">
        <v>1</v>
      </c>
      <c r="I100" s="39">
        <v>0</v>
      </c>
      <c r="J100" s="40" t="s">
        <v>116</v>
      </c>
      <c r="K100" s="40">
        <v>0.1246571269564154</v>
      </c>
      <c r="L100" s="41">
        <v>0</v>
      </c>
      <c r="M100" s="36">
        <v>187.73478598165758</v>
      </c>
      <c r="N100" s="36"/>
      <c r="O100" s="37">
        <v>119</v>
      </c>
      <c r="P100" s="37">
        <v>119</v>
      </c>
      <c r="Q100" s="19"/>
    </row>
    <row r="101" spans="1:17" x14ac:dyDescent="0.25">
      <c r="A101" s="42">
        <v>980</v>
      </c>
      <c r="B101" s="42">
        <v>6</v>
      </c>
      <c r="C101" s="43" t="s">
        <v>220</v>
      </c>
      <c r="D101" s="36">
        <v>52.46</v>
      </c>
      <c r="E101" s="36">
        <v>0</v>
      </c>
      <c r="F101" s="36">
        <v>0</v>
      </c>
      <c r="G101" s="37">
        <v>0</v>
      </c>
      <c r="H101" s="38">
        <v>1</v>
      </c>
      <c r="I101" s="39">
        <v>0</v>
      </c>
      <c r="J101" s="40" t="s">
        <v>116</v>
      </c>
      <c r="K101" s="40">
        <v>0.1246571269564154</v>
      </c>
      <c r="L101" s="41">
        <v>0</v>
      </c>
      <c r="M101" s="36">
        <v>45.920487119866451</v>
      </c>
      <c r="N101" s="36"/>
      <c r="O101" s="37">
        <v>0</v>
      </c>
      <c r="P101" s="37">
        <v>0</v>
      </c>
      <c r="Q101" s="19"/>
    </row>
    <row r="102" spans="1:17" x14ac:dyDescent="0.25">
      <c r="A102" s="42">
        <v>986</v>
      </c>
      <c r="B102" s="42">
        <v>6</v>
      </c>
      <c r="C102" s="43" t="s">
        <v>221</v>
      </c>
      <c r="D102" s="36">
        <v>17.3</v>
      </c>
      <c r="E102" s="36">
        <v>0</v>
      </c>
      <c r="F102" s="36">
        <v>0</v>
      </c>
      <c r="G102" s="37">
        <v>0</v>
      </c>
      <c r="H102" s="38">
        <v>1</v>
      </c>
      <c r="I102" s="39">
        <v>0</v>
      </c>
      <c r="J102" s="40" t="s">
        <v>116</v>
      </c>
      <c r="K102" s="40">
        <v>0.1246571269564154</v>
      </c>
      <c r="L102" s="41">
        <v>0</v>
      </c>
      <c r="M102" s="36">
        <v>15.143431703654015</v>
      </c>
      <c r="N102" s="36"/>
      <c r="O102" s="37">
        <v>0</v>
      </c>
      <c r="P102" s="37">
        <v>0</v>
      </c>
      <c r="Q102" s="19"/>
    </row>
    <row r="103" spans="1:17" x14ac:dyDescent="0.25">
      <c r="A103" s="42">
        <v>988</v>
      </c>
      <c r="B103" s="42">
        <v>6</v>
      </c>
      <c r="C103" s="43" t="s">
        <v>222</v>
      </c>
      <c r="D103" s="36">
        <v>124.60000000000001</v>
      </c>
      <c r="E103" s="36">
        <v>0</v>
      </c>
      <c r="F103" s="36">
        <v>0</v>
      </c>
      <c r="G103" s="37">
        <v>0</v>
      </c>
      <c r="H103" s="38">
        <v>0</v>
      </c>
      <c r="I103" s="39">
        <v>0</v>
      </c>
      <c r="J103" s="40" t="s">
        <v>116</v>
      </c>
      <c r="K103" s="40">
        <v>9.9871995321414067E-2</v>
      </c>
      <c r="L103" s="41">
        <v>0</v>
      </c>
      <c r="M103" s="36">
        <v>112.1559493829518</v>
      </c>
      <c r="N103" s="36"/>
      <c r="O103" s="37">
        <v>0</v>
      </c>
      <c r="P103" s="37">
        <v>0</v>
      </c>
      <c r="Q103" s="19"/>
    </row>
    <row r="104" spans="1:17" x14ac:dyDescent="0.25">
      <c r="A104" s="45">
        <v>989</v>
      </c>
      <c r="B104" s="45">
        <v>6</v>
      </c>
      <c r="C104" s="46" t="s">
        <v>375</v>
      </c>
      <c r="D104" s="47">
        <v>552.13</v>
      </c>
      <c r="E104" s="47">
        <v>0</v>
      </c>
      <c r="F104" s="47">
        <v>0</v>
      </c>
      <c r="G104" s="48">
        <v>0</v>
      </c>
      <c r="H104" s="49">
        <v>1</v>
      </c>
      <c r="I104" s="50">
        <v>0</v>
      </c>
      <c r="J104" s="51" t="s">
        <v>116</v>
      </c>
      <c r="K104" s="51">
        <v>0.1246571269564154</v>
      </c>
      <c r="L104" s="52">
        <v>0</v>
      </c>
      <c r="M104" s="47">
        <v>483.30306049355437</v>
      </c>
      <c r="N104" s="47"/>
      <c r="O104" s="48">
        <v>16617.600000000002</v>
      </c>
      <c r="P104" s="48">
        <v>16617.600000000002</v>
      </c>
      <c r="Q104" s="19"/>
    </row>
    <row r="105" spans="1:17" x14ac:dyDescent="0.25">
      <c r="A105" s="53">
        <v>39</v>
      </c>
      <c r="B105" s="53">
        <v>7</v>
      </c>
      <c r="C105" s="54" t="s">
        <v>224</v>
      </c>
      <c r="D105" s="55">
        <v>385.66</v>
      </c>
      <c r="E105" s="55">
        <v>40.119999999999997</v>
      </c>
      <c r="F105" s="55">
        <v>0</v>
      </c>
      <c r="G105" s="56">
        <v>2874.92</v>
      </c>
      <c r="H105" s="57">
        <v>1</v>
      </c>
      <c r="I105" s="58">
        <v>0</v>
      </c>
      <c r="J105" s="59" t="s">
        <v>116</v>
      </c>
      <c r="K105" s="59">
        <v>0.1246571269564154</v>
      </c>
      <c r="L105" s="60">
        <v>0</v>
      </c>
      <c r="M105" s="55">
        <v>372.70348848449748</v>
      </c>
      <c r="N105" s="55"/>
      <c r="O105" s="56">
        <v>290</v>
      </c>
      <c r="P105" s="56">
        <v>3164.92</v>
      </c>
    </row>
    <row r="106" spans="1:17" x14ac:dyDescent="0.25">
      <c r="A106" s="42">
        <v>59</v>
      </c>
      <c r="B106" s="42">
        <v>7</v>
      </c>
      <c r="C106" s="43" t="s">
        <v>225</v>
      </c>
      <c r="D106" s="36">
        <v>241.17000000000002</v>
      </c>
      <c r="E106" s="36">
        <v>41.98</v>
      </c>
      <c r="F106" s="36">
        <v>0</v>
      </c>
      <c r="G106" s="37">
        <v>0</v>
      </c>
      <c r="H106" s="38">
        <v>1</v>
      </c>
      <c r="I106" s="39">
        <v>0</v>
      </c>
      <c r="J106" s="40" t="s">
        <v>116</v>
      </c>
      <c r="K106" s="40">
        <v>0.1246571269564154</v>
      </c>
      <c r="L106" s="41">
        <v>0</v>
      </c>
      <c r="M106" s="36">
        <v>247.85333450229101</v>
      </c>
      <c r="N106" s="36"/>
      <c r="O106" s="37">
        <v>0</v>
      </c>
      <c r="P106" s="37">
        <v>0</v>
      </c>
    </row>
    <row r="107" spans="1:17" x14ac:dyDescent="0.25">
      <c r="A107" s="42">
        <v>128</v>
      </c>
      <c r="B107" s="42">
        <v>7</v>
      </c>
      <c r="C107" s="43" t="s">
        <v>226</v>
      </c>
      <c r="D107" s="36">
        <v>162.74</v>
      </c>
      <c r="E107" s="36">
        <v>34.840000000000003</v>
      </c>
      <c r="F107" s="36">
        <v>0</v>
      </c>
      <c r="G107" s="37">
        <v>0</v>
      </c>
      <c r="H107" s="38">
        <v>1</v>
      </c>
      <c r="I107" s="39">
        <v>0</v>
      </c>
      <c r="J107" s="40" t="s">
        <v>116</v>
      </c>
      <c r="K107" s="40">
        <v>0.1246571269564154</v>
      </c>
      <c r="L107" s="41">
        <v>0</v>
      </c>
      <c r="M107" s="36">
        <v>172.95024485595147</v>
      </c>
      <c r="N107" s="36"/>
      <c r="O107" s="37">
        <v>182.92</v>
      </c>
      <c r="P107" s="37">
        <v>182.92</v>
      </c>
    </row>
    <row r="108" spans="1:17" x14ac:dyDescent="0.25">
      <c r="A108" s="42">
        <v>152</v>
      </c>
      <c r="B108" s="42">
        <v>7</v>
      </c>
      <c r="C108" s="43" t="s">
        <v>227</v>
      </c>
      <c r="D108" s="36">
        <v>352.73</v>
      </c>
      <c r="E108" s="36">
        <v>70.45</v>
      </c>
      <c r="F108" s="36">
        <v>0</v>
      </c>
      <c r="G108" s="37">
        <v>0</v>
      </c>
      <c r="H108" s="38">
        <v>1</v>
      </c>
      <c r="I108" s="39">
        <v>0</v>
      </c>
      <c r="J108" s="40" t="s">
        <v>116</v>
      </c>
      <c r="K108" s="40">
        <v>0.1246571269564154</v>
      </c>
      <c r="L108" s="41">
        <v>0</v>
      </c>
      <c r="M108" s="36">
        <v>370.42759701458414</v>
      </c>
      <c r="N108" s="36"/>
      <c r="O108" s="37">
        <v>0</v>
      </c>
      <c r="P108" s="37">
        <v>0</v>
      </c>
    </row>
    <row r="109" spans="1:17" x14ac:dyDescent="0.25">
      <c r="A109" s="42">
        <v>162</v>
      </c>
      <c r="B109" s="42">
        <v>7</v>
      </c>
      <c r="C109" s="43" t="s">
        <v>228</v>
      </c>
      <c r="D109" s="36">
        <v>903.48</v>
      </c>
      <c r="E109" s="36">
        <v>56.97</v>
      </c>
      <c r="F109" s="36">
        <v>925.54</v>
      </c>
      <c r="G109" s="37">
        <v>13610.53</v>
      </c>
      <c r="H109" s="38">
        <v>0</v>
      </c>
      <c r="I109" s="39">
        <v>0</v>
      </c>
      <c r="J109" s="40">
        <v>3.6347545421417125E-2</v>
      </c>
      <c r="K109" s="40">
        <v>3.6347545421417125E-2</v>
      </c>
      <c r="L109" s="41">
        <v>0</v>
      </c>
      <c r="M109" s="36">
        <v>925.54</v>
      </c>
      <c r="N109" s="36"/>
      <c r="O109" s="37">
        <v>715</v>
      </c>
      <c r="P109" s="37">
        <v>14325.53</v>
      </c>
    </row>
    <row r="110" spans="1:17" x14ac:dyDescent="0.25">
      <c r="A110" s="42">
        <v>166</v>
      </c>
      <c r="B110" s="42">
        <v>7</v>
      </c>
      <c r="C110" s="43" t="s">
        <v>229</v>
      </c>
      <c r="D110" s="36">
        <v>0</v>
      </c>
      <c r="E110" s="36">
        <v>0</v>
      </c>
      <c r="F110" s="36">
        <v>952.14999999999986</v>
      </c>
      <c r="G110" s="37">
        <v>111709.12000000001</v>
      </c>
      <c r="H110" s="38">
        <v>0</v>
      </c>
      <c r="I110" s="39">
        <v>0</v>
      </c>
      <c r="J110" s="40" t="s">
        <v>116</v>
      </c>
      <c r="K110" s="40">
        <v>9.9871995321414067E-2</v>
      </c>
      <c r="L110" s="41">
        <v>0</v>
      </c>
      <c r="M110" s="36">
        <v>952.14999999999986</v>
      </c>
      <c r="N110" s="36"/>
      <c r="O110" s="37">
        <v>0</v>
      </c>
      <c r="P110" s="37">
        <v>111709.12000000001</v>
      </c>
    </row>
    <row r="111" spans="1:17" x14ac:dyDescent="0.25">
      <c r="A111" s="42">
        <v>192</v>
      </c>
      <c r="B111" s="42">
        <v>7</v>
      </c>
      <c r="C111" s="43" t="s">
        <v>230</v>
      </c>
      <c r="D111" s="36">
        <v>15.149999999999999</v>
      </c>
      <c r="E111" s="36">
        <v>51.7</v>
      </c>
      <c r="F111" s="36">
        <v>157.17999999999998</v>
      </c>
      <c r="G111" s="37">
        <v>12446.72</v>
      </c>
      <c r="H111" s="38">
        <v>0</v>
      </c>
      <c r="I111" s="39">
        <v>0</v>
      </c>
      <c r="J111" s="40" t="s">
        <v>116</v>
      </c>
      <c r="K111" s="40">
        <v>9.9871995321414067E-2</v>
      </c>
      <c r="L111" s="41">
        <v>0</v>
      </c>
      <c r="M111" s="36">
        <v>157.17999999999998</v>
      </c>
      <c r="N111" s="36"/>
      <c r="O111" s="37">
        <v>0</v>
      </c>
      <c r="P111" s="37">
        <v>12446.72</v>
      </c>
    </row>
    <row r="112" spans="1:17" x14ac:dyDescent="0.25">
      <c r="A112" s="42">
        <v>205</v>
      </c>
      <c r="B112" s="42">
        <v>7</v>
      </c>
      <c r="C112" s="43" t="s">
        <v>231</v>
      </c>
      <c r="D112" s="36">
        <v>519.20000000000005</v>
      </c>
      <c r="E112" s="36">
        <v>219.65</v>
      </c>
      <c r="F112" s="36">
        <v>0</v>
      </c>
      <c r="G112" s="37">
        <v>0</v>
      </c>
      <c r="H112" s="38">
        <v>0</v>
      </c>
      <c r="I112" s="39">
        <v>0</v>
      </c>
      <c r="J112" s="40" t="s">
        <v>116</v>
      </c>
      <c r="K112" s="40">
        <v>9.9871995321414067E-2</v>
      </c>
      <c r="L112" s="41">
        <v>0</v>
      </c>
      <c r="M112" s="36">
        <v>665.0595762567732</v>
      </c>
      <c r="N112" s="36"/>
      <c r="O112" s="37">
        <v>18332.88</v>
      </c>
      <c r="P112" s="37">
        <v>18332.88</v>
      </c>
    </row>
    <row r="113" spans="1:16" x14ac:dyDescent="0.25">
      <c r="A113" s="42">
        <v>212</v>
      </c>
      <c r="B113" s="42">
        <v>7</v>
      </c>
      <c r="C113" s="43" t="s">
        <v>232</v>
      </c>
      <c r="D113" s="36">
        <v>618.79000000000008</v>
      </c>
      <c r="E113" s="36">
        <v>7.72</v>
      </c>
      <c r="F113" s="36">
        <v>0</v>
      </c>
      <c r="G113" s="37">
        <v>0</v>
      </c>
      <c r="H113" s="38">
        <v>1</v>
      </c>
      <c r="I113" s="39">
        <v>0</v>
      </c>
      <c r="J113" s="40" t="s">
        <v>116</v>
      </c>
      <c r="K113" s="40">
        <v>0.1246571269564154</v>
      </c>
      <c r="L113" s="41">
        <v>0</v>
      </c>
      <c r="M113" s="36">
        <v>548.41106339053624</v>
      </c>
      <c r="N113" s="36"/>
      <c r="O113" s="37">
        <v>1143</v>
      </c>
      <c r="P113" s="37">
        <v>1143</v>
      </c>
    </row>
    <row r="114" spans="1:16" x14ac:dyDescent="0.25">
      <c r="A114" s="42">
        <v>216</v>
      </c>
      <c r="B114" s="42">
        <v>7</v>
      </c>
      <c r="C114" s="43" t="s">
        <v>233</v>
      </c>
      <c r="D114" s="36">
        <v>826.49</v>
      </c>
      <c r="E114" s="36">
        <v>33.07</v>
      </c>
      <c r="F114" s="36">
        <v>0</v>
      </c>
      <c r="G114" s="37">
        <v>0</v>
      </c>
      <c r="H114" s="38">
        <v>0</v>
      </c>
      <c r="I114" s="39">
        <v>0</v>
      </c>
      <c r="J114" s="40" t="s">
        <v>116</v>
      </c>
      <c r="K114" s="40">
        <v>9.9871995321414067E-2</v>
      </c>
      <c r="L114" s="41">
        <v>0</v>
      </c>
      <c r="M114" s="36">
        <v>773.71402770152531</v>
      </c>
      <c r="N114" s="36"/>
      <c r="O114" s="37">
        <v>400</v>
      </c>
      <c r="P114" s="37">
        <v>400</v>
      </c>
    </row>
    <row r="115" spans="1:16" x14ac:dyDescent="0.25">
      <c r="A115" s="42">
        <v>229</v>
      </c>
      <c r="B115" s="42">
        <v>7</v>
      </c>
      <c r="C115" s="43" t="s">
        <v>234</v>
      </c>
      <c r="D115" s="36">
        <v>0</v>
      </c>
      <c r="E115" s="36">
        <v>0</v>
      </c>
      <c r="F115" s="36">
        <v>831.55</v>
      </c>
      <c r="G115" s="37">
        <v>98568.36</v>
      </c>
      <c r="H115" s="38">
        <v>0</v>
      </c>
      <c r="I115" s="39">
        <v>0</v>
      </c>
      <c r="J115" s="40" t="s">
        <v>116</v>
      </c>
      <c r="K115" s="40">
        <v>9.9871995321414067E-2</v>
      </c>
      <c r="L115" s="41">
        <v>0</v>
      </c>
      <c r="M115" s="36">
        <v>831.55</v>
      </c>
      <c r="N115" s="36"/>
      <c r="O115" s="37">
        <v>0</v>
      </c>
      <c r="P115" s="37">
        <v>98568.36</v>
      </c>
    </row>
    <row r="116" spans="1:16" x14ac:dyDescent="0.25">
      <c r="A116" s="42">
        <v>236</v>
      </c>
      <c r="B116" s="42">
        <v>7</v>
      </c>
      <c r="C116" s="43" t="s">
        <v>376</v>
      </c>
      <c r="D116" s="36">
        <v>1070.3899999999999</v>
      </c>
      <c r="E116" s="36">
        <v>41.07</v>
      </c>
      <c r="F116" s="36">
        <v>0</v>
      </c>
      <c r="G116" s="37">
        <v>111117.58</v>
      </c>
      <c r="H116" s="38">
        <v>1</v>
      </c>
      <c r="I116" s="39">
        <v>0</v>
      </c>
      <c r="J116" s="40" t="s">
        <v>116</v>
      </c>
      <c r="K116" s="40">
        <v>0.1246571269564154</v>
      </c>
      <c r="L116" s="41">
        <v>0</v>
      </c>
      <c r="M116" s="36">
        <v>972.90858967302233</v>
      </c>
      <c r="N116" s="36"/>
      <c r="O116" s="37">
        <v>843</v>
      </c>
      <c r="P116" s="37">
        <v>111960.58</v>
      </c>
    </row>
    <row r="117" spans="1:16" x14ac:dyDescent="0.25">
      <c r="A117" s="42">
        <v>239</v>
      </c>
      <c r="B117" s="42">
        <v>7</v>
      </c>
      <c r="C117" s="43" t="s">
        <v>236</v>
      </c>
      <c r="D117" s="36">
        <v>3362.31</v>
      </c>
      <c r="E117" s="36">
        <v>444.36</v>
      </c>
      <c r="F117" s="36">
        <v>3362.1399999999994</v>
      </c>
      <c r="G117" s="37">
        <v>439805.13</v>
      </c>
      <c r="H117" s="38">
        <v>0</v>
      </c>
      <c r="I117" s="39">
        <v>0</v>
      </c>
      <c r="J117" s="40">
        <v>0.11677660527442638</v>
      </c>
      <c r="K117" s="40">
        <v>0.11677660527442638</v>
      </c>
      <c r="L117" s="41">
        <v>0</v>
      </c>
      <c r="M117" s="36">
        <v>3362.1399999999994</v>
      </c>
      <c r="N117" s="36"/>
      <c r="O117" s="37">
        <v>8124.46</v>
      </c>
      <c r="P117" s="37">
        <v>447929.59</v>
      </c>
    </row>
    <row r="118" spans="1:16" x14ac:dyDescent="0.25">
      <c r="A118" s="42">
        <v>249</v>
      </c>
      <c r="B118" s="42">
        <v>7</v>
      </c>
      <c r="C118" s="43" t="s">
        <v>237</v>
      </c>
      <c r="D118" s="36">
        <v>1570.98</v>
      </c>
      <c r="E118" s="36">
        <v>0</v>
      </c>
      <c r="F118" s="36">
        <v>0</v>
      </c>
      <c r="G118" s="37">
        <v>0</v>
      </c>
      <c r="H118" s="38">
        <v>1</v>
      </c>
      <c r="I118" s="39">
        <v>0</v>
      </c>
      <c r="J118" s="40" t="s">
        <v>116</v>
      </c>
      <c r="K118" s="40">
        <v>0.1246571269564154</v>
      </c>
      <c r="L118" s="41">
        <v>0</v>
      </c>
      <c r="M118" s="36">
        <v>1375.1461466940104</v>
      </c>
      <c r="N118" s="36"/>
      <c r="O118" s="37">
        <v>0</v>
      </c>
      <c r="P118" s="37">
        <v>0</v>
      </c>
    </row>
    <row r="119" spans="1:16" x14ac:dyDescent="0.25">
      <c r="A119" s="42">
        <v>271</v>
      </c>
      <c r="B119" s="42">
        <v>7</v>
      </c>
      <c r="C119" s="43" t="s">
        <v>238</v>
      </c>
      <c r="D119" s="36">
        <v>1079.72</v>
      </c>
      <c r="E119" s="36">
        <v>0</v>
      </c>
      <c r="F119" s="36">
        <v>989.5999999999998</v>
      </c>
      <c r="G119" s="37">
        <v>142160.09</v>
      </c>
      <c r="H119" s="38">
        <v>1</v>
      </c>
      <c r="I119" s="39">
        <v>0</v>
      </c>
      <c r="J119" s="40">
        <v>8.3466083799503793E-2</v>
      </c>
      <c r="K119" s="40">
        <v>8.3466083799503793E-2</v>
      </c>
      <c r="L119" s="41">
        <v>0</v>
      </c>
      <c r="M119" s="36">
        <v>989.5999999999998</v>
      </c>
      <c r="N119" s="36"/>
      <c r="O119" s="37">
        <v>603</v>
      </c>
      <c r="P119" s="37">
        <v>142763.09</v>
      </c>
    </row>
    <row r="120" spans="1:16" x14ac:dyDescent="0.25">
      <c r="A120" s="42">
        <v>275</v>
      </c>
      <c r="B120" s="42">
        <v>7</v>
      </c>
      <c r="C120" s="43" t="s">
        <v>239</v>
      </c>
      <c r="D120" s="36">
        <v>830.62</v>
      </c>
      <c r="E120" s="36">
        <v>0</v>
      </c>
      <c r="F120" s="36">
        <v>729.32</v>
      </c>
      <c r="G120" s="37">
        <v>115724.21</v>
      </c>
      <c r="H120" s="38">
        <v>1</v>
      </c>
      <c r="I120" s="39">
        <v>0</v>
      </c>
      <c r="J120" s="40">
        <v>0.12195709229250434</v>
      </c>
      <c r="K120" s="40">
        <v>0.12195709229250434</v>
      </c>
      <c r="L120" s="41">
        <v>0</v>
      </c>
      <c r="M120" s="36">
        <v>729.32</v>
      </c>
      <c r="N120" s="36"/>
      <c r="O120" s="37">
        <v>0</v>
      </c>
      <c r="P120" s="37">
        <v>115724.21</v>
      </c>
    </row>
    <row r="121" spans="1:16" x14ac:dyDescent="0.25">
      <c r="A121" s="42">
        <v>282</v>
      </c>
      <c r="B121" s="42">
        <v>7</v>
      </c>
      <c r="C121" s="43" t="s">
        <v>240</v>
      </c>
      <c r="D121" s="36">
        <v>73.12</v>
      </c>
      <c r="E121" s="36">
        <v>124.71000000000001</v>
      </c>
      <c r="F121" s="36">
        <v>0</v>
      </c>
      <c r="G121" s="37">
        <v>0</v>
      </c>
      <c r="H121" s="38">
        <v>0</v>
      </c>
      <c r="I121" s="39">
        <v>0</v>
      </c>
      <c r="J121" s="40" t="s">
        <v>116</v>
      </c>
      <c r="K121" s="40">
        <v>9.9871995321414067E-2</v>
      </c>
      <c r="L121" s="41">
        <v>0</v>
      </c>
      <c r="M121" s="36">
        <v>178.07232316556465</v>
      </c>
      <c r="N121" s="36"/>
      <c r="O121" s="37">
        <v>0</v>
      </c>
      <c r="P121" s="37">
        <v>0</v>
      </c>
    </row>
    <row r="122" spans="1:16" x14ac:dyDescent="0.25">
      <c r="A122" s="42">
        <v>287</v>
      </c>
      <c r="B122" s="42">
        <v>7</v>
      </c>
      <c r="C122" s="43" t="s">
        <v>241</v>
      </c>
      <c r="D122" s="36">
        <v>141.5</v>
      </c>
      <c r="E122" s="36">
        <v>82.11</v>
      </c>
      <c r="F122" s="36">
        <v>0</v>
      </c>
      <c r="G122" s="37">
        <v>0</v>
      </c>
      <c r="H122" s="38">
        <v>0</v>
      </c>
      <c r="I122" s="39">
        <v>0</v>
      </c>
      <c r="J122" s="40" t="s">
        <v>116</v>
      </c>
      <c r="K122" s="40">
        <v>9.9871995321414067E-2</v>
      </c>
      <c r="L122" s="41">
        <v>0</v>
      </c>
      <c r="M122" s="36">
        <v>201.27762312617861</v>
      </c>
      <c r="N122" s="36"/>
      <c r="O122" s="37">
        <v>0</v>
      </c>
      <c r="P122" s="37">
        <v>0</v>
      </c>
    </row>
    <row r="123" spans="1:16" x14ac:dyDescent="0.25">
      <c r="A123" s="42">
        <v>290</v>
      </c>
      <c r="B123" s="42">
        <v>7</v>
      </c>
      <c r="C123" s="43" t="s">
        <v>242</v>
      </c>
      <c r="D123" s="36">
        <v>446.04</v>
      </c>
      <c r="E123" s="36">
        <v>0</v>
      </c>
      <c r="F123" s="36">
        <v>421.86</v>
      </c>
      <c r="G123" s="37">
        <v>0</v>
      </c>
      <c r="H123" s="38">
        <v>1</v>
      </c>
      <c r="I123" s="39">
        <v>0</v>
      </c>
      <c r="J123" s="40">
        <v>5.4210384718859306E-2</v>
      </c>
      <c r="K123" s="40">
        <v>5.4210384718859306E-2</v>
      </c>
      <c r="L123" s="41">
        <v>0</v>
      </c>
      <c r="M123" s="36">
        <v>421.86</v>
      </c>
      <c r="N123" s="36"/>
      <c r="O123" s="37">
        <v>0</v>
      </c>
      <c r="P123" s="37">
        <v>0</v>
      </c>
    </row>
    <row r="124" spans="1:16" x14ac:dyDescent="0.25">
      <c r="A124" s="42">
        <v>294</v>
      </c>
      <c r="B124" s="42">
        <v>7</v>
      </c>
      <c r="C124" s="43" t="s">
        <v>243</v>
      </c>
      <c r="D124" s="36">
        <v>1443.28</v>
      </c>
      <c r="E124" s="36">
        <v>0</v>
      </c>
      <c r="F124" s="36">
        <v>0</v>
      </c>
      <c r="G124" s="37">
        <v>0</v>
      </c>
      <c r="H124" s="38">
        <v>1</v>
      </c>
      <c r="I124" s="39">
        <v>0</v>
      </c>
      <c r="J124" s="40" t="s">
        <v>116</v>
      </c>
      <c r="K124" s="40">
        <v>0.1246571269564154</v>
      </c>
      <c r="L124" s="41">
        <v>0</v>
      </c>
      <c r="M124" s="36">
        <v>1263.3648618063448</v>
      </c>
      <c r="N124" s="36"/>
      <c r="O124" s="37">
        <v>896</v>
      </c>
      <c r="P124" s="37">
        <v>896</v>
      </c>
    </row>
    <row r="125" spans="1:16" x14ac:dyDescent="0.25">
      <c r="A125" s="42">
        <v>296</v>
      </c>
      <c r="B125" s="42">
        <v>7</v>
      </c>
      <c r="C125" s="43" t="s">
        <v>244</v>
      </c>
      <c r="D125" s="36">
        <v>1007.5</v>
      </c>
      <c r="E125" s="36">
        <v>8.2899999999999974</v>
      </c>
      <c r="F125" s="36">
        <v>918.9899999999999</v>
      </c>
      <c r="G125" s="37">
        <v>152328.99</v>
      </c>
      <c r="H125" s="38">
        <v>1</v>
      </c>
      <c r="I125" s="39">
        <v>0</v>
      </c>
      <c r="J125" s="40">
        <v>9.5295287411768251E-2</v>
      </c>
      <c r="K125" s="40">
        <v>9.5295287411768251E-2</v>
      </c>
      <c r="L125" s="41">
        <v>0</v>
      </c>
      <c r="M125" s="36">
        <v>918.9899999999999</v>
      </c>
      <c r="N125" s="36"/>
      <c r="O125" s="37">
        <v>774</v>
      </c>
      <c r="P125" s="37">
        <v>153102.99</v>
      </c>
    </row>
    <row r="126" spans="1:16" x14ac:dyDescent="0.25">
      <c r="A126" s="42">
        <v>301</v>
      </c>
      <c r="B126" s="42">
        <v>7</v>
      </c>
      <c r="C126" s="43" t="s">
        <v>245</v>
      </c>
      <c r="D126" s="36">
        <v>719.8</v>
      </c>
      <c r="E126" s="36">
        <v>6.39</v>
      </c>
      <c r="F126" s="36">
        <v>0</v>
      </c>
      <c r="G126" s="37">
        <v>0</v>
      </c>
      <c r="H126" s="38">
        <v>1</v>
      </c>
      <c r="I126" s="39">
        <v>0</v>
      </c>
      <c r="J126" s="40" t="s">
        <v>116</v>
      </c>
      <c r="K126" s="40">
        <v>0.1246571269564154</v>
      </c>
      <c r="L126" s="41">
        <v>0</v>
      </c>
      <c r="M126" s="36">
        <v>635.66524097552065</v>
      </c>
      <c r="N126" s="36"/>
      <c r="O126" s="37">
        <v>280</v>
      </c>
      <c r="P126" s="37">
        <v>280</v>
      </c>
    </row>
    <row r="127" spans="1:16" x14ac:dyDescent="0.25">
      <c r="A127" s="42">
        <v>321</v>
      </c>
      <c r="B127" s="42">
        <v>7</v>
      </c>
      <c r="C127" s="43" t="s">
        <v>246</v>
      </c>
      <c r="D127" s="36">
        <v>0</v>
      </c>
      <c r="E127" s="36">
        <v>0</v>
      </c>
      <c r="F127" s="36">
        <v>458.79</v>
      </c>
      <c r="G127" s="37">
        <v>37489.839999999997</v>
      </c>
      <c r="H127" s="38">
        <v>1</v>
      </c>
      <c r="I127" s="39">
        <v>0</v>
      </c>
      <c r="J127" s="40" t="s">
        <v>116</v>
      </c>
      <c r="K127" s="40">
        <v>0.1246571269564154</v>
      </c>
      <c r="L127" s="41">
        <v>0</v>
      </c>
      <c r="M127" s="36">
        <v>458.79</v>
      </c>
      <c r="N127" s="36"/>
      <c r="O127" s="37">
        <v>0</v>
      </c>
      <c r="P127" s="37">
        <v>37489.839999999997</v>
      </c>
    </row>
    <row r="128" spans="1:16" x14ac:dyDescent="0.25">
      <c r="A128" s="42">
        <v>325</v>
      </c>
      <c r="B128" s="42">
        <v>7</v>
      </c>
      <c r="C128" s="43" t="s">
        <v>247</v>
      </c>
      <c r="D128" s="36">
        <v>433.93999999999994</v>
      </c>
      <c r="E128" s="36">
        <v>7.87</v>
      </c>
      <c r="F128" s="36">
        <v>0</v>
      </c>
      <c r="G128" s="37">
        <v>0</v>
      </c>
      <c r="H128" s="38">
        <v>0</v>
      </c>
      <c r="I128" s="39">
        <v>0</v>
      </c>
      <c r="J128" s="40" t="s">
        <v>116</v>
      </c>
      <c r="K128" s="40">
        <v>9.9871995321414067E-2</v>
      </c>
      <c r="L128" s="41">
        <v>0</v>
      </c>
      <c r="M128" s="36">
        <v>397.68555374704596</v>
      </c>
      <c r="N128" s="36"/>
      <c r="O128" s="37">
        <v>642</v>
      </c>
      <c r="P128" s="37">
        <v>642</v>
      </c>
    </row>
    <row r="129" spans="1:16" x14ac:dyDescent="0.25">
      <c r="A129" s="42">
        <v>346</v>
      </c>
      <c r="B129" s="42">
        <v>7</v>
      </c>
      <c r="C129" s="43" t="s">
        <v>248</v>
      </c>
      <c r="D129" s="36">
        <v>212.09</v>
      </c>
      <c r="E129" s="36">
        <v>0</v>
      </c>
      <c r="F129" s="36">
        <v>0</v>
      </c>
      <c r="G129" s="37">
        <v>0</v>
      </c>
      <c r="H129" s="38">
        <v>1</v>
      </c>
      <c r="I129" s="39">
        <v>0</v>
      </c>
      <c r="J129" s="40" t="s">
        <v>116</v>
      </c>
      <c r="K129" s="40">
        <v>0.1246571269564154</v>
      </c>
      <c r="L129" s="41">
        <v>0</v>
      </c>
      <c r="M129" s="36">
        <v>185.65146994381385</v>
      </c>
      <c r="N129" s="36"/>
      <c r="O129" s="37">
        <v>0</v>
      </c>
      <c r="P129" s="37">
        <v>0</v>
      </c>
    </row>
    <row r="130" spans="1:16" x14ac:dyDescent="0.25">
      <c r="A130" s="42">
        <v>358</v>
      </c>
      <c r="B130" s="42">
        <v>7</v>
      </c>
      <c r="C130" s="43" t="s">
        <v>249</v>
      </c>
      <c r="D130" s="36">
        <v>0</v>
      </c>
      <c r="E130" s="36">
        <v>0</v>
      </c>
      <c r="F130" s="36">
        <v>394.79999999999995</v>
      </c>
      <c r="G130" s="37">
        <v>38444.080000000002</v>
      </c>
      <c r="H130" s="38">
        <v>0</v>
      </c>
      <c r="I130" s="39">
        <v>0</v>
      </c>
      <c r="J130" s="40" t="s">
        <v>116</v>
      </c>
      <c r="K130" s="40">
        <v>9.9871995321414067E-2</v>
      </c>
      <c r="L130" s="41">
        <v>0</v>
      </c>
      <c r="M130" s="36">
        <v>394.79999999999995</v>
      </c>
      <c r="N130" s="36"/>
      <c r="O130" s="37">
        <v>0</v>
      </c>
      <c r="P130" s="37">
        <v>38444.080000000002</v>
      </c>
    </row>
    <row r="131" spans="1:16" x14ac:dyDescent="0.25">
      <c r="A131" s="42">
        <v>361</v>
      </c>
      <c r="B131" s="42">
        <v>7</v>
      </c>
      <c r="C131" s="43" t="s">
        <v>250</v>
      </c>
      <c r="D131" s="36">
        <v>1500.3600000000001</v>
      </c>
      <c r="E131" s="36">
        <v>43.25</v>
      </c>
      <c r="F131" s="36">
        <v>0</v>
      </c>
      <c r="G131" s="37">
        <v>0</v>
      </c>
      <c r="H131" s="38">
        <v>0</v>
      </c>
      <c r="I131" s="39">
        <v>0</v>
      </c>
      <c r="J131" s="40" t="s">
        <v>116</v>
      </c>
      <c r="K131" s="40">
        <v>9.9871995321414067E-2</v>
      </c>
      <c r="L131" s="41">
        <v>0</v>
      </c>
      <c r="M131" s="36">
        <v>1389.4465893019121</v>
      </c>
      <c r="N131" s="36"/>
      <c r="O131" s="37">
        <v>6531</v>
      </c>
      <c r="P131" s="37">
        <v>6531</v>
      </c>
    </row>
    <row r="132" spans="1:16" x14ac:dyDescent="0.25">
      <c r="A132" s="42">
        <v>376</v>
      </c>
      <c r="B132" s="42">
        <v>7</v>
      </c>
      <c r="C132" s="43" t="s">
        <v>251</v>
      </c>
      <c r="D132" s="36">
        <v>998.02</v>
      </c>
      <c r="E132" s="36">
        <v>0</v>
      </c>
      <c r="F132" s="36">
        <v>0</v>
      </c>
      <c r="G132" s="37">
        <v>0</v>
      </c>
      <c r="H132" s="38">
        <v>1</v>
      </c>
      <c r="I132" s="39">
        <v>0</v>
      </c>
      <c r="J132" s="40" t="s">
        <v>116</v>
      </c>
      <c r="K132" s="40">
        <v>0.1246571269564154</v>
      </c>
      <c r="L132" s="41">
        <v>0</v>
      </c>
      <c r="M132" s="36">
        <v>873.60969415495833</v>
      </c>
      <c r="N132" s="36"/>
      <c r="O132" s="37">
        <v>183</v>
      </c>
      <c r="P132" s="37">
        <v>183</v>
      </c>
    </row>
    <row r="133" spans="1:16" x14ac:dyDescent="0.25">
      <c r="A133" s="42">
        <v>382</v>
      </c>
      <c r="B133" s="42">
        <v>7</v>
      </c>
      <c r="C133" s="43" t="s">
        <v>252</v>
      </c>
      <c r="D133" s="36">
        <v>195.77</v>
      </c>
      <c r="E133" s="36">
        <v>0</v>
      </c>
      <c r="F133" s="36">
        <v>178.71000000000004</v>
      </c>
      <c r="G133" s="37">
        <v>21362.729999999996</v>
      </c>
      <c r="H133" s="38">
        <v>0</v>
      </c>
      <c r="I133" s="39">
        <v>0</v>
      </c>
      <c r="J133" s="40">
        <v>8.7143076058640107E-2</v>
      </c>
      <c r="K133" s="40">
        <v>8.7143076058640107E-2</v>
      </c>
      <c r="L133" s="41">
        <v>0</v>
      </c>
      <c r="M133" s="36">
        <v>178.71000000000004</v>
      </c>
      <c r="N133" s="36"/>
      <c r="O133" s="37">
        <v>0</v>
      </c>
      <c r="P133" s="37">
        <v>21362.729999999996</v>
      </c>
    </row>
    <row r="134" spans="1:16" x14ac:dyDescent="0.25">
      <c r="A134" s="42">
        <v>389</v>
      </c>
      <c r="B134" s="42">
        <v>7</v>
      </c>
      <c r="C134" s="43" t="s">
        <v>253</v>
      </c>
      <c r="D134" s="36">
        <v>1341.61</v>
      </c>
      <c r="E134" s="36">
        <v>147.03</v>
      </c>
      <c r="F134" s="36">
        <v>0</v>
      </c>
      <c r="G134" s="37">
        <v>0</v>
      </c>
      <c r="H134" s="38">
        <v>0</v>
      </c>
      <c r="I134" s="39">
        <v>0</v>
      </c>
      <c r="J134" s="40" t="s">
        <v>116</v>
      </c>
      <c r="K134" s="40">
        <v>9.9871995321414067E-2</v>
      </c>
      <c r="L134" s="41">
        <v>0</v>
      </c>
      <c r="M134" s="36">
        <v>1339.9665528847299</v>
      </c>
      <c r="N134" s="36"/>
      <c r="O134" s="37">
        <v>847</v>
      </c>
      <c r="P134" s="37">
        <v>847</v>
      </c>
    </row>
    <row r="135" spans="1:16" x14ac:dyDescent="0.25">
      <c r="A135" s="42">
        <v>434</v>
      </c>
      <c r="B135" s="42">
        <v>7</v>
      </c>
      <c r="C135" s="43" t="s">
        <v>254</v>
      </c>
      <c r="D135" s="36">
        <v>433.12</v>
      </c>
      <c r="E135" s="36">
        <v>0</v>
      </c>
      <c r="F135" s="36">
        <v>0</v>
      </c>
      <c r="G135" s="37">
        <v>0</v>
      </c>
      <c r="H135" s="38">
        <v>1</v>
      </c>
      <c r="I135" s="39">
        <v>0</v>
      </c>
      <c r="J135" s="40" t="s">
        <v>116</v>
      </c>
      <c r="K135" s="40">
        <v>0.1246571269564154</v>
      </c>
      <c r="L135" s="41">
        <v>0</v>
      </c>
      <c r="M135" s="36">
        <v>379.12850517263735</v>
      </c>
      <c r="N135" s="36"/>
      <c r="O135" s="37">
        <v>0</v>
      </c>
      <c r="P135" s="37">
        <v>0</v>
      </c>
    </row>
    <row r="136" spans="1:16" x14ac:dyDescent="0.25">
      <c r="A136" s="42">
        <v>437</v>
      </c>
      <c r="B136" s="42">
        <v>7</v>
      </c>
      <c r="C136" s="43" t="s">
        <v>255</v>
      </c>
      <c r="D136" s="36">
        <v>369.9</v>
      </c>
      <c r="E136" s="36">
        <v>0</v>
      </c>
      <c r="F136" s="36">
        <v>0</v>
      </c>
      <c r="G136" s="37">
        <v>0</v>
      </c>
      <c r="H136" s="38">
        <v>1</v>
      </c>
      <c r="I136" s="39">
        <v>0</v>
      </c>
      <c r="J136" s="40" t="s">
        <v>116</v>
      </c>
      <c r="K136" s="40">
        <v>0.1246571269564154</v>
      </c>
      <c r="L136" s="41">
        <v>0</v>
      </c>
      <c r="M136" s="36">
        <v>323.78932873882195</v>
      </c>
      <c r="N136" s="36"/>
      <c r="O136" s="37">
        <v>0</v>
      </c>
      <c r="P136" s="37">
        <v>0</v>
      </c>
    </row>
    <row r="137" spans="1:16" x14ac:dyDescent="0.25">
      <c r="A137" s="42">
        <v>502</v>
      </c>
      <c r="B137" s="42">
        <v>7</v>
      </c>
      <c r="C137" s="43" t="s">
        <v>256</v>
      </c>
      <c r="D137" s="36">
        <v>733.8</v>
      </c>
      <c r="E137" s="36">
        <v>0</v>
      </c>
      <c r="F137" s="36">
        <v>0</v>
      </c>
      <c r="G137" s="37">
        <v>0</v>
      </c>
      <c r="H137" s="38">
        <v>1</v>
      </c>
      <c r="I137" s="39">
        <v>0</v>
      </c>
      <c r="J137" s="40" t="s">
        <v>116</v>
      </c>
      <c r="K137" s="40">
        <v>0.1246571269564154</v>
      </c>
      <c r="L137" s="41">
        <v>0</v>
      </c>
      <c r="M137" s="36">
        <v>642.32660023938229</v>
      </c>
      <c r="N137" s="36"/>
      <c r="O137" s="37">
        <v>0</v>
      </c>
      <c r="P137" s="37">
        <v>0</v>
      </c>
    </row>
    <row r="138" spans="1:16" x14ac:dyDescent="0.25">
      <c r="A138" s="42">
        <v>503</v>
      </c>
      <c r="B138" s="42">
        <v>7</v>
      </c>
      <c r="C138" s="43" t="s">
        <v>257</v>
      </c>
      <c r="D138" s="36">
        <v>424.96</v>
      </c>
      <c r="E138" s="36">
        <v>0</v>
      </c>
      <c r="F138" s="36">
        <v>389.59000000000003</v>
      </c>
      <c r="G138" s="37">
        <v>46111.149999999994</v>
      </c>
      <c r="H138" s="38">
        <v>0</v>
      </c>
      <c r="I138" s="39">
        <v>0</v>
      </c>
      <c r="J138" s="40">
        <v>8.3231362951807109E-2</v>
      </c>
      <c r="K138" s="40">
        <v>8.3231362951807109E-2</v>
      </c>
      <c r="L138" s="41">
        <v>0</v>
      </c>
      <c r="M138" s="36">
        <v>389.59000000000003</v>
      </c>
      <c r="N138" s="36"/>
      <c r="O138" s="37">
        <v>0</v>
      </c>
      <c r="P138" s="37">
        <v>46111.149999999994</v>
      </c>
    </row>
    <row r="139" spans="1:16" x14ac:dyDescent="0.25">
      <c r="A139" s="42">
        <v>510</v>
      </c>
      <c r="B139" s="42">
        <v>7</v>
      </c>
      <c r="C139" s="43" t="s">
        <v>258</v>
      </c>
      <c r="D139" s="36">
        <v>550.65</v>
      </c>
      <c r="E139" s="36">
        <v>0</v>
      </c>
      <c r="F139" s="36">
        <v>0</v>
      </c>
      <c r="G139" s="37">
        <v>0</v>
      </c>
      <c r="H139" s="38">
        <v>0</v>
      </c>
      <c r="I139" s="39">
        <v>0</v>
      </c>
      <c r="J139" s="40" t="s">
        <v>116</v>
      </c>
      <c r="K139" s="40">
        <v>9.9871995321414067E-2</v>
      </c>
      <c r="L139" s="41">
        <v>0</v>
      </c>
      <c r="M139" s="36">
        <v>495.65548577626328</v>
      </c>
      <c r="N139" s="36"/>
      <c r="O139" s="37">
        <v>462</v>
      </c>
      <c r="P139" s="37">
        <v>462</v>
      </c>
    </row>
    <row r="140" spans="1:16" x14ac:dyDescent="0.25">
      <c r="A140" s="42">
        <v>531</v>
      </c>
      <c r="B140" s="42">
        <v>7</v>
      </c>
      <c r="C140" s="43" t="s">
        <v>259</v>
      </c>
      <c r="D140" s="36">
        <v>2094.91</v>
      </c>
      <c r="E140" s="36">
        <v>71.25</v>
      </c>
      <c r="F140" s="36">
        <v>1991.71</v>
      </c>
      <c r="G140" s="37">
        <v>0</v>
      </c>
      <c r="H140" s="38">
        <v>1</v>
      </c>
      <c r="I140" s="39">
        <v>0</v>
      </c>
      <c r="J140" s="40">
        <v>8.0534217232337335E-2</v>
      </c>
      <c r="K140" s="40">
        <v>8.0534217232337335E-2</v>
      </c>
      <c r="L140" s="41">
        <v>0</v>
      </c>
      <c r="M140" s="36">
        <v>1991.71</v>
      </c>
      <c r="N140" s="36"/>
      <c r="O140" s="37">
        <v>3748</v>
      </c>
      <c r="P140" s="37">
        <v>3748</v>
      </c>
    </row>
    <row r="141" spans="1:16" x14ac:dyDescent="0.25">
      <c r="A141" s="42">
        <v>550</v>
      </c>
      <c r="B141" s="42">
        <v>7</v>
      </c>
      <c r="C141" s="43" t="s">
        <v>260</v>
      </c>
      <c r="D141" s="36">
        <v>0</v>
      </c>
      <c r="E141" s="36">
        <v>0</v>
      </c>
      <c r="F141" s="36">
        <v>370.35</v>
      </c>
      <c r="G141" s="37">
        <v>0</v>
      </c>
      <c r="H141" s="38">
        <v>0</v>
      </c>
      <c r="I141" s="39">
        <v>0</v>
      </c>
      <c r="J141" s="40" t="s">
        <v>116</v>
      </c>
      <c r="K141" s="40">
        <v>9.9871995321414067E-2</v>
      </c>
      <c r="L141" s="41">
        <v>0</v>
      </c>
      <c r="M141" s="36">
        <v>370.35</v>
      </c>
      <c r="N141" s="36"/>
      <c r="O141" s="37">
        <v>0</v>
      </c>
      <c r="P141" s="37">
        <v>0</v>
      </c>
    </row>
    <row r="142" spans="1:16" x14ac:dyDescent="0.25">
      <c r="A142" s="42">
        <v>551</v>
      </c>
      <c r="B142" s="42">
        <v>7</v>
      </c>
      <c r="C142" s="43" t="s">
        <v>261</v>
      </c>
      <c r="D142" s="36">
        <v>141.63</v>
      </c>
      <c r="E142" s="36">
        <v>41.1</v>
      </c>
      <c r="F142" s="36">
        <v>0</v>
      </c>
      <c r="G142" s="37">
        <v>0</v>
      </c>
      <c r="H142" s="38">
        <v>0</v>
      </c>
      <c r="I142" s="39">
        <v>0</v>
      </c>
      <c r="J142" s="40" t="s">
        <v>116</v>
      </c>
      <c r="K142" s="40">
        <v>9.9871995321414067E-2</v>
      </c>
      <c r="L142" s="41">
        <v>0</v>
      </c>
      <c r="M142" s="36">
        <v>164.48039029491798</v>
      </c>
      <c r="N142" s="36"/>
      <c r="O142" s="37">
        <v>502</v>
      </c>
      <c r="P142" s="37">
        <v>502</v>
      </c>
    </row>
    <row r="143" spans="1:16" x14ac:dyDescent="0.25">
      <c r="A143" s="42">
        <v>555</v>
      </c>
      <c r="B143" s="42">
        <v>7</v>
      </c>
      <c r="C143" s="43" t="s">
        <v>262</v>
      </c>
      <c r="D143" s="36">
        <v>678.7700000000001</v>
      </c>
      <c r="E143" s="36">
        <v>251.44</v>
      </c>
      <c r="F143" s="36">
        <v>0</v>
      </c>
      <c r="G143" s="37">
        <v>0</v>
      </c>
      <c r="H143" s="38">
        <v>1</v>
      </c>
      <c r="I143" s="39">
        <v>0</v>
      </c>
      <c r="J143" s="40" t="s">
        <v>116</v>
      </c>
      <c r="K143" s="40">
        <v>0.1246571269564154</v>
      </c>
      <c r="L143" s="41">
        <v>0</v>
      </c>
      <c r="M143" s="36">
        <v>814.25269393387282</v>
      </c>
      <c r="N143" s="36"/>
      <c r="O143" s="37">
        <v>639.84</v>
      </c>
      <c r="P143" s="37">
        <v>639.84</v>
      </c>
    </row>
    <row r="144" spans="1:16" x14ac:dyDescent="0.25">
      <c r="A144" s="42">
        <v>556</v>
      </c>
      <c r="B144" s="42">
        <v>7</v>
      </c>
      <c r="C144" s="43" t="s">
        <v>263</v>
      </c>
      <c r="D144" s="36">
        <v>433.75</v>
      </c>
      <c r="E144" s="36">
        <v>32.479999999999997</v>
      </c>
      <c r="F144" s="36">
        <v>0</v>
      </c>
      <c r="G144" s="37">
        <v>0</v>
      </c>
      <c r="H144" s="38">
        <v>0</v>
      </c>
      <c r="I144" s="39">
        <v>0</v>
      </c>
      <c r="J144" s="40" t="s">
        <v>116</v>
      </c>
      <c r="K144" s="40">
        <v>9.9871995321414067E-2</v>
      </c>
      <c r="L144" s="41">
        <v>0</v>
      </c>
      <c r="M144" s="36">
        <v>419.66667962129713</v>
      </c>
      <c r="N144" s="36"/>
      <c r="O144" s="37">
        <v>553</v>
      </c>
      <c r="P144" s="37">
        <v>553</v>
      </c>
    </row>
    <row r="145" spans="1:16" x14ac:dyDescent="0.25">
      <c r="A145" s="42">
        <v>558</v>
      </c>
      <c r="B145" s="42">
        <v>7</v>
      </c>
      <c r="C145" s="43" t="s">
        <v>264</v>
      </c>
      <c r="D145" s="36">
        <v>377.56000000000006</v>
      </c>
      <c r="E145" s="36">
        <v>68.739999999999995</v>
      </c>
      <c r="F145" s="36">
        <v>0</v>
      </c>
      <c r="G145" s="37">
        <v>19784.98</v>
      </c>
      <c r="H145" s="38">
        <v>1</v>
      </c>
      <c r="I145" s="39">
        <v>0</v>
      </c>
      <c r="J145" s="40" t="s">
        <v>116</v>
      </c>
      <c r="K145" s="40">
        <v>0.1246571269564154</v>
      </c>
      <c r="L145" s="41">
        <v>0</v>
      </c>
      <c r="M145" s="36">
        <v>390.66552423935184</v>
      </c>
      <c r="N145" s="36"/>
      <c r="O145" s="37">
        <v>336</v>
      </c>
      <c r="P145" s="37">
        <v>20120.98</v>
      </c>
    </row>
    <row r="146" spans="1:16" x14ac:dyDescent="0.25">
      <c r="A146" s="42">
        <v>600</v>
      </c>
      <c r="B146" s="42">
        <v>7</v>
      </c>
      <c r="C146" s="43" t="s">
        <v>377</v>
      </c>
      <c r="D146" s="36">
        <v>733.9899999999999</v>
      </c>
      <c r="E146" s="36">
        <v>0</v>
      </c>
      <c r="F146" s="36">
        <v>713.92</v>
      </c>
      <c r="G146" s="37">
        <v>0</v>
      </c>
      <c r="H146" s="38">
        <v>1</v>
      </c>
      <c r="I146" s="39">
        <v>0</v>
      </c>
      <c r="J146" s="40">
        <v>2.7343696780610008E-2</v>
      </c>
      <c r="K146" s="40">
        <v>2.7343696780610008E-2</v>
      </c>
      <c r="L146" s="41">
        <v>0</v>
      </c>
      <c r="M146" s="36">
        <v>713.92</v>
      </c>
      <c r="N146" s="36"/>
      <c r="O146" s="37">
        <v>1639.64</v>
      </c>
      <c r="P146" s="37">
        <v>1639.64</v>
      </c>
    </row>
    <row r="147" spans="1:16" x14ac:dyDescent="0.25">
      <c r="A147" s="42">
        <v>604</v>
      </c>
      <c r="B147" s="42">
        <v>7</v>
      </c>
      <c r="C147" s="43" t="s">
        <v>378</v>
      </c>
      <c r="D147" s="36">
        <v>517.16999999999996</v>
      </c>
      <c r="E147" s="36">
        <v>348.33</v>
      </c>
      <c r="F147" s="36">
        <v>0</v>
      </c>
      <c r="G147" s="37">
        <v>6850</v>
      </c>
      <c r="H147" s="38">
        <v>1</v>
      </c>
      <c r="I147" s="39">
        <v>0</v>
      </c>
      <c r="J147" s="40" t="s">
        <v>116</v>
      </c>
      <c r="K147" s="40">
        <v>0.1246571269564154</v>
      </c>
      <c r="L147" s="41">
        <v>0</v>
      </c>
      <c r="M147" s="36">
        <v>757.60925661922249</v>
      </c>
      <c r="N147" s="36"/>
      <c r="O147" s="37">
        <v>574</v>
      </c>
      <c r="P147" s="37">
        <v>7424</v>
      </c>
    </row>
    <row r="148" spans="1:16" x14ac:dyDescent="0.25">
      <c r="A148" s="42">
        <v>612</v>
      </c>
      <c r="B148" s="42">
        <v>7</v>
      </c>
      <c r="C148" s="43" t="s">
        <v>267</v>
      </c>
      <c r="D148" s="36">
        <v>569.72</v>
      </c>
      <c r="E148" s="36">
        <v>39.25</v>
      </c>
      <c r="F148" s="36">
        <v>0</v>
      </c>
      <c r="G148" s="37">
        <v>0</v>
      </c>
      <c r="H148" s="38">
        <v>1</v>
      </c>
      <c r="I148" s="39">
        <v>0</v>
      </c>
      <c r="J148" s="40" t="s">
        <v>116</v>
      </c>
      <c r="K148" s="40">
        <v>0.1246571269564154</v>
      </c>
      <c r="L148" s="41">
        <v>0</v>
      </c>
      <c r="M148" s="36">
        <v>533.05754939735175</v>
      </c>
      <c r="N148" s="36"/>
      <c r="O148" s="37">
        <v>801.9</v>
      </c>
      <c r="P148" s="37">
        <v>801.9</v>
      </c>
    </row>
    <row r="149" spans="1:16" x14ac:dyDescent="0.25">
      <c r="A149" s="42">
        <v>711</v>
      </c>
      <c r="B149" s="42">
        <v>7</v>
      </c>
      <c r="C149" s="43" t="s">
        <v>269</v>
      </c>
      <c r="D149" s="36">
        <v>252.23</v>
      </c>
      <c r="E149" s="36">
        <v>135.99</v>
      </c>
      <c r="F149" s="36">
        <v>0</v>
      </c>
      <c r="G149" s="37">
        <v>4323.7700000000004</v>
      </c>
      <c r="H149" s="38">
        <v>0</v>
      </c>
      <c r="I149" s="39">
        <v>0</v>
      </c>
      <c r="J149" s="40" t="s">
        <v>116</v>
      </c>
      <c r="K149" s="40">
        <v>9.9871995321414067E-2</v>
      </c>
      <c r="L149" s="41">
        <v>0</v>
      </c>
      <c r="M149" s="36">
        <v>349.44769397632064</v>
      </c>
      <c r="N149" s="36"/>
      <c r="O149" s="37">
        <v>212.4</v>
      </c>
      <c r="P149" s="37">
        <v>4536.17</v>
      </c>
    </row>
    <row r="150" spans="1:16" x14ac:dyDescent="0.25">
      <c r="A150" s="42">
        <v>712</v>
      </c>
      <c r="B150" s="42">
        <v>7</v>
      </c>
      <c r="C150" s="43" t="s">
        <v>270</v>
      </c>
      <c r="D150" s="36">
        <v>687.25</v>
      </c>
      <c r="E150" s="36">
        <v>0</v>
      </c>
      <c r="F150" s="36">
        <v>549.79999999999995</v>
      </c>
      <c r="G150" s="37">
        <v>0</v>
      </c>
      <c r="H150" s="38">
        <v>1</v>
      </c>
      <c r="I150" s="39">
        <v>0</v>
      </c>
      <c r="J150" s="40">
        <v>0.20000000000000007</v>
      </c>
      <c r="K150" s="40">
        <v>0.20000000000000007</v>
      </c>
      <c r="L150" s="41">
        <v>0</v>
      </c>
      <c r="M150" s="36">
        <v>549.79999999999995</v>
      </c>
      <c r="N150" s="36"/>
      <c r="O150" s="37">
        <v>0</v>
      </c>
      <c r="P150" s="37">
        <v>0</v>
      </c>
    </row>
    <row r="151" spans="1:16" x14ac:dyDescent="0.25">
      <c r="A151" s="42">
        <v>718</v>
      </c>
      <c r="B151" s="42">
        <v>7</v>
      </c>
      <c r="C151" s="43" t="s">
        <v>271</v>
      </c>
      <c r="D151" s="36">
        <v>28.310000000000002</v>
      </c>
      <c r="E151" s="36">
        <v>0</v>
      </c>
      <c r="F151" s="36">
        <v>0</v>
      </c>
      <c r="G151" s="37">
        <v>0</v>
      </c>
      <c r="H151" s="38">
        <v>1</v>
      </c>
      <c r="I151" s="39">
        <v>0</v>
      </c>
      <c r="J151" s="40" t="s">
        <v>116</v>
      </c>
      <c r="K151" s="40">
        <v>0.1246571269564154</v>
      </c>
      <c r="L151" s="41">
        <v>0</v>
      </c>
      <c r="M151" s="36">
        <v>24.780956735863882</v>
      </c>
      <c r="N151" s="36"/>
      <c r="O151" s="37">
        <v>0</v>
      </c>
      <c r="P151" s="37">
        <v>0</v>
      </c>
    </row>
    <row r="152" spans="1:16" x14ac:dyDescent="0.25">
      <c r="A152" s="42">
        <v>736</v>
      </c>
      <c r="B152" s="42">
        <v>7</v>
      </c>
      <c r="C152" s="43" t="s">
        <v>272</v>
      </c>
      <c r="D152" s="36">
        <v>166.37</v>
      </c>
      <c r="E152" s="36">
        <v>0</v>
      </c>
      <c r="F152" s="36">
        <v>0</v>
      </c>
      <c r="G152" s="37">
        <v>0</v>
      </c>
      <c r="H152" s="38">
        <v>0</v>
      </c>
      <c r="I152" s="39">
        <v>0</v>
      </c>
      <c r="J152" s="40" t="s">
        <v>116</v>
      </c>
      <c r="K152" s="40">
        <v>9.9871995321414067E-2</v>
      </c>
      <c r="L152" s="41">
        <v>0</v>
      </c>
      <c r="M152" s="36">
        <v>149.75429613837633</v>
      </c>
      <c r="N152" s="36"/>
      <c r="O152" s="37">
        <v>0</v>
      </c>
      <c r="P152" s="37">
        <v>0</v>
      </c>
    </row>
    <row r="153" spans="1:16" x14ac:dyDescent="0.25">
      <c r="A153" s="42">
        <v>757</v>
      </c>
      <c r="B153" s="42">
        <v>7</v>
      </c>
      <c r="C153" s="43" t="s">
        <v>273</v>
      </c>
      <c r="D153" s="36">
        <v>525</v>
      </c>
      <c r="E153" s="36">
        <v>0</v>
      </c>
      <c r="F153" s="36">
        <v>501.67</v>
      </c>
      <c r="G153" s="37">
        <v>18174</v>
      </c>
      <c r="H153" s="38">
        <v>1</v>
      </c>
      <c r="I153" s="39">
        <v>0</v>
      </c>
      <c r="J153" s="40">
        <v>4.4438095238095207E-2</v>
      </c>
      <c r="K153" s="40">
        <v>4.4438095238095207E-2</v>
      </c>
      <c r="L153" s="41">
        <v>0</v>
      </c>
      <c r="M153" s="36">
        <v>501.67</v>
      </c>
      <c r="N153" s="36"/>
      <c r="O153" s="37">
        <v>203</v>
      </c>
      <c r="P153" s="37">
        <v>18377</v>
      </c>
    </row>
    <row r="154" spans="1:16" x14ac:dyDescent="0.25">
      <c r="A154" s="42">
        <v>786</v>
      </c>
      <c r="B154" s="42">
        <v>7</v>
      </c>
      <c r="C154" s="43" t="s">
        <v>274</v>
      </c>
      <c r="D154" s="36">
        <v>3198.1</v>
      </c>
      <c r="E154" s="36">
        <v>15.91</v>
      </c>
      <c r="F154" s="36">
        <v>3104.5699999999997</v>
      </c>
      <c r="G154" s="37">
        <v>258024.69</v>
      </c>
      <c r="H154" s="38">
        <v>0</v>
      </c>
      <c r="I154" s="39">
        <v>0</v>
      </c>
      <c r="J154" s="40">
        <v>3.4050920812318586E-2</v>
      </c>
      <c r="K154" s="40">
        <v>3.4050920812318586E-2</v>
      </c>
      <c r="L154" s="41">
        <v>0</v>
      </c>
      <c r="M154" s="36">
        <v>3104.5699999999997</v>
      </c>
      <c r="N154" s="36"/>
      <c r="O154" s="37">
        <v>0</v>
      </c>
      <c r="P154" s="37">
        <v>258024.69</v>
      </c>
    </row>
    <row r="155" spans="1:16" x14ac:dyDescent="0.25">
      <c r="A155" s="42">
        <v>854</v>
      </c>
      <c r="B155" s="42">
        <v>7</v>
      </c>
      <c r="C155" s="43" t="s">
        <v>275</v>
      </c>
      <c r="D155" s="36">
        <v>0</v>
      </c>
      <c r="E155" s="36">
        <v>0</v>
      </c>
      <c r="F155" s="36">
        <v>739.91</v>
      </c>
      <c r="G155" s="37">
        <v>0</v>
      </c>
      <c r="H155" s="38">
        <v>1</v>
      </c>
      <c r="I155" s="39">
        <v>0</v>
      </c>
      <c r="J155" s="40" t="s">
        <v>116</v>
      </c>
      <c r="K155" s="40">
        <v>0.1246571269564154</v>
      </c>
      <c r="L155" s="41">
        <v>0</v>
      </c>
      <c r="M155" s="36">
        <v>739.91</v>
      </c>
      <c r="N155" s="36"/>
      <c r="O155" s="37">
        <v>226.56</v>
      </c>
      <c r="P155" s="37">
        <v>226.56</v>
      </c>
    </row>
    <row r="156" spans="1:16" x14ac:dyDescent="0.25">
      <c r="A156" s="42">
        <v>855</v>
      </c>
      <c r="B156" s="42">
        <v>7</v>
      </c>
      <c r="C156" s="43" t="s">
        <v>276</v>
      </c>
      <c r="D156" s="36">
        <v>245.55</v>
      </c>
      <c r="E156" s="36">
        <v>0</v>
      </c>
      <c r="F156" s="36">
        <v>218.35</v>
      </c>
      <c r="G156" s="37">
        <v>20458.66</v>
      </c>
      <c r="H156" s="38">
        <v>1</v>
      </c>
      <c r="I156" s="39">
        <v>0</v>
      </c>
      <c r="J156" s="40">
        <v>0.11077173691712489</v>
      </c>
      <c r="K156" s="40">
        <v>0.11077173691712489</v>
      </c>
      <c r="L156" s="41">
        <v>0</v>
      </c>
      <c r="M156" s="36">
        <v>218.35</v>
      </c>
      <c r="N156" s="36"/>
      <c r="O156" s="37">
        <v>0</v>
      </c>
      <c r="P156" s="37">
        <v>20458.66</v>
      </c>
    </row>
    <row r="157" spans="1:16" x14ac:dyDescent="0.25">
      <c r="A157" s="42">
        <v>862</v>
      </c>
      <c r="B157" s="42">
        <v>7</v>
      </c>
      <c r="C157" s="43" t="s">
        <v>379</v>
      </c>
      <c r="D157" s="36">
        <v>19.21</v>
      </c>
      <c r="E157" s="36">
        <v>0</v>
      </c>
      <c r="F157" s="36">
        <v>0</v>
      </c>
      <c r="G157" s="37">
        <v>0</v>
      </c>
      <c r="H157" s="38">
        <v>0</v>
      </c>
      <c r="I157" s="39">
        <v>0</v>
      </c>
      <c r="J157" s="40" t="s">
        <v>116</v>
      </c>
      <c r="K157" s="40">
        <v>9.9871995321414067E-2</v>
      </c>
      <c r="L157" s="41">
        <v>0</v>
      </c>
      <c r="M157" s="36">
        <v>17.291458969875634</v>
      </c>
      <c r="N157" s="36"/>
      <c r="O157" s="37">
        <v>7583.34</v>
      </c>
      <c r="P157" s="37">
        <v>7583.34</v>
      </c>
    </row>
    <row r="158" spans="1:16" x14ac:dyDescent="0.25">
      <c r="A158" s="42">
        <v>958</v>
      </c>
      <c r="B158" s="42">
        <v>7</v>
      </c>
      <c r="C158" s="43" t="s">
        <v>278</v>
      </c>
      <c r="D158" s="36">
        <v>380.36</v>
      </c>
      <c r="E158" s="36">
        <v>533</v>
      </c>
      <c r="F158" s="36">
        <v>0</v>
      </c>
      <c r="G158" s="37">
        <v>0</v>
      </c>
      <c r="H158" s="38">
        <v>0</v>
      </c>
      <c r="I158" s="39">
        <v>0</v>
      </c>
      <c r="J158" s="40" t="s">
        <v>116</v>
      </c>
      <c r="K158" s="40">
        <v>9.9871995321414067E-2</v>
      </c>
      <c r="L158" s="41">
        <v>0</v>
      </c>
      <c r="M158" s="36">
        <v>822.14091435323326</v>
      </c>
      <c r="N158" s="36"/>
      <c r="O158" s="37">
        <v>296.64</v>
      </c>
      <c r="P158" s="37">
        <v>296.64</v>
      </c>
    </row>
    <row r="159" spans="1:16" x14ac:dyDescent="0.25">
      <c r="A159" s="42">
        <v>967</v>
      </c>
      <c r="B159" s="42">
        <v>7</v>
      </c>
      <c r="C159" s="43" t="s">
        <v>279</v>
      </c>
      <c r="D159" s="36">
        <v>179.08999999999997</v>
      </c>
      <c r="E159" s="36">
        <v>0</v>
      </c>
      <c r="F159" s="36">
        <v>0</v>
      </c>
      <c r="G159" s="37">
        <v>0</v>
      </c>
      <c r="H159" s="38">
        <v>0</v>
      </c>
      <c r="I159" s="39">
        <v>0</v>
      </c>
      <c r="J159" s="40" t="s">
        <v>116</v>
      </c>
      <c r="K159" s="40">
        <v>9.9871995321414067E-2</v>
      </c>
      <c r="L159" s="41">
        <v>0</v>
      </c>
      <c r="M159" s="36">
        <v>161.20392435788793</v>
      </c>
      <c r="N159" s="36"/>
      <c r="O159" s="37">
        <v>0</v>
      </c>
      <c r="P159" s="37">
        <v>0</v>
      </c>
    </row>
    <row r="160" spans="1:16" x14ac:dyDescent="0.25">
      <c r="A160" s="42">
        <v>971</v>
      </c>
      <c r="B160" s="42">
        <v>7</v>
      </c>
      <c r="C160" s="43" t="s">
        <v>280</v>
      </c>
      <c r="D160" s="36">
        <v>1074.18</v>
      </c>
      <c r="E160" s="36">
        <v>48.649999999999991</v>
      </c>
      <c r="F160" s="36">
        <v>1018.9900000000001</v>
      </c>
      <c r="G160" s="37">
        <v>125553.73999999999</v>
      </c>
      <c r="H160" s="38">
        <v>0</v>
      </c>
      <c r="I160" s="39">
        <v>0</v>
      </c>
      <c r="J160" s="40">
        <v>9.2480607037574714E-2</v>
      </c>
      <c r="K160" s="40">
        <v>9.2480607037574714E-2</v>
      </c>
      <c r="L160" s="41">
        <v>0</v>
      </c>
      <c r="M160" s="36">
        <v>1018.99</v>
      </c>
      <c r="N160" s="36"/>
      <c r="O160" s="37">
        <v>815.12</v>
      </c>
      <c r="P160" s="37">
        <v>126368.85999999999</v>
      </c>
    </row>
    <row r="161" spans="1:16" x14ac:dyDescent="0.25">
      <c r="A161" s="42">
        <v>975</v>
      </c>
      <c r="B161" s="42">
        <v>7</v>
      </c>
      <c r="C161" s="43" t="s">
        <v>281</v>
      </c>
      <c r="D161" s="36">
        <v>31.87</v>
      </c>
      <c r="E161" s="36">
        <v>0</v>
      </c>
      <c r="F161" s="36">
        <v>0</v>
      </c>
      <c r="G161" s="37">
        <v>0</v>
      </c>
      <c r="H161" s="38">
        <v>0</v>
      </c>
      <c r="I161" s="39">
        <v>0</v>
      </c>
      <c r="J161" s="40" t="s">
        <v>116</v>
      </c>
      <c r="K161" s="40">
        <v>9.9871995321414067E-2</v>
      </c>
      <c r="L161" s="41">
        <v>0</v>
      </c>
      <c r="M161" s="36">
        <v>28.687079509106532</v>
      </c>
      <c r="N161" s="36"/>
      <c r="O161" s="37">
        <v>0</v>
      </c>
      <c r="P161" s="37">
        <v>0</v>
      </c>
    </row>
    <row r="162" spans="1:16" x14ac:dyDescent="0.25">
      <c r="A162" s="42">
        <v>976</v>
      </c>
      <c r="B162" s="42">
        <v>7</v>
      </c>
      <c r="C162" s="43" t="s">
        <v>282</v>
      </c>
      <c r="D162" s="36">
        <v>26.15</v>
      </c>
      <c r="E162" s="36">
        <v>0</v>
      </c>
      <c r="F162" s="36">
        <v>0</v>
      </c>
      <c r="G162" s="37">
        <v>0</v>
      </c>
      <c r="H162" s="38">
        <v>0</v>
      </c>
      <c r="I162" s="39">
        <v>0</v>
      </c>
      <c r="J162" s="40" t="s">
        <v>116</v>
      </c>
      <c r="K162" s="40">
        <v>9.9871995321414067E-2</v>
      </c>
      <c r="L162" s="41">
        <v>0</v>
      </c>
      <c r="M162" s="36">
        <v>23.538347322345018</v>
      </c>
      <c r="N162" s="36"/>
      <c r="O162" s="37">
        <v>0</v>
      </c>
      <c r="P162" s="37">
        <v>0</v>
      </c>
    </row>
    <row r="163" spans="1:16" x14ac:dyDescent="0.25">
      <c r="A163" s="42">
        <v>977</v>
      </c>
      <c r="B163" s="42">
        <v>7</v>
      </c>
      <c r="C163" s="43" t="s">
        <v>39</v>
      </c>
      <c r="D163" s="36">
        <v>46.32</v>
      </c>
      <c r="E163" s="36">
        <v>0</v>
      </c>
      <c r="F163" s="36">
        <v>0</v>
      </c>
      <c r="G163" s="37">
        <v>0</v>
      </c>
      <c r="H163" s="38">
        <v>1</v>
      </c>
      <c r="I163" s="39">
        <v>0</v>
      </c>
      <c r="J163" s="40" t="s">
        <v>116</v>
      </c>
      <c r="K163" s="40">
        <v>0.1246571269564154</v>
      </c>
      <c r="L163" s="41">
        <v>0</v>
      </c>
      <c r="M163" s="36">
        <v>40.54588187937884</v>
      </c>
      <c r="N163" s="36"/>
      <c r="O163" s="37">
        <v>0</v>
      </c>
      <c r="P163" s="37">
        <v>0</v>
      </c>
    </row>
    <row r="164" spans="1:16" x14ac:dyDescent="0.25">
      <c r="A164" s="42">
        <v>979</v>
      </c>
      <c r="B164" s="42">
        <v>7</v>
      </c>
      <c r="C164" s="43" t="s">
        <v>283</v>
      </c>
      <c r="D164" s="36">
        <v>23.13</v>
      </c>
      <c r="E164" s="36">
        <v>0</v>
      </c>
      <c r="F164" s="36">
        <v>0</v>
      </c>
      <c r="G164" s="37">
        <v>0</v>
      </c>
      <c r="H164" s="38">
        <v>1</v>
      </c>
      <c r="I164" s="39">
        <v>0</v>
      </c>
      <c r="J164" s="40" t="s">
        <v>116</v>
      </c>
      <c r="K164" s="40">
        <v>0.1246571269564154</v>
      </c>
      <c r="L164" s="41">
        <v>0</v>
      </c>
      <c r="M164" s="36">
        <v>20.24668065349811</v>
      </c>
      <c r="N164" s="36"/>
      <c r="O164" s="37">
        <v>200</v>
      </c>
      <c r="P164" s="37">
        <v>200</v>
      </c>
    </row>
    <row r="165" spans="1:16" x14ac:dyDescent="0.25">
      <c r="A165" s="42">
        <v>981</v>
      </c>
      <c r="B165" s="42">
        <v>7</v>
      </c>
      <c r="C165" s="43" t="s">
        <v>284</v>
      </c>
      <c r="D165" s="36">
        <v>130.20000000000002</v>
      </c>
      <c r="E165" s="36">
        <v>0</v>
      </c>
      <c r="F165" s="36">
        <v>0</v>
      </c>
      <c r="G165" s="37">
        <v>0</v>
      </c>
      <c r="H165" s="38">
        <v>0</v>
      </c>
      <c r="I165" s="39">
        <v>0</v>
      </c>
      <c r="J165" s="40" t="s">
        <v>116</v>
      </c>
      <c r="K165" s="40">
        <v>9.9871995321414067E-2</v>
      </c>
      <c r="L165" s="41">
        <v>0</v>
      </c>
      <c r="M165" s="36">
        <v>117.1966662091519</v>
      </c>
      <c r="N165" s="36"/>
      <c r="O165" s="37">
        <v>0</v>
      </c>
      <c r="P165" s="37">
        <v>0</v>
      </c>
    </row>
    <row r="166" spans="1:16" x14ac:dyDescent="0.25">
      <c r="A166" s="42">
        <v>983</v>
      </c>
      <c r="B166" s="42">
        <v>7</v>
      </c>
      <c r="C166" s="43" t="s">
        <v>380</v>
      </c>
      <c r="D166" s="36">
        <v>66.95</v>
      </c>
      <c r="E166" s="36">
        <v>36.99</v>
      </c>
      <c r="F166" s="36">
        <v>0</v>
      </c>
      <c r="G166" s="37">
        <v>0</v>
      </c>
      <c r="H166" s="38">
        <v>0</v>
      </c>
      <c r="I166" s="39">
        <v>0</v>
      </c>
      <c r="J166" s="40" t="s">
        <v>116</v>
      </c>
      <c r="K166" s="40">
        <v>9.9871995321414067E-2</v>
      </c>
      <c r="L166" s="41">
        <v>0</v>
      </c>
      <c r="M166" s="36">
        <v>93.559304806292218</v>
      </c>
      <c r="N166" s="36"/>
      <c r="O166" s="37">
        <v>0</v>
      </c>
      <c r="P166" s="37">
        <v>0</v>
      </c>
    </row>
    <row r="167" spans="1:16" x14ac:dyDescent="0.25">
      <c r="A167" s="42">
        <v>188</v>
      </c>
      <c r="B167" s="42">
        <v>8</v>
      </c>
      <c r="C167" s="43" t="s">
        <v>286</v>
      </c>
      <c r="D167" s="36">
        <v>0</v>
      </c>
      <c r="E167" s="36">
        <v>0</v>
      </c>
      <c r="F167" s="36">
        <v>244.22</v>
      </c>
      <c r="G167" s="37">
        <v>24421.71</v>
      </c>
      <c r="H167" s="38">
        <v>1</v>
      </c>
      <c r="I167" s="39">
        <v>0</v>
      </c>
      <c r="J167" s="40" t="s">
        <v>116</v>
      </c>
      <c r="K167" s="40">
        <v>0.1246571269564154</v>
      </c>
      <c r="L167" s="41">
        <v>0</v>
      </c>
      <c r="M167" s="36">
        <v>244.22</v>
      </c>
      <c r="N167" s="36"/>
      <c r="O167" s="37">
        <v>310</v>
      </c>
      <c r="P167" s="37">
        <v>24731.71</v>
      </c>
    </row>
    <row r="168" spans="1:16" x14ac:dyDescent="0.25">
      <c r="A168" s="42">
        <v>232</v>
      </c>
      <c r="B168" s="42">
        <v>8</v>
      </c>
      <c r="C168" s="43" t="s">
        <v>287</v>
      </c>
      <c r="D168" s="36">
        <v>0</v>
      </c>
      <c r="E168" s="36">
        <v>84.819999999999979</v>
      </c>
      <c r="F168" s="36">
        <v>0</v>
      </c>
      <c r="G168" s="37">
        <v>0</v>
      </c>
      <c r="H168" s="38">
        <v>0</v>
      </c>
      <c r="I168" s="39">
        <v>0</v>
      </c>
      <c r="J168" s="40" t="s">
        <v>116</v>
      </c>
      <c r="K168" s="40">
        <v>9.9871995321414067E-2</v>
      </c>
      <c r="L168" s="41">
        <v>0</v>
      </c>
      <c r="M168" s="36">
        <v>76.348857356837641</v>
      </c>
      <c r="N168" s="36"/>
      <c r="O168" s="37">
        <v>0</v>
      </c>
      <c r="P168" s="37">
        <v>0</v>
      </c>
    </row>
    <row r="169" spans="1:16" x14ac:dyDescent="0.25">
      <c r="A169" s="42">
        <v>245</v>
      </c>
      <c r="B169" s="42">
        <v>8</v>
      </c>
      <c r="C169" s="43" t="s">
        <v>288</v>
      </c>
      <c r="D169" s="36">
        <v>0</v>
      </c>
      <c r="E169" s="36">
        <v>226.79999999999998</v>
      </c>
      <c r="F169" s="36">
        <v>0</v>
      </c>
      <c r="G169" s="37">
        <v>0</v>
      </c>
      <c r="H169" s="38">
        <v>0</v>
      </c>
      <c r="I169" s="39">
        <v>0</v>
      </c>
      <c r="J169" s="40" t="s">
        <v>116</v>
      </c>
      <c r="K169" s="40">
        <v>9.9871995321414067E-2</v>
      </c>
      <c r="L169" s="41">
        <v>0</v>
      </c>
      <c r="M169" s="36">
        <v>204.14903146110328</v>
      </c>
      <c r="N169" s="36"/>
      <c r="O169" s="37">
        <v>0</v>
      </c>
      <c r="P169" s="37">
        <v>0</v>
      </c>
    </row>
    <row r="170" spans="1:16" x14ac:dyDescent="0.25">
      <c r="A170" s="42">
        <v>372</v>
      </c>
      <c r="B170" s="42">
        <v>8</v>
      </c>
      <c r="C170" s="43" t="s">
        <v>289</v>
      </c>
      <c r="D170" s="36">
        <v>0</v>
      </c>
      <c r="E170" s="36">
        <v>116.46999999999998</v>
      </c>
      <c r="F170" s="36">
        <v>0</v>
      </c>
      <c r="G170" s="37">
        <v>0</v>
      </c>
      <c r="H170" s="38">
        <v>1</v>
      </c>
      <c r="I170" s="39">
        <v>0</v>
      </c>
      <c r="J170" s="40" t="s">
        <v>116</v>
      </c>
      <c r="K170" s="40">
        <v>0.1246571269564154</v>
      </c>
      <c r="L170" s="41">
        <v>0</v>
      </c>
      <c r="M170" s="36">
        <v>101.95118442338628</v>
      </c>
      <c r="N170" s="36"/>
      <c r="O170" s="37">
        <v>0</v>
      </c>
      <c r="P170" s="37">
        <v>0</v>
      </c>
    </row>
    <row r="171" spans="1:16" x14ac:dyDescent="0.25">
      <c r="A171" s="42">
        <v>375</v>
      </c>
      <c r="B171" s="42">
        <v>8</v>
      </c>
      <c r="C171" s="43" t="s">
        <v>381</v>
      </c>
      <c r="D171" s="36">
        <v>0</v>
      </c>
      <c r="E171" s="36">
        <v>0</v>
      </c>
      <c r="F171" s="36">
        <v>167.94</v>
      </c>
      <c r="G171" s="37">
        <v>0</v>
      </c>
      <c r="H171" s="38">
        <v>0</v>
      </c>
      <c r="I171" s="39">
        <v>0</v>
      </c>
      <c r="J171" s="40" t="s">
        <v>116</v>
      </c>
      <c r="K171" s="40">
        <v>9.9871995321414067E-2</v>
      </c>
      <c r="L171" s="41">
        <v>0</v>
      </c>
      <c r="M171" s="36">
        <v>167.94</v>
      </c>
      <c r="N171" s="36"/>
      <c r="O171" s="37">
        <v>0</v>
      </c>
      <c r="P171" s="37">
        <v>0</v>
      </c>
    </row>
    <row r="172" spans="1:16" x14ac:dyDescent="0.25">
      <c r="A172" s="42">
        <v>404</v>
      </c>
      <c r="B172" s="42">
        <v>8</v>
      </c>
      <c r="C172" s="43" t="s">
        <v>291</v>
      </c>
      <c r="D172" s="36">
        <v>0</v>
      </c>
      <c r="E172" s="36">
        <v>496.35999999999996</v>
      </c>
      <c r="F172" s="36">
        <v>0</v>
      </c>
      <c r="G172" s="37">
        <v>0</v>
      </c>
      <c r="H172" s="38">
        <v>0</v>
      </c>
      <c r="I172" s="39">
        <v>0</v>
      </c>
      <c r="J172" s="40" t="s">
        <v>116</v>
      </c>
      <c r="K172" s="40">
        <v>9.9871995321414067E-2</v>
      </c>
      <c r="L172" s="41">
        <v>0</v>
      </c>
      <c r="M172" s="36">
        <v>446.78753640226284</v>
      </c>
      <c r="N172" s="36"/>
      <c r="O172" s="37">
        <v>0</v>
      </c>
      <c r="P172" s="37">
        <v>0</v>
      </c>
    </row>
    <row r="173" spans="1:16" x14ac:dyDescent="0.25">
      <c r="A173" s="42">
        <v>413</v>
      </c>
      <c r="B173" s="42">
        <v>8</v>
      </c>
      <c r="C173" s="43" t="s">
        <v>292</v>
      </c>
      <c r="D173" s="36">
        <v>0</v>
      </c>
      <c r="E173" s="36">
        <v>101.91000000000001</v>
      </c>
      <c r="F173" s="36">
        <v>89.679999999999993</v>
      </c>
      <c r="G173" s="37">
        <v>0</v>
      </c>
      <c r="H173" s="38">
        <v>0</v>
      </c>
      <c r="I173" s="39">
        <v>0</v>
      </c>
      <c r="J173" s="40">
        <v>0.12000785006378194</v>
      </c>
      <c r="K173" s="40">
        <v>0.12000785006378194</v>
      </c>
      <c r="L173" s="41">
        <v>0</v>
      </c>
      <c r="M173" s="36">
        <v>89.679999999999993</v>
      </c>
      <c r="N173" s="36"/>
      <c r="O173" s="37">
        <v>45</v>
      </c>
      <c r="P173" s="37">
        <v>45</v>
      </c>
    </row>
    <row r="174" spans="1:16" x14ac:dyDescent="0.25">
      <c r="A174" s="42">
        <v>537</v>
      </c>
      <c r="B174" s="42">
        <v>8</v>
      </c>
      <c r="C174" s="43" t="s">
        <v>293</v>
      </c>
      <c r="D174" s="36">
        <v>0</v>
      </c>
      <c r="E174" s="36">
        <v>22.57</v>
      </c>
      <c r="F174" s="36">
        <v>0</v>
      </c>
      <c r="G174" s="37">
        <v>0</v>
      </c>
      <c r="H174" s="38">
        <v>0</v>
      </c>
      <c r="I174" s="39">
        <v>0</v>
      </c>
      <c r="J174" s="40" t="s">
        <v>116</v>
      </c>
      <c r="K174" s="40">
        <v>9.9871995321414067E-2</v>
      </c>
      <c r="L174" s="41">
        <v>0</v>
      </c>
      <c r="M174" s="36">
        <v>20.315889065595684</v>
      </c>
      <c r="N174" s="36"/>
      <c r="O174" s="37">
        <v>0</v>
      </c>
      <c r="P174" s="37">
        <v>0</v>
      </c>
    </row>
    <row r="175" spans="1:16" x14ac:dyDescent="0.25">
      <c r="A175" s="42">
        <v>545</v>
      </c>
      <c r="B175" s="42">
        <v>8</v>
      </c>
      <c r="C175" s="43" t="s">
        <v>294</v>
      </c>
      <c r="D175" s="36">
        <v>0</v>
      </c>
      <c r="E175" s="36">
        <v>21.36</v>
      </c>
      <c r="F175" s="36">
        <v>0</v>
      </c>
      <c r="G175" s="37">
        <v>0</v>
      </c>
      <c r="H175" s="38">
        <v>1</v>
      </c>
      <c r="I175" s="39">
        <v>0</v>
      </c>
      <c r="J175" s="40" t="s">
        <v>116</v>
      </c>
      <c r="K175" s="40">
        <v>0.1246571269564154</v>
      </c>
      <c r="L175" s="41">
        <v>0</v>
      </c>
      <c r="M175" s="36">
        <v>18.697323768210968</v>
      </c>
      <c r="N175" s="36"/>
      <c r="O175" s="37">
        <v>0</v>
      </c>
      <c r="P175" s="37">
        <v>0</v>
      </c>
    </row>
    <row r="176" spans="1:16" x14ac:dyDescent="0.25">
      <c r="A176" s="42">
        <v>605</v>
      </c>
      <c r="B176" s="42">
        <v>8</v>
      </c>
      <c r="C176" s="43" t="s">
        <v>295</v>
      </c>
      <c r="D176" s="36">
        <v>0</v>
      </c>
      <c r="E176" s="36">
        <v>12.19</v>
      </c>
      <c r="F176" s="36">
        <v>0</v>
      </c>
      <c r="G176" s="37">
        <v>0</v>
      </c>
      <c r="H176" s="38">
        <v>0</v>
      </c>
      <c r="I176" s="39">
        <v>0</v>
      </c>
      <c r="J176" s="40" t="s">
        <v>116</v>
      </c>
      <c r="K176" s="40">
        <v>9.9871995321414067E-2</v>
      </c>
      <c r="L176" s="41">
        <v>0</v>
      </c>
      <c r="M176" s="36">
        <v>10.972560377031961</v>
      </c>
      <c r="N176" s="36"/>
      <c r="O176" s="37">
        <v>0</v>
      </c>
      <c r="P176" s="37">
        <v>0</v>
      </c>
    </row>
    <row r="177" spans="1:16" x14ac:dyDescent="0.25">
      <c r="A177" s="42">
        <v>607</v>
      </c>
      <c r="B177" s="42">
        <v>8</v>
      </c>
      <c r="C177" s="43" t="s">
        <v>296</v>
      </c>
      <c r="D177" s="36">
        <v>0</v>
      </c>
      <c r="E177" s="36">
        <v>18.28</v>
      </c>
      <c r="F177" s="36">
        <v>0</v>
      </c>
      <c r="G177" s="37">
        <v>0</v>
      </c>
      <c r="H177" s="38">
        <v>1</v>
      </c>
      <c r="I177" s="39">
        <v>0</v>
      </c>
      <c r="J177" s="40" t="s">
        <v>116</v>
      </c>
      <c r="K177" s="40">
        <v>0.1246571269564154</v>
      </c>
      <c r="L177" s="41">
        <v>0</v>
      </c>
      <c r="M177" s="36">
        <v>16.001267719236729</v>
      </c>
      <c r="N177" s="36"/>
      <c r="O177" s="37">
        <v>0</v>
      </c>
      <c r="P177" s="37">
        <v>0</v>
      </c>
    </row>
    <row r="178" spans="1:16" x14ac:dyDescent="0.25">
      <c r="A178" s="42">
        <v>610</v>
      </c>
      <c r="B178" s="42">
        <v>8</v>
      </c>
      <c r="C178" s="43" t="s">
        <v>297</v>
      </c>
      <c r="D178" s="36">
        <v>0</v>
      </c>
      <c r="E178" s="36">
        <v>92.6</v>
      </c>
      <c r="F178" s="36">
        <v>0</v>
      </c>
      <c r="G178" s="37">
        <v>0</v>
      </c>
      <c r="H178" s="38">
        <v>1</v>
      </c>
      <c r="I178" s="39">
        <v>0</v>
      </c>
      <c r="J178" s="40" t="s">
        <v>116</v>
      </c>
      <c r="K178" s="40">
        <v>0.1246571269564154</v>
      </c>
      <c r="L178" s="41">
        <v>0</v>
      </c>
      <c r="M178" s="36">
        <v>81.056750043835933</v>
      </c>
      <c r="N178" s="36"/>
      <c r="O178" s="37">
        <v>0</v>
      </c>
      <c r="P178" s="37">
        <v>0</v>
      </c>
    </row>
    <row r="179" spans="1:16" x14ac:dyDescent="0.25">
      <c r="A179" s="42">
        <v>611</v>
      </c>
      <c r="B179" s="42">
        <v>8</v>
      </c>
      <c r="C179" s="43" t="s">
        <v>382</v>
      </c>
      <c r="D179" s="36">
        <v>0</v>
      </c>
      <c r="E179" s="36">
        <v>21.68</v>
      </c>
      <c r="F179" s="36">
        <v>0</v>
      </c>
      <c r="G179" s="37">
        <v>0</v>
      </c>
      <c r="H179" s="38">
        <v>0</v>
      </c>
      <c r="I179" s="39">
        <v>0</v>
      </c>
      <c r="J179" s="40" t="s">
        <v>116</v>
      </c>
      <c r="K179" s="40">
        <v>9.9871995321414067E-2</v>
      </c>
      <c r="L179" s="41">
        <v>0</v>
      </c>
      <c r="M179" s="36">
        <v>19.514775141431741</v>
      </c>
      <c r="N179" s="36"/>
      <c r="O179" s="37">
        <v>0</v>
      </c>
      <c r="P179" s="37">
        <v>0</v>
      </c>
    </row>
    <row r="180" spans="1:16" x14ac:dyDescent="0.25">
      <c r="A180" s="42">
        <v>616</v>
      </c>
      <c r="B180" s="42">
        <v>8</v>
      </c>
      <c r="C180" s="43" t="s">
        <v>299</v>
      </c>
      <c r="D180" s="36">
        <v>0</v>
      </c>
      <c r="E180" s="36">
        <v>0</v>
      </c>
      <c r="F180" s="36">
        <v>169.75999999999996</v>
      </c>
      <c r="G180" s="37">
        <v>0</v>
      </c>
      <c r="H180" s="38">
        <v>0</v>
      </c>
      <c r="I180" s="39">
        <v>0</v>
      </c>
      <c r="J180" s="40" t="s">
        <v>116</v>
      </c>
      <c r="K180" s="40">
        <v>9.9871995321414067E-2</v>
      </c>
      <c r="L180" s="41">
        <v>0</v>
      </c>
      <c r="M180" s="36">
        <v>169.75999999999996</v>
      </c>
      <c r="N180" s="36"/>
      <c r="O180" s="37">
        <v>0</v>
      </c>
      <c r="P180" s="37">
        <v>0</v>
      </c>
    </row>
    <row r="181" spans="1:16" x14ac:dyDescent="0.25">
      <c r="A181" s="42">
        <v>692</v>
      </c>
      <c r="B181" s="42">
        <v>8</v>
      </c>
      <c r="C181" s="43" t="s">
        <v>300</v>
      </c>
      <c r="D181" s="36">
        <v>0</v>
      </c>
      <c r="E181" s="36">
        <v>0</v>
      </c>
      <c r="F181" s="36">
        <v>710.21</v>
      </c>
      <c r="G181" s="37">
        <v>21174.12</v>
      </c>
      <c r="H181" s="38">
        <v>1</v>
      </c>
      <c r="I181" s="39">
        <v>0</v>
      </c>
      <c r="J181" s="40" t="s">
        <v>116</v>
      </c>
      <c r="K181" s="40">
        <v>0.1246571269564154</v>
      </c>
      <c r="L181" s="41">
        <v>0</v>
      </c>
      <c r="M181" s="36">
        <v>710.21</v>
      </c>
      <c r="N181" s="36"/>
      <c r="O181" s="37">
        <v>0</v>
      </c>
      <c r="P181" s="37">
        <v>21174.12</v>
      </c>
    </row>
    <row r="182" spans="1:16" x14ac:dyDescent="0.25">
      <c r="A182" s="42">
        <v>706</v>
      </c>
      <c r="B182" s="42">
        <v>8</v>
      </c>
      <c r="C182" s="43" t="s">
        <v>301</v>
      </c>
      <c r="D182" s="36">
        <v>75.150000000000006</v>
      </c>
      <c r="E182" s="36">
        <v>0</v>
      </c>
      <c r="F182" s="36">
        <v>0</v>
      </c>
      <c r="G182" s="37">
        <v>0</v>
      </c>
      <c r="H182" s="38">
        <v>0</v>
      </c>
      <c r="I182" s="39">
        <v>0</v>
      </c>
      <c r="J182" s="40" t="s">
        <v>116</v>
      </c>
      <c r="K182" s="40">
        <v>9.9871995321414067E-2</v>
      </c>
      <c r="L182" s="41">
        <v>0</v>
      </c>
      <c r="M182" s="36">
        <v>67.644619551595738</v>
      </c>
      <c r="N182" s="36"/>
      <c r="O182" s="37">
        <v>42142.5</v>
      </c>
      <c r="P182" s="37">
        <v>42142.5</v>
      </c>
    </row>
    <row r="183" spans="1:16" x14ac:dyDescent="0.25">
      <c r="A183" s="42">
        <v>709</v>
      </c>
      <c r="B183" s="42">
        <v>8</v>
      </c>
      <c r="C183" s="43" t="s">
        <v>302</v>
      </c>
      <c r="D183" s="36">
        <v>0</v>
      </c>
      <c r="E183" s="36">
        <v>85.4</v>
      </c>
      <c r="F183" s="36">
        <v>0</v>
      </c>
      <c r="G183" s="37">
        <v>0</v>
      </c>
      <c r="H183" s="38">
        <v>1</v>
      </c>
      <c r="I183" s="39">
        <v>0</v>
      </c>
      <c r="J183" s="40" t="s">
        <v>116</v>
      </c>
      <c r="K183" s="40">
        <v>0.1246571269564154</v>
      </c>
      <c r="L183" s="41">
        <v>0</v>
      </c>
      <c r="M183" s="36">
        <v>74.754281357922125</v>
      </c>
      <c r="N183" s="36"/>
      <c r="O183" s="37">
        <v>0</v>
      </c>
      <c r="P183" s="37">
        <v>0</v>
      </c>
    </row>
    <row r="184" spans="1:16" x14ac:dyDescent="0.25">
      <c r="A184" s="42">
        <v>714</v>
      </c>
      <c r="B184" s="42">
        <v>8</v>
      </c>
      <c r="C184" s="43" t="s">
        <v>383</v>
      </c>
      <c r="D184" s="36">
        <v>0</v>
      </c>
      <c r="E184" s="36">
        <v>53.84</v>
      </c>
      <c r="F184" s="36">
        <v>0</v>
      </c>
      <c r="G184" s="37">
        <v>0</v>
      </c>
      <c r="H184" s="38">
        <v>1</v>
      </c>
      <c r="I184" s="39">
        <v>0</v>
      </c>
      <c r="J184" s="40" t="s">
        <v>116</v>
      </c>
      <c r="K184" s="40">
        <v>0.1246571269564154</v>
      </c>
      <c r="L184" s="41">
        <v>0</v>
      </c>
      <c r="M184" s="36">
        <v>47.128460284666595</v>
      </c>
      <c r="N184" s="36"/>
      <c r="O184" s="37">
        <v>0</v>
      </c>
      <c r="P184" s="37">
        <v>0</v>
      </c>
    </row>
    <row r="185" spans="1:16" x14ac:dyDescent="0.25">
      <c r="A185" s="42">
        <v>749</v>
      </c>
      <c r="B185" s="42">
        <v>8</v>
      </c>
      <c r="C185" s="43" t="s">
        <v>304</v>
      </c>
      <c r="D185" s="36">
        <v>0</v>
      </c>
      <c r="E185" s="36">
        <v>10.16</v>
      </c>
      <c r="F185" s="36">
        <v>0</v>
      </c>
      <c r="G185" s="37">
        <v>0</v>
      </c>
      <c r="H185" s="38">
        <v>0</v>
      </c>
      <c r="I185" s="39">
        <v>0</v>
      </c>
      <c r="J185" s="40" t="s">
        <v>116</v>
      </c>
      <c r="K185" s="40">
        <v>9.9871995321414067E-2</v>
      </c>
      <c r="L185" s="41">
        <v>0</v>
      </c>
      <c r="M185" s="36">
        <v>9.1453005275344328</v>
      </c>
      <c r="N185" s="36"/>
      <c r="O185" s="37">
        <v>0</v>
      </c>
      <c r="P185" s="37">
        <v>0</v>
      </c>
    </row>
    <row r="186" spans="1:16" x14ac:dyDescent="0.25">
      <c r="A186" s="42">
        <v>764</v>
      </c>
      <c r="B186" s="42">
        <v>8</v>
      </c>
      <c r="C186" s="43" t="s">
        <v>305</v>
      </c>
      <c r="D186" s="36">
        <v>0</v>
      </c>
      <c r="E186" s="36">
        <v>52.699999999999996</v>
      </c>
      <c r="F186" s="36">
        <v>0</v>
      </c>
      <c r="G186" s="37">
        <v>0</v>
      </c>
      <c r="H186" s="38">
        <v>0</v>
      </c>
      <c r="I186" s="39">
        <v>0</v>
      </c>
      <c r="J186" s="40" t="s">
        <v>116</v>
      </c>
      <c r="K186" s="40">
        <v>9.9871995321414067E-2</v>
      </c>
      <c r="L186" s="41">
        <v>0</v>
      </c>
      <c r="M186" s="36">
        <v>47.436745846561472</v>
      </c>
      <c r="N186" s="36"/>
      <c r="O186" s="37">
        <v>0</v>
      </c>
      <c r="P186" s="37">
        <v>0</v>
      </c>
    </row>
    <row r="187" spans="1:16" x14ac:dyDescent="0.25">
      <c r="A187" s="42">
        <v>775</v>
      </c>
      <c r="B187" s="42">
        <v>8</v>
      </c>
      <c r="C187" s="43" t="s">
        <v>384</v>
      </c>
      <c r="D187" s="36">
        <v>0</v>
      </c>
      <c r="E187" s="36">
        <v>229.08</v>
      </c>
      <c r="F187" s="36">
        <v>0</v>
      </c>
      <c r="G187" s="37">
        <v>0</v>
      </c>
      <c r="H187" s="38">
        <v>1</v>
      </c>
      <c r="I187" s="39">
        <v>0</v>
      </c>
      <c r="J187" s="40" t="s">
        <v>116</v>
      </c>
      <c r="K187" s="40">
        <v>0.1246571269564154</v>
      </c>
      <c r="L187" s="41">
        <v>0</v>
      </c>
      <c r="M187" s="36">
        <v>200.52354535682437</v>
      </c>
      <c r="N187" s="36"/>
      <c r="O187" s="37">
        <v>0</v>
      </c>
      <c r="P187" s="37">
        <v>0</v>
      </c>
    </row>
    <row r="188" spans="1:16" x14ac:dyDescent="0.25">
      <c r="A188" s="42">
        <v>790</v>
      </c>
      <c r="B188" s="42">
        <v>8</v>
      </c>
      <c r="C188" s="43" t="s">
        <v>385</v>
      </c>
      <c r="D188" s="36">
        <v>0</v>
      </c>
      <c r="E188" s="36">
        <v>22.57</v>
      </c>
      <c r="F188" s="36">
        <v>0</v>
      </c>
      <c r="G188" s="37">
        <v>0</v>
      </c>
      <c r="H188" s="38">
        <v>1</v>
      </c>
      <c r="I188" s="39">
        <v>0</v>
      </c>
      <c r="J188" s="40" t="s">
        <v>116</v>
      </c>
      <c r="K188" s="40">
        <v>0.1246571269564154</v>
      </c>
      <c r="L188" s="41">
        <v>0</v>
      </c>
      <c r="M188" s="36">
        <v>19.756488644593706</v>
      </c>
      <c r="N188" s="36"/>
      <c r="O188" s="37">
        <v>0</v>
      </c>
      <c r="P188" s="37">
        <v>0</v>
      </c>
    </row>
    <row r="189" spans="1:16" x14ac:dyDescent="0.25">
      <c r="A189" s="42">
        <v>796</v>
      </c>
      <c r="B189" s="42">
        <v>8</v>
      </c>
      <c r="C189" s="43" t="s">
        <v>308</v>
      </c>
      <c r="D189" s="36">
        <v>0</v>
      </c>
      <c r="E189" s="36">
        <v>3.3800000000000003</v>
      </c>
      <c r="F189" s="36">
        <v>0</v>
      </c>
      <c r="G189" s="37">
        <v>0</v>
      </c>
      <c r="H189" s="38">
        <v>1</v>
      </c>
      <c r="I189" s="39">
        <v>0</v>
      </c>
      <c r="J189" s="40" t="s">
        <v>116</v>
      </c>
      <c r="K189" s="40">
        <v>0.1246571269564154</v>
      </c>
      <c r="L189" s="41">
        <v>0</v>
      </c>
      <c r="M189" s="36">
        <v>2.958658910887316</v>
      </c>
      <c r="N189" s="36"/>
      <c r="O189" s="37">
        <v>0</v>
      </c>
      <c r="P189" s="37">
        <v>0</v>
      </c>
    </row>
    <row r="190" spans="1:16" x14ac:dyDescent="0.25">
      <c r="A190" s="42">
        <v>797</v>
      </c>
      <c r="B190" s="42">
        <v>8</v>
      </c>
      <c r="C190" s="43" t="s">
        <v>309</v>
      </c>
      <c r="D190" s="36">
        <v>0</v>
      </c>
      <c r="E190" s="36">
        <v>24.31</v>
      </c>
      <c r="F190" s="36">
        <v>0</v>
      </c>
      <c r="G190" s="37">
        <v>2009.9</v>
      </c>
      <c r="H190" s="38">
        <v>0</v>
      </c>
      <c r="I190" s="39">
        <v>0</v>
      </c>
      <c r="J190" s="40" t="s">
        <v>116</v>
      </c>
      <c r="K190" s="40">
        <v>9.9871995321414067E-2</v>
      </c>
      <c r="L190" s="41">
        <v>0</v>
      </c>
      <c r="M190" s="36">
        <v>21.882111793736421</v>
      </c>
      <c r="N190" s="36"/>
      <c r="O190" s="37">
        <v>0</v>
      </c>
      <c r="P190" s="37">
        <v>2009.9</v>
      </c>
    </row>
    <row r="191" spans="1:16" x14ac:dyDescent="0.25">
      <c r="A191" s="42">
        <v>801</v>
      </c>
      <c r="B191" s="42">
        <v>8</v>
      </c>
      <c r="C191" s="43" t="s">
        <v>310</v>
      </c>
      <c r="D191" s="36">
        <v>0</v>
      </c>
      <c r="E191" s="36">
        <v>119.69</v>
      </c>
      <c r="F191" s="36">
        <v>0</v>
      </c>
      <c r="G191" s="37">
        <v>0</v>
      </c>
      <c r="H191" s="38">
        <v>0</v>
      </c>
      <c r="I191" s="39">
        <v>0</v>
      </c>
      <c r="J191" s="40" t="s">
        <v>116</v>
      </c>
      <c r="K191" s="40">
        <v>9.9871995321414067E-2</v>
      </c>
      <c r="L191" s="41">
        <v>0</v>
      </c>
      <c r="M191" s="36">
        <v>107.73632087997994</v>
      </c>
      <c r="N191" s="36"/>
      <c r="O191" s="37">
        <v>0</v>
      </c>
      <c r="P191" s="37">
        <v>0</v>
      </c>
    </row>
    <row r="192" spans="1:16" x14ac:dyDescent="0.25">
      <c r="A192" s="42">
        <v>810</v>
      </c>
      <c r="B192" s="42">
        <v>8</v>
      </c>
      <c r="C192" s="43" t="s">
        <v>311</v>
      </c>
      <c r="D192" s="36">
        <v>0</v>
      </c>
      <c r="E192" s="36">
        <v>0</v>
      </c>
      <c r="F192" s="36">
        <v>114.08999999999999</v>
      </c>
      <c r="G192" s="37">
        <v>0</v>
      </c>
      <c r="H192" s="38">
        <v>0</v>
      </c>
      <c r="I192" s="39">
        <v>0</v>
      </c>
      <c r="J192" s="40" t="s">
        <v>116</v>
      </c>
      <c r="K192" s="40">
        <v>9.9871995321414067E-2</v>
      </c>
      <c r="L192" s="41">
        <v>0</v>
      </c>
      <c r="M192" s="36">
        <v>114.08999999999999</v>
      </c>
      <c r="N192" s="36"/>
      <c r="O192" s="37">
        <v>0</v>
      </c>
      <c r="P192" s="37">
        <v>0</v>
      </c>
    </row>
    <row r="193" spans="1:16" x14ac:dyDescent="0.25">
      <c r="A193" s="42">
        <v>812</v>
      </c>
      <c r="B193" s="42">
        <v>8</v>
      </c>
      <c r="C193" s="43" t="s">
        <v>386</v>
      </c>
      <c r="D193" s="36">
        <v>0</v>
      </c>
      <c r="E193" s="36">
        <v>62.83</v>
      </c>
      <c r="F193" s="36">
        <v>0</v>
      </c>
      <c r="G193" s="37">
        <v>0</v>
      </c>
      <c r="H193" s="38">
        <v>0</v>
      </c>
      <c r="I193" s="39">
        <v>0</v>
      </c>
      <c r="J193" s="40" t="s">
        <v>116</v>
      </c>
      <c r="K193" s="40">
        <v>9.9871995321414067E-2</v>
      </c>
      <c r="L193" s="41">
        <v>0</v>
      </c>
      <c r="M193" s="36">
        <v>56.55504253395555</v>
      </c>
      <c r="N193" s="36"/>
      <c r="O193" s="37">
        <v>509.88</v>
      </c>
      <c r="P193" s="37">
        <v>509.88</v>
      </c>
    </row>
    <row r="194" spans="1:16" x14ac:dyDescent="0.25">
      <c r="A194" s="42">
        <v>818</v>
      </c>
      <c r="B194" s="42">
        <v>8</v>
      </c>
      <c r="C194" s="43" t="s">
        <v>313</v>
      </c>
      <c r="D194" s="36">
        <v>0</v>
      </c>
      <c r="E194" s="36">
        <v>45.86</v>
      </c>
      <c r="F194" s="36">
        <v>0</v>
      </c>
      <c r="G194" s="37">
        <v>0</v>
      </c>
      <c r="H194" s="38">
        <v>1</v>
      </c>
      <c r="I194" s="39">
        <v>0</v>
      </c>
      <c r="J194" s="40" t="s">
        <v>116</v>
      </c>
      <c r="K194" s="40">
        <v>0.1246571269564154</v>
      </c>
      <c r="L194" s="41">
        <v>0</v>
      </c>
      <c r="M194" s="36">
        <v>40.143224157778789</v>
      </c>
      <c r="N194" s="36"/>
      <c r="O194" s="37">
        <v>0</v>
      </c>
      <c r="P194" s="37">
        <v>0</v>
      </c>
    </row>
    <row r="195" spans="1:16" ht="30" x14ac:dyDescent="0.25">
      <c r="A195" s="42">
        <v>833</v>
      </c>
      <c r="B195" s="42">
        <v>8</v>
      </c>
      <c r="C195" s="43" t="s">
        <v>387</v>
      </c>
      <c r="D195" s="36">
        <v>0</v>
      </c>
      <c r="E195" s="36">
        <v>57.820000000000007</v>
      </c>
      <c r="F195" s="36">
        <v>0</v>
      </c>
      <c r="G195" s="37">
        <v>0</v>
      </c>
      <c r="H195" s="38">
        <v>0</v>
      </c>
      <c r="I195" s="39">
        <v>0</v>
      </c>
      <c r="J195" s="40" t="s">
        <v>116</v>
      </c>
      <c r="K195" s="40">
        <v>9.9871995321414067E-2</v>
      </c>
      <c r="L195" s="41">
        <v>0</v>
      </c>
      <c r="M195" s="36">
        <v>52.045401230515843</v>
      </c>
      <c r="N195" s="36"/>
      <c r="O195" s="37">
        <v>0</v>
      </c>
      <c r="P195" s="37">
        <v>0</v>
      </c>
    </row>
    <row r="196" spans="1:16" x14ac:dyDescent="0.25">
      <c r="A196" s="42">
        <v>834</v>
      </c>
      <c r="B196" s="42">
        <v>8</v>
      </c>
      <c r="C196" s="43" t="s">
        <v>315</v>
      </c>
      <c r="D196" s="36">
        <v>0</v>
      </c>
      <c r="E196" s="36">
        <v>0</v>
      </c>
      <c r="F196" s="36">
        <v>98.48</v>
      </c>
      <c r="G196" s="37">
        <v>6185.41</v>
      </c>
      <c r="H196" s="38">
        <v>0</v>
      </c>
      <c r="I196" s="39">
        <v>0</v>
      </c>
      <c r="J196" s="40" t="s">
        <v>116</v>
      </c>
      <c r="K196" s="40">
        <v>9.9871995321414067E-2</v>
      </c>
      <c r="L196" s="41">
        <v>0</v>
      </c>
      <c r="M196" s="36">
        <v>98.48</v>
      </c>
      <c r="N196" s="36"/>
      <c r="O196" s="37">
        <v>780</v>
      </c>
      <c r="P196" s="37">
        <v>6965.41</v>
      </c>
    </row>
    <row r="197" spans="1:16" x14ac:dyDescent="0.25">
      <c r="A197" s="42">
        <v>837</v>
      </c>
      <c r="B197" s="42">
        <v>8</v>
      </c>
      <c r="C197" s="43" t="s">
        <v>316</v>
      </c>
      <c r="D197" s="36">
        <v>0</v>
      </c>
      <c r="E197" s="36">
        <v>0</v>
      </c>
      <c r="F197" s="36">
        <v>164.78</v>
      </c>
      <c r="G197" s="37">
        <v>0</v>
      </c>
      <c r="H197" s="38">
        <v>0</v>
      </c>
      <c r="I197" s="39">
        <v>0</v>
      </c>
      <c r="J197" s="40" t="s">
        <v>116</v>
      </c>
      <c r="K197" s="40">
        <v>9.9871995321414067E-2</v>
      </c>
      <c r="L197" s="41">
        <v>0</v>
      </c>
      <c r="M197" s="36">
        <v>164.78</v>
      </c>
      <c r="N197" s="36"/>
      <c r="O197" s="37">
        <v>0</v>
      </c>
      <c r="P197" s="37">
        <v>0</v>
      </c>
    </row>
    <row r="198" spans="1:16" x14ac:dyDescent="0.25">
      <c r="A198" s="42">
        <v>847</v>
      </c>
      <c r="B198" s="42">
        <v>8</v>
      </c>
      <c r="C198" s="43" t="s">
        <v>317</v>
      </c>
      <c r="D198" s="36">
        <v>0</v>
      </c>
      <c r="E198" s="36">
        <v>81.150000000000006</v>
      </c>
      <c r="F198" s="36">
        <v>0</v>
      </c>
      <c r="G198" s="37">
        <v>0</v>
      </c>
      <c r="H198" s="38">
        <v>0</v>
      </c>
      <c r="I198" s="39">
        <v>0</v>
      </c>
      <c r="J198" s="40" t="s">
        <v>116</v>
      </c>
      <c r="K198" s="40">
        <v>9.9871995321414067E-2</v>
      </c>
      <c r="L198" s="41">
        <v>0</v>
      </c>
      <c r="M198" s="36">
        <v>73.045387579667249</v>
      </c>
      <c r="N198" s="36"/>
      <c r="O198" s="37">
        <v>0</v>
      </c>
      <c r="P198" s="37">
        <v>0</v>
      </c>
    </row>
    <row r="199" spans="1:16" x14ac:dyDescent="0.25">
      <c r="A199" s="42">
        <v>866</v>
      </c>
      <c r="B199" s="42">
        <v>8</v>
      </c>
      <c r="C199" s="43" t="s">
        <v>388</v>
      </c>
      <c r="D199" s="36">
        <v>0</v>
      </c>
      <c r="E199" s="36">
        <v>501.18000000000006</v>
      </c>
      <c r="F199" s="36">
        <v>0</v>
      </c>
      <c r="G199" s="37">
        <v>0</v>
      </c>
      <c r="H199" s="38">
        <v>0</v>
      </c>
      <c r="I199" s="39">
        <v>0</v>
      </c>
      <c r="J199" s="40" t="s">
        <v>116</v>
      </c>
      <c r="K199" s="40">
        <v>9.9871995321414067E-2</v>
      </c>
      <c r="L199" s="41">
        <v>0</v>
      </c>
      <c r="M199" s="36">
        <v>451.12615338481373</v>
      </c>
      <c r="N199" s="36"/>
      <c r="O199" s="37">
        <v>0</v>
      </c>
      <c r="P199" s="37">
        <v>0</v>
      </c>
    </row>
    <row r="200" spans="1:16" x14ac:dyDescent="0.25">
      <c r="A200" s="42">
        <v>871</v>
      </c>
      <c r="B200" s="42">
        <v>8</v>
      </c>
      <c r="C200" s="43" t="s">
        <v>319</v>
      </c>
      <c r="D200" s="36">
        <v>0</v>
      </c>
      <c r="E200" s="36">
        <v>18.05</v>
      </c>
      <c r="F200" s="36">
        <v>0</v>
      </c>
      <c r="G200" s="37">
        <v>0</v>
      </c>
      <c r="H200" s="38">
        <v>1</v>
      </c>
      <c r="I200" s="39">
        <v>0</v>
      </c>
      <c r="J200" s="40" t="s">
        <v>116</v>
      </c>
      <c r="K200" s="40">
        <v>0.1246571269564154</v>
      </c>
      <c r="L200" s="41">
        <v>0</v>
      </c>
      <c r="M200" s="36">
        <v>15.799938858436702</v>
      </c>
      <c r="N200" s="36"/>
      <c r="O200" s="37">
        <v>0</v>
      </c>
      <c r="P200" s="37">
        <v>0</v>
      </c>
    </row>
    <row r="201" spans="1:16" x14ac:dyDescent="0.25">
      <c r="A201" s="42">
        <v>873</v>
      </c>
      <c r="B201" s="42">
        <v>8</v>
      </c>
      <c r="C201" s="43" t="s">
        <v>320</v>
      </c>
      <c r="D201" s="36">
        <v>0</v>
      </c>
      <c r="E201" s="36">
        <v>152.11000000000001</v>
      </c>
      <c r="F201" s="36">
        <v>0</v>
      </c>
      <c r="G201" s="37">
        <v>0</v>
      </c>
      <c r="H201" s="38">
        <v>0</v>
      </c>
      <c r="I201" s="39">
        <v>0</v>
      </c>
      <c r="J201" s="40" t="s">
        <v>116</v>
      </c>
      <c r="K201" s="40">
        <v>9.9871995321414067E-2</v>
      </c>
      <c r="L201" s="41">
        <v>0</v>
      </c>
      <c r="M201" s="36">
        <v>136.9184707916597</v>
      </c>
      <c r="N201" s="36"/>
      <c r="O201" s="37">
        <v>0</v>
      </c>
      <c r="P201" s="37">
        <v>0</v>
      </c>
    </row>
    <row r="202" spans="1:16" x14ac:dyDescent="0.25">
      <c r="A202" s="42">
        <v>895</v>
      </c>
      <c r="B202" s="42">
        <v>8</v>
      </c>
      <c r="C202" s="43" t="s">
        <v>321</v>
      </c>
      <c r="D202" s="36">
        <v>0</v>
      </c>
      <c r="E202" s="36">
        <v>35</v>
      </c>
      <c r="F202" s="36">
        <v>0</v>
      </c>
      <c r="G202" s="37">
        <v>0</v>
      </c>
      <c r="H202" s="38">
        <v>1</v>
      </c>
      <c r="I202" s="39">
        <v>0</v>
      </c>
      <c r="J202" s="40" t="s">
        <v>116</v>
      </c>
      <c r="K202" s="40">
        <v>0.1246571269564154</v>
      </c>
      <c r="L202" s="41">
        <v>0</v>
      </c>
      <c r="M202" s="36">
        <v>30.637000556525461</v>
      </c>
      <c r="N202" s="36"/>
      <c r="O202" s="37">
        <v>0</v>
      </c>
      <c r="P202" s="37">
        <v>0</v>
      </c>
    </row>
    <row r="203" spans="1:16" x14ac:dyDescent="0.25">
      <c r="A203" s="42">
        <v>897</v>
      </c>
      <c r="B203" s="42">
        <v>8</v>
      </c>
      <c r="C203" s="43" t="s">
        <v>322</v>
      </c>
      <c r="D203" s="36">
        <v>215.79</v>
      </c>
      <c r="E203" s="36">
        <v>0</v>
      </c>
      <c r="F203" s="36">
        <v>0</v>
      </c>
      <c r="G203" s="37">
        <v>0</v>
      </c>
      <c r="H203" s="38">
        <v>0</v>
      </c>
      <c r="I203" s="39">
        <v>0</v>
      </c>
      <c r="J203" s="40" t="s">
        <v>116</v>
      </c>
      <c r="K203" s="40">
        <v>9.9871995321414067E-2</v>
      </c>
      <c r="L203" s="41">
        <v>0</v>
      </c>
      <c r="M203" s="36">
        <v>194.23862212959204</v>
      </c>
      <c r="N203" s="36"/>
      <c r="O203" s="37">
        <v>126</v>
      </c>
      <c r="P203" s="37">
        <v>126</v>
      </c>
    </row>
    <row r="204" spans="1:16" x14ac:dyDescent="0.25">
      <c r="A204" s="42">
        <v>905</v>
      </c>
      <c r="B204" s="42">
        <v>8</v>
      </c>
      <c r="C204" s="43" t="s">
        <v>389</v>
      </c>
      <c r="D204" s="36">
        <v>0</v>
      </c>
      <c r="E204" s="36">
        <v>110.08</v>
      </c>
      <c r="F204" s="36">
        <v>0</v>
      </c>
      <c r="G204" s="37">
        <v>0</v>
      </c>
      <c r="H204" s="38">
        <v>1</v>
      </c>
      <c r="I204" s="39">
        <v>0</v>
      </c>
      <c r="J204" s="40" t="s">
        <v>116</v>
      </c>
      <c r="K204" s="40">
        <v>0.1246571269564154</v>
      </c>
      <c r="L204" s="41">
        <v>0</v>
      </c>
      <c r="M204" s="36">
        <v>96.357743464637792</v>
      </c>
      <c r="N204" s="36"/>
      <c r="O204" s="37">
        <v>0</v>
      </c>
      <c r="P204" s="37">
        <v>0</v>
      </c>
    </row>
    <row r="205" spans="1:16" x14ac:dyDescent="0.25">
      <c r="A205" s="42">
        <v>907</v>
      </c>
      <c r="B205" s="42">
        <v>8</v>
      </c>
      <c r="C205" s="43" t="s">
        <v>324</v>
      </c>
      <c r="D205" s="36">
        <v>0</v>
      </c>
      <c r="E205" s="36">
        <v>6.1400000000000006</v>
      </c>
      <c r="F205" s="36">
        <v>0</v>
      </c>
      <c r="G205" s="37">
        <v>0</v>
      </c>
      <c r="H205" s="38">
        <v>1</v>
      </c>
      <c r="I205" s="39">
        <v>0</v>
      </c>
      <c r="J205" s="40" t="s">
        <v>116</v>
      </c>
      <c r="K205" s="40">
        <v>0.1246571269564154</v>
      </c>
      <c r="L205" s="41">
        <v>0</v>
      </c>
      <c r="M205" s="36">
        <v>5.3746052404876101</v>
      </c>
      <c r="N205" s="36"/>
      <c r="O205" s="37">
        <v>0</v>
      </c>
      <c r="P205" s="37">
        <v>0</v>
      </c>
    </row>
    <row r="206" spans="1:16" x14ac:dyDescent="0.25">
      <c r="A206" s="42">
        <v>918</v>
      </c>
      <c r="B206" s="42">
        <v>8</v>
      </c>
      <c r="C206" s="43" t="s">
        <v>325</v>
      </c>
      <c r="D206" s="36">
        <v>0</v>
      </c>
      <c r="E206" s="36">
        <v>68.37</v>
      </c>
      <c r="F206" s="36">
        <v>0</v>
      </c>
      <c r="G206" s="37">
        <v>0</v>
      </c>
      <c r="H206" s="38">
        <v>0</v>
      </c>
      <c r="I206" s="39">
        <v>0</v>
      </c>
      <c r="J206" s="40" t="s">
        <v>116</v>
      </c>
      <c r="K206" s="40">
        <v>9.9871995321414067E-2</v>
      </c>
      <c r="L206" s="41">
        <v>0</v>
      </c>
      <c r="M206" s="36">
        <v>61.54175167987492</v>
      </c>
      <c r="N206" s="36"/>
      <c r="O206" s="37">
        <v>0</v>
      </c>
      <c r="P206" s="37">
        <v>0</v>
      </c>
    </row>
    <row r="207" spans="1:16" x14ac:dyDescent="0.25">
      <c r="A207" s="42">
        <v>922</v>
      </c>
      <c r="B207" s="42">
        <v>8</v>
      </c>
      <c r="C207" s="43" t="s">
        <v>326</v>
      </c>
      <c r="D207" s="36">
        <v>0</v>
      </c>
      <c r="E207" s="36">
        <v>0</v>
      </c>
      <c r="F207" s="36">
        <v>154.13</v>
      </c>
      <c r="G207" s="37">
        <v>9531.2900000000009</v>
      </c>
      <c r="H207" s="38">
        <v>0</v>
      </c>
      <c r="I207" s="39">
        <v>0</v>
      </c>
      <c r="J207" s="40" t="s">
        <v>116</v>
      </c>
      <c r="K207" s="40">
        <v>9.9871995321414067E-2</v>
      </c>
      <c r="L207" s="41">
        <v>0</v>
      </c>
      <c r="M207" s="36">
        <v>154.13</v>
      </c>
      <c r="N207" s="36"/>
      <c r="O207" s="37">
        <v>0</v>
      </c>
      <c r="P207" s="37">
        <v>9531.2900000000009</v>
      </c>
    </row>
    <row r="208" spans="1:16" x14ac:dyDescent="0.25">
      <c r="A208" s="42">
        <v>924</v>
      </c>
      <c r="B208" s="42">
        <v>8</v>
      </c>
      <c r="C208" s="43" t="s">
        <v>327</v>
      </c>
      <c r="D208" s="36">
        <v>0</v>
      </c>
      <c r="E208" s="36">
        <v>189.2</v>
      </c>
      <c r="F208" s="36">
        <v>0</v>
      </c>
      <c r="G208" s="37">
        <v>0</v>
      </c>
      <c r="H208" s="38">
        <v>0</v>
      </c>
      <c r="I208" s="39">
        <v>0</v>
      </c>
      <c r="J208" s="40" t="s">
        <v>116</v>
      </c>
      <c r="K208" s="40">
        <v>9.9871995321414067E-2</v>
      </c>
      <c r="L208" s="41">
        <v>0</v>
      </c>
      <c r="M208" s="36">
        <v>170.30421848518844</v>
      </c>
      <c r="N208" s="36"/>
      <c r="O208" s="37">
        <v>0</v>
      </c>
      <c r="P208" s="37">
        <v>0</v>
      </c>
    </row>
    <row r="209" spans="1:16" x14ac:dyDescent="0.25">
      <c r="A209" s="42">
        <v>929</v>
      </c>
      <c r="B209" s="42">
        <v>8</v>
      </c>
      <c r="C209" s="43" t="s">
        <v>328</v>
      </c>
      <c r="D209" s="36">
        <v>0</v>
      </c>
      <c r="E209" s="36">
        <v>55.34</v>
      </c>
      <c r="F209" s="36">
        <v>0</v>
      </c>
      <c r="G209" s="37">
        <v>0</v>
      </c>
      <c r="H209" s="38">
        <v>0</v>
      </c>
      <c r="I209" s="39">
        <v>0</v>
      </c>
      <c r="J209" s="40" t="s">
        <v>116</v>
      </c>
      <c r="K209" s="40">
        <v>9.9871995321414067E-2</v>
      </c>
      <c r="L209" s="41">
        <v>0</v>
      </c>
      <c r="M209" s="36">
        <v>49.813083778912947</v>
      </c>
      <c r="N209" s="36"/>
      <c r="O209" s="37">
        <v>0</v>
      </c>
      <c r="P209" s="37">
        <v>0</v>
      </c>
    </row>
    <row r="210" spans="1:16" x14ac:dyDescent="0.25">
      <c r="A210" s="42">
        <v>955</v>
      </c>
      <c r="B210" s="42">
        <v>8</v>
      </c>
      <c r="C210" s="43" t="s">
        <v>329</v>
      </c>
      <c r="D210" s="36">
        <v>0</v>
      </c>
      <c r="E210" s="36">
        <v>54.06</v>
      </c>
      <c r="F210" s="36">
        <v>0</v>
      </c>
      <c r="G210" s="37">
        <v>0</v>
      </c>
      <c r="H210" s="38">
        <v>0</v>
      </c>
      <c r="I210" s="39">
        <v>0</v>
      </c>
      <c r="J210" s="40" t="s">
        <v>116</v>
      </c>
      <c r="K210" s="40">
        <v>9.9871995321414067E-2</v>
      </c>
      <c r="L210" s="41">
        <v>0</v>
      </c>
      <c r="M210" s="36">
        <v>48.660919932924358</v>
      </c>
      <c r="N210" s="36"/>
      <c r="O210" s="37">
        <v>0</v>
      </c>
      <c r="P210" s="37">
        <v>0</v>
      </c>
    </row>
    <row r="211" spans="1:16" x14ac:dyDescent="0.25">
      <c r="A211" s="42">
        <v>973</v>
      </c>
      <c r="B211" s="42">
        <v>8</v>
      </c>
      <c r="C211" s="43" t="s">
        <v>330</v>
      </c>
      <c r="D211" s="36">
        <v>0</v>
      </c>
      <c r="E211" s="36">
        <v>1.97</v>
      </c>
      <c r="F211" s="36">
        <v>0</v>
      </c>
      <c r="G211" s="37">
        <v>0</v>
      </c>
      <c r="H211" s="38">
        <v>1</v>
      </c>
      <c r="I211" s="39">
        <v>0</v>
      </c>
      <c r="J211" s="40" t="s">
        <v>116</v>
      </c>
      <c r="K211" s="40">
        <v>0.1246571269564154</v>
      </c>
      <c r="L211" s="41">
        <v>0</v>
      </c>
      <c r="M211" s="36">
        <v>1.7244254598958617</v>
      </c>
      <c r="N211" s="36"/>
      <c r="O211" s="37">
        <v>0</v>
      </c>
      <c r="P211" s="37">
        <v>0</v>
      </c>
    </row>
    <row r="212" spans="1:16" x14ac:dyDescent="0.25">
      <c r="A212" s="42">
        <v>974</v>
      </c>
      <c r="B212" s="42">
        <v>8</v>
      </c>
      <c r="C212" s="43" t="s">
        <v>331</v>
      </c>
      <c r="D212" s="36">
        <v>0</v>
      </c>
      <c r="E212" s="36">
        <v>14.66</v>
      </c>
      <c r="F212" s="36">
        <v>0</v>
      </c>
      <c r="G212" s="37">
        <v>0</v>
      </c>
      <c r="H212" s="38">
        <v>1</v>
      </c>
      <c r="I212" s="39">
        <v>0</v>
      </c>
      <c r="J212" s="40" t="s">
        <v>116</v>
      </c>
      <c r="K212" s="40">
        <v>0.1246571269564154</v>
      </c>
      <c r="L212" s="41">
        <v>0</v>
      </c>
      <c r="M212" s="36">
        <v>12.83252651881895</v>
      </c>
      <c r="N212" s="36"/>
      <c r="O212" s="37">
        <v>0</v>
      </c>
      <c r="P212" s="37">
        <v>0</v>
      </c>
    </row>
    <row r="213" spans="1:16" x14ac:dyDescent="0.25">
      <c r="A213" s="42">
        <v>978</v>
      </c>
      <c r="B213" s="42">
        <v>8</v>
      </c>
      <c r="C213" s="43" t="s">
        <v>332</v>
      </c>
      <c r="D213" s="36">
        <v>26.330000000000002</v>
      </c>
      <c r="E213" s="36">
        <v>12.43</v>
      </c>
      <c r="F213" s="36">
        <v>0</v>
      </c>
      <c r="G213" s="37">
        <v>0</v>
      </c>
      <c r="H213" s="38">
        <v>0</v>
      </c>
      <c r="I213" s="39">
        <v>0</v>
      </c>
      <c r="J213" s="40" t="s">
        <v>116</v>
      </c>
      <c r="K213" s="40">
        <v>9.9871995321414067E-2</v>
      </c>
      <c r="L213" s="41">
        <v>0</v>
      </c>
      <c r="M213" s="36">
        <v>34.888961461341992</v>
      </c>
      <c r="N213" s="36"/>
      <c r="O213" s="37">
        <v>0</v>
      </c>
      <c r="P213" s="37">
        <v>0</v>
      </c>
    </row>
    <row r="214" spans="1:16" x14ac:dyDescent="0.25">
      <c r="A214" s="42">
        <v>985</v>
      </c>
      <c r="B214" s="42">
        <v>8</v>
      </c>
      <c r="C214" s="43" t="s">
        <v>333</v>
      </c>
      <c r="D214" s="36">
        <v>0</v>
      </c>
      <c r="E214" s="36">
        <v>22.38</v>
      </c>
      <c r="F214" s="36">
        <v>0</v>
      </c>
      <c r="G214" s="37">
        <v>0</v>
      </c>
      <c r="H214" s="38">
        <v>1</v>
      </c>
      <c r="I214" s="39">
        <v>0</v>
      </c>
      <c r="J214" s="40" t="s">
        <v>116</v>
      </c>
      <c r="K214" s="40">
        <v>0.1246571269564154</v>
      </c>
      <c r="L214" s="41">
        <v>0</v>
      </c>
      <c r="M214" s="36">
        <v>19.590173498715423</v>
      </c>
      <c r="N214" s="36"/>
      <c r="O214" s="37">
        <v>0</v>
      </c>
      <c r="P214" s="37">
        <v>0</v>
      </c>
    </row>
    <row r="215" spans="1:16" x14ac:dyDescent="0.25">
      <c r="A215" s="45">
        <v>990</v>
      </c>
      <c r="B215" s="45">
        <v>8</v>
      </c>
      <c r="C215" s="46" t="s">
        <v>0</v>
      </c>
      <c r="D215" s="47">
        <v>0</v>
      </c>
      <c r="E215" s="47">
        <v>5.04</v>
      </c>
      <c r="F215" s="47">
        <v>0</v>
      </c>
      <c r="G215" s="48">
        <v>0</v>
      </c>
      <c r="H215" s="49">
        <v>0</v>
      </c>
      <c r="I215" s="50">
        <v>0</v>
      </c>
      <c r="J215" s="51" t="s">
        <v>116</v>
      </c>
      <c r="K215" s="51">
        <v>9.9871995321414067E-2</v>
      </c>
      <c r="L215" s="52">
        <v>0</v>
      </c>
      <c r="M215" s="47">
        <v>4.5366451435800732</v>
      </c>
      <c r="N215" s="47"/>
      <c r="O215" s="48">
        <v>0</v>
      </c>
      <c r="P215" s="48">
        <v>0</v>
      </c>
    </row>
    <row r="216" spans="1:16" x14ac:dyDescent="0.25">
      <c r="A216" s="34">
        <v>100</v>
      </c>
      <c r="B216" s="34">
        <v>9</v>
      </c>
      <c r="C216" s="35" t="s">
        <v>334</v>
      </c>
      <c r="D216" s="64">
        <v>32.85</v>
      </c>
      <c r="E216" s="64">
        <v>3.65</v>
      </c>
      <c r="F216" s="64">
        <v>0</v>
      </c>
      <c r="G216" s="65">
        <v>0</v>
      </c>
      <c r="H216" s="66">
        <v>0</v>
      </c>
      <c r="I216" s="67">
        <v>0</v>
      </c>
      <c r="J216" s="68" t="s">
        <v>116</v>
      </c>
      <c r="K216" s="68">
        <v>9.9871995321414067E-2</v>
      </c>
      <c r="L216" s="69">
        <v>0</v>
      </c>
      <c r="M216" s="64">
        <v>32.854672170768382</v>
      </c>
      <c r="N216" s="64"/>
      <c r="O216" s="65">
        <v>0</v>
      </c>
      <c r="P216" s="65">
        <v>0</v>
      </c>
    </row>
    <row r="217" spans="1:16" x14ac:dyDescent="0.25">
      <c r="A217" s="42">
        <v>159</v>
      </c>
      <c r="B217" s="42">
        <v>9</v>
      </c>
      <c r="C217" s="43" t="s">
        <v>335</v>
      </c>
      <c r="D217" s="64">
        <v>0</v>
      </c>
      <c r="E217" s="64">
        <v>988</v>
      </c>
      <c r="F217" s="64">
        <v>230.86999999999998</v>
      </c>
      <c r="G217" s="65">
        <v>0</v>
      </c>
      <c r="H217" s="66">
        <v>1</v>
      </c>
      <c r="I217" s="67">
        <v>0</v>
      </c>
      <c r="J217" s="68">
        <v>0.76632591093117408</v>
      </c>
      <c r="K217" s="68">
        <v>0.1246571269564154</v>
      </c>
      <c r="L217" s="70">
        <v>864.83875856706163</v>
      </c>
      <c r="M217" s="64">
        <v>864.83875856706163</v>
      </c>
      <c r="N217" s="64"/>
      <c r="O217" s="65">
        <v>0</v>
      </c>
      <c r="P217" s="65">
        <v>0</v>
      </c>
    </row>
    <row r="218" spans="1:16" x14ac:dyDescent="0.25">
      <c r="A218" s="42">
        <v>173</v>
      </c>
      <c r="B218" s="42">
        <v>9</v>
      </c>
      <c r="C218" s="43" t="s">
        <v>390</v>
      </c>
      <c r="D218" s="64">
        <v>0</v>
      </c>
      <c r="E218" s="64">
        <v>370.76</v>
      </c>
      <c r="F218" s="64">
        <v>326.28000000000003</v>
      </c>
      <c r="G218" s="65">
        <v>0</v>
      </c>
      <c r="H218" s="66">
        <v>0</v>
      </c>
      <c r="I218" s="67">
        <v>0</v>
      </c>
      <c r="J218" s="68">
        <v>0.11996979177904835</v>
      </c>
      <c r="K218" s="68">
        <v>0.11996979177904835</v>
      </c>
      <c r="L218" s="69">
        <v>0</v>
      </c>
      <c r="M218" s="64">
        <v>326.28000000000003</v>
      </c>
      <c r="N218" s="64"/>
      <c r="O218" s="65">
        <v>430</v>
      </c>
      <c r="P218" s="65">
        <v>430</v>
      </c>
    </row>
    <row r="219" spans="1:16" x14ac:dyDescent="0.25">
      <c r="A219" s="42">
        <v>204</v>
      </c>
      <c r="B219" s="42">
        <v>9</v>
      </c>
      <c r="C219" s="43" t="s">
        <v>337</v>
      </c>
      <c r="D219" s="64">
        <v>0</v>
      </c>
      <c r="E219" s="64">
        <v>631.85</v>
      </c>
      <c r="F219" s="64">
        <v>0</v>
      </c>
      <c r="G219" s="65">
        <v>1338.9099999999999</v>
      </c>
      <c r="H219" s="66">
        <v>0</v>
      </c>
      <c r="I219" s="67">
        <v>0</v>
      </c>
      <c r="J219" s="68" t="s">
        <v>116</v>
      </c>
      <c r="K219" s="68">
        <v>9.9871995321414067E-2</v>
      </c>
      <c r="L219" s="69">
        <v>0</v>
      </c>
      <c r="M219" s="64">
        <v>568.74587975616453</v>
      </c>
      <c r="N219" s="64"/>
      <c r="O219" s="65">
        <v>0</v>
      </c>
      <c r="P219" s="65">
        <v>1338.9099999999999</v>
      </c>
    </row>
    <row r="220" spans="1:16" x14ac:dyDescent="0.25">
      <c r="A220" s="42">
        <v>218</v>
      </c>
      <c r="B220" s="42">
        <v>9</v>
      </c>
      <c r="C220" s="43" t="s">
        <v>338</v>
      </c>
      <c r="D220" s="64">
        <v>130.5</v>
      </c>
      <c r="E220" s="64">
        <v>230.27</v>
      </c>
      <c r="F220" s="64">
        <v>0</v>
      </c>
      <c r="G220" s="65">
        <v>0</v>
      </c>
      <c r="H220" s="66">
        <v>0</v>
      </c>
      <c r="I220" s="67">
        <v>0</v>
      </c>
      <c r="J220" s="68" t="s">
        <v>116</v>
      </c>
      <c r="K220" s="68">
        <v>9.9871995321414067E-2</v>
      </c>
      <c r="L220" s="69">
        <v>0</v>
      </c>
      <c r="M220" s="64">
        <v>324.73918024789344</v>
      </c>
      <c r="N220" s="64"/>
      <c r="O220" s="65">
        <v>58</v>
      </c>
      <c r="P220" s="65">
        <v>58</v>
      </c>
    </row>
    <row r="221" spans="1:16" x14ac:dyDescent="0.25">
      <c r="A221" s="42">
        <v>230</v>
      </c>
      <c r="B221" s="42">
        <v>9</v>
      </c>
      <c r="C221" s="43" t="s">
        <v>339</v>
      </c>
      <c r="D221" s="64">
        <v>0</v>
      </c>
      <c r="E221" s="64">
        <v>148.71</v>
      </c>
      <c r="F221" s="64">
        <v>0</v>
      </c>
      <c r="G221" s="65">
        <v>181.88</v>
      </c>
      <c r="H221" s="66">
        <v>1</v>
      </c>
      <c r="I221" s="67">
        <v>0</v>
      </c>
      <c r="J221" s="68" t="s">
        <v>116</v>
      </c>
      <c r="K221" s="68">
        <v>0.1246571269564154</v>
      </c>
      <c r="L221" s="69">
        <v>0</v>
      </c>
      <c r="M221" s="64">
        <v>130.17223865031147</v>
      </c>
      <c r="N221" s="64"/>
      <c r="O221" s="65">
        <v>50</v>
      </c>
      <c r="P221" s="65">
        <v>231.88</v>
      </c>
    </row>
    <row r="222" spans="1:16" x14ac:dyDescent="0.25">
      <c r="A222" s="42">
        <v>277</v>
      </c>
      <c r="B222" s="42">
        <v>9</v>
      </c>
      <c r="C222" s="43" t="s">
        <v>340</v>
      </c>
      <c r="D222" s="64">
        <v>0</v>
      </c>
      <c r="E222" s="64">
        <v>127.16</v>
      </c>
      <c r="F222" s="64">
        <v>0</v>
      </c>
      <c r="G222" s="65">
        <v>0</v>
      </c>
      <c r="H222" s="66">
        <v>0</v>
      </c>
      <c r="I222" s="67">
        <v>0</v>
      </c>
      <c r="J222" s="68" t="s">
        <v>116</v>
      </c>
      <c r="K222" s="68">
        <v>9.9871995321414067E-2</v>
      </c>
      <c r="L222" s="69">
        <v>0</v>
      </c>
      <c r="M222" s="64">
        <v>114.46027707492898</v>
      </c>
      <c r="N222" s="64"/>
      <c r="O222" s="65">
        <v>0</v>
      </c>
      <c r="P222" s="65">
        <v>0</v>
      </c>
    </row>
    <row r="223" spans="1:16" x14ac:dyDescent="0.25">
      <c r="A223" s="42">
        <v>279</v>
      </c>
      <c r="B223" s="42">
        <v>9</v>
      </c>
      <c r="C223" s="43" t="s">
        <v>341</v>
      </c>
      <c r="D223" s="64">
        <v>0</v>
      </c>
      <c r="E223" s="64">
        <v>600.06999999999994</v>
      </c>
      <c r="F223" s="64">
        <v>0</v>
      </c>
      <c r="G223" s="65">
        <v>0</v>
      </c>
      <c r="H223" s="66">
        <v>1</v>
      </c>
      <c r="I223" s="67">
        <v>0</v>
      </c>
      <c r="J223" s="68" t="s">
        <v>116</v>
      </c>
      <c r="K223" s="68">
        <v>0.1246571269564154</v>
      </c>
      <c r="L223" s="69">
        <v>0</v>
      </c>
      <c r="M223" s="64">
        <v>525.26699782726371</v>
      </c>
      <c r="N223" s="64"/>
      <c r="O223" s="65">
        <v>144</v>
      </c>
      <c r="P223" s="65">
        <v>144</v>
      </c>
    </row>
    <row r="224" spans="1:16" x14ac:dyDescent="0.25">
      <c r="A224" s="42">
        <v>331</v>
      </c>
      <c r="B224" s="42">
        <v>9</v>
      </c>
      <c r="C224" s="43" t="s">
        <v>342</v>
      </c>
      <c r="D224" s="64">
        <v>57.09</v>
      </c>
      <c r="E224" s="64">
        <v>785.43000000000006</v>
      </c>
      <c r="F224" s="64">
        <v>0</v>
      </c>
      <c r="G224" s="65">
        <v>0</v>
      </c>
      <c r="H224" s="66">
        <v>1</v>
      </c>
      <c r="I224" s="67">
        <v>0</v>
      </c>
      <c r="J224" s="68" t="s">
        <v>116</v>
      </c>
      <c r="K224" s="68">
        <v>0.1246571269564154</v>
      </c>
      <c r="L224" s="69">
        <v>0</v>
      </c>
      <c r="M224" s="64">
        <v>737.493877396681</v>
      </c>
      <c r="N224" s="64"/>
      <c r="O224" s="65">
        <v>10343.35</v>
      </c>
      <c r="P224" s="65">
        <v>10343.35</v>
      </c>
    </row>
    <row r="225" spans="1:16" x14ac:dyDescent="0.25">
      <c r="A225" s="42">
        <v>369</v>
      </c>
      <c r="B225" s="42">
        <v>9</v>
      </c>
      <c r="C225" s="43" t="s">
        <v>343</v>
      </c>
      <c r="D225" s="64">
        <v>51.8</v>
      </c>
      <c r="E225" s="64">
        <v>385.49</v>
      </c>
      <c r="F225" s="64">
        <v>339.40999999999997</v>
      </c>
      <c r="G225" s="65">
        <v>0</v>
      </c>
      <c r="H225" s="66">
        <v>1</v>
      </c>
      <c r="I225" s="67">
        <v>0</v>
      </c>
      <c r="J225" s="68">
        <v>0.22383315419973027</v>
      </c>
      <c r="K225" s="68">
        <v>0.22383315419973027</v>
      </c>
      <c r="L225" s="69">
        <v>0</v>
      </c>
      <c r="M225" s="64">
        <v>339.40999999999997</v>
      </c>
      <c r="N225" s="64"/>
      <c r="O225" s="65">
        <v>0</v>
      </c>
      <c r="P225" s="65">
        <v>0</v>
      </c>
    </row>
    <row r="226" spans="1:16" x14ac:dyDescent="0.25">
      <c r="A226" s="71">
        <v>416</v>
      </c>
      <c r="B226" s="71">
        <v>9</v>
      </c>
      <c r="C226" s="72" t="s">
        <v>344</v>
      </c>
      <c r="D226" s="64">
        <v>0</v>
      </c>
      <c r="E226" s="64">
        <v>86.07</v>
      </c>
      <c r="F226" s="64">
        <v>0</v>
      </c>
      <c r="G226" s="65">
        <v>0</v>
      </c>
      <c r="H226" s="66">
        <v>0</v>
      </c>
      <c r="I226" s="67">
        <v>0</v>
      </c>
      <c r="J226" s="68" t="s">
        <v>116</v>
      </c>
      <c r="K226" s="68">
        <v>9.9871995321414067E-2</v>
      </c>
      <c r="L226" s="64">
        <v>0</v>
      </c>
      <c r="M226" s="64">
        <v>77.474017362685885</v>
      </c>
      <c r="N226" s="64"/>
      <c r="O226" s="65">
        <v>45</v>
      </c>
      <c r="P226" s="65">
        <v>45</v>
      </c>
    </row>
    <row r="227" spans="1:16" x14ac:dyDescent="0.25">
      <c r="A227" s="71">
        <v>420</v>
      </c>
      <c r="B227" s="71">
        <v>9</v>
      </c>
      <c r="C227" s="72" t="s">
        <v>345</v>
      </c>
      <c r="D227" s="64">
        <v>0</v>
      </c>
      <c r="E227" s="64">
        <v>410.19</v>
      </c>
      <c r="F227" s="64">
        <v>0</v>
      </c>
      <c r="G227" s="65">
        <v>0</v>
      </c>
      <c r="H227" s="66">
        <v>0</v>
      </c>
      <c r="I227" s="67">
        <v>0</v>
      </c>
      <c r="J227" s="68" t="s">
        <v>116</v>
      </c>
      <c r="K227" s="68">
        <v>9.9871995321414067E-2</v>
      </c>
      <c r="L227" s="64">
        <v>0</v>
      </c>
      <c r="M227" s="64">
        <v>369.22350623910916</v>
      </c>
      <c r="N227" s="64"/>
      <c r="O227" s="65">
        <v>135.41</v>
      </c>
      <c r="P227" s="65">
        <v>135.41</v>
      </c>
    </row>
    <row r="228" spans="1:16" x14ac:dyDescent="0.25">
      <c r="A228" s="71">
        <v>508</v>
      </c>
      <c r="B228" s="71">
        <v>9</v>
      </c>
      <c r="C228" s="72" t="s">
        <v>346</v>
      </c>
      <c r="D228" s="64">
        <v>0</v>
      </c>
      <c r="E228" s="64">
        <v>98.419999999999987</v>
      </c>
      <c r="F228" s="64">
        <v>0</v>
      </c>
      <c r="G228" s="65">
        <v>0</v>
      </c>
      <c r="H228" s="66">
        <v>1</v>
      </c>
      <c r="I228" s="67">
        <v>0</v>
      </c>
      <c r="J228" s="68" t="s">
        <v>116</v>
      </c>
      <c r="K228" s="68">
        <v>0.1246571269564154</v>
      </c>
      <c r="L228" s="64">
        <v>0</v>
      </c>
      <c r="M228" s="64">
        <v>86.151245564949591</v>
      </c>
      <c r="N228" s="64"/>
      <c r="O228" s="65">
        <v>0</v>
      </c>
      <c r="P228" s="65">
        <v>0</v>
      </c>
    </row>
    <row r="229" spans="1:16" x14ac:dyDescent="0.25">
      <c r="A229" s="71">
        <v>512</v>
      </c>
      <c r="B229" s="71">
        <v>9</v>
      </c>
      <c r="C229" s="72" t="s">
        <v>347</v>
      </c>
      <c r="D229" s="64">
        <v>0</v>
      </c>
      <c r="E229" s="64">
        <v>263.73</v>
      </c>
      <c r="F229" s="64">
        <v>0</v>
      </c>
      <c r="G229" s="65">
        <v>6699</v>
      </c>
      <c r="H229" s="66">
        <v>0</v>
      </c>
      <c r="I229" s="67">
        <v>0</v>
      </c>
      <c r="J229" s="68" t="s">
        <v>116</v>
      </c>
      <c r="K229" s="68">
        <v>9.9871995321414067E-2</v>
      </c>
      <c r="L229" s="64">
        <v>0</v>
      </c>
      <c r="M229" s="64">
        <v>237.39075867388348</v>
      </c>
      <c r="N229" s="64"/>
      <c r="O229" s="65">
        <v>177.5</v>
      </c>
      <c r="P229" s="65">
        <v>6876.5</v>
      </c>
    </row>
    <row r="230" spans="1:16" x14ac:dyDescent="0.25">
      <c r="A230" s="71">
        <v>516</v>
      </c>
      <c r="B230" s="71">
        <v>9</v>
      </c>
      <c r="C230" s="72" t="s">
        <v>348</v>
      </c>
      <c r="D230" s="64">
        <v>58.56</v>
      </c>
      <c r="E230" s="64">
        <v>312.44</v>
      </c>
      <c r="F230" s="64">
        <v>0</v>
      </c>
      <c r="G230" s="65">
        <v>0</v>
      </c>
      <c r="H230" s="66">
        <v>0</v>
      </c>
      <c r="I230" s="67">
        <v>0</v>
      </c>
      <c r="J230" s="68" t="s">
        <v>116</v>
      </c>
      <c r="K230" s="68">
        <v>9.9871995321414067E-2</v>
      </c>
      <c r="L230" s="64">
        <v>0</v>
      </c>
      <c r="M230" s="64">
        <v>333.94748973575537</v>
      </c>
      <c r="N230" s="64"/>
      <c r="O230" s="65">
        <v>48</v>
      </c>
      <c r="P230" s="65">
        <v>48</v>
      </c>
    </row>
    <row r="231" spans="1:16" x14ac:dyDescent="0.25">
      <c r="A231" s="71">
        <v>521</v>
      </c>
      <c r="B231" s="71">
        <v>9</v>
      </c>
      <c r="C231" s="72" t="s">
        <v>349</v>
      </c>
      <c r="D231" s="64">
        <v>0</v>
      </c>
      <c r="E231" s="64">
        <v>140.62</v>
      </c>
      <c r="F231" s="64">
        <v>0</v>
      </c>
      <c r="G231" s="65">
        <v>0</v>
      </c>
      <c r="H231" s="66">
        <v>1</v>
      </c>
      <c r="I231" s="67">
        <v>0</v>
      </c>
      <c r="J231" s="68" t="s">
        <v>116</v>
      </c>
      <c r="K231" s="68">
        <v>0.1246571269564154</v>
      </c>
      <c r="L231" s="64">
        <v>0</v>
      </c>
      <c r="M231" s="64">
        <v>123.09071480738888</v>
      </c>
      <c r="N231" s="64"/>
      <c r="O231" s="65">
        <v>35.4</v>
      </c>
      <c r="P231" s="65">
        <v>35.4</v>
      </c>
    </row>
    <row r="232" spans="1:16" x14ac:dyDescent="0.25">
      <c r="A232" s="71">
        <v>522</v>
      </c>
      <c r="B232" s="71">
        <v>9</v>
      </c>
      <c r="C232" s="72" t="s">
        <v>350</v>
      </c>
      <c r="D232" s="64">
        <v>0</v>
      </c>
      <c r="E232" s="64">
        <v>115.53</v>
      </c>
      <c r="F232" s="64">
        <v>0</v>
      </c>
      <c r="G232" s="65">
        <v>0</v>
      </c>
      <c r="H232" s="66">
        <v>0</v>
      </c>
      <c r="I232" s="67">
        <v>0</v>
      </c>
      <c r="J232" s="68" t="s">
        <v>116</v>
      </c>
      <c r="K232" s="68">
        <v>9.9871995321414067E-2</v>
      </c>
      <c r="L232" s="64">
        <v>0</v>
      </c>
      <c r="M232" s="64">
        <v>103.99178838051702</v>
      </c>
      <c r="N232" s="64"/>
      <c r="O232" s="65">
        <v>18</v>
      </c>
      <c r="P232" s="65">
        <v>18</v>
      </c>
    </row>
    <row r="233" spans="1:16" x14ac:dyDescent="0.25">
      <c r="A233" s="71">
        <v>523</v>
      </c>
      <c r="B233" s="71">
        <v>9</v>
      </c>
      <c r="C233" s="72" t="s">
        <v>351</v>
      </c>
      <c r="D233" s="64">
        <v>0</v>
      </c>
      <c r="E233" s="64">
        <v>1096.69</v>
      </c>
      <c r="F233" s="64">
        <v>0</v>
      </c>
      <c r="G233" s="65">
        <v>0</v>
      </c>
      <c r="H233" s="66">
        <v>0</v>
      </c>
      <c r="I233" s="67">
        <v>0</v>
      </c>
      <c r="J233" s="68" t="s">
        <v>116</v>
      </c>
      <c r="K233" s="68">
        <v>9.9871995321414067E-2</v>
      </c>
      <c r="L233" s="64">
        <v>0</v>
      </c>
      <c r="M233" s="64">
        <v>987.1613814509584</v>
      </c>
      <c r="N233" s="64"/>
      <c r="O233" s="65">
        <v>275</v>
      </c>
      <c r="P233" s="65">
        <v>275</v>
      </c>
    </row>
    <row r="234" spans="1:16" x14ac:dyDescent="0.25">
      <c r="A234" s="71">
        <v>527</v>
      </c>
      <c r="B234" s="71">
        <v>9</v>
      </c>
      <c r="C234" s="72" t="s">
        <v>352</v>
      </c>
      <c r="D234" s="64">
        <v>0</v>
      </c>
      <c r="E234" s="64">
        <v>246.96</v>
      </c>
      <c r="F234" s="64">
        <v>0</v>
      </c>
      <c r="G234" s="65">
        <v>0</v>
      </c>
      <c r="H234" s="66">
        <v>0</v>
      </c>
      <c r="I234" s="67">
        <v>0</v>
      </c>
      <c r="J234" s="68" t="s">
        <v>116</v>
      </c>
      <c r="K234" s="68">
        <v>9.9871995321414067E-2</v>
      </c>
      <c r="L234" s="64">
        <v>0</v>
      </c>
      <c r="M234" s="64">
        <v>222.29561203542357</v>
      </c>
      <c r="N234" s="64"/>
      <c r="O234" s="65">
        <v>0</v>
      </c>
      <c r="P234" s="65">
        <v>0</v>
      </c>
    </row>
    <row r="235" spans="1:16" x14ac:dyDescent="0.25">
      <c r="A235" s="71">
        <v>543</v>
      </c>
      <c r="B235" s="71">
        <v>9</v>
      </c>
      <c r="C235" s="72" t="s">
        <v>353</v>
      </c>
      <c r="D235" s="64">
        <v>0</v>
      </c>
      <c r="E235" s="64">
        <v>109.53</v>
      </c>
      <c r="F235" s="64">
        <v>0</v>
      </c>
      <c r="G235" s="65">
        <v>0</v>
      </c>
      <c r="H235" s="66">
        <v>0</v>
      </c>
      <c r="I235" s="67">
        <v>0</v>
      </c>
      <c r="J235" s="68" t="s">
        <v>116</v>
      </c>
      <c r="K235" s="68">
        <v>9.9871995321414067E-2</v>
      </c>
      <c r="L235" s="64">
        <v>0</v>
      </c>
      <c r="M235" s="64">
        <v>98.591020352445511</v>
      </c>
      <c r="N235" s="64"/>
      <c r="O235" s="65">
        <v>0</v>
      </c>
      <c r="P235" s="65">
        <v>0</v>
      </c>
    </row>
    <row r="236" spans="1:16" x14ac:dyDescent="0.25">
      <c r="A236" s="71">
        <v>547</v>
      </c>
      <c r="B236" s="71">
        <v>9</v>
      </c>
      <c r="C236" s="72" t="s">
        <v>354</v>
      </c>
      <c r="D236" s="64">
        <v>71.830000000000013</v>
      </c>
      <c r="E236" s="64">
        <v>250.84000000000003</v>
      </c>
      <c r="F236" s="64">
        <v>0</v>
      </c>
      <c r="G236" s="65">
        <v>0</v>
      </c>
      <c r="H236" s="66">
        <v>1</v>
      </c>
      <c r="I236" s="67">
        <v>0</v>
      </c>
      <c r="J236" s="68" t="s">
        <v>116</v>
      </c>
      <c r="K236" s="68">
        <v>0.1246571269564154</v>
      </c>
      <c r="L236" s="64">
        <v>0</v>
      </c>
      <c r="M236" s="64">
        <v>282.44688484497351</v>
      </c>
      <c r="N236" s="64"/>
      <c r="O236" s="65">
        <v>0</v>
      </c>
      <c r="P236" s="65">
        <v>0</v>
      </c>
    </row>
    <row r="237" spans="1:16" x14ac:dyDescent="0.25">
      <c r="A237" s="71">
        <v>552</v>
      </c>
      <c r="B237" s="71">
        <v>9</v>
      </c>
      <c r="C237" s="72" t="s">
        <v>355</v>
      </c>
      <c r="D237" s="64">
        <v>46.88</v>
      </c>
      <c r="E237" s="64">
        <v>106.68</v>
      </c>
      <c r="F237" s="64">
        <v>144.71</v>
      </c>
      <c r="G237" s="65">
        <v>0</v>
      </c>
      <c r="H237" s="66">
        <v>0</v>
      </c>
      <c r="I237" s="67">
        <v>0</v>
      </c>
      <c r="J237" s="68">
        <v>5.7632195884344845E-2</v>
      </c>
      <c r="K237" s="68">
        <v>5.7632195884344845E-2</v>
      </c>
      <c r="L237" s="64">
        <v>0</v>
      </c>
      <c r="M237" s="64">
        <v>144.71</v>
      </c>
      <c r="N237" s="64"/>
      <c r="O237" s="65">
        <v>60</v>
      </c>
      <c r="P237" s="65">
        <v>60</v>
      </c>
    </row>
    <row r="238" spans="1:16" x14ac:dyDescent="0.25">
      <c r="A238" s="71">
        <v>567</v>
      </c>
      <c r="B238" s="71">
        <v>9</v>
      </c>
      <c r="C238" s="72" t="s">
        <v>356</v>
      </c>
      <c r="D238" s="64">
        <v>167.55</v>
      </c>
      <c r="E238" s="64">
        <v>218.85</v>
      </c>
      <c r="F238" s="64">
        <v>0</v>
      </c>
      <c r="G238" s="65">
        <v>0</v>
      </c>
      <c r="H238" s="66">
        <v>0</v>
      </c>
      <c r="I238" s="67">
        <v>0</v>
      </c>
      <c r="J238" s="68" t="s">
        <v>116</v>
      </c>
      <c r="K238" s="68">
        <v>9.9871995321414067E-2</v>
      </c>
      <c r="L238" s="64">
        <v>0</v>
      </c>
      <c r="M238" s="64">
        <v>347.80946100780557</v>
      </c>
      <c r="N238" s="64"/>
      <c r="O238" s="65">
        <v>310</v>
      </c>
      <c r="P238" s="65">
        <v>310</v>
      </c>
    </row>
    <row r="239" spans="1:16" x14ac:dyDescent="0.25">
      <c r="A239" s="71">
        <v>629</v>
      </c>
      <c r="B239" s="71">
        <v>9</v>
      </c>
      <c r="C239" s="72" t="s">
        <v>357</v>
      </c>
      <c r="D239" s="64">
        <v>0</v>
      </c>
      <c r="E239" s="64">
        <v>302.08999999999997</v>
      </c>
      <c r="F239" s="64">
        <v>0</v>
      </c>
      <c r="G239" s="65">
        <v>2293.8200000000002</v>
      </c>
      <c r="H239" s="66">
        <v>0</v>
      </c>
      <c r="I239" s="67">
        <v>0</v>
      </c>
      <c r="J239" s="68" t="s">
        <v>116</v>
      </c>
      <c r="K239" s="68">
        <v>9.9871995321414067E-2</v>
      </c>
      <c r="L239" s="64">
        <v>0</v>
      </c>
      <c r="M239" s="64">
        <v>271.91966893335399</v>
      </c>
      <c r="N239" s="64"/>
      <c r="O239" s="65">
        <v>458.25</v>
      </c>
      <c r="P239" s="65">
        <v>2752.07</v>
      </c>
    </row>
    <row r="240" spans="1:16" x14ac:dyDescent="0.25">
      <c r="A240" s="71">
        <v>630</v>
      </c>
      <c r="B240" s="71">
        <v>9</v>
      </c>
      <c r="C240" s="72" t="s">
        <v>358</v>
      </c>
      <c r="D240" s="64">
        <v>0</v>
      </c>
      <c r="E240" s="64">
        <v>189.20000000000002</v>
      </c>
      <c r="F240" s="64">
        <v>0</v>
      </c>
      <c r="G240" s="65">
        <v>940.25</v>
      </c>
      <c r="H240" s="66">
        <v>0</v>
      </c>
      <c r="I240" s="67">
        <v>0</v>
      </c>
      <c r="J240" s="68" t="s">
        <v>116</v>
      </c>
      <c r="K240" s="68">
        <v>9.9871995321414067E-2</v>
      </c>
      <c r="L240" s="64">
        <v>0</v>
      </c>
      <c r="M240" s="64">
        <v>170.30421848518847</v>
      </c>
      <c r="N240" s="64"/>
      <c r="O240" s="65">
        <v>1902.99</v>
      </c>
      <c r="P240" s="65">
        <v>2843.24</v>
      </c>
    </row>
    <row r="241" spans="1:16" x14ac:dyDescent="0.25">
      <c r="A241" s="71">
        <v>695</v>
      </c>
      <c r="B241" s="71">
        <v>9</v>
      </c>
      <c r="C241" s="72" t="s">
        <v>359</v>
      </c>
      <c r="D241" s="64">
        <v>0</v>
      </c>
      <c r="E241" s="64">
        <v>34.76</v>
      </c>
      <c r="F241" s="64">
        <v>0</v>
      </c>
      <c r="G241" s="65">
        <v>0</v>
      </c>
      <c r="H241" s="66">
        <v>0</v>
      </c>
      <c r="I241" s="67">
        <v>0</v>
      </c>
      <c r="J241" s="68" t="s">
        <v>116</v>
      </c>
      <c r="K241" s="68">
        <v>9.9871995321414067E-2</v>
      </c>
      <c r="L241" s="64">
        <v>0</v>
      </c>
      <c r="M241" s="64">
        <v>31.288449442627645</v>
      </c>
      <c r="N241" s="64"/>
      <c r="O241" s="65">
        <v>0</v>
      </c>
      <c r="P241" s="65">
        <v>0</v>
      </c>
    </row>
    <row r="242" spans="1:16" x14ac:dyDescent="0.25">
      <c r="A242" s="71">
        <v>771</v>
      </c>
      <c r="B242" s="71">
        <v>9</v>
      </c>
      <c r="C242" s="72" t="s">
        <v>360</v>
      </c>
      <c r="D242" s="64">
        <v>0</v>
      </c>
      <c r="E242" s="64">
        <v>212.29999999999998</v>
      </c>
      <c r="F242" s="64">
        <v>0</v>
      </c>
      <c r="G242" s="65">
        <v>0</v>
      </c>
      <c r="H242" s="66">
        <v>1</v>
      </c>
      <c r="I242" s="67">
        <v>0</v>
      </c>
      <c r="J242" s="68" t="s">
        <v>116</v>
      </c>
      <c r="K242" s="68">
        <v>0.1246571269564154</v>
      </c>
      <c r="L242" s="64">
        <v>0</v>
      </c>
      <c r="M242" s="64">
        <v>185.835291947153</v>
      </c>
      <c r="N242" s="64"/>
      <c r="O242" s="65">
        <v>30</v>
      </c>
      <c r="P242" s="65">
        <v>30</v>
      </c>
    </row>
    <row r="243" spans="1:16" x14ac:dyDescent="0.25">
      <c r="A243" s="71">
        <v>830</v>
      </c>
      <c r="B243" s="71">
        <v>9</v>
      </c>
      <c r="C243" s="72" t="s">
        <v>361</v>
      </c>
      <c r="D243" s="64">
        <v>0</v>
      </c>
      <c r="E243" s="64">
        <v>24.270000000000003</v>
      </c>
      <c r="F243" s="64">
        <v>0</v>
      </c>
      <c r="G243" s="65">
        <v>0</v>
      </c>
      <c r="H243" s="66">
        <v>0</v>
      </c>
      <c r="I243" s="67">
        <v>0</v>
      </c>
      <c r="J243" s="68" t="s">
        <v>116</v>
      </c>
      <c r="K243" s="68">
        <v>9.9871995321414067E-2</v>
      </c>
      <c r="L243" s="64">
        <v>0</v>
      </c>
      <c r="M243" s="64">
        <v>21.846106673549283</v>
      </c>
      <c r="N243" s="64"/>
      <c r="O243" s="65">
        <v>0</v>
      </c>
      <c r="P243" s="65">
        <v>0</v>
      </c>
    </row>
    <row r="244" spans="1:16" x14ac:dyDescent="0.25">
      <c r="A244" s="71">
        <v>936</v>
      </c>
      <c r="B244" s="71">
        <v>9</v>
      </c>
      <c r="C244" s="72" t="s">
        <v>362</v>
      </c>
      <c r="D244" s="64">
        <v>0</v>
      </c>
      <c r="E244" s="64">
        <v>33.470000000000006</v>
      </c>
      <c r="F244" s="64">
        <v>0</v>
      </c>
      <c r="G244" s="65">
        <v>0</v>
      </c>
      <c r="H244" s="66">
        <v>0</v>
      </c>
      <c r="I244" s="67">
        <v>0</v>
      </c>
      <c r="J244" s="68" t="s">
        <v>116</v>
      </c>
      <c r="K244" s="68">
        <v>9.9871995321414067E-2</v>
      </c>
      <c r="L244" s="64">
        <v>0</v>
      </c>
      <c r="M244" s="64">
        <v>30.127284316592274</v>
      </c>
      <c r="N244" s="64"/>
      <c r="O244" s="65">
        <v>0</v>
      </c>
      <c r="P244" s="65">
        <v>0</v>
      </c>
    </row>
    <row r="245" spans="1:16" x14ac:dyDescent="0.25">
      <c r="A245" s="71">
        <v>952</v>
      </c>
      <c r="B245" s="71">
        <v>9</v>
      </c>
      <c r="C245" s="72" t="s">
        <v>363</v>
      </c>
      <c r="D245" s="64">
        <v>0</v>
      </c>
      <c r="E245" s="64">
        <v>80.83</v>
      </c>
      <c r="F245" s="64">
        <v>0</v>
      </c>
      <c r="G245" s="65">
        <v>3081.5</v>
      </c>
      <c r="H245" s="66">
        <v>0</v>
      </c>
      <c r="I245" s="67">
        <v>0</v>
      </c>
      <c r="J245" s="68" t="s">
        <v>116</v>
      </c>
      <c r="K245" s="68">
        <v>9.9871995321414067E-2</v>
      </c>
      <c r="L245" s="64">
        <v>0</v>
      </c>
      <c r="M245" s="64">
        <v>72.757346618170089</v>
      </c>
      <c r="N245" s="64"/>
      <c r="O245" s="65">
        <v>325</v>
      </c>
      <c r="P245" s="65">
        <v>3406.5</v>
      </c>
    </row>
    <row r="246" spans="1:16" x14ac:dyDescent="0.25">
      <c r="A246" s="71">
        <v>982</v>
      </c>
      <c r="B246" s="71">
        <v>9</v>
      </c>
      <c r="C246" s="72" t="s">
        <v>364</v>
      </c>
      <c r="D246" s="64">
        <v>0</v>
      </c>
      <c r="E246" s="64">
        <v>81</v>
      </c>
      <c r="F246" s="64">
        <v>0</v>
      </c>
      <c r="G246" s="65">
        <v>0</v>
      </c>
      <c r="H246" s="66">
        <v>1</v>
      </c>
      <c r="I246" s="67">
        <v>0</v>
      </c>
      <c r="J246" s="68" t="s">
        <v>116</v>
      </c>
      <c r="K246" s="68">
        <v>0.1246571269564154</v>
      </c>
      <c r="L246" s="64">
        <v>0</v>
      </c>
      <c r="M246" s="64">
        <v>70.90277271653035</v>
      </c>
      <c r="N246" s="64"/>
      <c r="O246" s="65">
        <v>0</v>
      </c>
      <c r="P246" s="65">
        <v>0</v>
      </c>
    </row>
    <row r="247" spans="1:16" x14ac:dyDescent="0.25">
      <c r="A247" s="71">
        <v>987</v>
      </c>
      <c r="B247" s="71">
        <v>9</v>
      </c>
      <c r="C247" s="72" t="s">
        <v>365</v>
      </c>
      <c r="D247" s="64">
        <v>16.7</v>
      </c>
      <c r="E247" s="64">
        <v>178.13</v>
      </c>
      <c r="F247" s="64">
        <v>179.59000000000003</v>
      </c>
      <c r="G247" s="65">
        <v>0</v>
      </c>
      <c r="H247" s="66">
        <v>0</v>
      </c>
      <c r="I247" s="67">
        <v>0</v>
      </c>
      <c r="J247" s="68">
        <v>7.8222039726941195E-2</v>
      </c>
      <c r="K247" s="68">
        <v>7.8222039726941195E-2</v>
      </c>
      <c r="L247" s="64">
        <v>0</v>
      </c>
      <c r="M247" s="64">
        <v>179.59000000000003</v>
      </c>
      <c r="N247" s="64"/>
      <c r="O247" s="65">
        <v>0</v>
      </c>
      <c r="P247" s="65"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47"/>
  <sheetViews>
    <sheetView workbookViewId="0">
      <selection activeCell="H40" sqref="H40"/>
    </sheetView>
  </sheetViews>
  <sheetFormatPr defaultColWidth="8.5703125" defaultRowHeight="15" x14ac:dyDescent="0.25"/>
  <cols>
    <col min="1" max="1" width="4.5703125" style="75" customWidth="1"/>
    <col min="2" max="3" width="8.5703125" style="75" customWidth="1"/>
    <col min="4" max="4" width="53" style="75" customWidth="1"/>
    <col min="5" max="8" width="13.5703125" style="75" customWidth="1"/>
    <col min="9" max="9" width="12.5703125" style="73" customWidth="1"/>
    <col min="10" max="16384" width="8.5703125" style="75"/>
  </cols>
  <sheetData>
    <row r="1" spans="1:9" x14ac:dyDescent="0.25">
      <c r="A1" s="73"/>
      <c r="B1" s="73"/>
      <c r="C1" s="73"/>
      <c r="D1" s="73"/>
      <c r="E1" s="73" t="s">
        <v>30</v>
      </c>
      <c r="F1" s="74">
        <v>1000</v>
      </c>
      <c r="H1" s="75" t="s">
        <v>31</v>
      </c>
      <c r="I1" s="76">
        <v>439.67231341797486</v>
      </c>
    </row>
    <row r="2" spans="1:9" x14ac:dyDescent="0.25">
      <c r="B2" s="77" t="s">
        <v>117</v>
      </c>
      <c r="E2" s="78"/>
      <c r="H2" s="75" t="s">
        <v>32</v>
      </c>
      <c r="I2" s="76">
        <v>194.7435710680374</v>
      </c>
    </row>
    <row r="3" spans="1:9" ht="15.75" thickBot="1" x14ac:dyDescent="0.3">
      <c r="E3" s="79">
        <v>343490141.0199998</v>
      </c>
      <c r="F3" s="79">
        <v>85792841.00000003</v>
      </c>
      <c r="G3" s="79">
        <v>257697300.02000007</v>
      </c>
      <c r="H3" s="80">
        <v>852437.06335098401</v>
      </c>
      <c r="I3" s="74">
        <v>302.30654097438662</v>
      </c>
    </row>
    <row r="4" spans="1:9" ht="45.75" thickBot="1" x14ac:dyDescent="0.3">
      <c r="B4" s="13" t="s">
        <v>11</v>
      </c>
      <c r="C4" s="13" t="s">
        <v>10</v>
      </c>
      <c r="D4" s="13" t="s">
        <v>9</v>
      </c>
      <c r="E4" s="13" t="s">
        <v>33</v>
      </c>
      <c r="F4" s="13" t="s">
        <v>34</v>
      </c>
      <c r="G4" s="13" t="s">
        <v>35</v>
      </c>
      <c r="H4" s="81" t="s">
        <v>36</v>
      </c>
      <c r="I4" s="13" t="s">
        <v>37</v>
      </c>
    </row>
    <row r="5" spans="1:9" x14ac:dyDescent="0.25">
      <c r="A5" s="82">
        <v>1</v>
      </c>
      <c r="B5">
        <v>1</v>
      </c>
      <c r="C5" s="42">
        <v>1</v>
      </c>
      <c r="D5" s="83" t="s">
        <v>125</v>
      </c>
      <c r="E5" s="84">
        <v>8761281.5399999991</v>
      </c>
      <c r="F5" s="85">
        <v>1291701.44</v>
      </c>
      <c r="G5" s="85">
        <v>7469580.0999999996</v>
      </c>
      <c r="H5" s="86">
        <v>43108.04</v>
      </c>
      <c r="I5" s="87">
        <v>173.27579959562067</v>
      </c>
    </row>
    <row r="6" spans="1:9" x14ac:dyDescent="0.25">
      <c r="A6" s="82">
        <v>1</v>
      </c>
      <c r="B6">
        <v>6</v>
      </c>
      <c r="C6" s="42">
        <v>2</v>
      </c>
      <c r="D6" s="83" t="s">
        <v>131</v>
      </c>
      <c r="E6" s="84">
        <v>18360462.57</v>
      </c>
      <c r="F6" s="85">
        <v>4976633.7300000004</v>
      </c>
      <c r="G6" s="85">
        <v>13383828.84</v>
      </c>
      <c r="H6" s="86">
        <v>44091</v>
      </c>
      <c r="I6" s="87">
        <v>303.55013131931685</v>
      </c>
    </row>
    <row r="7" spans="1:9" x14ac:dyDescent="0.25">
      <c r="A7" s="82">
        <v>1</v>
      </c>
      <c r="B7">
        <v>8</v>
      </c>
      <c r="C7" s="42">
        <v>5</v>
      </c>
      <c r="D7" s="83" t="s">
        <v>159</v>
      </c>
      <c r="E7" s="84">
        <v>586397.65</v>
      </c>
      <c r="F7" s="85">
        <v>19313.48</v>
      </c>
      <c r="G7" s="85">
        <v>567084.17000000004</v>
      </c>
      <c r="H7" s="86">
        <v>2138.94</v>
      </c>
      <c r="I7" s="87">
        <v>265.12392586982338</v>
      </c>
    </row>
    <row r="8" spans="1:9" x14ac:dyDescent="0.25">
      <c r="A8" s="82">
        <v>1</v>
      </c>
      <c r="B8">
        <v>12</v>
      </c>
      <c r="C8" s="42">
        <v>4</v>
      </c>
      <c r="D8" s="83" t="s">
        <v>144</v>
      </c>
      <c r="E8" s="84">
        <v>3032437.8</v>
      </c>
      <c r="F8" s="85">
        <v>527106.92000000004</v>
      </c>
      <c r="G8" s="85">
        <v>2505330.88</v>
      </c>
      <c r="H8" s="86">
        <v>5579.48</v>
      </c>
      <c r="I8" s="87">
        <v>449.02587337888122</v>
      </c>
    </row>
    <row r="9" spans="1:9" x14ac:dyDescent="0.25">
      <c r="A9" s="82">
        <v>1</v>
      </c>
      <c r="B9">
        <v>14</v>
      </c>
      <c r="C9" s="42">
        <v>3</v>
      </c>
      <c r="D9" s="83" t="s">
        <v>137</v>
      </c>
      <c r="E9" s="84">
        <v>2475549.2200000002</v>
      </c>
      <c r="F9" s="85">
        <v>233073.87</v>
      </c>
      <c r="G9" s="85">
        <v>2242475.35</v>
      </c>
      <c r="H9" s="86">
        <v>11973.29</v>
      </c>
      <c r="I9" s="87">
        <v>187.28982176160437</v>
      </c>
    </row>
    <row r="10" spans="1:9" x14ac:dyDescent="0.25">
      <c r="A10" s="82">
        <v>1</v>
      </c>
      <c r="B10">
        <v>18</v>
      </c>
      <c r="C10" s="42">
        <v>2</v>
      </c>
      <c r="D10" s="83" t="s">
        <v>132</v>
      </c>
      <c r="E10" s="84">
        <v>7426551.8700000001</v>
      </c>
      <c r="F10" s="85">
        <v>3042927.1600000006</v>
      </c>
      <c r="G10" s="85">
        <v>4383624.709999999</v>
      </c>
      <c r="H10" s="86">
        <v>23715.48</v>
      </c>
      <c r="I10" s="87">
        <v>184.84233547033412</v>
      </c>
    </row>
    <row r="11" spans="1:9" x14ac:dyDescent="0.25">
      <c r="A11" s="82">
        <v>2</v>
      </c>
      <c r="B11">
        <v>20</v>
      </c>
      <c r="C11" s="42">
        <v>1</v>
      </c>
      <c r="D11" s="83" t="s">
        <v>126</v>
      </c>
      <c r="E11" s="84">
        <v>70036332.519999996</v>
      </c>
      <c r="F11" s="85">
        <v>17293469.969999999</v>
      </c>
      <c r="G11" s="85">
        <v>52742862.549999997</v>
      </c>
      <c r="H11" s="86">
        <v>136458.23000000004</v>
      </c>
      <c r="I11" s="87">
        <v>386.51287320669468</v>
      </c>
    </row>
    <row r="12" spans="1:9" x14ac:dyDescent="0.25">
      <c r="A12" s="82">
        <v>2</v>
      </c>
      <c r="B12">
        <v>21</v>
      </c>
      <c r="C12" s="42">
        <v>4</v>
      </c>
      <c r="D12" s="83" t="s">
        <v>145</v>
      </c>
      <c r="E12" s="84">
        <v>2170997.58</v>
      </c>
      <c r="F12" s="85">
        <v>658540.66999999981</v>
      </c>
      <c r="G12" s="85">
        <v>1512456.9100000001</v>
      </c>
      <c r="H12" s="86">
        <v>4620.2</v>
      </c>
      <c r="I12" s="87">
        <v>327.35745422276096</v>
      </c>
    </row>
    <row r="13" spans="1:9" x14ac:dyDescent="0.25">
      <c r="A13" s="82">
        <v>2</v>
      </c>
      <c r="B13">
        <v>34</v>
      </c>
      <c r="C13" s="42">
        <v>4</v>
      </c>
      <c r="D13" s="83" t="s">
        <v>146</v>
      </c>
      <c r="E13" s="84">
        <v>2506601.4900000002</v>
      </c>
      <c r="F13" s="85">
        <v>468753.65</v>
      </c>
      <c r="G13" s="85">
        <v>2037847.8400000003</v>
      </c>
      <c r="H13" s="86">
        <v>4914.88</v>
      </c>
      <c r="I13" s="87">
        <v>414.62819845042003</v>
      </c>
    </row>
    <row r="14" spans="1:9" x14ac:dyDescent="0.25">
      <c r="A14" s="82">
        <v>2</v>
      </c>
      <c r="B14">
        <v>36</v>
      </c>
      <c r="C14" s="42">
        <v>3</v>
      </c>
      <c r="D14" s="83" t="s">
        <v>138</v>
      </c>
      <c r="E14" s="84">
        <v>3554918.99</v>
      </c>
      <c r="F14" s="85">
        <v>1096757.4100000001</v>
      </c>
      <c r="G14" s="85">
        <v>2458161.58</v>
      </c>
      <c r="H14" s="86">
        <v>7185.76</v>
      </c>
      <c r="I14" s="87">
        <v>342.08790441094607</v>
      </c>
    </row>
    <row r="15" spans="1:9" x14ac:dyDescent="0.25">
      <c r="A15" s="82">
        <v>2</v>
      </c>
      <c r="B15">
        <v>39</v>
      </c>
      <c r="C15" s="42">
        <v>7</v>
      </c>
      <c r="D15" s="83" t="s">
        <v>224</v>
      </c>
      <c r="E15" s="84">
        <v>114903.92</v>
      </c>
      <c r="F15" s="85">
        <v>3164.92</v>
      </c>
      <c r="G15" s="85">
        <v>111739</v>
      </c>
      <c r="H15" s="86">
        <v>372.70348848449748</v>
      </c>
      <c r="I15" s="87">
        <v>299.80669205527909</v>
      </c>
    </row>
    <row r="16" spans="1:9" x14ac:dyDescent="0.25">
      <c r="A16" s="82">
        <v>2</v>
      </c>
      <c r="B16">
        <v>41</v>
      </c>
      <c r="C16" s="42">
        <v>5</v>
      </c>
      <c r="D16" s="83" t="s">
        <v>160</v>
      </c>
      <c r="E16" s="84">
        <v>508491.99</v>
      </c>
      <c r="F16" s="85">
        <v>193941.84</v>
      </c>
      <c r="G16" s="85">
        <v>314550.15000000002</v>
      </c>
      <c r="H16" s="86">
        <v>1798.58</v>
      </c>
      <c r="I16" s="87">
        <v>174.88805057323</v>
      </c>
    </row>
    <row r="17" spans="1:9" x14ac:dyDescent="0.25">
      <c r="A17" s="82">
        <v>3</v>
      </c>
      <c r="B17">
        <v>50</v>
      </c>
      <c r="C17" s="42">
        <v>1</v>
      </c>
      <c r="D17" s="83" t="s">
        <v>127</v>
      </c>
      <c r="E17" s="84">
        <v>9682901.0099999998</v>
      </c>
      <c r="F17" s="85">
        <v>3089888.33</v>
      </c>
      <c r="G17" s="85">
        <v>6593012.6799999997</v>
      </c>
      <c r="H17" s="86">
        <v>23338.46</v>
      </c>
      <c r="I17" s="87">
        <v>282.49561796279619</v>
      </c>
    </row>
    <row r="18" spans="1:9" x14ac:dyDescent="0.25">
      <c r="A18" s="82">
        <v>3</v>
      </c>
      <c r="B18">
        <v>53</v>
      </c>
      <c r="C18" s="42">
        <v>2</v>
      </c>
      <c r="D18" s="83" t="s">
        <v>133</v>
      </c>
      <c r="E18" s="84">
        <v>10938241.77</v>
      </c>
      <c r="F18" s="85">
        <v>3629057.59</v>
      </c>
      <c r="G18" s="85">
        <v>7309184.1799999997</v>
      </c>
      <c r="H18" s="86">
        <v>33158.055</v>
      </c>
      <c r="I18" s="87">
        <v>220.43464793094768</v>
      </c>
    </row>
    <row r="19" spans="1:9" x14ac:dyDescent="0.25">
      <c r="A19" s="82">
        <v>3</v>
      </c>
      <c r="B19">
        <v>55</v>
      </c>
      <c r="C19" s="42">
        <v>3</v>
      </c>
      <c r="D19" s="83" t="s">
        <v>139</v>
      </c>
      <c r="E19" s="84">
        <v>1572127.35</v>
      </c>
      <c r="F19" s="85">
        <v>200211.81000000003</v>
      </c>
      <c r="G19" s="85">
        <v>1371915.54</v>
      </c>
      <c r="H19" s="86">
        <v>5599.76</v>
      </c>
      <c r="I19" s="87">
        <v>244.99541766075689</v>
      </c>
    </row>
    <row r="20" spans="1:9" x14ac:dyDescent="0.25">
      <c r="A20" s="82">
        <v>3</v>
      </c>
      <c r="B20">
        <v>56</v>
      </c>
      <c r="C20" s="42">
        <v>5</v>
      </c>
      <c r="D20" s="83" t="s">
        <v>161</v>
      </c>
      <c r="E20" s="84">
        <v>475980.56</v>
      </c>
      <c r="F20" s="85">
        <v>1913.22</v>
      </c>
      <c r="G20" s="85">
        <v>474067.34</v>
      </c>
      <c r="H20" s="86">
        <v>2998.76</v>
      </c>
      <c r="I20" s="87">
        <v>158.08778961970947</v>
      </c>
    </row>
    <row r="21" spans="1:9" x14ac:dyDescent="0.25">
      <c r="A21" s="82">
        <v>3</v>
      </c>
      <c r="B21">
        <v>59</v>
      </c>
      <c r="C21" s="42">
        <v>7</v>
      </c>
      <c r="D21" s="83" t="s">
        <v>225</v>
      </c>
      <c r="E21" s="84">
        <v>160920.20000000001</v>
      </c>
      <c r="F21" s="85">
        <v>0</v>
      </c>
      <c r="G21" s="85">
        <v>160920.20000000001</v>
      </c>
      <c r="H21" s="86">
        <v>247.85333450229101</v>
      </c>
      <c r="I21" s="87">
        <v>649.25573958139569</v>
      </c>
    </row>
    <row r="22" spans="1:9" x14ac:dyDescent="0.25">
      <c r="A22" s="82">
        <v>3</v>
      </c>
      <c r="B22">
        <v>67</v>
      </c>
      <c r="C22" s="42">
        <v>5</v>
      </c>
      <c r="D22" s="83" t="s">
        <v>162</v>
      </c>
      <c r="E22" s="84">
        <v>193582.3</v>
      </c>
      <c r="F22" s="85">
        <v>0</v>
      </c>
      <c r="G22" s="85">
        <v>193582.3</v>
      </c>
      <c r="H22" s="86">
        <v>1410.48373847878</v>
      </c>
      <c r="I22" s="87">
        <v>137.2453256418116</v>
      </c>
    </row>
    <row r="23" spans="1:9" x14ac:dyDescent="0.25">
      <c r="A23" s="82">
        <v>3</v>
      </c>
      <c r="B23">
        <v>87</v>
      </c>
      <c r="C23" s="42">
        <v>4</v>
      </c>
      <c r="D23" s="83" t="s">
        <v>147</v>
      </c>
      <c r="E23" s="84">
        <v>4866732.33</v>
      </c>
      <c r="F23" s="85">
        <v>1343901.0299999998</v>
      </c>
      <c r="G23" s="85">
        <v>3522831.3000000003</v>
      </c>
      <c r="H23" s="86">
        <v>12026.400000000001</v>
      </c>
      <c r="I23" s="87">
        <v>292.92484035122726</v>
      </c>
    </row>
    <row r="24" spans="1:9" x14ac:dyDescent="0.25">
      <c r="A24" s="82">
        <v>4</v>
      </c>
      <c r="B24">
        <v>88</v>
      </c>
      <c r="C24" s="42">
        <v>4</v>
      </c>
      <c r="D24" s="83" t="s">
        <v>148</v>
      </c>
      <c r="E24" s="84">
        <v>2005124.97</v>
      </c>
      <c r="F24" s="85">
        <v>613335.13</v>
      </c>
      <c r="G24" s="85">
        <v>1391789.8399999999</v>
      </c>
      <c r="H24" s="86">
        <v>5057.1000000000004</v>
      </c>
      <c r="I24" s="87">
        <v>275.21501255660354</v>
      </c>
    </row>
    <row r="25" spans="1:9" x14ac:dyDescent="0.25">
      <c r="A25" s="82">
        <v>4</v>
      </c>
      <c r="B25">
        <v>89</v>
      </c>
      <c r="C25" s="42">
        <v>4</v>
      </c>
      <c r="D25" s="83" t="s">
        <v>149</v>
      </c>
      <c r="E25" s="84">
        <v>3584803.82</v>
      </c>
      <c r="F25" s="85">
        <v>462428.63000000006</v>
      </c>
      <c r="G25" s="85">
        <v>3122375.19</v>
      </c>
      <c r="H25" s="86">
        <v>5659.9800000000005</v>
      </c>
      <c r="I25" s="87">
        <v>551.65834331570068</v>
      </c>
    </row>
    <row r="26" spans="1:9" x14ac:dyDescent="0.25">
      <c r="A26" s="82">
        <v>4</v>
      </c>
      <c r="B26">
        <v>97</v>
      </c>
      <c r="C26" s="42">
        <v>1</v>
      </c>
      <c r="D26" s="83" t="s">
        <v>128</v>
      </c>
      <c r="E26" s="84">
        <v>24993003.41</v>
      </c>
      <c r="F26" s="85">
        <v>7535896.7399999993</v>
      </c>
      <c r="G26" s="85">
        <v>17457106.670000002</v>
      </c>
      <c r="H26" s="86">
        <v>72832.329999999987</v>
      </c>
      <c r="I26" s="87">
        <v>239.68897699689143</v>
      </c>
    </row>
    <row r="27" spans="1:9" x14ac:dyDescent="0.25">
      <c r="A27" s="82">
        <v>4</v>
      </c>
      <c r="B27">
        <v>100</v>
      </c>
      <c r="C27" s="42">
        <v>9</v>
      </c>
      <c r="D27" s="83" t="s">
        <v>334</v>
      </c>
      <c r="E27" s="84">
        <v>29427.72</v>
      </c>
      <c r="F27" s="85">
        <v>0</v>
      </c>
      <c r="G27" s="85">
        <v>29427.72</v>
      </c>
      <c r="H27" s="86">
        <v>32.854672170768382</v>
      </c>
      <c r="I27" s="87">
        <v>895.6936123740287</v>
      </c>
    </row>
    <row r="28" spans="1:9" x14ac:dyDescent="0.25">
      <c r="A28" s="82">
        <v>4</v>
      </c>
      <c r="B28">
        <v>103</v>
      </c>
      <c r="C28" s="42">
        <v>3</v>
      </c>
      <c r="D28" s="83" t="s">
        <v>140</v>
      </c>
      <c r="E28" s="84">
        <v>1440290.07</v>
      </c>
      <c r="F28" s="85">
        <v>693780.46</v>
      </c>
      <c r="G28" s="85">
        <v>746509.6100000001</v>
      </c>
      <c r="H28" s="86">
        <v>4420.41</v>
      </c>
      <c r="I28" s="87">
        <v>168.87791177741434</v>
      </c>
    </row>
    <row r="29" spans="1:9" x14ac:dyDescent="0.25">
      <c r="A29" s="82">
        <v>4</v>
      </c>
      <c r="B29">
        <v>123</v>
      </c>
      <c r="C29" s="42">
        <v>3</v>
      </c>
      <c r="D29" s="83" t="s">
        <v>141</v>
      </c>
      <c r="E29" s="84">
        <v>857326.11</v>
      </c>
      <c r="F29" s="85">
        <v>3</v>
      </c>
      <c r="G29" s="85">
        <v>857323.11</v>
      </c>
      <c r="H29" s="86">
        <v>5930.89</v>
      </c>
      <c r="I29" s="87">
        <v>144.5521852538152</v>
      </c>
    </row>
    <row r="30" spans="1:9" x14ac:dyDescent="0.25">
      <c r="A30" s="82">
        <v>4</v>
      </c>
      <c r="B30">
        <v>128</v>
      </c>
      <c r="C30" s="42">
        <v>7</v>
      </c>
      <c r="D30" s="83" t="s">
        <v>226</v>
      </c>
      <c r="E30" s="84">
        <v>77051.09</v>
      </c>
      <c r="F30" s="85">
        <v>182.92</v>
      </c>
      <c r="G30" s="85">
        <v>76868.17</v>
      </c>
      <c r="H30" s="86">
        <v>172.95024485595147</v>
      </c>
      <c r="I30" s="87">
        <v>444.45250750597506</v>
      </c>
    </row>
    <row r="31" spans="1:9" x14ac:dyDescent="0.25">
      <c r="A31" s="82">
        <v>4</v>
      </c>
      <c r="B31">
        <v>143</v>
      </c>
      <c r="C31" s="42">
        <v>4</v>
      </c>
      <c r="D31" s="83" t="s">
        <v>150</v>
      </c>
      <c r="E31" s="84">
        <v>948628.87</v>
      </c>
      <c r="F31" s="85">
        <v>322597.75</v>
      </c>
      <c r="G31" s="85">
        <v>626031.12</v>
      </c>
      <c r="H31" s="86">
        <v>3083.89</v>
      </c>
      <c r="I31" s="87">
        <v>203.00047018538277</v>
      </c>
    </row>
    <row r="32" spans="1:9" x14ac:dyDescent="0.25">
      <c r="A32" s="82">
        <v>4</v>
      </c>
      <c r="B32">
        <v>152</v>
      </c>
      <c r="C32" s="42">
        <v>7</v>
      </c>
      <c r="D32" s="83" t="s">
        <v>227</v>
      </c>
      <c r="E32" s="84">
        <v>162196.94</v>
      </c>
      <c r="F32" s="85">
        <v>0</v>
      </c>
      <c r="G32" s="85">
        <v>162196.94</v>
      </c>
      <c r="H32" s="86">
        <v>370.42759701458414</v>
      </c>
      <c r="I32" s="87">
        <v>437.86408277138742</v>
      </c>
    </row>
    <row r="33" spans="1:9" x14ac:dyDescent="0.25">
      <c r="A33" s="82">
        <v>4</v>
      </c>
      <c r="B33">
        <v>157</v>
      </c>
      <c r="C33" s="42">
        <v>5</v>
      </c>
      <c r="D33" s="83" t="s">
        <v>163</v>
      </c>
      <c r="E33" s="84">
        <v>149003.76</v>
      </c>
      <c r="F33" s="85">
        <v>140</v>
      </c>
      <c r="G33" s="85">
        <v>148863.76</v>
      </c>
      <c r="H33" s="86">
        <v>499.84704079407811</v>
      </c>
      <c r="I33" s="87">
        <v>297.81862820175701</v>
      </c>
    </row>
    <row r="34" spans="1:9" x14ac:dyDescent="0.25">
      <c r="A34" s="82">
        <v>4</v>
      </c>
      <c r="B34">
        <v>159</v>
      </c>
      <c r="C34" s="42">
        <v>9</v>
      </c>
      <c r="D34" s="83" t="s">
        <v>335</v>
      </c>
      <c r="E34" s="84">
        <v>216577.6</v>
      </c>
      <c r="F34" s="85">
        <v>0</v>
      </c>
      <c r="G34" s="85">
        <v>216577.6</v>
      </c>
      <c r="H34" s="86">
        <v>864.83875856706163</v>
      </c>
      <c r="I34" s="87">
        <v>250.42540919285833</v>
      </c>
    </row>
    <row r="35" spans="1:9" x14ac:dyDescent="0.25">
      <c r="A35" s="82">
        <v>4</v>
      </c>
      <c r="B35">
        <v>162</v>
      </c>
      <c r="C35" s="42">
        <v>7</v>
      </c>
      <c r="D35" s="83" t="s">
        <v>228</v>
      </c>
      <c r="E35" s="84">
        <v>316809.21999999997</v>
      </c>
      <c r="F35" s="85">
        <v>14325.53</v>
      </c>
      <c r="G35" s="85">
        <v>302483.68999999994</v>
      </c>
      <c r="H35" s="86">
        <v>925.54</v>
      </c>
      <c r="I35" s="87">
        <v>326.81860319381116</v>
      </c>
    </row>
    <row r="36" spans="1:9" x14ac:dyDescent="0.25">
      <c r="A36" s="82">
        <v>4</v>
      </c>
      <c r="B36">
        <v>166</v>
      </c>
      <c r="C36" s="42">
        <v>7</v>
      </c>
      <c r="D36" s="83" t="s">
        <v>229</v>
      </c>
      <c r="E36" s="84">
        <v>419870.21</v>
      </c>
      <c r="F36" s="85">
        <v>111709.12000000001</v>
      </c>
      <c r="G36" s="85">
        <v>308161.09000000003</v>
      </c>
      <c r="H36" s="86">
        <v>952.14999999999986</v>
      </c>
      <c r="I36" s="87">
        <v>323.64762905004471</v>
      </c>
    </row>
    <row r="37" spans="1:9" x14ac:dyDescent="0.25">
      <c r="A37" s="82">
        <v>4</v>
      </c>
      <c r="B37">
        <v>172</v>
      </c>
      <c r="C37" s="42">
        <v>1</v>
      </c>
      <c r="D37" s="83" t="s">
        <v>129</v>
      </c>
      <c r="E37" s="84">
        <v>14680885.050000001</v>
      </c>
      <c r="F37" s="85">
        <v>4055316.6399999997</v>
      </c>
      <c r="G37" s="85">
        <v>10625568.41</v>
      </c>
      <c r="H37" s="86">
        <v>38132.259999999995</v>
      </c>
      <c r="I37" s="87">
        <v>278.65037136534789</v>
      </c>
    </row>
    <row r="38" spans="1:9" x14ac:dyDescent="0.25">
      <c r="A38" s="82">
        <v>4</v>
      </c>
      <c r="B38">
        <v>173</v>
      </c>
      <c r="C38" s="42">
        <v>9</v>
      </c>
      <c r="D38" s="83" t="s">
        <v>390</v>
      </c>
      <c r="E38" s="84">
        <v>190081.07</v>
      </c>
      <c r="F38" s="85">
        <v>430</v>
      </c>
      <c r="G38" s="85">
        <v>189651.07</v>
      </c>
      <c r="H38" s="86">
        <v>326.28000000000003</v>
      </c>
      <c r="I38" s="87">
        <v>581.25251317886477</v>
      </c>
    </row>
    <row r="39" spans="1:9" x14ac:dyDescent="0.25">
      <c r="A39" s="82">
        <v>5</v>
      </c>
      <c r="B39">
        <v>179</v>
      </c>
      <c r="C39" s="42">
        <v>3</v>
      </c>
      <c r="D39" s="83" t="s">
        <v>142</v>
      </c>
      <c r="E39" s="84">
        <v>2222318.2200000002</v>
      </c>
      <c r="F39" s="85">
        <v>751425.40000000014</v>
      </c>
      <c r="G39" s="85">
        <v>1470892.82</v>
      </c>
      <c r="H39" s="86">
        <v>6705.9000000000005</v>
      </c>
      <c r="I39" s="87">
        <v>219.34308892169582</v>
      </c>
    </row>
    <row r="40" spans="1:9" x14ac:dyDescent="0.25">
      <c r="A40" s="82">
        <v>5</v>
      </c>
      <c r="B40">
        <v>183</v>
      </c>
      <c r="C40" s="88">
        <v>4</v>
      </c>
      <c r="D40" s="83" t="s">
        <v>151</v>
      </c>
      <c r="E40" s="84">
        <v>5504591.5700000003</v>
      </c>
      <c r="F40" s="85">
        <v>700215.74000000011</v>
      </c>
      <c r="G40" s="85">
        <v>4804375.83</v>
      </c>
      <c r="H40" s="86">
        <v>12702.630000000001</v>
      </c>
      <c r="I40" s="87">
        <v>378.21898535972468</v>
      </c>
    </row>
    <row r="41" spans="1:9" x14ac:dyDescent="0.25">
      <c r="A41" s="82">
        <v>5</v>
      </c>
      <c r="B41">
        <v>186</v>
      </c>
      <c r="C41" s="88">
        <v>4</v>
      </c>
      <c r="D41" s="83" t="s">
        <v>152</v>
      </c>
      <c r="E41" s="84">
        <v>6268228.2599999998</v>
      </c>
      <c r="F41" s="85">
        <v>1009484.7500000001</v>
      </c>
      <c r="G41" s="85">
        <v>5258743.51</v>
      </c>
      <c r="H41" s="86">
        <v>12278.68</v>
      </c>
      <c r="I41" s="87">
        <v>428.28247906126717</v>
      </c>
    </row>
    <row r="42" spans="1:9" x14ac:dyDescent="0.25">
      <c r="A42" s="82">
        <v>5</v>
      </c>
      <c r="B42">
        <v>188</v>
      </c>
      <c r="C42" s="42">
        <v>8</v>
      </c>
      <c r="D42" s="83" t="s">
        <v>286</v>
      </c>
      <c r="E42" s="84">
        <v>213051.62</v>
      </c>
      <c r="F42" s="85">
        <v>24731.71</v>
      </c>
      <c r="G42" s="85">
        <v>188319.91</v>
      </c>
      <c r="H42" s="86">
        <v>244.22</v>
      </c>
      <c r="I42" s="87">
        <v>771.10764884120874</v>
      </c>
    </row>
    <row r="43" spans="1:9" x14ac:dyDescent="0.25">
      <c r="A43" s="82">
        <v>5</v>
      </c>
      <c r="B43">
        <v>190</v>
      </c>
      <c r="C43" s="42">
        <v>4</v>
      </c>
      <c r="D43" s="83" t="s">
        <v>153</v>
      </c>
      <c r="E43" s="84">
        <v>1856742.77</v>
      </c>
      <c r="F43" s="85">
        <v>529858.61</v>
      </c>
      <c r="G43" s="85">
        <v>1326884.1600000001</v>
      </c>
      <c r="H43" s="86">
        <v>3470.1099999999992</v>
      </c>
      <c r="I43" s="87">
        <v>382.37524458878841</v>
      </c>
    </row>
    <row r="44" spans="1:9" x14ac:dyDescent="0.25">
      <c r="A44" s="82">
        <v>5</v>
      </c>
      <c r="B44">
        <v>192</v>
      </c>
      <c r="C44" s="42">
        <v>7</v>
      </c>
      <c r="D44" s="83" t="s">
        <v>230</v>
      </c>
      <c r="E44" s="84">
        <v>75612.77</v>
      </c>
      <c r="F44" s="85">
        <v>12446.72</v>
      </c>
      <c r="G44" s="85">
        <v>63166.05</v>
      </c>
      <c r="H44" s="86">
        <v>157.17999999999998</v>
      </c>
      <c r="I44" s="87">
        <v>401.87078508716127</v>
      </c>
    </row>
    <row r="45" spans="1:9" x14ac:dyDescent="0.25">
      <c r="A45" s="82">
        <v>5</v>
      </c>
      <c r="B45">
        <v>204</v>
      </c>
      <c r="C45" s="42">
        <v>9</v>
      </c>
      <c r="D45" s="83" t="s">
        <v>337</v>
      </c>
      <c r="E45" s="84">
        <v>317224.81</v>
      </c>
      <c r="F45" s="85">
        <v>1338.9099999999999</v>
      </c>
      <c r="G45" s="85">
        <v>315885.90000000002</v>
      </c>
      <c r="H45" s="86">
        <v>568.74587975616453</v>
      </c>
      <c r="I45" s="87">
        <v>555.40780380761294</v>
      </c>
    </row>
    <row r="46" spans="1:9" x14ac:dyDescent="0.25">
      <c r="A46" s="82">
        <v>5</v>
      </c>
      <c r="B46">
        <v>205</v>
      </c>
      <c r="C46" s="42">
        <v>7</v>
      </c>
      <c r="D46" s="83" t="s">
        <v>231</v>
      </c>
      <c r="E46" s="84">
        <v>371829.98</v>
      </c>
      <c r="F46" s="85">
        <v>18332.88</v>
      </c>
      <c r="G46" s="85">
        <v>353497.1</v>
      </c>
      <c r="H46" s="86">
        <v>665.0595762567732</v>
      </c>
      <c r="I46" s="87">
        <v>531.52696783892054</v>
      </c>
    </row>
    <row r="47" spans="1:9" x14ac:dyDescent="0.25">
      <c r="A47" s="82">
        <v>5</v>
      </c>
      <c r="B47">
        <v>212</v>
      </c>
      <c r="C47" s="88">
        <v>7</v>
      </c>
      <c r="D47" s="83" t="s">
        <v>232</v>
      </c>
      <c r="E47" s="84">
        <v>236357.45</v>
      </c>
      <c r="F47" s="85">
        <v>1143</v>
      </c>
      <c r="G47" s="85">
        <v>235214.45</v>
      </c>
      <c r="H47" s="86">
        <v>548.41106339053624</v>
      </c>
      <c r="I47" s="87">
        <v>428.90172299915537</v>
      </c>
    </row>
    <row r="48" spans="1:9" x14ac:dyDescent="0.25">
      <c r="A48" s="82">
        <v>5</v>
      </c>
      <c r="B48">
        <v>214</v>
      </c>
      <c r="C48" s="42">
        <v>5</v>
      </c>
      <c r="D48" s="83" t="s">
        <v>164</v>
      </c>
      <c r="E48" s="84">
        <v>1537766.99</v>
      </c>
      <c r="F48" s="85">
        <v>311344.71000000002</v>
      </c>
      <c r="G48" s="85">
        <v>1226422.28</v>
      </c>
      <c r="H48" s="86">
        <v>2891.9099999999994</v>
      </c>
      <c r="I48" s="87">
        <v>424.08729178985527</v>
      </c>
    </row>
    <row r="49" spans="1:9" x14ac:dyDescent="0.25">
      <c r="A49" s="82">
        <v>5</v>
      </c>
      <c r="B49">
        <v>216</v>
      </c>
      <c r="C49" s="42">
        <v>7</v>
      </c>
      <c r="D49" s="83" t="s">
        <v>233</v>
      </c>
      <c r="E49" s="84">
        <v>329426.34000000003</v>
      </c>
      <c r="F49" s="85">
        <v>400</v>
      </c>
      <c r="G49" s="85">
        <v>329026.34000000003</v>
      </c>
      <c r="H49" s="86">
        <v>773.71402770152531</v>
      </c>
      <c r="I49" s="87">
        <v>425.25575111703688</v>
      </c>
    </row>
    <row r="50" spans="1:9" x14ac:dyDescent="0.25">
      <c r="A50" s="82">
        <v>5</v>
      </c>
      <c r="B50">
        <v>218</v>
      </c>
      <c r="C50" s="42">
        <v>9</v>
      </c>
      <c r="D50" s="83" t="s">
        <v>338</v>
      </c>
      <c r="E50" s="84">
        <v>200356.76</v>
      </c>
      <c r="F50" s="85">
        <v>58</v>
      </c>
      <c r="G50" s="85">
        <v>200298.76</v>
      </c>
      <c r="H50" s="86">
        <v>324.73918024789344</v>
      </c>
      <c r="I50" s="87">
        <v>616.79887178103854</v>
      </c>
    </row>
    <row r="51" spans="1:9" x14ac:dyDescent="0.25">
      <c r="A51" s="82">
        <v>5</v>
      </c>
      <c r="B51">
        <v>223</v>
      </c>
      <c r="C51" s="42">
        <v>5</v>
      </c>
      <c r="D51" s="83" t="s">
        <v>165</v>
      </c>
      <c r="E51" s="84">
        <v>210970.04</v>
      </c>
      <c r="F51" s="85">
        <v>3068.98</v>
      </c>
      <c r="G51" s="85">
        <v>207901.06</v>
      </c>
      <c r="H51" s="86">
        <v>337.05</v>
      </c>
      <c r="I51" s="87">
        <v>616.82557484052813</v>
      </c>
    </row>
    <row r="52" spans="1:9" x14ac:dyDescent="0.25">
      <c r="A52" s="82">
        <v>5</v>
      </c>
      <c r="B52">
        <v>224</v>
      </c>
      <c r="C52" s="42">
        <v>5</v>
      </c>
      <c r="D52" s="83" t="s">
        <v>367</v>
      </c>
      <c r="E52" s="84">
        <v>83041.2</v>
      </c>
      <c r="F52" s="85">
        <v>0</v>
      </c>
      <c r="G52" s="85">
        <v>83041.2</v>
      </c>
      <c r="H52" s="86">
        <v>252.28256943989149</v>
      </c>
      <c r="I52" s="87">
        <v>329.15948249760191</v>
      </c>
    </row>
    <row r="53" spans="1:9" x14ac:dyDescent="0.25">
      <c r="A53" s="82">
        <v>5</v>
      </c>
      <c r="B53">
        <v>229</v>
      </c>
      <c r="C53" s="42">
        <v>7</v>
      </c>
      <c r="D53" s="83" t="s">
        <v>234</v>
      </c>
      <c r="E53" s="84">
        <v>370208.73</v>
      </c>
      <c r="F53" s="85">
        <v>98568.36</v>
      </c>
      <c r="G53" s="85">
        <v>271640.37</v>
      </c>
      <c r="H53" s="86">
        <v>831.55</v>
      </c>
      <c r="I53" s="87">
        <v>326.66751247670015</v>
      </c>
    </row>
    <row r="54" spans="1:9" x14ac:dyDescent="0.25">
      <c r="A54" s="82">
        <v>5</v>
      </c>
      <c r="B54">
        <v>230</v>
      </c>
      <c r="C54" s="42">
        <v>9</v>
      </c>
      <c r="D54" s="83" t="s">
        <v>339</v>
      </c>
      <c r="E54" s="84">
        <v>73068.070000000007</v>
      </c>
      <c r="F54" s="85">
        <v>231.88</v>
      </c>
      <c r="G54" s="85">
        <v>72836.19</v>
      </c>
      <c r="H54" s="86">
        <v>130.17223865031147</v>
      </c>
      <c r="I54" s="87">
        <v>559.53704687881793</v>
      </c>
    </row>
    <row r="55" spans="1:9" x14ac:dyDescent="0.25">
      <c r="A55" s="82">
        <v>5</v>
      </c>
      <c r="B55">
        <v>232</v>
      </c>
      <c r="C55" s="42">
        <v>8</v>
      </c>
      <c r="D55" s="83" t="s">
        <v>287</v>
      </c>
      <c r="E55" s="84">
        <v>88343.25</v>
      </c>
      <c r="F55" s="85">
        <v>0</v>
      </c>
      <c r="G55" s="85">
        <v>88343.25</v>
      </c>
      <c r="H55" s="86">
        <v>76.348857356837641</v>
      </c>
      <c r="I55" s="87">
        <v>1157.0998317250935</v>
      </c>
    </row>
    <row r="56" spans="1:9" x14ac:dyDescent="0.25">
      <c r="A56" s="82">
        <v>5</v>
      </c>
      <c r="B56">
        <v>233</v>
      </c>
      <c r="C56" s="42">
        <v>5</v>
      </c>
      <c r="D56" s="83" t="s">
        <v>167</v>
      </c>
      <c r="E56" s="84">
        <v>593473.82999999996</v>
      </c>
      <c r="F56" s="85">
        <v>233631.95</v>
      </c>
      <c r="G56" s="85">
        <v>359841.87999999995</v>
      </c>
      <c r="H56" s="86">
        <v>1996.99</v>
      </c>
      <c r="I56" s="87">
        <v>180.19212915437731</v>
      </c>
    </row>
    <row r="57" spans="1:9" x14ac:dyDescent="0.25">
      <c r="A57" s="82">
        <v>5</v>
      </c>
      <c r="B57">
        <v>236</v>
      </c>
      <c r="C57" s="42">
        <v>7</v>
      </c>
      <c r="D57" s="83" t="s">
        <v>376</v>
      </c>
      <c r="E57" s="84">
        <v>561472.04</v>
      </c>
      <c r="F57" s="85">
        <v>111960.58</v>
      </c>
      <c r="G57" s="85">
        <v>449511.46</v>
      </c>
      <c r="H57" s="86">
        <v>972.90858967302233</v>
      </c>
      <c r="I57" s="87">
        <v>462.02846266479463</v>
      </c>
    </row>
    <row r="58" spans="1:9" x14ac:dyDescent="0.25">
      <c r="A58" s="82">
        <v>5</v>
      </c>
      <c r="B58">
        <v>239</v>
      </c>
      <c r="C58" s="42">
        <v>7</v>
      </c>
      <c r="D58" s="83" t="s">
        <v>236</v>
      </c>
      <c r="E58" s="84">
        <v>1875657.05</v>
      </c>
      <c r="F58" s="85">
        <v>447929.59</v>
      </c>
      <c r="G58" s="85">
        <v>1427727.46</v>
      </c>
      <c r="H58" s="86">
        <v>3362.1399999999994</v>
      </c>
      <c r="I58" s="87">
        <v>424.6484262999162</v>
      </c>
    </row>
    <row r="59" spans="1:9" x14ac:dyDescent="0.25">
      <c r="A59" s="82">
        <v>5</v>
      </c>
      <c r="B59">
        <v>245</v>
      </c>
      <c r="C59" s="42">
        <v>8</v>
      </c>
      <c r="D59" s="83" t="s">
        <v>288</v>
      </c>
      <c r="E59" s="84">
        <v>578624.64</v>
      </c>
      <c r="F59" s="85">
        <v>0</v>
      </c>
      <c r="G59" s="85">
        <v>578624.64</v>
      </c>
      <c r="H59" s="86">
        <v>204.14903146110328</v>
      </c>
      <c r="I59" s="87">
        <v>2834.3246884825217</v>
      </c>
    </row>
    <row r="60" spans="1:9" x14ac:dyDescent="0.25">
      <c r="A60" s="82">
        <v>6</v>
      </c>
      <c r="B60">
        <v>249</v>
      </c>
      <c r="C60" s="42">
        <v>7</v>
      </c>
      <c r="D60" s="83" t="s">
        <v>237</v>
      </c>
      <c r="E60" s="84">
        <v>569699.32999999996</v>
      </c>
      <c r="F60" s="85">
        <v>0</v>
      </c>
      <c r="G60" s="85">
        <v>569699.32999999996</v>
      </c>
      <c r="H60" s="86">
        <v>1375.1461466940104</v>
      </c>
      <c r="I60" s="87">
        <v>414.28275196030211</v>
      </c>
    </row>
    <row r="61" spans="1:9" x14ac:dyDescent="0.25">
      <c r="A61" s="82">
        <v>6</v>
      </c>
      <c r="B61">
        <v>270</v>
      </c>
      <c r="C61" s="42">
        <v>1</v>
      </c>
      <c r="D61" s="83" t="s">
        <v>130</v>
      </c>
      <c r="E61" s="84">
        <v>42659563.340000004</v>
      </c>
      <c r="F61" s="85">
        <v>9396801.7899999991</v>
      </c>
      <c r="G61" s="85">
        <v>33262761.550000004</v>
      </c>
      <c r="H61" s="86">
        <v>84973.780000000013</v>
      </c>
      <c r="I61" s="87">
        <v>391.44735646690071</v>
      </c>
    </row>
    <row r="62" spans="1:9" x14ac:dyDescent="0.25">
      <c r="A62" s="82">
        <v>6</v>
      </c>
      <c r="B62">
        <v>271</v>
      </c>
      <c r="C62" s="42">
        <v>7</v>
      </c>
      <c r="D62" s="83" t="s">
        <v>238</v>
      </c>
      <c r="E62" s="84">
        <v>625976.34</v>
      </c>
      <c r="F62" s="85">
        <v>142763.09</v>
      </c>
      <c r="G62" s="85">
        <v>483213.25</v>
      </c>
      <c r="H62" s="86">
        <v>989.5999999999998</v>
      </c>
      <c r="I62" s="87">
        <v>488.29148140662903</v>
      </c>
    </row>
    <row r="63" spans="1:9" x14ac:dyDescent="0.25">
      <c r="A63" s="82">
        <v>6</v>
      </c>
      <c r="B63">
        <v>272</v>
      </c>
      <c r="C63" s="42">
        <v>5</v>
      </c>
      <c r="D63" s="83" t="s">
        <v>168</v>
      </c>
      <c r="E63" s="84">
        <v>90539.03</v>
      </c>
      <c r="F63" s="85">
        <v>0</v>
      </c>
      <c r="G63" s="85">
        <v>90539.03</v>
      </c>
      <c r="H63" s="86">
        <v>440.78368261105675</v>
      </c>
      <c r="I63" s="87">
        <v>205.40467710527923</v>
      </c>
    </row>
    <row r="64" spans="1:9" x14ac:dyDescent="0.25">
      <c r="A64" s="82">
        <v>6</v>
      </c>
      <c r="B64">
        <v>275</v>
      </c>
      <c r="C64" s="42">
        <v>7</v>
      </c>
      <c r="D64" s="83" t="s">
        <v>239</v>
      </c>
      <c r="E64" s="84">
        <v>302782.98</v>
      </c>
      <c r="F64" s="85">
        <v>115724.21</v>
      </c>
      <c r="G64" s="85">
        <v>187058.76999999996</v>
      </c>
      <c r="H64" s="86">
        <v>729.32</v>
      </c>
      <c r="I64" s="87">
        <v>256.48380683376291</v>
      </c>
    </row>
    <row r="65" spans="1:9" x14ac:dyDescent="0.25">
      <c r="A65" s="82">
        <v>6</v>
      </c>
      <c r="B65">
        <v>277</v>
      </c>
      <c r="C65" s="42">
        <v>9</v>
      </c>
      <c r="D65" s="83" t="s">
        <v>340</v>
      </c>
      <c r="E65" s="84">
        <v>65605.63</v>
      </c>
      <c r="F65" s="85">
        <v>0</v>
      </c>
      <c r="G65" s="85">
        <v>65605.63</v>
      </c>
      <c r="H65" s="86">
        <v>114.46027707492898</v>
      </c>
      <c r="I65" s="87">
        <v>573.17378287536974</v>
      </c>
    </row>
    <row r="66" spans="1:9" x14ac:dyDescent="0.25">
      <c r="A66" s="82">
        <v>6</v>
      </c>
      <c r="B66">
        <v>279</v>
      </c>
      <c r="C66" s="42">
        <v>9</v>
      </c>
      <c r="D66" s="83" t="s">
        <v>341</v>
      </c>
      <c r="E66" s="84">
        <v>113636.19</v>
      </c>
      <c r="F66" s="85">
        <v>144</v>
      </c>
      <c r="G66" s="85">
        <v>113492.19</v>
      </c>
      <c r="H66" s="86">
        <v>525.26699782726371</v>
      </c>
      <c r="I66" s="87">
        <v>216.06571604432378</v>
      </c>
    </row>
    <row r="67" spans="1:9" x14ac:dyDescent="0.25">
      <c r="A67" s="82">
        <v>6</v>
      </c>
      <c r="B67">
        <v>282</v>
      </c>
      <c r="C67" s="42">
        <v>7</v>
      </c>
      <c r="D67" s="83" t="s">
        <v>240</v>
      </c>
      <c r="E67" s="84">
        <v>53977.95</v>
      </c>
      <c r="F67" s="85">
        <v>0</v>
      </c>
      <c r="G67" s="85">
        <v>53977.95</v>
      </c>
      <c r="H67" s="86">
        <v>178.07232316556465</v>
      </c>
      <c r="I67" s="87">
        <v>303.12374792692191</v>
      </c>
    </row>
    <row r="68" spans="1:9" x14ac:dyDescent="0.25">
      <c r="A68" s="82">
        <v>6</v>
      </c>
      <c r="B68">
        <v>287</v>
      </c>
      <c r="C68" s="42">
        <v>7</v>
      </c>
      <c r="D68" s="83" t="s">
        <v>241</v>
      </c>
      <c r="E68" s="84">
        <v>67544.09</v>
      </c>
      <c r="F68" s="85">
        <v>0</v>
      </c>
      <c r="G68" s="85">
        <v>67544.09</v>
      </c>
      <c r="H68" s="86">
        <v>201.27762312617861</v>
      </c>
      <c r="I68" s="87">
        <v>335.57674693752415</v>
      </c>
    </row>
    <row r="69" spans="1:9" x14ac:dyDescent="0.25">
      <c r="A69" s="82">
        <v>6</v>
      </c>
      <c r="B69">
        <v>290</v>
      </c>
      <c r="C69" s="42">
        <v>7</v>
      </c>
      <c r="D69" s="83" t="s">
        <v>242</v>
      </c>
      <c r="E69" s="84">
        <v>158090.09</v>
      </c>
      <c r="F69" s="85">
        <v>0</v>
      </c>
      <c r="G69" s="85">
        <v>158090.09</v>
      </c>
      <c r="H69" s="86">
        <v>421.86</v>
      </c>
      <c r="I69" s="87">
        <v>374.74538946569947</v>
      </c>
    </row>
    <row r="70" spans="1:9" x14ac:dyDescent="0.25">
      <c r="A70" s="82">
        <v>6</v>
      </c>
      <c r="B70">
        <v>293</v>
      </c>
      <c r="C70" s="42">
        <v>3</v>
      </c>
      <c r="D70" s="83" t="s">
        <v>143</v>
      </c>
      <c r="E70" s="84">
        <v>1888483.23</v>
      </c>
      <c r="F70" s="85">
        <v>900166.85</v>
      </c>
      <c r="G70" s="85">
        <v>988316.38</v>
      </c>
      <c r="H70" s="86">
        <v>8194.33</v>
      </c>
      <c r="I70" s="87">
        <v>120.60978505869302</v>
      </c>
    </row>
    <row r="71" spans="1:9" x14ac:dyDescent="0.25">
      <c r="A71" s="82">
        <v>6</v>
      </c>
      <c r="B71">
        <v>294</v>
      </c>
      <c r="C71" s="42">
        <v>7</v>
      </c>
      <c r="D71" s="83" t="s">
        <v>243</v>
      </c>
      <c r="E71" s="84">
        <v>549290.56999999995</v>
      </c>
      <c r="F71" s="85">
        <v>896</v>
      </c>
      <c r="G71" s="85">
        <v>548394.56999999995</v>
      </c>
      <c r="H71" s="86">
        <v>1263.3648618063448</v>
      </c>
      <c r="I71" s="87">
        <v>434.07457859474704</v>
      </c>
    </row>
    <row r="72" spans="1:9" x14ac:dyDescent="0.25">
      <c r="A72" s="82">
        <v>6</v>
      </c>
      <c r="B72">
        <v>296</v>
      </c>
      <c r="C72" s="42">
        <v>7</v>
      </c>
      <c r="D72" s="83" t="s">
        <v>244</v>
      </c>
      <c r="E72" s="84">
        <v>751905.37</v>
      </c>
      <c r="F72" s="85">
        <v>153102.99</v>
      </c>
      <c r="G72" s="85">
        <v>598802.38</v>
      </c>
      <c r="H72" s="86">
        <v>918.9899999999999</v>
      </c>
      <c r="I72" s="87">
        <v>651.58748190948768</v>
      </c>
    </row>
    <row r="73" spans="1:9" x14ac:dyDescent="0.25">
      <c r="A73" s="89">
        <v>6</v>
      </c>
      <c r="B73">
        <v>301</v>
      </c>
      <c r="C73" s="42">
        <v>7</v>
      </c>
      <c r="D73" s="83" t="s">
        <v>245</v>
      </c>
      <c r="E73" s="84">
        <v>204605.38</v>
      </c>
      <c r="F73" s="85">
        <v>280</v>
      </c>
      <c r="G73" s="85">
        <v>204325.38</v>
      </c>
      <c r="H73" s="86">
        <v>635.66524097552065</v>
      </c>
      <c r="I73" s="87">
        <v>321.43550854917447</v>
      </c>
    </row>
    <row r="74" spans="1:9" x14ac:dyDescent="0.25">
      <c r="A74" s="82">
        <v>6</v>
      </c>
      <c r="B74">
        <v>321</v>
      </c>
      <c r="C74" s="42">
        <v>7</v>
      </c>
      <c r="D74" s="83" t="s">
        <v>246</v>
      </c>
      <c r="E74" s="84">
        <v>432393.18</v>
      </c>
      <c r="F74" s="85">
        <v>37489.839999999997</v>
      </c>
      <c r="G74" s="85">
        <v>394903.33999999997</v>
      </c>
      <c r="H74" s="86">
        <v>458.79</v>
      </c>
      <c r="I74" s="87">
        <v>860.74966760391453</v>
      </c>
    </row>
    <row r="75" spans="1:9" x14ac:dyDescent="0.25">
      <c r="A75" s="82">
        <v>6</v>
      </c>
      <c r="B75">
        <v>324</v>
      </c>
      <c r="C75" s="42">
        <v>4</v>
      </c>
      <c r="D75" s="83" t="s">
        <v>154</v>
      </c>
      <c r="E75" s="84">
        <v>3854312.14</v>
      </c>
      <c r="F75" s="85">
        <v>1038953.11</v>
      </c>
      <c r="G75" s="85">
        <v>2815359.0300000003</v>
      </c>
      <c r="H75" s="86">
        <v>8435.36</v>
      </c>
      <c r="I75" s="87">
        <v>333.75683195500847</v>
      </c>
    </row>
    <row r="76" spans="1:9" x14ac:dyDescent="0.25">
      <c r="A76" s="82">
        <v>6</v>
      </c>
      <c r="B76">
        <v>325</v>
      </c>
      <c r="C76" s="42">
        <v>7</v>
      </c>
      <c r="D76" s="83" t="s">
        <v>247</v>
      </c>
      <c r="E76" s="84">
        <v>196990.77</v>
      </c>
      <c r="F76" s="85">
        <v>642</v>
      </c>
      <c r="G76" s="85">
        <v>196348.77</v>
      </c>
      <c r="H76" s="86">
        <v>397.68555374704596</v>
      </c>
      <c r="I76" s="87">
        <v>493.7286963279804</v>
      </c>
    </row>
    <row r="77" spans="1:9" x14ac:dyDescent="0.25">
      <c r="A77" s="82">
        <v>6</v>
      </c>
      <c r="B77">
        <v>331</v>
      </c>
      <c r="C77" s="42">
        <v>9</v>
      </c>
      <c r="D77" s="83" t="s">
        <v>342</v>
      </c>
      <c r="E77" s="84">
        <v>127960.52</v>
      </c>
      <c r="F77" s="85">
        <v>10343.35</v>
      </c>
      <c r="G77" s="85">
        <v>117617.17</v>
      </c>
      <c r="H77" s="86">
        <v>737.493877396681</v>
      </c>
      <c r="I77" s="87">
        <v>159.48223246975707</v>
      </c>
    </row>
    <row r="78" spans="1:9" x14ac:dyDescent="0.25">
      <c r="A78" s="82">
        <v>6</v>
      </c>
      <c r="B78">
        <v>335</v>
      </c>
      <c r="C78" s="42">
        <v>2</v>
      </c>
      <c r="D78" s="83" t="s">
        <v>134</v>
      </c>
      <c r="E78" s="84">
        <v>9073517.4499999993</v>
      </c>
      <c r="F78" s="85">
        <v>3011298.2499999995</v>
      </c>
      <c r="G78" s="85">
        <v>6062219.1999999993</v>
      </c>
      <c r="H78" s="86">
        <v>24977.67</v>
      </c>
      <c r="I78" s="87">
        <v>242.70555259958192</v>
      </c>
    </row>
    <row r="79" spans="1:9" x14ac:dyDescent="0.25">
      <c r="A79" s="82">
        <v>6</v>
      </c>
      <c r="B79">
        <v>346</v>
      </c>
      <c r="C79" s="42">
        <v>7</v>
      </c>
      <c r="D79" s="83" t="s">
        <v>248</v>
      </c>
      <c r="E79" s="84">
        <v>74147.02</v>
      </c>
      <c r="F79" s="85">
        <v>0</v>
      </c>
      <c r="G79" s="85">
        <v>74147.02</v>
      </c>
      <c r="H79" s="86">
        <v>185.65146994381385</v>
      </c>
      <c r="I79" s="87">
        <v>399.38827321130339</v>
      </c>
    </row>
    <row r="80" spans="1:9" x14ac:dyDescent="0.25">
      <c r="A80" s="82">
        <v>6</v>
      </c>
      <c r="B80">
        <v>357</v>
      </c>
      <c r="C80" s="42">
        <v>2</v>
      </c>
      <c r="D80" s="83" t="s">
        <v>135</v>
      </c>
      <c r="E80" s="84">
        <v>11830375.369999999</v>
      </c>
      <c r="F80" s="85">
        <v>4240599.0500000007</v>
      </c>
      <c r="G80" s="85">
        <v>7589776.3199999984</v>
      </c>
      <c r="H80" s="86">
        <v>37374.909999999996</v>
      </c>
      <c r="I80" s="87">
        <v>203.07142732918953</v>
      </c>
    </row>
    <row r="81" spans="1:9" x14ac:dyDescent="0.25">
      <c r="A81" s="82">
        <v>6</v>
      </c>
      <c r="B81">
        <v>358</v>
      </c>
      <c r="C81" s="42">
        <v>7</v>
      </c>
      <c r="D81" s="83" t="s">
        <v>249</v>
      </c>
      <c r="E81" s="84">
        <v>201875.5</v>
      </c>
      <c r="F81" s="85">
        <v>38444.080000000002</v>
      </c>
      <c r="G81" s="85">
        <v>163431.41999999998</v>
      </c>
      <c r="H81" s="86">
        <v>394.79999999999995</v>
      </c>
      <c r="I81" s="87">
        <v>413.96003039513681</v>
      </c>
    </row>
    <row r="82" spans="1:9" x14ac:dyDescent="0.25">
      <c r="A82" s="82">
        <v>6</v>
      </c>
      <c r="B82">
        <v>361</v>
      </c>
      <c r="C82" s="42">
        <v>7</v>
      </c>
      <c r="D82" s="83" t="s">
        <v>250</v>
      </c>
      <c r="E82" s="84">
        <v>403236.79</v>
      </c>
      <c r="F82" s="85">
        <v>6531</v>
      </c>
      <c r="G82" s="85">
        <v>396705.79</v>
      </c>
      <c r="H82" s="86">
        <v>1389.4465893019121</v>
      </c>
      <c r="I82" s="87">
        <v>285.51352247322694</v>
      </c>
    </row>
    <row r="83" spans="1:9" x14ac:dyDescent="0.25">
      <c r="A83" s="82">
        <v>6</v>
      </c>
      <c r="B83">
        <v>369</v>
      </c>
      <c r="C83" s="42">
        <v>9</v>
      </c>
      <c r="D83" s="83" t="s">
        <v>343</v>
      </c>
      <c r="E83" s="84">
        <v>385576.36</v>
      </c>
      <c r="F83" s="85">
        <v>0</v>
      </c>
      <c r="G83" s="85">
        <v>385576.36</v>
      </c>
      <c r="H83" s="86">
        <v>339.40999999999997</v>
      </c>
      <c r="I83" s="87">
        <v>1136.0194455083822</v>
      </c>
    </row>
    <row r="84" spans="1:9" x14ac:dyDescent="0.25">
      <c r="A84" s="82">
        <v>6</v>
      </c>
      <c r="B84">
        <v>372</v>
      </c>
      <c r="C84" s="42">
        <v>8</v>
      </c>
      <c r="D84" s="83" t="s">
        <v>289</v>
      </c>
      <c r="E84" s="84">
        <v>90900.08</v>
      </c>
      <c r="F84" s="85">
        <v>0</v>
      </c>
      <c r="G84" s="85">
        <v>90900.08</v>
      </c>
      <c r="H84" s="86">
        <v>101.95118442338628</v>
      </c>
      <c r="I84" s="87">
        <v>891.60396236798113</v>
      </c>
    </row>
    <row r="85" spans="1:9" x14ac:dyDescent="0.25">
      <c r="A85" s="82">
        <v>6</v>
      </c>
      <c r="B85">
        <v>375</v>
      </c>
      <c r="C85" s="42">
        <v>8</v>
      </c>
      <c r="D85" s="83" t="s">
        <v>381</v>
      </c>
      <c r="E85" s="84">
        <v>146200.91</v>
      </c>
      <c r="F85" s="85">
        <v>0</v>
      </c>
      <c r="G85" s="85">
        <v>146200.91</v>
      </c>
      <c r="H85" s="86">
        <v>167.94</v>
      </c>
      <c r="I85" s="87">
        <v>870.55442419911878</v>
      </c>
    </row>
    <row r="86" spans="1:9" x14ac:dyDescent="0.25">
      <c r="A86" s="82">
        <v>6</v>
      </c>
      <c r="B86">
        <v>376</v>
      </c>
      <c r="C86" s="42">
        <v>7</v>
      </c>
      <c r="D86" s="83" t="s">
        <v>251</v>
      </c>
      <c r="E86" s="84">
        <v>262184.61</v>
      </c>
      <c r="F86" s="85">
        <v>183</v>
      </c>
      <c r="G86" s="85">
        <v>262001.61</v>
      </c>
      <c r="H86" s="86">
        <v>873.60969415495833</v>
      </c>
      <c r="I86" s="87">
        <v>299.9069398530815</v>
      </c>
    </row>
    <row r="87" spans="1:9" x14ac:dyDescent="0.25">
      <c r="A87" s="82">
        <v>6</v>
      </c>
      <c r="B87">
        <v>382</v>
      </c>
      <c r="C87" s="42">
        <v>7</v>
      </c>
      <c r="D87" s="83" t="s">
        <v>252</v>
      </c>
      <c r="E87" s="84">
        <v>82371.59</v>
      </c>
      <c r="F87" s="85">
        <v>21362.729999999996</v>
      </c>
      <c r="G87" s="85">
        <v>61008.86</v>
      </c>
      <c r="H87" s="86">
        <v>178.71000000000004</v>
      </c>
      <c r="I87" s="87">
        <v>341.38470147165793</v>
      </c>
    </row>
    <row r="88" spans="1:9" x14ac:dyDescent="0.25">
      <c r="A88" s="82">
        <v>6</v>
      </c>
      <c r="B88">
        <v>389</v>
      </c>
      <c r="C88" s="42">
        <v>7</v>
      </c>
      <c r="D88" s="83" t="s">
        <v>253</v>
      </c>
      <c r="E88" s="84">
        <v>133794.13</v>
      </c>
      <c r="F88" s="85">
        <v>847</v>
      </c>
      <c r="G88" s="85">
        <v>132947.13</v>
      </c>
      <c r="H88" s="86">
        <v>1339.9665528847299</v>
      </c>
      <c r="I88" s="87">
        <v>99.216752622508722</v>
      </c>
    </row>
    <row r="89" spans="1:9" x14ac:dyDescent="0.25">
      <c r="A89" s="82">
        <v>6</v>
      </c>
      <c r="B89">
        <v>394</v>
      </c>
      <c r="C89" s="42">
        <v>6</v>
      </c>
      <c r="D89" s="83" t="s">
        <v>180</v>
      </c>
      <c r="E89" s="84">
        <v>399852.09</v>
      </c>
      <c r="F89" s="85">
        <v>48487.89</v>
      </c>
      <c r="G89" s="85">
        <v>351364.2</v>
      </c>
      <c r="H89" s="86">
        <v>774</v>
      </c>
      <c r="I89" s="87">
        <v>453.9589147286822</v>
      </c>
    </row>
    <row r="90" spans="1:9" x14ac:dyDescent="0.25">
      <c r="A90" s="82">
        <v>6</v>
      </c>
      <c r="B90">
        <v>404</v>
      </c>
      <c r="C90" s="42">
        <v>8</v>
      </c>
      <c r="D90" s="83" t="s">
        <v>291</v>
      </c>
      <c r="E90" s="84">
        <v>180569.64</v>
      </c>
      <c r="F90" s="85">
        <v>0</v>
      </c>
      <c r="G90" s="85">
        <v>180569.64</v>
      </c>
      <c r="H90" s="86">
        <v>446.78753640226284</v>
      </c>
      <c r="I90" s="87">
        <v>404.15102322242285</v>
      </c>
    </row>
    <row r="91" spans="1:9" x14ac:dyDescent="0.25">
      <c r="A91" s="82">
        <v>6</v>
      </c>
      <c r="B91">
        <v>413</v>
      </c>
      <c r="C91" s="42">
        <v>8</v>
      </c>
      <c r="D91" s="83" t="s">
        <v>292</v>
      </c>
      <c r="E91" s="84">
        <v>54207.98</v>
      </c>
      <c r="F91" s="85">
        <v>45</v>
      </c>
      <c r="G91" s="85">
        <v>54162.98</v>
      </c>
      <c r="H91" s="86">
        <v>89.679999999999993</v>
      </c>
      <c r="I91" s="87">
        <v>603.95829616413926</v>
      </c>
    </row>
    <row r="92" spans="1:9" x14ac:dyDescent="0.25">
      <c r="A92" s="82">
        <v>6</v>
      </c>
      <c r="B92">
        <v>414</v>
      </c>
      <c r="C92" s="42">
        <v>6</v>
      </c>
      <c r="D92" s="83" t="s">
        <v>181</v>
      </c>
      <c r="E92" s="84">
        <v>172270.15</v>
      </c>
      <c r="F92" s="85">
        <v>163.68</v>
      </c>
      <c r="G92" s="85">
        <v>172106.47</v>
      </c>
      <c r="H92" s="86">
        <v>273.54890062182221</v>
      </c>
      <c r="I92" s="87">
        <v>629.16162195780475</v>
      </c>
    </row>
    <row r="93" spans="1:9" x14ac:dyDescent="0.25">
      <c r="A93" s="82">
        <v>6</v>
      </c>
      <c r="B93">
        <v>416</v>
      </c>
      <c r="C93" s="42">
        <v>9</v>
      </c>
      <c r="D93" s="83" t="s">
        <v>344</v>
      </c>
      <c r="E93" s="84">
        <v>58015.31</v>
      </c>
      <c r="F93" s="85">
        <v>45</v>
      </c>
      <c r="G93" s="85">
        <v>57970.31</v>
      </c>
      <c r="H93" s="86">
        <v>77.474017362685885</v>
      </c>
      <c r="I93" s="87">
        <v>748.25485980181611</v>
      </c>
    </row>
    <row r="94" spans="1:9" x14ac:dyDescent="0.25">
      <c r="A94" s="82">
        <v>6</v>
      </c>
      <c r="B94">
        <v>420</v>
      </c>
      <c r="C94" s="42">
        <v>9</v>
      </c>
      <c r="D94" s="83" t="s">
        <v>345</v>
      </c>
      <c r="E94" s="84">
        <v>96275.54</v>
      </c>
      <c r="F94" s="85">
        <v>135.41</v>
      </c>
      <c r="G94" s="85">
        <v>96140.12999999999</v>
      </c>
      <c r="H94" s="86">
        <v>369.22350623910916</v>
      </c>
      <c r="I94" s="87">
        <v>260.384640672741</v>
      </c>
    </row>
    <row r="95" spans="1:9" x14ac:dyDescent="0.25">
      <c r="A95" s="82">
        <v>6</v>
      </c>
      <c r="B95">
        <v>426</v>
      </c>
      <c r="C95" s="42">
        <v>6</v>
      </c>
      <c r="D95" s="83" t="s">
        <v>182</v>
      </c>
      <c r="E95" s="84">
        <v>135594.26999999999</v>
      </c>
      <c r="F95" s="85">
        <v>0</v>
      </c>
      <c r="G95" s="85">
        <v>135594.26999999999</v>
      </c>
      <c r="H95" s="86">
        <v>406.28177619172652</v>
      </c>
      <c r="I95" s="87">
        <v>333.74440584313174</v>
      </c>
    </row>
    <row r="96" spans="1:9" x14ac:dyDescent="0.25">
      <c r="A96" s="82">
        <v>6</v>
      </c>
      <c r="B96">
        <v>427</v>
      </c>
      <c r="C96" s="42">
        <v>5</v>
      </c>
      <c r="D96" s="83" t="s">
        <v>169</v>
      </c>
      <c r="E96" s="84">
        <v>194689.8</v>
      </c>
      <c r="F96" s="85">
        <v>49957.020000000004</v>
      </c>
      <c r="G96" s="85">
        <v>144732.77999999997</v>
      </c>
      <c r="H96" s="86">
        <v>422.92</v>
      </c>
      <c r="I96" s="87">
        <v>342.22259528988928</v>
      </c>
    </row>
    <row r="97" spans="1:9" x14ac:dyDescent="0.25">
      <c r="A97" s="82">
        <v>6</v>
      </c>
      <c r="B97">
        <v>429</v>
      </c>
      <c r="C97" s="42">
        <v>4</v>
      </c>
      <c r="D97" s="83" t="s">
        <v>155</v>
      </c>
      <c r="E97" s="84">
        <v>1676238.46</v>
      </c>
      <c r="F97" s="85">
        <v>410710.27</v>
      </c>
      <c r="G97" s="85">
        <v>1265528.19</v>
      </c>
      <c r="H97" s="86">
        <v>4185.235170553553</v>
      </c>
      <c r="I97" s="87">
        <v>302.37923042031042</v>
      </c>
    </row>
    <row r="98" spans="1:9" x14ac:dyDescent="0.25">
      <c r="A98" s="82">
        <v>6</v>
      </c>
      <c r="B98">
        <v>430</v>
      </c>
      <c r="C98" s="42">
        <v>6</v>
      </c>
      <c r="D98" s="83" t="s">
        <v>183</v>
      </c>
      <c r="E98" s="84">
        <v>1765459.74</v>
      </c>
      <c r="F98" s="85">
        <v>605</v>
      </c>
      <c r="G98" s="85">
        <v>1764854.74</v>
      </c>
      <c r="H98" s="86">
        <v>2942.9027391725313</v>
      </c>
      <c r="I98" s="87">
        <v>599.69862969247561</v>
      </c>
    </row>
    <row r="99" spans="1:9" x14ac:dyDescent="0.25">
      <c r="A99" s="82">
        <v>6</v>
      </c>
      <c r="B99">
        <v>434</v>
      </c>
      <c r="C99" s="42">
        <v>7</v>
      </c>
      <c r="D99" s="83" t="s">
        <v>254</v>
      </c>
      <c r="E99" s="84">
        <v>148342.60999999999</v>
      </c>
      <c r="F99" s="85">
        <v>0</v>
      </c>
      <c r="G99" s="85">
        <v>148342.60999999999</v>
      </c>
      <c r="H99" s="86">
        <v>379.12850517263735</v>
      </c>
      <c r="I99" s="87">
        <v>391.27263705073221</v>
      </c>
    </row>
    <row r="100" spans="1:9" x14ac:dyDescent="0.25">
      <c r="A100" s="82">
        <v>6</v>
      </c>
      <c r="B100">
        <v>437</v>
      </c>
      <c r="C100" s="42">
        <v>7</v>
      </c>
      <c r="D100" s="83" t="s">
        <v>255</v>
      </c>
      <c r="E100" s="84">
        <v>212779.41</v>
      </c>
      <c r="F100" s="85">
        <v>0</v>
      </c>
      <c r="G100" s="85">
        <v>212779.41</v>
      </c>
      <c r="H100" s="86">
        <v>323.78932873882195</v>
      </c>
      <c r="I100" s="87">
        <v>657.15386862435537</v>
      </c>
    </row>
    <row r="101" spans="1:9" x14ac:dyDescent="0.25">
      <c r="A101" s="82">
        <v>6</v>
      </c>
      <c r="B101">
        <v>441</v>
      </c>
      <c r="C101" s="42">
        <v>2</v>
      </c>
      <c r="D101" s="83" t="s">
        <v>136</v>
      </c>
      <c r="E101" s="84">
        <v>17288203.829999998</v>
      </c>
      <c r="F101" s="85">
        <v>7330092.459999999</v>
      </c>
      <c r="G101" s="85">
        <v>9958111.3699999992</v>
      </c>
      <c r="H101" s="86">
        <v>58897.530000000006</v>
      </c>
      <c r="I101" s="87">
        <v>169.07519500393306</v>
      </c>
    </row>
    <row r="102" spans="1:9" x14ac:dyDescent="0.25">
      <c r="A102" s="82">
        <v>6</v>
      </c>
      <c r="B102">
        <v>502</v>
      </c>
      <c r="C102" s="42">
        <v>7</v>
      </c>
      <c r="D102" s="83" t="s">
        <v>256</v>
      </c>
      <c r="E102" s="84">
        <v>278891.21999999997</v>
      </c>
      <c r="F102" s="85">
        <v>0</v>
      </c>
      <c r="G102" s="85">
        <v>278891.21999999997</v>
      </c>
      <c r="H102" s="86">
        <v>642.32660023938229</v>
      </c>
      <c r="I102" s="87">
        <v>434.18911795971519</v>
      </c>
    </row>
    <row r="103" spans="1:9" x14ac:dyDescent="0.25">
      <c r="A103" s="82">
        <v>6</v>
      </c>
      <c r="B103">
        <v>503</v>
      </c>
      <c r="C103" s="42">
        <v>7</v>
      </c>
      <c r="D103" s="83" t="s">
        <v>257</v>
      </c>
      <c r="E103" s="84">
        <v>186459.33</v>
      </c>
      <c r="F103" s="85">
        <v>46111.149999999994</v>
      </c>
      <c r="G103" s="85">
        <v>140348.18</v>
      </c>
      <c r="H103" s="86">
        <v>389.59000000000003</v>
      </c>
      <c r="I103" s="87">
        <v>360.24584819938906</v>
      </c>
    </row>
    <row r="104" spans="1:9" x14ac:dyDescent="0.25">
      <c r="A104" s="82">
        <v>6</v>
      </c>
      <c r="B104">
        <v>508</v>
      </c>
      <c r="C104" s="42">
        <v>9</v>
      </c>
      <c r="D104" s="83" t="s">
        <v>346</v>
      </c>
      <c r="E104" s="84">
        <v>49105.2</v>
      </c>
      <c r="F104" s="85">
        <v>0</v>
      </c>
      <c r="G104" s="85">
        <v>49105.2</v>
      </c>
      <c r="H104" s="86">
        <v>86.151245564949591</v>
      </c>
      <c r="I104" s="87">
        <v>569.98827675659652</v>
      </c>
    </row>
    <row r="105" spans="1:9" x14ac:dyDescent="0.25">
      <c r="A105" s="82">
        <v>6</v>
      </c>
      <c r="B105">
        <v>510</v>
      </c>
      <c r="C105" s="42">
        <v>7</v>
      </c>
      <c r="D105" s="83" t="s">
        <v>258</v>
      </c>
      <c r="E105" s="84">
        <v>212644.13</v>
      </c>
      <c r="F105" s="85">
        <v>462</v>
      </c>
      <c r="G105" s="85">
        <v>212182.13</v>
      </c>
      <c r="H105" s="86">
        <v>495.65548577626328</v>
      </c>
      <c r="I105" s="87">
        <v>428.08389312527066</v>
      </c>
    </row>
    <row r="106" spans="1:9" x14ac:dyDescent="0.25">
      <c r="A106" s="82">
        <v>7</v>
      </c>
      <c r="B106">
        <v>512</v>
      </c>
      <c r="C106" s="42">
        <v>9</v>
      </c>
      <c r="D106" s="83" t="s">
        <v>347</v>
      </c>
      <c r="E106" s="84">
        <v>276481.19</v>
      </c>
      <c r="F106" s="85">
        <v>6876.5</v>
      </c>
      <c r="G106" s="85">
        <v>269604.69</v>
      </c>
      <c r="H106" s="86">
        <v>237.39075867388348</v>
      </c>
      <c r="I106" s="87">
        <v>1135.7000226380781</v>
      </c>
    </row>
    <row r="107" spans="1:9" x14ac:dyDescent="0.25">
      <c r="A107" s="82">
        <v>7</v>
      </c>
      <c r="B107">
        <v>516</v>
      </c>
      <c r="C107" s="42">
        <v>9</v>
      </c>
      <c r="D107" s="83" t="s">
        <v>348</v>
      </c>
      <c r="E107" s="84">
        <v>179866.55</v>
      </c>
      <c r="F107" s="85">
        <v>48</v>
      </c>
      <c r="G107" s="85">
        <v>179818.55</v>
      </c>
      <c r="H107" s="86">
        <v>333.94748973575537</v>
      </c>
      <c r="I107" s="87">
        <v>538.46354749450609</v>
      </c>
    </row>
    <row r="108" spans="1:9" x14ac:dyDescent="0.25">
      <c r="A108" s="82">
        <v>7</v>
      </c>
      <c r="B108">
        <v>521</v>
      </c>
      <c r="C108" s="42">
        <v>9</v>
      </c>
      <c r="D108" s="83" t="s">
        <v>349</v>
      </c>
      <c r="E108" s="84">
        <v>349225.33</v>
      </c>
      <c r="F108" s="85">
        <v>35.4</v>
      </c>
      <c r="G108" s="85">
        <v>349189.93</v>
      </c>
      <c r="H108" s="86">
        <v>123.09071480738888</v>
      </c>
      <c r="I108" s="87">
        <v>2836.8502900191042</v>
      </c>
    </row>
    <row r="109" spans="1:9" x14ac:dyDescent="0.25">
      <c r="A109" s="82">
        <v>7</v>
      </c>
      <c r="B109">
        <v>522</v>
      </c>
      <c r="C109" s="42">
        <v>9</v>
      </c>
      <c r="D109" s="83" t="s">
        <v>350</v>
      </c>
      <c r="E109" s="84">
        <v>91617.600000000006</v>
      </c>
      <c r="F109" s="85">
        <v>18</v>
      </c>
      <c r="G109" s="85">
        <v>91599.6</v>
      </c>
      <c r="H109" s="86">
        <v>103.99178838051702</v>
      </c>
      <c r="I109" s="87">
        <v>880.83493347404817</v>
      </c>
    </row>
    <row r="110" spans="1:9" x14ac:dyDescent="0.25">
      <c r="A110" s="82">
        <v>7</v>
      </c>
      <c r="B110">
        <v>523</v>
      </c>
      <c r="C110" s="42">
        <v>9</v>
      </c>
      <c r="D110" s="83" t="s">
        <v>351</v>
      </c>
      <c r="E110" s="84">
        <v>249998.93</v>
      </c>
      <c r="F110" s="85">
        <v>275</v>
      </c>
      <c r="G110" s="85">
        <v>249723.93</v>
      </c>
      <c r="H110" s="86">
        <v>987.1613814509584</v>
      </c>
      <c r="I110" s="87">
        <v>252.97173764329042</v>
      </c>
    </row>
    <row r="111" spans="1:9" x14ac:dyDescent="0.25">
      <c r="A111" s="82">
        <v>7</v>
      </c>
      <c r="B111">
        <v>524</v>
      </c>
      <c r="C111" s="42">
        <v>5</v>
      </c>
      <c r="D111" s="83" t="s">
        <v>170</v>
      </c>
      <c r="E111" s="84">
        <v>215132.64</v>
      </c>
      <c r="F111" s="85">
        <v>154.80000000000001</v>
      </c>
      <c r="G111" s="85">
        <v>214977.84000000003</v>
      </c>
      <c r="H111" s="86">
        <v>546.4137039600887</v>
      </c>
      <c r="I111" s="87">
        <v>393.43420276974331</v>
      </c>
    </row>
    <row r="112" spans="1:9" x14ac:dyDescent="0.25">
      <c r="A112" s="82">
        <v>7</v>
      </c>
      <c r="B112">
        <v>527</v>
      </c>
      <c r="C112" s="42">
        <v>9</v>
      </c>
      <c r="D112" s="83" t="s">
        <v>352</v>
      </c>
      <c r="E112" s="84">
        <v>90807.56</v>
      </c>
      <c r="F112" s="85">
        <v>0</v>
      </c>
      <c r="G112" s="85">
        <v>90807.56</v>
      </c>
      <c r="H112" s="86">
        <v>222.29561203542357</v>
      </c>
      <c r="I112" s="87">
        <v>408.49911146932357</v>
      </c>
    </row>
    <row r="113" spans="1:9" x14ac:dyDescent="0.25">
      <c r="A113" s="82">
        <v>7</v>
      </c>
      <c r="B113">
        <v>531</v>
      </c>
      <c r="C113" s="42">
        <v>7</v>
      </c>
      <c r="D113" s="83" t="s">
        <v>259</v>
      </c>
      <c r="E113" s="84">
        <v>896971.7</v>
      </c>
      <c r="F113" s="85">
        <v>3748</v>
      </c>
      <c r="G113" s="85">
        <v>893223.7</v>
      </c>
      <c r="H113" s="86">
        <v>1991.71</v>
      </c>
      <c r="I113" s="87">
        <v>448.47076130561175</v>
      </c>
    </row>
    <row r="114" spans="1:9" x14ac:dyDescent="0.25">
      <c r="A114" s="82">
        <v>7</v>
      </c>
      <c r="B114">
        <v>537</v>
      </c>
      <c r="C114" s="42">
        <v>8</v>
      </c>
      <c r="D114" s="83" t="s">
        <v>293</v>
      </c>
      <c r="E114" s="84">
        <v>10208.25</v>
      </c>
      <c r="F114" s="85">
        <v>0</v>
      </c>
      <c r="G114" s="85">
        <v>10208.25</v>
      </c>
      <c r="H114" s="86">
        <v>20.315889065595684</v>
      </c>
      <c r="I114" s="87">
        <v>502.47616370810709</v>
      </c>
    </row>
    <row r="115" spans="1:9" x14ac:dyDescent="0.25">
      <c r="A115" s="82">
        <v>7</v>
      </c>
      <c r="B115">
        <v>543</v>
      </c>
      <c r="C115" s="42">
        <v>9</v>
      </c>
      <c r="D115" s="83" t="s">
        <v>353</v>
      </c>
      <c r="E115" s="84">
        <v>24446.48</v>
      </c>
      <c r="F115" s="85">
        <v>0</v>
      </c>
      <c r="G115" s="85">
        <v>24446.48</v>
      </c>
      <c r="H115" s="86">
        <v>98.591020352445511</v>
      </c>
      <c r="I115" s="87">
        <v>247.95848458214698</v>
      </c>
    </row>
    <row r="116" spans="1:9" x14ac:dyDescent="0.25">
      <c r="A116" s="82">
        <v>7</v>
      </c>
      <c r="B116">
        <v>545</v>
      </c>
      <c r="C116" s="42">
        <v>8</v>
      </c>
      <c r="D116" s="83" t="s">
        <v>294</v>
      </c>
      <c r="E116" s="84">
        <v>5205.7700000000004</v>
      </c>
      <c r="F116" s="85">
        <v>0</v>
      </c>
      <c r="G116" s="85">
        <v>5205.7700000000004</v>
      </c>
      <c r="H116" s="86">
        <v>18.697323768210968</v>
      </c>
      <c r="I116" s="87">
        <v>278.4232687274104</v>
      </c>
    </row>
    <row r="117" spans="1:9" x14ac:dyDescent="0.25">
      <c r="A117" s="82">
        <v>7</v>
      </c>
      <c r="B117">
        <v>547</v>
      </c>
      <c r="C117" s="42">
        <v>9</v>
      </c>
      <c r="D117" s="83" t="s">
        <v>354</v>
      </c>
      <c r="E117" s="84">
        <v>93717.8</v>
      </c>
      <c r="F117" s="85">
        <v>0</v>
      </c>
      <c r="G117" s="85">
        <v>93717.8</v>
      </c>
      <c r="H117" s="86">
        <v>282.44688484497351</v>
      </c>
      <c r="I117" s="87">
        <v>331.806810513909</v>
      </c>
    </row>
    <row r="118" spans="1:9" x14ac:dyDescent="0.25">
      <c r="A118" s="82">
        <v>7</v>
      </c>
      <c r="B118">
        <v>550</v>
      </c>
      <c r="C118" s="42">
        <v>7</v>
      </c>
      <c r="D118" s="83" t="s">
        <v>260</v>
      </c>
      <c r="E118" s="84">
        <v>150922.18</v>
      </c>
      <c r="F118" s="85">
        <v>0</v>
      </c>
      <c r="G118" s="85">
        <v>150922.18</v>
      </c>
      <c r="H118" s="86">
        <v>370.35</v>
      </c>
      <c r="I118" s="87">
        <v>407.51229917645463</v>
      </c>
    </row>
    <row r="119" spans="1:9" x14ac:dyDescent="0.25">
      <c r="A119" s="82">
        <v>7</v>
      </c>
      <c r="B119">
        <v>551</v>
      </c>
      <c r="C119" s="88">
        <v>7</v>
      </c>
      <c r="D119" s="83" t="s">
        <v>261</v>
      </c>
      <c r="E119" s="84">
        <v>100927.44</v>
      </c>
      <c r="F119" s="85">
        <v>502</v>
      </c>
      <c r="G119" s="85">
        <v>100425.44</v>
      </c>
      <c r="H119" s="86">
        <v>164.48039029491798</v>
      </c>
      <c r="I119" s="87">
        <v>610.56178076872482</v>
      </c>
    </row>
    <row r="120" spans="1:9" x14ac:dyDescent="0.25">
      <c r="A120" s="82">
        <v>7</v>
      </c>
      <c r="B120">
        <v>552</v>
      </c>
      <c r="C120" s="42">
        <v>9</v>
      </c>
      <c r="D120" s="83" t="s">
        <v>355</v>
      </c>
      <c r="E120" s="84">
        <v>103060.69</v>
      </c>
      <c r="F120" s="85">
        <v>60</v>
      </c>
      <c r="G120" s="85">
        <v>103000.69</v>
      </c>
      <c r="H120" s="86">
        <v>144.71</v>
      </c>
      <c r="I120" s="87">
        <v>711.7731324718402</v>
      </c>
    </row>
    <row r="121" spans="1:9" x14ac:dyDescent="0.25">
      <c r="A121" s="82">
        <v>7</v>
      </c>
      <c r="B121">
        <v>555</v>
      </c>
      <c r="C121" s="42">
        <v>7</v>
      </c>
      <c r="D121" s="83" t="s">
        <v>262</v>
      </c>
      <c r="E121" s="84">
        <v>371034.76</v>
      </c>
      <c r="F121" s="85">
        <v>639.84</v>
      </c>
      <c r="G121" s="85">
        <v>370394.92</v>
      </c>
      <c r="H121" s="86">
        <v>814.25269393387282</v>
      </c>
      <c r="I121" s="87">
        <v>454.8894007467423</v>
      </c>
    </row>
    <row r="122" spans="1:9" x14ac:dyDescent="0.25">
      <c r="A122" s="82">
        <v>7</v>
      </c>
      <c r="B122">
        <v>556</v>
      </c>
      <c r="C122" s="42">
        <v>7</v>
      </c>
      <c r="D122" s="83" t="s">
        <v>263</v>
      </c>
      <c r="E122" s="84">
        <v>162545.92000000001</v>
      </c>
      <c r="F122" s="85">
        <v>553</v>
      </c>
      <c r="G122" s="85">
        <v>161992.92000000001</v>
      </c>
      <c r="H122" s="86">
        <v>419.66667962129713</v>
      </c>
      <c r="I122" s="87">
        <v>386.0037688629003</v>
      </c>
    </row>
    <row r="123" spans="1:9" x14ac:dyDescent="0.25">
      <c r="A123" s="82">
        <v>7</v>
      </c>
      <c r="B123">
        <v>558</v>
      </c>
      <c r="C123" s="42">
        <v>7</v>
      </c>
      <c r="D123" s="83" t="s">
        <v>264</v>
      </c>
      <c r="E123" s="84">
        <v>256393.05</v>
      </c>
      <c r="F123" s="85">
        <v>20120.98</v>
      </c>
      <c r="G123" s="85">
        <v>236272.06999999998</v>
      </c>
      <c r="H123" s="86">
        <v>390.66552423935184</v>
      </c>
      <c r="I123" s="87">
        <v>604.79375665419991</v>
      </c>
    </row>
    <row r="124" spans="1:9" x14ac:dyDescent="0.25">
      <c r="A124" s="82">
        <v>7</v>
      </c>
      <c r="B124">
        <v>562</v>
      </c>
      <c r="C124" s="42">
        <v>6</v>
      </c>
      <c r="D124" s="83" t="s">
        <v>184</v>
      </c>
      <c r="E124" s="84">
        <v>37076.800000000003</v>
      </c>
      <c r="F124" s="85">
        <v>0</v>
      </c>
      <c r="G124" s="85">
        <v>37076.800000000003</v>
      </c>
      <c r="H124" s="86">
        <v>34.514769484108541</v>
      </c>
      <c r="I124" s="87">
        <v>1074.2299761576296</v>
      </c>
    </row>
    <row r="125" spans="1:9" x14ac:dyDescent="0.25">
      <c r="A125" s="82">
        <v>7</v>
      </c>
      <c r="B125">
        <v>565</v>
      </c>
      <c r="C125" s="42">
        <v>5</v>
      </c>
      <c r="D125" s="83" t="s">
        <v>171</v>
      </c>
      <c r="E125" s="84">
        <v>221214.39</v>
      </c>
      <c r="F125" s="85">
        <v>1029.3699999999999</v>
      </c>
      <c r="G125" s="85">
        <v>220185.02000000002</v>
      </c>
      <c r="H125" s="86">
        <v>448.32675529026324</v>
      </c>
      <c r="I125" s="87">
        <v>491.12620962682485</v>
      </c>
    </row>
    <row r="126" spans="1:9" x14ac:dyDescent="0.25">
      <c r="A126" s="82">
        <v>7</v>
      </c>
      <c r="B126">
        <v>567</v>
      </c>
      <c r="C126" s="42">
        <v>9</v>
      </c>
      <c r="D126" s="83" t="s">
        <v>356</v>
      </c>
      <c r="E126" s="84">
        <v>216661.49</v>
      </c>
      <c r="F126" s="85">
        <v>310</v>
      </c>
      <c r="G126" s="85">
        <v>216351.49</v>
      </c>
      <c r="H126" s="86">
        <v>347.80946100780557</v>
      </c>
      <c r="I126" s="87">
        <v>622.04026702753958</v>
      </c>
    </row>
    <row r="127" spans="1:9" x14ac:dyDescent="0.25">
      <c r="A127" s="82">
        <v>7</v>
      </c>
      <c r="B127">
        <v>600</v>
      </c>
      <c r="C127" s="42">
        <v>7</v>
      </c>
      <c r="D127" s="83" t="s">
        <v>377</v>
      </c>
      <c r="E127" s="84">
        <v>292670.93</v>
      </c>
      <c r="F127" s="85">
        <v>1639.64</v>
      </c>
      <c r="G127" s="85">
        <v>291031.28999999998</v>
      </c>
      <c r="H127" s="86">
        <v>713.92</v>
      </c>
      <c r="I127" s="87">
        <v>407.65252409233528</v>
      </c>
    </row>
    <row r="128" spans="1:9" x14ac:dyDescent="0.25">
      <c r="A128" s="82">
        <v>7</v>
      </c>
      <c r="B128">
        <v>601</v>
      </c>
      <c r="C128" s="42">
        <v>4</v>
      </c>
      <c r="D128" s="83" t="s">
        <v>156</v>
      </c>
      <c r="E128" s="84">
        <v>2604638.9</v>
      </c>
      <c r="F128" s="85">
        <v>334681.01</v>
      </c>
      <c r="G128" s="85">
        <v>2269957.8899999997</v>
      </c>
      <c r="H128" s="86">
        <v>5590.9599999999982</v>
      </c>
      <c r="I128" s="87">
        <v>406.00503133630008</v>
      </c>
    </row>
    <row r="129" spans="1:9" x14ac:dyDescent="0.25">
      <c r="A129" s="82">
        <v>7</v>
      </c>
      <c r="B129">
        <v>603</v>
      </c>
      <c r="C129" s="42">
        <v>6</v>
      </c>
      <c r="D129" s="83" t="s">
        <v>185</v>
      </c>
      <c r="E129" s="84">
        <v>84084.39</v>
      </c>
      <c r="F129" s="85">
        <v>0</v>
      </c>
      <c r="G129" s="85">
        <v>84084.39</v>
      </c>
      <c r="H129" s="86">
        <v>98.978075394457292</v>
      </c>
      <c r="I129" s="87">
        <v>849.52540918681746</v>
      </c>
    </row>
    <row r="130" spans="1:9" x14ac:dyDescent="0.25">
      <c r="A130" s="82">
        <v>7</v>
      </c>
      <c r="B130">
        <v>604</v>
      </c>
      <c r="C130" s="42">
        <v>7</v>
      </c>
      <c r="D130" s="83" t="s">
        <v>378</v>
      </c>
      <c r="E130" s="84">
        <v>279048.06</v>
      </c>
      <c r="F130" s="85">
        <v>7424</v>
      </c>
      <c r="G130" s="85">
        <v>271624.06</v>
      </c>
      <c r="H130" s="86">
        <v>757.60925661922249</v>
      </c>
      <c r="I130" s="87">
        <v>358.52790554870342</v>
      </c>
    </row>
    <row r="131" spans="1:9" x14ac:dyDescent="0.25">
      <c r="A131" s="82">
        <v>7</v>
      </c>
      <c r="B131">
        <v>605</v>
      </c>
      <c r="C131" s="42">
        <v>8</v>
      </c>
      <c r="D131" s="83" t="s">
        <v>295</v>
      </c>
      <c r="E131" s="84">
        <v>5666.13</v>
      </c>
      <c r="F131" s="85">
        <v>0</v>
      </c>
      <c r="G131" s="85">
        <v>5666.13</v>
      </c>
      <c r="H131" s="86">
        <v>10.972560377031961</v>
      </c>
      <c r="I131" s="87">
        <v>516.3908700708073</v>
      </c>
    </row>
    <row r="132" spans="1:9" x14ac:dyDescent="0.25">
      <c r="A132" s="82">
        <v>7</v>
      </c>
      <c r="B132">
        <v>607</v>
      </c>
      <c r="C132" s="42">
        <v>8</v>
      </c>
      <c r="D132" s="83" t="s">
        <v>296</v>
      </c>
      <c r="E132" s="84">
        <v>8602.83</v>
      </c>
      <c r="F132" s="85">
        <v>0</v>
      </c>
      <c r="G132" s="85">
        <v>8602.83</v>
      </c>
      <c r="H132" s="86">
        <v>16.001267719236729</v>
      </c>
      <c r="I132" s="87">
        <v>537.63427691780169</v>
      </c>
    </row>
    <row r="133" spans="1:9" x14ac:dyDescent="0.25">
      <c r="A133" s="82">
        <v>7</v>
      </c>
      <c r="B133">
        <v>610</v>
      </c>
      <c r="C133" s="42">
        <v>8</v>
      </c>
      <c r="D133" s="83" t="s">
        <v>297</v>
      </c>
      <c r="E133" s="84">
        <v>32883.199999999997</v>
      </c>
      <c r="F133" s="85">
        <v>0</v>
      </c>
      <c r="G133" s="85">
        <v>32883.199999999997</v>
      </c>
      <c r="H133" s="86">
        <v>81.056750043835933</v>
      </c>
      <c r="I133" s="87">
        <v>405.68120461548955</v>
      </c>
    </row>
    <row r="134" spans="1:9" x14ac:dyDescent="0.25">
      <c r="A134" s="82">
        <v>7</v>
      </c>
      <c r="B134">
        <v>611</v>
      </c>
      <c r="C134" s="42">
        <v>8</v>
      </c>
      <c r="D134" s="83" t="s">
        <v>382</v>
      </c>
      <c r="E134" s="84">
        <v>22696.62</v>
      </c>
      <c r="F134" s="85">
        <v>0</v>
      </c>
      <c r="G134" s="85">
        <v>22696.62</v>
      </c>
      <c r="H134" s="86">
        <v>19.514775141431741</v>
      </c>
      <c r="I134" s="87">
        <v>1163.0479898183862</v>
      </c>
    </row>
    <row r="135" spans="1:9" x14ac:dyDescent="0.25">
      <c r="A135" s="82">
        <v>7</v>
      </c>
      <c r="B135">
        <v>612</v>
      </c>
      <c r="C135" s="42">
        <v>7</v>
      </c>
      <c r="D135" s="83" t="s">
        <v>267</v>
      </c>
      <c r="E135" s="84">
        <v>177147.76</v>
      </c>
      <c r="F135" s="85">
        <v>801.9</v>
      </c>
      <c r="G135" s="85">
        <v>176345.86000000002</v>
      </c>
      <c r="H135" s="86">
        <v>533.05754939735175</v>
      </c>
      <c r="I135" s="87">
        <v>330.81955259684031</v>
      </c>
    </row>
    <row r="136" spans="1:9" x14ac:dyDescent="0.25">
      <c r="A136" s="82">
        <v>7</v>
      </c>
      <c r="B136">
        <v>613</v>
      </c>
      <c r="C136" s="42">
        <v>5</v>
      </c>
      <c r="D136" s="83" t="s">
        <v>172</v>
      </c>
      <c r="E136" s="84">
        <v>72097.259999999995</v>
      </c>
      <c r="F136" s="85">
        <v>0</v>
      </c>
      <c r="G136" s="85">
        <v>72097.259999999995</v>
      </c>
      <c r="H136" s="86">
        <v>131.66907496321599</v>
      </c>
      <c r="I136" s="87">
        <v>547.5641111638522</v>
      </c>
    </row>
    <row r="137" spans="1:9" x14ac:dyDescent="0.25">
      <c r="A137" s="82">
        <v>7</v>
      </c>
      <c r="B137">
        <v>616</v>
      </c>
      <c r="C137" s="42">
        <v>8</v>
      </c>
      <c r="D137" s="83" t="s">
        <v>299</v>
      </c>
      <c r="E137" s="84">
        <v>182776.04</v>
      </c>
      <c r="F137" s="85">
        <v>0</v>
      </c>
      <c r="G137" s="85">
        <v>182776.04</v>
      </c>
      <c r="H137" s="86">
        <v>169.75999999999996</v>
      </c>
      <c r="I137" s="87">
        <v>1076.6731856738929</v>
      </c>
    </row>
    <row r="138" spans="1:9" x14ac:dyDescent="0.25">
      <c r="A138" s="82">
        <v>7</v>
      </c>
      <c r="B138">
        <v>618</v>
      </c>
      <c r="C138" s="42">
        <v>6</v>
      </c>
      <c r="D138" s="83" t="s">
        <v>186</v>
      </c>
      <c r="E138" s="84">
        <v>14927.7</v>
      </c>
      <c r="F138" s="85">
        <v>0</v>
      </c>
      <c r="G138" s="85">
        <v>14927.7</v>
      </c>
      <c r="H138" s="86">
        <v>18.968680058854481</v>
      </c>
      <c r="I138" s="87">
        <v>786.96566939204752</v>
      </c>
    </row>
    <row r="139" spans="1:9" x14ac:dyDescent="0.25">
      <c r="A139" s="82">
        <v>7</v>
      </c>
      <c r="B139">
        <v>620</v>
      </c>
      <c r="C139" s="88">
        <v>6</v>
      </c>
      <c r="D139" s="83" t="s">
        <v>187</v>
      </c>
      <c r="E139" s="84">
        <v>111658.05</v>
      </c>
      <c r="F139" s="85">
        <v>0</v>
      </c>
      <c r="G139" s="85">
        <v>111658.05</v>
      </c>
      <c r="H139" s="86">
        <v>188.39679137922803</v>
      </c>
      <c r="I139" s="87">
        <v>592.67490270171891</v>
      </c>
    </row>
    <row r="140" spans="1:9" x14ac:dyDescent="0.25">
      <c r="A140" s="82">
        <v>7</v>
      </c>
      <c r="B140">
        <v>622</v>
      </c>
      <c r="C140" s="42">
        <v>6</v>
      </c>
      <c r="D140" s="83" t="s">
        <v>188</v>
      </c>
      <c r="E140" s="84">
        <v>78856.77</v>
      </c>
      <c r="F140" s="85">
        <v>190</v>
      </c>
      <c r="G140" s="85">
        <v>78666.77</v>
      </c>
      <c r="H140" s="86">
        <v>120.37411806566728</v>
      </c>
      <c r="I140" s="87">
        <v>653.51897288323391</v>
      </c>
    </row>
    <row r="141" spans="1:9" x14ac:dyDescent="0.25">
      <c r="A141" s="82">
        <v>7</v>
      </c>
      <c r="B141">
        <v>623</v>
      </c>
      <c r="C141" s="42">
        <v>6</v>
      </c>
      <c r="D141" s="83" t="s">
        <v>189</v>
      </c>
      <c r="E141" s="84">
        <v>82051.350000000006</v>
      </c>
      <c r="F141" s="85">
        <v>0</v>
      </c>
      <c r="G141" s="85">
        <v>82051.350000000006</v>
      </c>
      <c r="H141" s="86">
        <v>231.40564191780203</v>
      </c>
      <c r="I141" s="87">
        <v>354.57800129672552</v>
      </c>
    </row>
    <row r="142" spans="1:9" x14ac:dyDescent="0.25">
      <c r="A142" s="82">
        <v>7</v>
      </c>
      <c r="B142">
        <v>626</v>
      </c>
      <c r="C142" s="42">
        <v>6</v>
      </c>
      <c r="D142" s="83" t="s">
        <v>190</v>
      </c>
      <c r="E142" s="84">
        <v>16983.400000000001</v>
      </c>
      <c r="F142" s="85">
        <v>0</v>
      </c>
      <c r="G142" s="85">
        <v>16983.400000000001</v>
      </c>
      <c r="H142" s="86">
        <v>21.954122034110711</v>
      </c>
      <c r="I142" s="87">
        <v>773.58593404976227</v>
      </c>
    </row>
    <row r="143" spans="1:9" x14ac:dyDescent="0.25">
      <c r="A143" s="82">
        <v>7</v>
      </c>
      <c r="B143">
        <v>627</v>
      </c>
      <c r="C143" s="42">
        <v>6</v>
      </c>
      <c r="D143" s="83" t="s">
        <v>191</v>
      </c>
      <c r="E143" s="84">
        <v>80340.460000000006</v>
      </c>
      <c r="F143" s="85">
        <v>53.1</v>
      </c>
      <c r="G143" s="85">
        <v>80287.360000000001</v>
      </c>
      <c r="H143" s="86">
        <v>172.5545384968849</v>
      </c>
      <c r="I143" s="87">
        <v>465.28686350054721</v>
      </c>
    </row>
    <row r="144" spans="1:9" x14ac:dyDescent="0.25">
      <c r="A144" s="82">
        <v>7</v>
      </c>
      <c r="B144">
        <v>629</v>
      </c>
      <c r="C144" s="42">
        <v>9</v>
      </c>
      <c r="D144" s="83" t="s">
        <v>357</v>
      </c>
      <c r="E144" s="84">
        <v>196610.17</v>
      </c>
      <c r="F144" s="85">
        <v>2752.07</v>
      </c>
      <c r="G144" s="85">
        <v>193858.1</v>
      </c>
      <c r="H144" s="86">
        <v>271.91966893335399</v>
      </c>
      <c r="I144" s="87">
        <v>712.9241542564306</v>
      </c>
    </row>
    <row r="145" spans="1:9" x14ac:dyDescent="0.25">
      <c r="A145" s="82">
        <v>7</v>
      </c>
      <c r="B145">
        <v>630</v>
      </c>
      <c r="C145" s="42">
        <v>9</v>
      </c>
      <c r="D145" s="83" t="s">
        <v>358</v>
      </c>
      <c r="E145" s="84">
        <v>209074.16</v>
      </c>
      <c r="F145" s="85">
        <v>2843.24</v>
      </c>
      <c r="G145" s="85">
        <v>206230.92</v>
      </c>
      <c r="H145" s="86">
        <v>170.30421848518847</v>
      </c>
      <c r="I145" s="87">
        <v>1210.9560281851511</v>
      </c>
    </row>
    <row r="146" spans="1:9" x14ac:dyDescent="0.25">
      <c r="A146" s="82">
        <v>7</v>
      </c>
      <c r="B146">
        <v>634</v>
      </c>
      <c r="C146" s="42">
        <v>6</v>
      </c>
      <c r="D146" s="83" t="s">
        <v>192</v>
      </c>
      <c r="E146" s="84">
        <v>574296.04</v>
      </c>
      <c r="F146" s="85">
        <v>0</v>
      </c>
      <c r="G146" s="85">
        <v>574296.04</v>
      </c>
      <c r="H146" s="86">
        <v>699.91540785691973</v>
      </c>
      <c r="I146" s="87">
        <v>820.5220710291901</v>
      </c>
    </row>
    <row r="147" spans="1:9" x14ac:dyDescent="0.25">
      <c r="A147" s="82">
        <v>7</v>
      </c>
      <c r="B147">
        <v>692</v>
      </c>
      <c r="C147" s="42">
        <v>692</v>
      </c>
      <c r="D147" s="83" t="s">
        <v>300</v>
      </c>
      <c r="E147" s="84">
        <v>243277.51</v>
      </c>
      <c r="F147" s="85">
        <v>21174.12</v>
      </c>
      <c r="G147" s="85">
        <v>222103.39</v>
      </c>
      <c r="H147" s="86">
        <v>710.21</v>
      </c>
      <c r="I147" s="87">
        <v>312.72917869362584</v>
      </c>
    </row>
    <row r="148" spans="1:9" x14ac:dyDescent="0.25">
      <c r="A148" s="82">
        <v>7</v>
      </c>
      <c r="B148">
        <v>694</v>
      </c>
      <c r="C148" s="42">
        <v>6</v>
      </c>
      <c r="D148" s="83" t="s">
        <v>38</v>
      </c>
      <c r="E148" s="84">
        <v>26057.52</v>
      </c>
      <c r="F148" s="85">
        <v>0</v>
      </c>
      <c r="G148" s="85">
        <v>26057.52</v>
      </c>
      <c r="H148" s="86">
        <v>12.167265935305826</v>
      </c>
      <c r="I148" s="87">
        <v>2141.608487769528</v>
      </c>
    </row>
    <row r="149" spans="1:9" x14ac:dyDescent="0.25">
      <c r="A149" s="82">
        <v>7</v>
      </c>
      <c r="B149">
        <v>695</v>
      </c>
      <c r="C149" s="42">
        <v>9</v>
      </c>
      <c r="D149" s="83" t="s">
        <v>359</v>
      </c>
      <c r="E149" s="84">
        <v>15992.82</v>
      </c>
      <c r="F149" s="85">
        <v>0</v>
      </c>
      <c r="G149" s="85">
        <v>15992.82</v>
      </c>
      <c r="H149" s="86">
        <v>31.288449442627645</v>
      </c>
      <c r="I149" s="87">
        <v>511.14134081093988</v>
      </c>
    </row>
    <row r="150" spans="1:9" x14ac:dyDescent="0.25">
      <c r="A150" s="82">
        <v>7</v>
      </c>
      <c r="B150">
        <v>696</v>
      </c>
      <c r="C150" s="42">
        <v>5</v>
      </c>
      <c r="D150" s="83" t="s">
        <v>173</v>
      </c>
      <c r="E150" s="84">
        <v>125334.03</v>
      </c>
      <c r="F150" s="85">
        <v>115.5</v>
      </c>
      <c r="G150" s="85">
        <v>125218.53</v>
      </c>
      <c r="H150" s="86">
        <v>353.57</v>
      </c>
      <c r="I150" s="87">
        <v>354.15484911050146</v>
      </c>
    </row>
    <row r="151" spans="1:9" x14ac:dyDescent="0.25">
      <c r="A151" s="82">
        <v>7</v>
      </c>
      <c r="B151">
        <v>697</v>
      </c>
      <c r="C151" s="42">
        <v>6</v>
      </c>
      <c r="D151" s="83" t="s">
        <v>193</v>
      </c>
      <c r="E151" s="84">
        <v>28955.82</v>
      </c>
      <c r="F151" s="85">
        <v>0</v>
      </c>
      <c r="G151" s="85">
        <v>28955.82</v>
      </c>
      <c r="H151" s="86">
        <v>43.767143652179229</v>
      </c>
      <c r="I151" s="87">
        <v>661.58806775498238</v>
      </c>
    </row>
    <row r="152" spans="1:9" x14ac:dyDescent="0.25">
      <c r="A152" s="82">
        <v>7</v>
      </c>
      <c r="B152">
        <v>706</v>
      </c>
      <c r="C152" s="42">
        <v>8</v>
      </c>
      <c r="D152" s="83" t="s">
        <v>301</v>
      </c>
      <c r="E152" s="84">
        <v>65198.879999999997</v>
      </c>
      <c r="F152" s="85">
        <v>42142.5</v>
      </c>
      <c r="G152" s="85">
        <v>23056.379999999997</v>
      </c>
      <c r="H152" s="86">
        <v>67.644619551595738</v>
      </c>
      <c r="I152" s="87">
        <v>340.84573396726415</v>
      </c>
    </row>
    <row r="153" spans="1:9" x14ac:dyDescent="0.25">
      <c r="A153" s="82">
        <v>7</v>
      </c>
      <c r="B153">
        <v>709</v>
      </c>
      <c r="C153" s="42">
        <v>8</v>
      </c>
      <c r="D153" s="83" t="s">
        <v>302</v>
      </c>
      <c r="E153" s="84">
        <v>43099.38</v>
      </c>
      <c r="F153" s="85">
        <v>0</v>
      </c>
      <c r="G153" s="85">
        <v>43099.38</v>
      </c>
      <c r="H153" s="86">
        <v>74.754281357922125</v>
      </c>
      <c r="I153" s="87">
        <v>576.54731230230095</v>
      </c>
    </row>
    <row r="154" spans="1:9" x14ac:dyDescent="0.25">
      <c r="A154" s="82">
        <v>7</v>
      </c>
      <c r="B154">
        <v>710</v>
      </c>
      <c r="C154" s="42">
        <v>6</v>
      </c>
      <c r="D154" s="83" t="s">
        <v>194</v>
      </c>
      <c r="E154" s="84">
        <v>74539.039999999994</v>
      </c>
      <c r="F154" s="85">
        <v>0</v>
      </c>
      <c r="G154" s="85">
        <v>74539.039999999994</v>
      </c>
      <c r="H154" s="86">
        <v>68.854470393608366</v>
      </c>
      <c r="I154" s="87">
        <v>1082.5591943979184</v>
      </c>
    </row>
    <row r="155" spans="1:9" x14ac:dyDescent="0.25">
      <c r="A155" s="82">
        <v>7</v>
      </c>
      <c r="B155">
        <v>711</v>
      </c>
      <c r="C155" s="42">
        <v>7</v>
      </c>
      <c r="D155" s="83" t="s">
        <v>269</v>
      </c>
      <c r="E155" s="84">
        <v>153601.63</v>
      </c>
      <c r="F155" s="85">
        <v>4536.17</v>
      </c>
      <c r="G155" s="85">
        <v>149065.46</v>
      </c>
      <c r="H155" s="86">
        <v>349.44769397632064</v>
      </c>
      <c r="I155" s="87">
        <v>426.57445611903512</v>
      </c>
    </row>
    <row r="156" spans="1:9" x14ac:dyDescent="0.25">
      <c r="A156" s="82">
        <v>7</v>
      </c>
      <c r="B156">
        <v>712</v>
      </c>
      <c r="C156" s="42">
        <v>7</v>
      </c>
      <c r="D156" s="83" t="s">
        <v>270</v>
      </c>
      <c r="E156" s="84">
        <v>259343.6</v>
      </c>
      <c r="F156" s="85">
        <v>0</v>
      </c>
      <c r="G156" s="85">
        <v>259343.6</v>
      </c>
      <c r="H156" s="86">
        <v>549.79999999999995</v>
      </c>
      <c r="I156" s="87">
        <v>471.70534739905423</v>
      </c>
    </row>
    <row r="157" spans="1:9" x14ac:dyDescent="0.25">
      <c r="A157" s="82">
        <v>7</v>
      </c>
      <c r="B157">
        <v>714</v>
      </c>
      <c r="C157" s="42">
        <v>8</v>
      </c>
      <c r="D157" s="83" t="s">
        <v>383</v>
      </c>
      <c r="E157" s="84">
        <v>30830.07</v>
      </c>
      <c r="F157" s="85">
        <v>0</v>
      </c>
      <c r="G157" s="85">
        <v>30830.07</v>
      </c>
      <c r="H157" s="86">
        <v>47.128460284666595</v>
      </c>
      <c r="I157" s="87">
        <v>654.17095771386084</v>
      </c>
    </row>
    <row r="158" spans="1:9" x14ac:dyDescent="0.25">
      <c r="A158" s="82">
        <v>7</v>
      </c>
      <c r="B158">
        <v>715</v>
      </c>
      <c r="C158" s="42">
        <v>6</v>
      </c>
      <c r="D158" s="83" t="s">
        <v>195</v>
      </c>
      <c r="E158" s="84">
        <v>120652.36</v>
      </c>
      <c r="F158" s="85">
        <v>0</v>
      </c>
      <c r="G158" s="85">
        <v>120652.36</v>
      </c>
      <c r="H158" s="86">
        <v>55.409203863658902</v>
      </c>
      <c r="I158" s="87">
        <v>2177.4786783957379</v>
      </c>
    </row>
    <row r="159" spans="1:9" x14ac:dyDescent="0.25">
      <c r="A159" s="82">
        <v>7</v>
      </c>
      <c r="B159">
        <v>718</v>
      </c>
      <c r="C159" s="42">
        <v>7</v>
      </c>
      <c r="D159" s="83" t="s">
        <v>271</v>
      </c>
      <c r="E159" s="84">
        <v>17571.97</v>
      </c>
      <c r="F159" s="85">
        <v>0</v>
      </c>
      <c r="G159" s="85">
        <v>17571.97</v>
      </c>
      <c r="H159" s="86">
        <v>24.780956735863882</v>
      </c>
      <c r="I159" s="87">
        <v>709.09167016014442</v>
      </c>
    </row>
    <row r="160" spans="1:9" x14ac:dyDescent="0.25">
      <c r="A160" s="82">
        <v>7</v>
      </c>
      <c r="B160">
        <v>731</v>
      </c>
      <c r="C160" s="42">
        <v>5</v>
      </c>
      <c r="D160" s="83" t="s">
        <v>174</v>
      </c>
      <c r="E160" s="84">
        <v>223605.15</v>
      </c>
      <c r="F160" s="85">
        <v>0</v>
      </c>
      <c r="G160" s="85">
        <v>223605.15</v>
      </c>
      <c r="H160" s="86">
        <v>876.62</v>
      </c>
      <c r="I160" s="87">
        <v>255.07648696128311</v>
      </c>
    </row>
    <row r="161" spans="1:9" x14ac:dyDescent="0.25">
      <c r="A161" s="82">
        <v>7</v>
      </c>
      <c r="B161">
        <v>732</v>
      </c>
      <c r="C161" s="42">
        <v>5</v>
      </c>
      <c r="D161" s="83" t="s">
        <v>175</v>
      </c>
      <c r="E161" s="84">
        <v>78310.98</v>
      </c>
      <c r="F161" s="85">
        <v>0</v>
      </c>
      <c r="G161" s="85">
        <v>78310.98</v>
      </c>
      <c r="H161" s="86">
        <v>236.84152115940267</v>
      </c>
      <c r="I161" s="87">
        <v>330.64717544730661</v>
      </c>
    </row>
    <row r="162" spans="1:9" x14ac:dyDescent="0.25">
      <c r="A162" s="82">
        <v>7</v>
      </c>
      <c r="B162">
        <v>736</v>
      </c>
      <c r="C162" s="42">
        <v>7</v>
      </c>
      <c r="D162" s="83" t="s">
        <v>272</v>
      </c>
      <c r="E162" s="84">
        <v>56752.74</v>
      </c>
      <c r="F162" s="85">
        <v>0</v>
      </c>
      <c r="G162" s="85">
        <v>56752.74</v>
      </c>
      <c r="H162" s="86">
        <v>149.75429613837633</v>
      </c>
      <c r="I162" s="87">
        <v>378.97236649263931</v>
      </c>
    </row>
    <row r="163" spans="1:9" x14ac:dyDescent="0.25">
      <c r="A163" s="82">
        <v>7</v>
      </c>
      <c r="B163">
        <v>743</v>
      </c>
      <c r="C163" s="42">
        <v>6</v>
      </c>
      <c r="D163" s="83" t="s">
        <v>196</v>
      </c>
      <c r="E163" s="84">
        <v>127078.21</v>
      </c>
      <c r="F163" s="85">
        <v>0</v>
      </c>
      <c r="G163" s="85">
        <v>127078.21</v>
      </c>
      <c r="H163" s="86">
        <v>84.129203528218909</v>
      </c>
      <c r="I163" s="87">
        <v>1510.5124578693412</v>
      </c>
    </row>
    <row r="164" spans="1:9" x14ac:dyDescent="0.25">
      <c r="A164" s="82">
        <v>7</v>
      </c>
      <c r="B164">
        <v>747</v>
      </c>
      <c r="C164" s="42">
        <v>6</v>
      </c>
      <c r="D164" s="83" t="s">
        <v>368</v>
      </c>
      <c r="E164" s="84">
        <v>44901.68</v>
      </c>
      <c r="F164" s="85">
        <v>0</v>
      </c>
      <c r="G164" s="85">
        <v>44901.68</v>
      </c>
      <c r="H164" s="86">
        <v>32.947600000000001</v>
      </c>
      <c r="I164" s="87">
        <v>1362.8209641976957</v>
      </c>
    </row>
    <row r="165" spans="1:9" x14ac:dyDescent="0.25">
      <c r="A165" s="82">
        <v>7</v>
      </c>
      <c r="B165">
        <v>749</v>
      </c>
      <c r="C165" s="42">
        <v>8</v>
      </c>
      <c r="D165" s="83" t="s">
        <v>304</v>
      </c>
      <c r="E165" s="84">
        <v>5418.96</v>
      </c>
      <c r="F165" s="85">
        <v>0</v>
      </c>
      <c r="G165" s="85">
        <v>5418.96</v>
      </c>
      <c r="H165" s="86">
        <v>9.1453005275344328</v>
      </c>
      <c r="I165" s="87">
        <v>592.54039642379564</v>
      </c>
    </row>
    <row r="166" spans="1:9" x14ac:dyDescent="0.25">
      <c r="A166" s="82">
        <v>7</v>
      </c>
      <c r="B166">
        <v>754</v>
      </c>
      <c r="C166" s="42">
        <v>5</v>
      </c>
      <c r="D166" s="83" t="s">
        <v>176</v>
      </c>
      <c r="E166" s="84">
        <v>29843.97</v>
      </c>
      <c r="F166" s="85">
        <v>80</v>
      </c>
      <c r="G166" s="85">
        <v>29763.97</v>
      </c>
      <c r="H166" s="86">
        <v>111.0757957773375</v>
      </c>
      <c r="I166" s="87">
        <v>267.96089815701021</v>
      </c>
    </row>
    <row r="167" spans="1:9" x14ac:dyDescent="0.25">
      <c r="A167" s="89">
        <v>7</v>
      </c>
      <c r="B167">
        <v>757</v>
      </c>
      <c r="C167" s="42">
        <v>7</v>
      </c>
      <c r="D167" s="83" t="s">
        <v>273</v>
      </c>
      <c r="E167" s="84">
        <v>310262.45</v>
      </c>
      <c r="F167" s="85">
        <v>18377</v>
      </c>
      <c r="G167" s="85">
        <v>291885.45</v>
      </c>
      <c r="H167" s="86">
        <v>501.67</v>
      </c>
      <c r="I167" s="87">
        <v>581.8275958299281</v>
      </c>
    </row>
    <row r="168" spans="1:9" x14ac:dyDescent="0.25">
      <c r="A168" s="82">
        <v>7</v>
      </c>
      <c r="B168">
        <v>758</v>
      </c>
      <c r="C168" s="42">
        <v>6</v>
      </c>
      <c r="D168" s="83" t="s">
        <v>198</v>
      </c>
      <c r="E168" s="84">
        <v>332186.31</v>
      </c>
      <c r="F168" s="85">
        <v>961.84</v>
      </c>
      <c r="G168" s="85">
        <v>331224.46999999997</v>
      </c>
      <c r="H168" s="86">
        <v>376.59876426954139</v>
      </c>
      <c r="I168" s="87">
        <v>879.51555189632575</v>
      </c>
    </row>
    <row r="169" spans="1:9" x14ac:dyDescent="0.25">
      <c r="A169" s="82">
        <v>8</v>
      </c>
      <c r="B169">
        <v>760</v>
      </c>
      <c r="C169" s="42">
        <v>4</v>
      </c>
      <c r="D169" s="83" t="s">
        <v>366</v>
      </c>
      <c r="E169" s="84">
        <v>1409267.45</v>
      </c>
      <c r="F169" s="85">
        <v>780999.8600000001</v>
      </c>
      <c r="G169" s="85">
        <v>628267.58999999985</v>
      </c>
      <c r="H169" s="86">
        <v>5125.9099999999989</v>
      </c>
      <c r="I169" s="87">
        <v>122.56703492648134</v>
      </c>
    </row>
    <row r="170" spans="1:9" x14ac:dyDescent="0.25">
      <c r="A170" s="82">
        <v>8</v>
      </c>
      <c r="B170">
        <v>764</v>
      </c>
      <c r="C170" s="42">
        <v>8</v>
      </c>
      <c r="D170" s="83" t="s">
        <v>305</v>
      </c>
      <c r="E170" s="84">
        <v>16190.84</v>
      </c>
      <c r="F170" s="85">
        <v>0</v>
      </c>
      <c r="G170" s="85">
        <v>16190.84</v>
      </c>
      <c r="H170" s="86">
        <v>47.436745846561472</v>
      </c>
      <c r="I170" s="87">
        <v>341.31430626313966</v>
      </c>
    </row>
    <row r="171" spans="1:9" x14ac:dyDescent="0.25">
      <c r="A171" s="82">
        <v>8</v>
      </c>
      <c r="B171">
        <v>765</v>
      </c>
      <c r="C171" s="42">
        <v>765</v>
      </c>
      <c r="D171" s="83" t="s">
        <v>199</v>
      </c>
      <c r="E171" s="84">
        <v>87707.94</v>
      </c>
      <c r="F171" s="85">
        <v>0</v>
      </c>
      <c r="G171" s="85">
        <v>87707.94</v>
      </c>
      <c r="H171" s="86">
        <v>80.350199999999987</v>
      </c>
      <c r="I171" s="87">
        <v>1091.570898392288</v>
      </c>
    </row>
    <row r="172" spans="1:9" x14ac:dyDescent="0.25">
      <c r="A172" s="82">
        <v>8</v>
      </c>
      <c r="B172">
        <v>770</v>
      </c>
      <c r="C172" s="42">
        <v>770</v>
      </c>
      <c r="D172" s="83" t="s">
        <v>200</v>
      </c>
      <c r="E172" s="84">
        <v>14512.24</v>
      </c>
      <c r="F172" s="85">
        <v>0</v>
      </c>
      <c r="G172" s="85">
        <v>14512.24</v>
      </c>
      <c r="H172" s="86">
        <v>31.38</v>
      </c>
      <c r="I172" s="87">
        <v>462.46781389420016</v>
      </c>
    </row>
    <row r="173" spans="1:9" x14ac:dyDescent="0.25">
      <c r="A173" s="82">
        <v>8</v>
      </c>
      <c r="B173">
        <v>771</v>
      </c>
      <c r="C173" s="42">
        <v>9</v>
      </c>
      <c r="D173" s="83" t="s">
        <v>360</v>
      </c>
      <c r="E173" s="84">
        <v>63131.15</v>
      </c>
      <c r="F173" s="85">
        <v>30</v>
      </c>
      <c r="G173" s="85">
        <v>63101.15</v>
      </c>
      <c r="H173" s="86">
        <v>185.835291947153</v>
      </c>
      <c r="I173" s="87">
        <v>339.55417907350142</v>
      </c>
    </row>
    <row r="174" spans="1:9" x14ac:dyDescent="0.25">
      <c r="A174" s="82">
        <v>8</v>
      </c>
      <c r="B174">
        <v>774</v>
      </c>
      <c r="C174" s="42">
        <v>6</v>
      </c>
      <c r="D174" s="83" t="s">
        <v>201</v>
      </c>
      <c r="E174" s="84">
        <v>260022.63</v>
      </c>
      <c r="F174" s="85">
        <v>9203.61</v>
      </c>
      <c r="G174" s="85">
        <v>250819.02000000002</v>
      </c>
      <c r="H174" s="86">
        <v>487.11</v>
      </c>
      <c r="I174" s="87">
        <v>514.91248383322045</v>
      </c>
    </row>
    <row r="175" spans="1:9" x14ac:dyDescent="0.25">
      <c r="A175" s="82">
        <v>8</v>
      </c>
      <c r="B175">
        <v>775</v>
      </c>
      <c r="C175" s="42">
        <v>8</v>
      </c>
      <c r="D175" s="83" t="s">
        <v>384</v>
      </c>
      <c r="E175" s="84">
        <v>105137.96</v>
      </c>
      <c r="F175" s="85">
        <v>0</v>
      </c>
      <c r="G175" s="85">
        <v>105137.96</v>
      </c>
      <c r="H175" s="86">
        <v>200.52354535682437</v>
      </c>
      <c r="I175" s="87">
        <v>524.31728061116621</v>
      </c>
    </row>
    <row r="176" spans="1:9" x14ac:dyDescent="0.25">
      <c r="A176" s="82">
        <v>8</v>
      </c>
      <c r="B176">
        <v>786</v>
      </c>
      <c r="C176" s="42">
        <v>7</v>
      </c>
      <c r="D176" s="83" t="s">
        <v>274</v>
      </c>
      <c r="E176" s="84">
        <v>2080065.96</v>
      </c>
      <c r="F176" s="85">
        <v>258024.69</v>
      </c>
      <c r="G176" s="85">
        <v>1822041.27</v>
      </c>
      <c r="H176" s="86">
        <v>3104.5699999999997</v>
      </c>
      <c r="I176" s="87">
        <v>586.8900588487295</v>
      </c>
    </row>
    <row r="177" spans="1:9" x14ac:dyDescent="0.25">
      <c r="A177" s="82">
        <v>8</v>
      </c>
      <c r="B177">
        <v>790</v>
      </c>
      <c r="C177" s="42">
        <v>8</v>
      </c>
      <c r="D177" s="83" t="s">
        <v>385</v>
      </c>
      <c r="E177" s="84">
        <v>10334.25</v>
      </c>
      <c r="F177" s="85">
        <v>0</v>
      </c>
      <c r="G177" s="85">
        <v>10334.25</v>
      </c>
      <c r="H177" s="86">
        <v>19.756488644593706</v>
      </c>
      <c r="I177" s="87">
        <v>523.081311963193</v>
      </c>
    </row>
    <row r="178" spans="1:9" x14ac:dyDescent="0.25">
      <c r="A178" s="82">
        <v>8</v>
      </c>
      <c r="B178">
        <v>794</v>
      </c>
      <c r="C178" s="42">
        <v>6</v>
      </c>
      <c r="D178" s="83" t="s">
        <v>369</v>
      </c>
      <c r="E178" s="84">
        <v>36737.5</v>
      </c>
      <c r="F178" s="85">
        <v>0</v>
      </c>
      <c r="G178" s="85">
        <v>36737.5</v>
      </c>
      <c r="H178" s="86">
        <v>35.600062585038067</v>
      </c>
      <c r="I178" s="87">
        <v>1031.950433015249</v>
      </c>
    </row>
    <row r="179" spans="1:9" x14ac:dyDescent="0.25">
      <c r="A179" s="82">
        <v>8</v>
      </c>
      <c r="B179">
        <v>796</v>
      </c>
      <c r="C179" s="88">
        <v>8</v>
      </c>
      <c r="D179" s="83" t="s">
        <v>308</v>
      </c>
      <c r="E179" s="84">
        <v>16890.900000000001</v>
      </c>
      <c r="F179" s="85">
        <v>0</v>
      </c>
      <c r="G179" s="85">
        <v>16890.900000000001</v>
      </c>
      <c r="H179" s="86">
        <v>2.958658910887316</v>
      </c>
      <c r="I179" s="87">
        <v>5708.9717026334538</v>
      </c>
    </row>
    <row r="180" spans="1:9" x14ac:dyDescent="0.25">
      <c r="A180" s="82">
        <v>8</v>
      </c>
      <c r="B180">
        <v>797</v>
      </c>
      <c r="C180" s="42">
        <v>8</v>
      </c>
      <c r="D180" s="83" t="s">
        <v>309</v>
      </c>
      <c r="E180" s="84">
        <v>29772.11</v>
      </c>
      <c r="F180" s="85">
        <v>2009.9</v>
      </c>
      <c r="G180" s="85">
        <v>27762.21</v>
      </c>
      <c r="H180" s="86">
        <v>21.882111793736421</v>
      </c>
      <c r="I180" s="87">
        <v>1268.717126650761</v>
      </c>
    </row>
    <row r="181" spans="1:9" x14ac:dyDescent="0.25">
      <c r="A181" s="82">
        <v>8</v>
      </c>
      <c r="B181">
        <v>801</v>
      </c>
      <c r="C181" s="42">
        <v>8</v>
      </c>
      <c r="D181" s="83" t="s">
        <v>310</v>
      </c>
      <c r="E181" s="84">
        <v>47679.07</v>
      </c>
      <c r="F181" s="85">
        <v>0</v>
      </c>
      <c r="G181" s="85">
        <v>47679.07</v>
      </c>
      <c r="H181" s="86">
        <v>107.73632087997994</v>
      </c>
      <c r="I181" s="87">
        <v>442.55335257935229</v>
      </c>
    </row>
    <row r="182" spans="1:9" x14ac:dyDescent="0.25">
      <c r="A182" s="89">
        <v>8</v>
      </c>
      <c r="B182">
        <v>806</v>
      </c>
      <c r="C182" s="42">
        <v>6</v>
      </c>
      <c r="D182" s="83" t="s">
        <v>370</v>
      </c>
      <c r="E182" s="84">
        <v>37974.839999999997</v>
      </c>
      <c r="F182" s="85">
        <v>0</v>
      </c>
      <c r="G182" s="85">
        <v>37974.839999999997</v>
      </c>
      <c r="H182" s="86">
        <v>23.634257572176786</v>
      </c>
      <c r="I182" s="87">
        <v>1606.7710138145203</v>
      </c>
    </row>
    <row r="183" spans="1:9" x14ac:dyDescent="0.25">
      <c r="A183" s="82">
        <v>8</v>
      </c>
      <c r="B183">
        <v>810</v>
      </c>
      <c r="C183" s="42">
        <v>8</v>
      </c>
      <c r="D183" s="83" t="s">
        <v>311</v>
      </c>
      <c r="E183" s="84">
        <v>106196.3</v>
      </c>
      <c r="F183" s="85">
        <v>0</v>
      </c>
      <c r="G183" s="85">
        <v>106196.3</v>
      </c>
      <c r="H183" s="86">
        <v>114.08999999999999</v>
      </c>
      <c r="I183" s="87">
        <v>930.811639933386</v>
      </c>
    </row>
    <row r="184" spans="1:9" x14ac:dyDescent="0.25">
      <c r="A184" s="82">
        <v>8</v>
      </c>
      <c r="B184">
        <v>811</v>
      </c>
      <c r="C184" s="42">
        <v>6</v>
      </c>
      <c r="D184" s="83" t="s">
        <v>204</v>
      </c>
      <c r="E184" s="84">
        <v>477335.28</v>
      </c>
      <c r="F184" s="85">
        <v>1046</v>
      </c>
      <c r="G184" s="85">
        <v>476289.28000000003</v>
      </c>
      <c r="H184" s="86">
        <v>811.18024044948993</v>
      </c>
      <c r="I184" s="87">
        <v>587.155919547645</v>
      </c>
    </row>
    <row r="185" spans="1:9" x14ac:dyDescent="0.25">
      <c r="A185" s="82">
        <v>8</v>
      </c>
      <c r="B185">
        <v>812</v>
      </c>
      <c r="C185" s="42">
        <v>8</v>
      </c>
      <c r="D185" s="83" t="s">
        <v>386</v>
      </c>
      <c r="E185" s="84">
        <v>64854.26</v>
      </c>
      <c r="F185" s="85">
        <v>509.88</v>
      </c>
      <c r="G185" s="85">
        <v>64344.380000000005</v>
      </c>
      <c r="H185" s="86">
        <v>56.55504253395555</v>
      </c>
      <c r="I185" s="87">
        <v>1137.730202596307</v>
      </c>
    </row>
    <row r="186" spans="1:9" x14ac:dyDescent="0.25">
      <c r="A186" s="82">
        <v>8</v>
      </c>
      <c r="B186">
        <v>818</v>
      </c>
      <c r="C186" s="42">
        <v>8</v>
      </c>
      <c r="D186" s="83" t="s">
        <v>313</v>
      </c>
      <c r="E186" s="84">
        <v>18605.38</v>
      </c>
      <c r="F186" s="85">
        <v>0</v>
      </c>
      <c r="G186" s="85">
        <v>18605.38</v>
      </c>
      <c r="H186" s="86">
        <v>40.143224157778789</v>
      </c>
      <c r="I186" s="87">
        <v>463.47497965966761</v>
      </c>
    </row>
    <row r="187" spans="1:9" x14ac:dyDescent="0.25">
      <c r="A187" s="82">
        <v>8</v>
      </c>
      <c r="B187">
        <v>824</v>
      </c>
      <c r="C187" s="42">
        <v>6</v>
      </c>
      <c r="D187" s="83" t="s">
        <v>371</v>
      </c>
      <c r="E187" s="84">
        <v>49304.21</v>
      </c>
      <c r="F187" s="85">
        <v>0</v>
      </c>
      <c r="G187" s="85">
        <v>49304.21</v>
      </c>
      <c r="H187" s="86">
        <v>31.52</v>
      </c>
      <c r="I187" s="87">
        <v>1564.2198604060914</v>
      </c>
    </row>
    <row r="188" spans="1:9" x14ac:dyDescent="0.25">
      <c r="A188" s="89">
        <v>8</v>
      </c>
      <c r="B188">
        <v>826</v>
      </c>
      <c r="C188" s="42">
        <v>6</v>
      </c>
      <c r="D188" s="83" t="s">
        <v>372</v>
      </c>
      <c r="E188" s="84">
        <v>28559.88</v>
      </c>
      <c r="F188" s="85">
        <v>0</v>
      </c>
      <c r="G188" s="85">
        <v>28559.88</v>
      </c>
      <c r="H188" s="86">
        <v>26.19</v>
      </c>
      <c r="I188" s="87">
        <v>1090.4879725085912</v>
      </c>
    </row>
    <row r="189" spans="1:9" x14ac:dyDescent="0.25">
      <c r="A189" s="82">
        <v>8</v>
      </c>
      <c r="B189">
        <v>830</v>
      </c>
      <c r="C189" s="42">
        <v>830</v>
      </c>
      <c r="D189" s="83" t="s">
        <v>361</v>
      </c>
      <c r="E189" s="84">
        <v>1029.9100000000001</v>
      </c>
      <c r="F189" s="85">
        <v>0</v>
      </c>
      <c r="G189" s="85">
        <v>1029.9100000000001</v>
      </c>
      <c r="H189" s="86">
        <v>21.846106673549283</v>
      </c>
      <c r="I189" s="87">
        <v>47.143869403832454</v>
      </c>
    </row>
    <row r="190" spans="1:9" x14ac:dyDescent="0.25">
      <c r="A190" s="82">
        <v>8</v>
      </c>
      <c r="B190">
        <v>833</v>
      </c>
      <c r="C190" s="88">
        <v>8</v>
      </c>
      <c r="D190" s="83" t="s">
        <v>387</v>
      </c>
      <c r="E190" s="84">
        <v>29466.37</v>
      </c>
      <c r="F190" s="85">
        <v>0</v>
      </c>
      <c r="G190" s="85">
        <v>29466.37</v>
      </c>
      <c r="H190" s="86">
        <v>52.045401230515843</v>
      </c>
      <c r="I190" s="87">
        <v>566.16664111185571</v>
      </c>
    </row>
    <row r="191" spans="1:9" x14ac:dyDescent="0.25">
      <c r="A191" s="82">
        <v>8</v>
      </c>
      <c r="B191">
        <v>834</v>
      </c>
      <c r="C191" s="42">
        <v>8</v>
      </c>
      <c r="D191" s="83" t="s">
        <v>315</v>
      </c>
      <c r="E191" s="84">
        <v>58821.49</v>
      </c>
      <c r="F191" s="85">
        <v>6965.41</v>
      </c>
      <c r="G191" s="85">
        <v>51856.08</v>
      </c>
      <c r="H191" s="86">
        <v>98.48</v>
      </c>
      <c r="I191" s="87">
        <v>526.56458164094227</v>
      </c>
    </row>
    <row r="192" spans="1:9" x14ac:dyDescent="0.25">
      <c r="A192" s="82">
        <v>8</v>
      </c>
      <c r="B192">
        <v>837</v>
      </c>
      <c r="C192" s="42">
        <v>8</v>
      </c>
      <c r="D192" s="83" t="s">
        <v>316</v>
      </c>
      <c r="E192" s="84">
        <v>82185.350000000006</v>
      </c>
      <c r="F192" s="85">
        <v>0</v>
      </c>
      <c r="G192" s="85">
        <v>82185.350000000006</v>
      </c>
      <c r="H192" s="86">
        <v>164.78</v>
      </c>
      <c r="I192" s="87">
        <v>498.75804102439622</v>
      </c>
    </row>
    <row r="193" spans="1:9" x14ac:dyDescent="0.25">
      <c r="A193" s="82">
        <v>8</v>
      </c>
      <c r="B193">
        <v>840</v>
      </c>
      <c r="C193" s="42">
        <v>6</v>
      </c>
      <c r="D193" s="83" t="s">
        <v>207</v>
      </c>
      <c r="E193" s="84">
        <v>76752.78</v>
      </c>
      <c r="F193" s="85">
        <v>0</v>
      </c>
      <c r="G193" s="85">
        <v>76752.78</v>
      </c>
      <c r="H193" s="86">
        <v>133.64200485462965</v>
      </c>
      <c r="I193" s="87">
        <v>574.31628688516423</v>
      </c>
    </row>
    <row r="194" spans="1:9" x14ac:dyDescent="0.25">
      <c r="A194" s="82">
        <v>8</v>
      </c>
      <c r="B194">
        <v>843</v>
      </c>
      <c r="C194" s="42">
        <v>6</v>
      </c>
      <c r="D194" s="83" t="s">
        <v>373</v>
      </c>
      <c r="E194" s="84">
        <v>38204.959999999999</v>
      </c>
      <c r="F194" s="85">
        <v>0</v>
      </c>
      <c r="G194" s="85">
        <v>38204.959999999999</v>
      </c>
      <c r="H194" s="86">
        <v>24</v>
      </c>
      <c r="I194" s="87">
        <v>1591.8733333333332</v>
      </c>
    </row>
    <row r="195" spans="1:9" x14ac:dyDescent="0.25">
      <c r="A195" s="82"/>
      <c r="B195">
        <v>846</v>
      </c>
      <c r="C195" s="42">
        <v>6</v>
      </c>
      <c r="D195" s="83" t="s">
        <v>209</v>
      </c>
      <c r="E195" s="84">
        <v>38171.78</v>
      </c>
      <c r="F195" s="85">
        <v>0</v>
      </c>
      <c r="G195" s="85">
        <v>38171.78</v>
      </c>
      <c r="H195" s="86">
        <v>24.91</v>
      </c>
      <c r="I195" s="87">
        <v>1532.3877960658369</v>
      </c>
    </row>
    <row r="196" spans="1:9" x14ac:dyDescent="0.25">
      <c r="A196" s="82">
        <v>8</v>
      </c>
      <c r="B196">
        <v>847</v>
      </c>
      <c r="C196" s="42">
        <v>8</v>
      </c>
      <c r="D196" s="83" t="s">
        <v>317</v>
      </c>
      <c r="E196" s="84">
        <v>71503.289999999994</v>
      </c>
      <c r="F196" s="85">
        <v>0</v>
      </c>
      <c r="G196" s="85">
        <v>71503.289999999994</v>
      </c>
      <c r="H196" s="86">
        <v>73.045387579667249</v>
      </c>
      <c r="I196" s="87">
        <v>978.88850164583823</v>
      </c>
    </row>
    <row r="197" spans="1:9" x14ac:dyDescent="0.25">
      <c r="A197" s="82">
        <v>8</v>
      </c>
      <c r="B197">
        <v>854</v>
      </c>
      <c r="C197" s="42">
        <v>7</v>
      </c>
      <c r="D197" s="83" t="s">
        <v>275</v>
      </c>
      <c r="E197" s="84">
        <v>372742.85</v>
      </c>
      <c r="F197" s="85">
        <v>226.56</v>
      </c>
      <c r="G197" s="85">
        <v>372516.29</v>
      </c>
      <c r="H197" s="86">
        <v>739.91</v>
      </c>
      <c r="I197" s="87">
        <v>503.46162371099189</v>
      </c>
    </row>
    <row r="198" spans="1:9" x14ac:dyDescent="0.25">
      <c r="A198" s="82">
        <v>8</v>
      </c>
      <c r="B198">
        <v>855</v>
      </c>
      <c r="C198" s="42">
        <v>7</v>
      </c>
      <c r="D198" s="83" t="s">
        <v>276</v>
      </c>
      <c r="E198" s="84">
        <v>132793.26999999999</v>
      </c>
      <c r="F198" s="85">
        <v>20458.66</v>
      </c>
      <c r="G198" s="85">
        <v>112334.60999999999</v>
      </c>
      <c r="H198" s="86">
        <v>218.35</v>
      </c>
      <c r="I198" s="87">
        <v>514.47039157316226</v>
      </c>
    </row>
    <row r="199" spans="1:9" x14ac:dyDescent="0.25">
      <c r="A199" s="82">
        <v>8</v>
      </c>
      <c r="B199">
        <v>862</v>
      </c>
      <c r="C199" s="42">
        <v>7</v>
      </c>
      <c r="D199" s="83" t="s">
        <v>379</v>
      </c>
      <c r="E199" s="84">
        <v>9221.15</v>
      </c>
      <c r="F199" s="85">
        <v>7583.34</v>
      </c>
      <c r="G199" s="85">
        <v>1637.8099999999995</v>
      </c>
      <c r="H199" s="86">
        <v>17.291458969875634</v>
      </c>
      <c r="I199" s="87">
        <v>94.717860583847497</v>
      </c>
    </row>
    <row r="200" spans="1:9" x14ac:dyDescent="0.25">
      <c r="A200" s="82">
        <v>8</v>
      </c>
      <c r="B200">
        <v>866</v>
      </c>
      <c r="C200" s="42">
        <v>8</v>
      </c>
      <c r="D200" s="83" t="s">
        <v>388</v>
      </c>
      <c r="E200" s="84">
        <v>55892.7</v>
      </c>
      <c r="F200" s="85">
        <v>0</v>
      </c>
      <c r="G200" s="85">
        <v>55892.7</v>
      </c>
      <c r="H200" s="86">
        <v>451.12615338481373</v>
      </c>
      <c r="I200" s="87">
        <v>123.89594258864247</v>
      </c>
    </row>
    <row r="201" spans="1:9" x14ac:dyDescent="0.25">
      <c r="A201" s="82">
        <v>8</v>
      </c>
      <c r="B201">
        <v>871</v>
      </c>
      <c r="C201" s="42">
        <v>8</v>
      </c>
      <c r="D201" s="83" t="s">
        <v>319</v>
      </c>
      <c r="E201" s="84">
        <v>10503.23</v>
      </c>
      <c r="F201" s="85">
        <v>0</v>
      </c>
      <c r="G201" s="85">
        <v>10503.23</v>
      </c>
      <c r="H201" s="86">
        <v>15.799938858436702</v>
      </c>
      <c r="I201" s="87">
        <v>664.76396485493888</v>
      </c>
    </row>
    <row r="202" spans="1:9" x14ac:dyDescent="0.25">
      <c r="A202" s="89">
        <v>8</v>
      </c>
      <c r="B202">
        <v>873</v>
      </c>
      <c r="C202" s="42">
        <v>8</v>
      </c>
      <c r="D202" s="83" t="s">
        <v>320</v>
      </c>
      <c r="E202" s="84">
        <v>59308.39</v>
      </c>
      <c r="F202" s="85">
        <v>0</v>
      </c>
      <c r="G202" s="85">
        <v>59308.39</v>
      </c>
      <c r="H202" s="86">
        <v>136.9184707916597</v>
      </c>
      <c r="I202" s="87">
        <v>433.16573474039069</v>
      </c>
    </row>
    <row r="203" spans="1:9" x14ac:dyDescent="0.25">
      <c r="A203" s="82">
        <v>8</v>
      </c>
      <c r="B203">
        <v>878</v>
      </c>
      <c r="C203" s="42">
        <v>4</v>
      </c>
      <c r="D203" s="83" t="s">
        <v>158</v>
      </c>
      <c r="E203" s="84">
        <v>2671507.41</v>
      </c>
      <c r="F203" s="85">
        <v>801437.25000000012</v>
      </c>
      <c r="G203" s="85">
        <v>1870070.1600000001</v>
      </c>
      <c r="H203" s="86">
        <v>7110.8</v>
      </c>
      <c r="I203" s="87">
        <v>262.9901220678405</v>
      </c>
    </row>
    <row r="204" spans="1:9" x14ac:dyDescent="0.25">
      <c r="A204" s="82">
        <v>8</v>
      </c>
      <c r="B204">
        <v>885</v>
      </c>
      <c r="C204" s="42">
        <v>5</v>
      </c>
      <c r="D204" s="83" t="s">
        <v>177</v>
      </c>
      <c r="E204" s="84">
        <v>169727.54</v>
      </c>
      <c r="F204" s="85">
        <v>56852.329999999987</v>
      </c>
      <c r="G204" s="85">
        <v>112875.21000000002</v>
      </c>
      <c r="H204" s="86">
        <v>414.7</v>
      </c>
      <c r="I204" s="87">
        <v>272.18521823004585</v>
      </c>
    </row>
    <row r="205" spans="1:9" x14ac:dyDescent="0.25">
      <c r="A205" s="82">
        <v>8</v>
      </c>
      <c r="B205">
        <v>888</v>
      </c>
      <c r="C205" s="42">
        <v>6</v>
      </c>
      <c r="D205" s="83" t="s">
        <v>210</v>
      </c>
      <c r="E205" s="84">
        <v>45768.89</v>
      </c>
      <c r="F205" s="85">
        <v>0</v>
      </c>
      <c r="G205" s="85">
        <v>45768.89</v>
      </c>
      <c r="H205" s="86">
        <v>89.094669903086427</v>
      </c>
      <c r="I205" s="87">
        <v>513.71075340180892</v>
      </c>
    </row>
    <row r="206" spans="1:9" x14ac:dyDescent="0.25">
      <c r="A206" s="82">
        <v>8</v>
      </c>
      <c r="B206">
        <v>889</v>
      </c>
      <c r="C206" s="88">
        <v>6</v>
      </c>
      <c r="D206" s="83" t="s">
        <v>211</v>
      </c>
      <c r="E206" s="84">
        <v>46246.58</v>
      </c>
      <c r="F206" s="85">
        <v>0</v>
      </c>
      <c r="G206" s="85">
        <v>46246.58</v>
      </c>
      <c r="H206" s="86">
        <v>81.354366620670746</v>
      </c>
      <c r="I206" s="87">
        <v>568.45848503292927</v>
      </c>
    </row>
    <row r="207" spans="1:9" x14ac:dyDescent="0.25">
      <c r="A207" s="82">
        <v>8</v>
      </c>
      <c r="B207">
        <v>891</v>
      </c>
      <c r="C207" s="42">
        <v>6</v>
      </c>
      <c r="D207" s="83" t="s">
        <v>212</v>
      </c>
      <c r="E207" s="84">
        <v>78021.55</v>
      </c>
      <c r="F207" s="85">
        <v>0</v>
      </c>
      <c r="G207" s="85">
        <v>78021.55</v>
      </c>
      <c r="H207" s="86">
        <v>336.22795096477125</v>
      </c>
      <c r="I207" s="87">
        <v>232.04956570720921</v>
      </c>
    </row>
    <row r="208" spans="1:9" x14ac:dyDescent="0.25">
      <c r="A208" s="82">
        <v>8</v>
      </c>
      <c r="B208">
        <v>895</v>
      </c>
      <c r="C208" s="42">
        <v>8</v>
      </c>
      <c r="D208" s="83" t="s">
        <v>321</v>
      </c>
      <c r="E208" s="84">
        <v>12923.4</v>
      </c>
      <c r="F208" s="85">
        <v>0</v>
      </c>
      <c r="G208" s="85">
        <v>12923.4</v>
      </c>
      <c r="H208" s="86">
        <v>30.637000556525461</v>
      </c>
      <c r="I208" s="87">
        <v>421.82327790725611</v>
      </c>
    </row>
    <row r="209" spans="1:9" x14ac:dyDescent="0.25">
      <c r="A209" s="82">
        <v>8</v>
      </c>
      <c r="B209">
        <v>897</v>
      </c>
      <c r="C209" s="42">
        <v>8</v>
      </c>
      <c r="D209" s="83" t="s">
        <v>322</v>
      </c>
      <c r="E209" s="84">
        <v>328517.40999999997</v>
      </c>
      <c r="F209" s="85">
        <v>126</v>
      </c>
      <c r="G209" s="85">
        <v>328391.40999999997</v>
      </c>
      <c r="H209" s="86">
        <v>194.23862212959204</v>
      </c>
      <c r="I209" s="87">
        <v>1690.6596968181948</v>
      </c>
    </row>
    <row r="210" spans="1:9" x14ac:dyDescent="0.25">
      <c r="A210" s="82">
        <v>8</v>
      </c>
      <c r="B210">
        <v>904</v>
      </c>
      <c r="C210" s="42">
        <v>6</v>
      </c>
      <c r="D210" s="83" t="s">
        <v>213</v>
      </c>
      <c r="E210" s="84">
        <v>14975.79</v>
      </c>
      <c r="F210" s="85">
        <v>0</v>
      </c>
      <c r="G210" s="85">
        <v>14975.79</v>
      </c>
      <c r="H210" s="86">
        <v>29.131410814890497</v>
      </c>
      <c r="I210" s="87">
        <v>514.07705912908068</v>
      </c>
    </row>
    <row r="211" spans="1:9" x14ac:dyDescent="0.25">
      <c r="A211" s="82">
        <v>8</v>
      </c>
      <c r="B211">
        <v>905</v>
      </c>
      <c r="C211" s="42">
        <v>8</v>
      </c>
      <c r="D211" s="83" t="s">
        <v>389</v>
      </c>
      <c r="E211" s="84">
        <v>62281.79</v>
      </c>
      <c r="F211" s="85">
        <v>0</v>
      </c>
      <c r="G211" s="85">
        <v>62281.79</v>
      </c>
      <c r="H211" s="86">
        <v>96.357743464637792</v>
      </c>
      <c r="I211" s="87">
        <v>646.35998893910084</v>
      </c>
    </row>
    <row r="212" spans="1:9" x14ac:dyDescent="0.25">
      <c r="A212" s="82">
        <v>8</v>
      </c>
      <c r="B212">
        <v>906</v>
      </c>
      <c r="C212" s="88">
        <v>6</v>
      </c>
      <c r="D212" s="83" t="s">
        <v>214</v>
      </c>
      <c r="E212" s="84">
        <v>136919.84</v>
      </c>
      <c r="F212" s="85">
        <v>175</v>
      </c>
      <c r="G212" s="85">
        <v>136744.84</v>
      </c>
      <c r="H212" s="86">
        <v>232.99</v>
      </c>
      <c r="I212" s="87">
        <v>586.91291471736986</v>
      </c>
    </row>
    <row r="213" spans="1:9" x14ac:dyDescent="0.25">
      <c r="A213" s="82">
        <v>8</v>
      </c>
      <c r="B213">
        <v>907</v>
      </c>
      <c r="C213" s="88">
        <v>8</v>
      </c>
      <c r="D213" s="83" t="s">
        <v>324</v>
      </c>
      <c r="E213" s="84">
        <v>22247.05</v>
      </c>
      <c r="F213" s="85">
        <v>0</v>
      </c>
      <c r="G213" s="85">
        <v>22247.05</v>
      </c>
      <c r="H213" s="86">
        <v>5.3746052404876101</v>
      </c>
      <c r="I213" s="87">
        <v>4139.2900509994743</v>
      </c>
    </row>
    <row r="214" spans="1:9" x14ac:dyDescent="0.25">
      <c r="A214" s="82">
        <v>8</v>
      </c>
      <c r="B214">
        <v>909</v>
      </c>
      <c r="C214" s="42">
        <v>5</v>
      </c>
      <c r="D214" s="83" t="s">
        <v>178</v>
      </c>
      <c r="E214" s="84">
        <v>217526.92</v>
      </c>
      <c r="F214" s="85">
        <v>78119.689999999988</v>
      </c>
      <c r="G214" s="85">
        <v>139407.23000000004</v>
      </c>
      <c r="H214" s="86">
        <v>539.5</v>
      </c>
      <c r="I214" s="87">
        <v>258.40079703429109</v>
      </c>
    </row>
    <row r="215" spans="1:9" x14ac:dyDescent="0.25">
      <c r="A215" s="82">
        <v>8</v>
      </c>
      <c r="B215">
        <v>917</v>
      </c>
      <c r="C215" s="42">
        <v>6</v>
      </c>
      <c r="D215" s="83" t="s">
        <v>215</v>
      </c>
      <c r="E215" s="84">
        <v>55133.82</v>
      </c>
      <c r="F215" s="85">
        <v>0</v>
      </c>
      <c r="G215" s="85">
        <v>55133.82</v>
      </c>
      <c r="H215" s="86">
        <v>61.484083402581376</v>
      </c>
      <c r="I215" s="87">
        <v>896.71695419119214</v>
      </c>
    </row>
    <row r="216" spans="1:9" x14ac:dyDescent="0.25">
      <c r="A216" s="82">
        <v>8</v>
      </c>
      <c r="B216">
        <v>918</v>
      </c>
      <c r="C216" s="42">
        <v>8</v>
      </c>
      <c r="D216" s="83" t="s">
        <v>325</v>
      </c>
      <c r="E216" s="84">
        <v>48604.24</v>
      </c>
      <c r="F216" s="85">
        <v>0</v>
      </c>
      <c r="G216" s="85">
        <v>48604.24</v>
      </c>
      <c r="H216" s="86">
        <v>61.54175167987492</v>
      </c>
      <c r="I216" s="87">
        <v>789.77667474964505</v>
      </c>
    </row>
    <row r="217" spans="1:9" x14ac:dyDescent="0.25">
      <c r="A217" s="82">
        <v>8</v>
      </c>
      <c r="B217">
        <v>922</v>
      </c>
      <c r="C217" s="42">
        <v>8</v>
      </c>
      <c r="D217" s="83" t="s">
        <v>326</v>
      </c>
      <c r="E217" s="84">
        <v>117454.54</v>
      </c>
      <c r="F217" s="85">
        <v>9531.2900000000009</v>
      </c>
      <c r="G217" s="85">
        <v>107923.25</v>
      </c>
      <c r="H217" s="86">
        <v>154.13</v>
      </c>
      <c r="I217" s="87">
        <v>700.20923895412966</v>
      </c>
    </row>
    <row r="218" spans="1:9" x14ac:dyDescent="0.25">
      <c r="A218" s="82">
        <v>8</v>
      </c>
      <c r="B218">
        <v>923</v>
      </c>
      <c r="C218" s="42">
        <v>5</v>
      </c>
      <c r="D218" s="83" t="s">
        <v>179</v>
      </c>
      <c r="E218" s="84">
        <v>28648.33</v>
      </c>
      <c r="F218" s="85">
        <v>0</v>
      </c>
      <c r="G218" s="85">
        <v>28648.33</v>
      </c>
      <c r="H218" s="86">
        <v>64.422161294846376</v>
      </c>
      <c r="I218" s="87">
        <v>444.69681588114929</v>
      </c>
    </row>
    <row r="219" spans="1:9" x14ac:dyDescent="0.25">
      <c r="A219" s="82">
        <v>8</v>
      </c>
      <c r="B219">
        <v>924</v>
      </c>
      <c r="C219" s="42">
        <v>8</v>
      </c>
      <c r="D219" s="83" t="s">
        <v>327</v>
      </c>
      <c r="E219" s="84">
        <v>70352.240000000005</v>
      </c>
      <c r="F219" s="85">
        <v>0</v>
      </c>
      <c r="G219" s="85">
        <v>70352.240000000005</v>
      </c>
      <c r="H219" s="86">
        <v>170.30421848518844</v>
      </c>
      <c r="I219" s="87">
        <v>413.09745950960468</v>
      </c>
    </row>
    <row r="220" spans="1:9" x14ac:dyDescent="0.25">
      <c r="A220" s="82">
        <v>8</v>
      </c>
      <c r="B220">
        <v>929</v>
      </c>
      <c r="C220" s="42">
        <v>8</v>
      </c>
      <c r="D220" s="83" t="s">
        <v>328</v>
      </c>
      <c r="E220" s="84">
        <v>32198.16</v>
      </c>
      <c r="F220" s="85">
        <v>0</v>
      </c>
      <c r="G220" s="85">
        <v>32198.16</v>
      </c>
      <c r="H220" s="86">
        <v>49.813083778912947</v>
      </c>
      <c r="I220" s="87">
        <v>646.37957655675677</v>
      </c>
    </row>
    <row r="221" spans="1:9" x14ac:dyDescent="0.25">
      <c r="A221" s="82">
        <v>8</v>
      </c>
      <c r="B221">
        <v>936</v>
      </c>
      <c r="C221" s="42">
        <v>9</v>
      </c>
      <c r="D221" s="83" t="s">
        <v>362</v>
      </c>
      <c r="E221" s="84">
        <v>49010.21</v>
      </c>
      <c r="F221" s="85">
        <v>0</v>
      </c>
      <c r="G221" s="85">
        <v>49010.21</v>
      </c>
      <c r="H221" s="86">
        <v>30.127284316592274</v>
      </c>
      <c r="I221" s="87">
        <v>1626.7715830267568</v>
      </c>
    </row>
    <row r="222" spans="1:9" x14ac:dyDescent="0.25">
      <c r="A222" s="82">
        <v>9</v>
      </c>
      <c r="B222">
        <v>952</v>
      </c>
      <c r="C222" s="42">
        <v>9</v>
      </c>
      <c r="D222" s="83" t="s">
        <v>363</v>
      </c>
      <c r="E222" s="84">
        <v>95781.79</v>
      </c>
      <c r="F222" s="85">
        <v>3406.5</v>
      </c>
      <c r="G222" s="85">
        <v>92375.29</v>
      </c>
      <c r="H222" s="86">
        <v>72.757346618170089</v>
      </c>
      <c r="I222" s="87">
        <v>1269.6352230213217</v>
      </c>
    </row>
    <row r="223" spans="1:9" x14ac:dyDescent="0.25">
      <c r="A223" s="82">
        <v>9</v>
      </c>
      <c r="B223">
        <v>955</v>
      </c>
      <c r="C223" s="42">
        <v>8</v>
      </c>
      <c r="D223" s="83" t="s">
        <v>329</v>
      </c>
      <c r="E223" s="84">
        <v>23483.31</v>
      </c>
      <c r="F223" s="85">
        <v>0</v>
      </c>
      <c r="G223" s="85">
        <v>23483.31</v>
      </c>
      <c r="H223" s="86">
        <v>48.660919932924358</v>
      </c>
      <c r="I223" s="87">
        <v>482.59075316229297</v>
      </c>
    </row>
    <row r="224" spans="1:9" x14ac:dyDescent="0.25">
      <c r="A224" s="82">
        <v>9</v>
      </c>
      <c r="B224">
        <v>957</v>
      </c>
      <c r="C224" s="42">
        <v>6</v>
      </c>
      <c r="D224" s="83" t="s">
        <v>216</v>
      </c>
      <c r="E224" s="84">
        <v>34702.080000000002</v>
      </c>
      <c r="F224" s="85">
        <v>0</v>
      </c>
      <c r="G224" s="85">
        <v>34702.080000000002</v>
      </c>
      <c r="H224" s="86">
        <v>100.7693301237677</v>
      </c>
      <c r="I224" s="87">
        <v>344.37144672270756</v>
      </c>
    </row>
    <row r="225" spans="1:9" x14ac:dyDescent="0.25">
      <c r="A225" s="82">
        <v>9</v>
      </c>
      <c r="B225">
        <v>958</v>
      </c>
      <c r="C225" s="42">
        <v>7</v>
      </c>
      <c r="D225" s="83" t="s">
        <v>278</v>
      </c>
      <c r="E225" s="84">
        <v>144465</v>
      </c>
      <c r="F225" s="85">
        <v>296.64</v>
      </c>
      <c r="G225" s="85">
        <v>144168.35999999999</v>
      </c>
      <c r="H225" s="86">
        <v>822.14091435323326</v>
      </c>
      <c r="I225" s="87">
        <v>175.3572380148666</v>
      </c>
    </row>
    <row r="226" spans="1:9" x14ac:dyDescent="0.25">
      <c r="A226" s="82">
        <v>9</v>
      </c>
      <c r="B226">
        <v>959</v>
      </c>
      <c r="C226" s="42">
        <v>6</v>
      </c>
      <c r="D226" s="83" t="s">
        <v>374</v>
      </c>
      <c r="E226" s="84">
        <v>101044.32</v>
      </c>
      <c r="F226" s="85">
        <v>328</v>
      </c>
      <c r="G226" s="85">
        <v>100716.32</v>
      </c>
      <c r="H226" s="86">
        <v>325.85513791920482</v>
      </c>
      <c r="I226" s="87">
        <v>309.08311172608376</v>
      </c>
    </row>
    <row r="227" spans="1:9" x14ac:dyDescent="0.25">
      <c r="A227" s="82">
        <v>9</v>
      </c>
      <c r="B227">
        <v>967</v>
      </c>
      <c r="C227" s="42">
        <v>7</v>
      </c>
      <c r="D227" s="83" t="s">
        <v>279</v>
      </c>
      <c r="E227" s="84">
        <v>81003.53</v>
      </c>
      <c r="F227" s="85">
        <v>0</v>
      </c>
      <c r="G227" s="85">
        <v>81003.53</v>
      </c>
      <c r="H227" s="86">
        <v>161.20392435788793</v>
      </c>
      <c r="I227" s="87">
        <v>502.49105487137223</v>
      </c>
    </row>
    <row r="228" spans="1:9" x14ac:dyDescent="0.25">
      <c r="A228" s="82">
        <v>9</v>
      </c>
      <c r="B228">
        <v>969</v>
      </c>
      <c r="C228" s="42">
        <v>6</v>
      </c>
      <c r="D228" s="83" t="s">
        <v>218</v>
      </c>
      <c r="E228" s="84">
        <v>31689.82</v>
      </c>
      <c r="F228" s="85">
        <v>0</v>
      </c>
      <c r="G228" s="85">
        <v>31689.82</v>
      </c>
      <c r="H228" s="86">
        <v>17.594391748176051</v>
      </c>
      <c r="I228" s="87">
        <v>1801.1318864310938</v>
      </c>
    </row>
    <row r="229" spans="1:9" x14ac:dyDescent="0.25">
      <c r="A229" s="82">
        <v>9</v>
      </c>
      <c r="B229">
        <v>970</v>
      </c>
      <c r="C229" s="42">
        <v>6</v>
      </c>
      <c r="D229" s="83" t="s">
        <v>219</v>
      </c>
      <c r="E229" s="84">
        <v>48374.13</v>
      </c>
      <c r="F229" s="85">
        <v>119</v>
      </c>
      <c r="G229" s="85">
        <v>48255.13</v>
      </c>
      <c r="H229" s="86">
        <v>187.73478598165758</v>
      </c>
      <c r="I229" s="87">
        <v>257.03883139012243</v>
      </c>
    </row>
    <row r="230" spans="1:9" x14ac:dyDescent="0.25">
      <c r="A230" s="82">
        <v>9</v>
      </c>
      <c r="B230">
        <v>971</v>
      </c>
      <c r="C230" s="88">
        <v>7</v>
      </c>
      <c r="D230" s="83" t="s">
        <v>280</v>
      </c>
      <c r="E230" s="84">
        <v>483236.56</v>
      </c>
      <c r="F230" s="85">
        <v>126368.85999999999</v>
      </c>
      <c r="G230" s="85">
        <v>356867.7</v>
      </c>
      <c r="H230" s="86">
        <v>1018.99</v>
      </c>
      <c r="I230" s="87">
        <v>350.21707769457993</v>
      </c>
    </row>
    <row r="231" spans="1:9" x14ac:dyDescent="0.25">
      <c r="A231" s="82">
        <v>9</v>
      </c>
      <c r="B231">
        <v>973</v>
      </c>
      <c r="C231" s="42">
        <v>8</v>
      </c>
      <c r="D231" s="83" t="s">
        <v>330</v>
      </c>
      <c r="E231" s="84">
        <v>8185.23</v>
      </c>
      <c r="F231" s="85">
        <v>0</v>
      </c>
      <c r="G231" s="85">
        <v>8185.23</v>
      </c>
      <c r="H231" s="86">
        <v>1.7244254598958617</v>
      </c>
      <c r="I231" s="87">
        <v>4746.6418180199607</v>
      </c>
    </row>
    <row r="232" spans="1:9" x14ac:dyDescent="0.25">
      <c r="A232" s="82">
        <v>9</v>
      </c>
      <c r="B232">
        <v>974</v>
      </c>
      <c r="C232" s="90">
        <v>8</v>
      </c>
      <c r="D232" s="83" t="s">
        <v>331</v>
      </c>
      <c r="E232" s="84">
        <v>10931.07</v>
      </c>
      <c r="F232" s="85">
        <v>0</v>
      </c>
      <c r="G232" s="85">
        <v>10931.07</v>
      </c>
      <c r="H232" s="86">
        <v>12.83252651881895</v>
      </c>
      <c r="I232" s="87">
        <v>851.82524142611692</v>
      </c>
    </row>
    <row r="233" spans="1:9" x14ac:dyDescent="0.25">
      <c r="A233" s="82">
        <v>9</v>
      </c>
      <c r="B233">
        <v>975</v>
      </c>
      <c r="C233" s="90">
        <v>7</v>
      </c>
      <c r="D233" s="83" t="s">
        <v>281</v>
      </c>
      <c r="E233" s="84">
        <v>38878.620000000003</v>
      </c>
      <c r="F233" s="85">
        <v>0</v>
      </c>
      <c r="G233" s="85">
        <v>38878.620000000003</v>
      </c>
      <c r="H233" s="86">
        <v>28.687079509106532</v>
      </c>
      <c r="I233" s="87">
        <v>1355.2658780639636</v>
      </c>
    </row>
    <row r="234" spans="1:9" x14ac:dyDescent="0.25">
      <c r="A234" s="82">
        <v>9</v>
      </c>
      <c r="B234">
        <v>976</v>
      </c>
      <c r="C234" s="90">
        <v>7</v>
      </c>
      <c r="D234" s="83" t="s">
        <v>282</v>
      </c>
      <c r="E234" s="84">
        <v>54719.55</v>
      </c>
      <c r="F234" s="85">
        <v>0</v>
      </c>
      <c r="G234" s="85">
        <v>54719.55</v>
      </c>
      <c r="H234" s="86">
        <v>23.538347322345018</v>
      </c>
      <c r="I234" s="87">
        <v>2324.6980448816212</v>
      </c>
    </row>
    <row r="235" spans="1:9" x14ac:dyDescent="0.25">
      <c r="A235" s="82">
        <v>9</v>
      </c>
      <c r="B235">
        <v>977</v>
      </c>
      <c r="C235" s="90">
        <v>7</v>
      </c>
      <c r="D235" s="83" t="s">
        <v>39</v>
      </c>
      <c r="E235" s="84">
        <v>2175.5500000000002</v>
      </c>
      <c r="F235" s="85">
        <v>0</v>
      </c>
      <c r="G235" s="85">
        <v>2175.5500000000002</v>
      </c>
      <c r="H235" s="86">
        <v>40.54588187937884</v>
      </c>
      <c r="I235" s="87">
        <v>53.656497260858927</v>
      </c>
    </row>
    <row r="236" spans="1:9" x14ac:dyDescent="0.25">
      <c r="A236" s="82">
        <v>9</v>
      </c>
      <c r="B236">
        <v>978</v>
      </c>
      <c r="C236" s="90">
        <v>8</v>
      </c>
      <c r="D236" s="83" t="s">
        <v>332</v>
      </c>
      <c r="E236" s="84">
        <v>106850.54</v>
      </c>
      <c r="F236" s="85">
        <v>0</v>
      </c>
      <c r="G236" s="85">
        <v>106850.54</v>
      </c>
      <c r="H236" s="86">
        <v>34.888961461341992</v>
      </c>
      <c r="I236" s="87">
        <v>3062.5887250439819</v>
      </c>
    </row>
    <row r="237" spans="1:9" x14ac:dyDescent="0.25">
      <c r="A237" s="89">
        <v>9</v>
      </c>
      <c r="B237">
        <v>979</v>
      </c>
      <c r="C237" s="90">
        <v>7</v>
      </c>
      <c r="D237" s="83" t="s">
        <v>283</v>
      </c>
      <c r="E237" s="84">
        <v>112741.22</v>
      </c>
      <c r="F237" s="85">
        <v>200</v>
      </c>
      <c r="G237" s="85">
        <v>112541.22</v>
      </c>
      <c r="H237" s="86">
        <v>20.24668065349811</v>
      </c>
      <c r="I237" s="87">
        <v>5558.5022516051658</v>
      </c>
    </row>
    <row r="238" spans="1:9" x14ac:dyDescent="0.25">
      <c r="A238" s="89">
        <v>9</v>
      </c>
      <c r="B238">
        <v>980</v>
      </c>
      <c r="C238" s="90">
        <v>6</v>
      </c>
      <c r="D238" s="83" t="s">
        <v>220</v>
      </c>
      <c r="E238" s="84">
        <v>22517.62</v>
      </c>
      <c r="F238" s="85">
        <v>0</v>
      </c>
      <c r="G238" s="85">
        <v>22517.62</v>
      </c>
      <c r="H238" s="86">
        <v>45.920487119866451</v>
      </c>
      <c r="I238" s="87">
        <v>490.36108744278249</v>
      </c>
    </row>
    <row r="239" spans="1:9" x14ac:dyDescent="0.25">
      <c r="A239" s="89">
        <v>9</v>
      </c>
      <c r="B239">
        <v>981</v>
      </c>
      <c r="C239" s="90">
        <v>7</v>
      </c>
      <c r="D239" s="83" t="s">
        <v>284</v>
      </c>
      <c r="E239" s="84">
        <v>150933.87</v>
      </c>
      <c r="F239" s="85">
        <v>0</v>
      </c>
      <c r="G239" s="85">
        <v>150933.87</v>
      </c>
      <c r="H239" s="86">
        <v>117.1966662091519</v>
      </c>
      <c r="I239" s="87">
        <v>1287.8682891084964</v>
      </c>
    </row>
    <row r="240" spans="1:9" x14ac:dyDescent="0.25">
      <c r="A240" s="89">
        <v>9</v>
      </c>
      <c r="B240">
        <v>982</v>
      </c>
      <c r="C240" s="90">
        <v>9</v>
      </c>
      <c r="D240" s="83" t="s">
        <v>364</v>
      </c>
      <c r="E240" s="84">
        <v>13878.06</v>
      </c>
      <c r="F240" s="85">
        <v>0</v>
      </c>
      <c r="G240" s="85">
        <v>13878.06</v>
      </c>
      <c r="H240" s="86">
        <v>70.90277271653035</v>
      </c>
      <c r="I240" s="87">
        <v>195.73367117086599</v>
      </c>
    </row>
    <row r="241" spans="1:9" x14ac:dyDescent="0.25">
      <c r="A241" s="89">
        <v>9</v>
      </c>
      <c r="B241">
        <v>983</v>
      </c>
      <c r="C241" s="90">
        <v>7</v>
      </c>
      <c r="D241" s="83" t="s">
        <v>380</v>
      </c>
      <c r="E241" s="84">
        <v>40086</v>
      </c>
      <c r="F241" s="85">
        <v>0</v>
      </c>
      <c r="G241" s="85">
        <v>40086</v>
      </c>
      <c r="H241" s="86">
        <v>93.559304806292218</v>
      </c>
      <c r="I241" s="87">
        <v>428.45551367654099</v>
      </c>
    </row>
    <row r="242" spans="1:9" x14ac:dyDescent="0.25">
      <c r="A242" s="89">
        <v>9</v>
      </c>
      <c r="B242">
        <v>985</v>
      </c>
      <c r="C242" s="90">
        <v>8</v>
      </c>
      <c r="D242" s="83" t="s">
        <v>333</v>
      </c>
      <c r="E242" s="84">
        <v>50275.8</v>
      </c>
      <c r="F242" s="85">
        <v>0</v>
      </c>
      <c r="G242" s="85">
        <v>50275.8</v>
      </c>
      <c r="H242" s="86">
        <v>19.590173498715423</v>
      </c>
      <c r="I242" s="87">
        <v>2566.37849599937</v>
      </c>
    </row>
    <row r="243" spans="1:9" x14ac:dyDescent="0.25">
      <c r="A243" s="89"/>
      <c r="B243">
        <v>986</v>
      </c>
      <c r="C243" s="90">
        <v>6</v>
      </c>
      <c r="D243" s="83" t="s">
        <v>221</v>
      </c>
      <c r="E243" s="84">
        <v>23164.83</v>
      </c>
      <c r="F243" s="85">
        <v>0</v>
      </c>
      <c r="G243" s="85">
        <v>23164.83</v>
      </c>
      <c r="H243" s="86">
        <v>15.143431703654015</v>
      </c>
      <c r="I243" s="87">
        <v>1529.6948837832097</v>
      </c>
    </row>
    <row r="244" spans="1:9" x14ac:dyDescent="0.25">
      <c r="A244" s="89"/>
      <c r="B244">
        <v>987</v>
      </c>
      <c r="C244" s="90">
        <v>9</v>
      </c>
      <c r="D244" s="83" t="s">
        <v>365</v>
      </c>
      <c r="E244" s="84">
        <v>48445.67</v>
      </c>
      <c r="F244" s="85">
        <v>0</v>
      </c>
      <c r="G244" s="85">
        <v>48445.67</v>
      </c>
      <c r="H244" s="86">
        <v>179.59000000000003</v>
      </c>
      <c r="I244" s="87">
        <v>269.75705774263594</v>
      </c>
    </row>
    <row r="245" spans="1:9" x14ac:dyDescent="0.25">
      <c r="A245" s="89"/>
      <c r="B245">
        <v>988</v>
      </c>
      <c r="C245" s="90">
        <v>6</v>
      </c>
      <c r="D245" s="83" t="s">
        <v>222</v>
      </c>
      <c r="E245" s="84">
        <v>52998.48</v>
      </c>
      <c r="F245" s="85">
        <v>0</v>
      </c>
      <c r="G245" s="85">
        <v>52998.48</v>
      </c>
      <c r="H245" s="86">
        <v>112.1559493829518</v>
      </c>
      <c r="I245" s="87">
        <v>472.54274331037857</v>
      </c>
    </row>
    <row r="246" spans="1:9" x14ac:dyDescent="0.25">
      <c r="A246" s="89"/>
      <c r="B246">
        <v>989</v>
      </c>
      <c r="C246" s="90">
        <v>6</v>
      </c>
      <c r="D246" s="83" t="s">
        <v>375</v>
      </c>
      <c r="E246" s="84">
        <v>285307.59000000003</v>
      </c>
      <c r="F246" s="85">
        <v>16617.600000000002</v>
      </c>
      <c r="G246" s="85">
        <v>268689.99000000005</v>
      </c>
      <c r="H246" s="86">
        <v>483.30306049355437</v>
      </c>
      <c r="I246" s="87">
        <v>555.94514490682286</v>
      </c>
    </row>
    <row r="247" spans="1:9" x14ac:dyDescent="0.25">
      <c r="A247" s="89"/>
      <c r="B247">
        <v>990</v>
      </c>
      <c r="C247" s="90">
        <v>8</v>
      </c>
      <c r="D247" s="83" t="s">
        <v>0</v>
      </c>
      <c r="E247" s="84">
        <v>3891.97</v>
      </c>
      <c r="F247" s="85">
        <v>0</v>
      </c>
      <c r="G247" s="85">
        <v>3891.97</v>
      </c>
      <c r="H247" s="86">
        <v>4.5366451435800732</v>
      </c>
      <c r="I247" s="87">
        <v>857.8960612574316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P241"/>
  <sheetViews>
    <sheetView workbookViewId="0">
      <selection activeCell="C26" sqref="C26"/>
    </sheetView>
  </sheetViews>
  <sheetFormatPr defaultRowHeight="15" x14ac:dyDescent="0.25"/>
  <cols>
    <col min="1" max="1" width="11.85546875" customWidth="1"/>
    <col min="2" max="2" width="15.42578125" customWidth="1"/>
    <col min="3" max="3" width="43.5703125" customWidth="1"/>
    <col min="4" max="4" width="22" hidden="1" customWidth="1"/>
    <col min="5" max="5" width="21.5703125" hidden="1" customWidth="1"/>
    <col min="6" max="6" width="21.42578125" hidden="1" customWidth="1"/>
    <col min="7" max="7" width="22.140625" hidden="1" customWidth="1"/>
    <col min="8" max="8" width="20.5703125" hidden="1" customWidth="1"/>
    <col min="9" max="9" width="19.140625" hidden="1" customWidth="1"/>
    <col min="10" max="10" width="20.85546875" hidden="1" customWidth="1"/>
    <col min="11" max="11" width="30.5703125" hidden="1" customWidth="1"/>
    <col min="12" max="12" width="20.85546875" hidden="1" customWidth="1"/>
    <col min="13" max="13" width="24.140625" customWidth="1"/>
    <col min="14" max="14" width="28.42578125" customWidth="1"/>
    <col min="15" max="15" width="24.5703125" customWidth="1"/>
    <col min="16" max="16" width="25.5703125" style="160" customWidth="1"/>
  </cols>
  <sheetData>
    <row r="1" spans="1:16" ht="18.75" x14ac:dyDescent="0.3">
      <c r="A1" s="276" t="s">
        <v>119</v>
      </c>
      <c r="B1" s="276"/>
      <c r="C1" s="276"/>
    </row>
    <row r="2" spans="1:16" x14ac:dyDescent="0.25">
      <c r="I2" s="161">
        <f>SUMPRODUCT(--(I5:I241&gt;=0),F5:F241)</f>
        <v>110790853.88222314</v>
      </c>
    </row>
    <row r="3" spans="1:16" ht="15.75" thickBot="1" x14ac:dyDescent="0.3">
      <c r="D3" s="153">
        <v>110836516.99999999</v>
      </c>
      <c r="E3" s="30">
        <f t="shared" ref="E3:J3" si="0">SUM(E5:E241)</f>
        <v>2.056458470178768E-8</v>
      </c>
      <c r="F3" s="153">
        <f t="shared" si="0"/>
        <v>110836517.00000006</v>
      </c>
      <c r="G3" s="30">
        <f t="shared" si="0"/>
        <v>-10.082837418922281</v>
      </c>
      <c r="H3" s="30">
        <v>10.082837418922271</v>
      </c>
      <c r="I3" s="30">
        <f t="shared" si="0"/>
        <v>-23406</v>
      </c>
      <c r="J3" s="30">
        <f t="shared" si="0"/>
        <v>23405.999999999989</v>
      </c>
      <c r="K3" s="153"/>
      <c r="L3" s="30">
        <f>SUM(L5:L241)</f>
        <v>-3578.2184933169742</v>
      </c>
      <c r="M3" s="30">
        <f>SUM(M5:M241)</f>
        <v>110832938.7815067</v>
      </c>
      <c r="N3" s="153">
        <f>SUM(N5:N241)</f>
        <v>110833043.86380395</v>
      </c>
      <c r="O3" s="30">
        <f>SUM(O5:O241)</f>
        <v>-105.08229730905532</v>
      </c>
    </row>
    <row r="4" spans="1:16" s="221" customFormat="1" ht="46.5" customHeight="1" thickBot="1" x14ac:dyDescent="0.3">
      <c r="A4" s="14" t="s">
        <v>11</v>
      </c>
      <c r="B4" s="14" t="s">
        <v>10</v>
      </c>
      <c r="C4" s="162" t="s">
        <v>9</v>
      </c>
      <c r="D4" s="163" t="s">
        <v>81</v>
      </c>
      <c r="E4" s="163" t="s">
        <v>82</v>
      </c>
      <c r="F4" s="163" t="s">
        <v>83</v>
      </c>
      <c r="G4" s="164" t="s">
        <v>84</v>
      </c>
      <c r="H4" s="165" t="s">
        <v>85</v>
      </c>
      <c r="I4" s="165" t="s">
        <v>86</v>
      </c>
      <c r="J4" s="163" t="s">
        <v>87</v>
      </c>
      <c r="K4" s="163" t="s">
        <v>88</v>
      </c>
      <c r="L4" s="163" t="s">
        <v>89</v>
      </c>
      <c r="M4" s="166" t="s">
        <v>90</v>
      </c>
      <c r="N4" s="163" t="s">
        <v>91</v>
      </c>
      <c r="O4" s="164" t="s">
        <v>92</v>
      </c>
      <c r="P4" s="167" t="s">
        <v>93</v>
      </c>
    </row>
    <row r="5" spans="1:16" x14ac:dyDescent="0.25">
      <c r="A5" s="12">
        <v>709</v>
      </c>
      <c r="B5" s="12">
        <v>8</v>
      </c>
      <c r="C5" s="11" t="s">
        <v>302</v>
      </c>
      <c r="D5" s="153">
        <v>14368.002651588778</v>
      </c>
      <c r="E5" s="30">
        <v>-525.50989486773142</v>
      </c>
      <c r="F5" s="153">
        <f t="shared" ref="F5:F68" si="1">D5+E5</f>
        <v>13842.492756721047</v>
      </c>
      <c r="G5" s="30">
        <v>-401.56134085791018</v>
      </c>
      <c r="H5" s="168">
        <v>1.2592564952093131E-3</v>
      </c>
      <c r="I5" s="168"/>
      <c r="J5" s="30">
        <f t="shared" ref="J5:J68" si="2">--(I5&gt;=0)*(-$I$3)*F5/($I$2)</f>
        <v>2.9244055272670804</v>
      </c>
      <c r="K5" s="169">
        <f t="shared" ref="K5:K68" si="3">F5+G5+H5+I5+J5</f>
        <v>13443.857080646898</v>
      </c>
      <c r="L5" s="30"/>
      <c r="M5" s="168">
        <f t="shared" ref="M5:M68" si="4">K5+L5</f>
        <v>13443.857080646898</v>
      </c>
      <c r="N5" s="169">
        <v>14369.827312511181</v>
      </c>
      <c r="O5" s="30">
        <f>M5-N5</f>
        <v>-925.97023186428305</v>
      </c>
      <c r="P5" s="160">
        <f t="shared" ref="P5:P68" si="5">(K5-N5)/N5</f>
        <v>-6.4438507974141149E-2</v>
      </c>
    </row>
    <row r="6" spans="1:16" x14ac:dyDescent="0.25">
      <c r="A6" s="10">
        <v>218</v>
      </c>
      <c r="B6" s="10">
        <v>9</v>
      </c>
      <c r="C6" s="9" t="s">
        <v>338</v>
      </c>
      <c r="D6" s="153">
        <v>77538.169446273037</v>
      </c>
      <c r="E6" s="30">
        <v>-2859.5788177844952</v>
      </c>
      <c r="F6" s="153">
        <f t="shared" si="1"/>
        <v>74678.590628488542</v>
      </c>
      <c r="G6" s="30">
        <v>-1026.1925674920785</v>
      </c>
      <c r="H6" s="168">
        <v>6.7935379815417885E-3</v>
      </c>
      <c r="I6" s="168"/>
      <c r="J6" s="30">
        <f t="shared" si="2"/>
        <v>15.77681758918969</v>
      </c>
      <c r="K6" s="169">
        <f t="shared" si="3"/>
        <v>73668.181672123625</v>
      </c>
      <c r="L6" s="30"/>
      <c r="M6" s="168">
        <f t="shared" si="4"/>
        <v>73668.181672123625</v>
      </c>
      <c r="N6" s="169">
        <v>77544.162864979982</v>
      </c>
      <c r="O6" s="30">
        <f t="shared" ref="O6:O68" si="6">M6-N6</f>
        <v>-3875.9811928563577</v>
      </c>
      <c r="P6" s="160">
        <f t="shared" si="5"/>
        <v>-4.998417739843581E-2</v>
      </c>
    </row>
    <row r="7" spans="1:16" x14ac:dyDescent="0.25">
      <c r="A7" s="10">
        <v>372</v>
      </c>
      <c r="B7" s="10">
        <v>8</v>
      </c>
      <c r="C7" s="9" t="s">
        <v>289</v>
      </c>
      <c r="D7" s="153">
        <v>34252.69021981104</v>
      </c>
      <c r="E7" s="30">
        <v>-1247.0527880494119</v>
      </c>
      <c r="F7" s="153">
        <f t="shared" si="1"/>
        <v>33005.637431761628</v>
      </c>
      <c r="G7" s="30">
        <v>-8379.4088124905757</v>
      </c>
      <c r="H7" s="168">
        <v>3.0025345900426266E-3</v>
      </c>
      <c r="I7" s="168"/>
      <c r="J7" s="30">
        <f t="shared" si="2"/>
        <v>6.9728675486972511</v>
      </c>
      <c r="K7" s="169">
        <f t="shared" si="3"/>
        <v>24633.204489354343</v>
      </c>
      <c r="L7" s="30"/>
      <c r="M7" s="168">
        <f t="shared" si="4"/>
        <v>24633.204489354343</v>
      </c>
      <c r="N7" s="169">
        <v>25882.256279723199</v>
      </c>
      <c r="O7" s="30">
        <f t="shared" si="6"/>
        <v>-1249.051790368856</v>
      </c>
      <c r="P7" s="160">
        <f t="shared" si="5"/>
        <v>-4.8258999403672322E-2</v>
      </c>
    </row>
    <row r="8" spans="1:16" x14ac:dyDescent="0.25">
      <c r="A8" s="10">
        <v>889</v>
      </c>
      <c r="B8" s="10">
        <v>6</v>
      </c>
      <c r="C8" s="9" t="s">
        <v>211</v>
      </c>
      <c r="D8" s="153">
        <v>17349.429657405075</v>
      </c>
      <c r="E8" s="30">
        <v>-597.7020834106479</v>
      </c>
      <c r="F8" s="153">
        <f t="shared" si="1"/>
        <v>16751.727573994427</v>
      </c>
      <c r="G8" s="30">
        <v>-171.63901547955902</v>
      </c>
      <c r="H8" s="168">
        <v>1.5239106224770934E-3</v>
      </c>
      <c r="I8" s="168"/>
      <c r="J8" s="30">
        <f t="shared" si="2"/>
        <v>3.5390189880992171</v>
      </c>
      <c r="K8" s="169">
        <f t="shared" si="3"/>
        <v>16583.62910141359</v>
      </c>
      <c r="L8" s="30"/>
      <c r="M8" s="168">
        <f t="shared" si="4"/>
        <v>16583.62910141359</v>
      </c>
      <c r="N8" s="169">
        <v>17351.597206495491</v>
      </c>
      <c r="O8" s="30">
        <f t="shared" si="6"/>
        <v>-767.96810508190174</v>
      </c>
      <c r="P8" s="160">
        <f t="shared" si="5"/>
        <v>-4.4259216943695327E-2</v>
      </c>
    </row>
    <row r="9" spans="1:16" x14ac:dyDescent="0.25">
      <c r="A9" s="10">
        <v>917</v>
      </c>
      <c r="B9" s="10">
        <v>6</v>
      </c>
      <c r="C9" s="9" t="s">
        <v>215</v>
      </c>
      <c r="D9" s="153">
        <v>19828.552138745807</v>
      </c>
      <c r="E9" s="30">
        <v>-670.95115656012786</v>
      </c>
      <c r="F9" s="153">
        <f t="shared" si="1"/>
        <v>19157.600982185679</v>
      </c>
      <c r="G9" s="30">
        <v>-184.59252795019711</v>
      </c>
      <c r="H9" s="168">
        <v>1.7427737831202665E-3</v>
      </c>
      <c r="I9" s="168"/>
      <c r="J9" s="30">
        <f t="shared" si="2"/>
        <v>4.0472908446550582</v>
      </c>
      <c r="K9" s="169">
        <f t="shared" si="3"/>
        <v>18977.057487853919</v>
      </c>
      <c r="L9" s="30"/>
      <c r="M9" s="168">
        <f t="shared" si="4"/>
        <v>18977.057487853919</v>
      </c>
      <c r="N9" s="169">
        <v>19832.01635965989</v>
      </c>
      <c r="O9" s="30">
        <f t="shared" si="6"/>
        <v>-854.95887180597128</v>
      </c>
      <c r="P9" s="160">
        <f t="shared" si="5"/>
        <v>-4.3110032600872331E-2</v>
      </c>
    </row>
    <row r="10" spans="1:16" x14ac:dyDescent="0.25">
      <c r="A10" s="10">
        <v>358</v>
      </c>
      <c r="B10" s="10">
        <v>7</v>
      </c>
      <c r="C10" s="9" t="s">
        <v>249</v>
      </c>
      <c r="D10" s="153">
        <v>62708.138799707987</v>
      </c>
      <c r="E10" s="30">
        <v>-2089.4919829493156</v>
      </c>
      <c r="F10" s="153">
        <f t="shared" si="1"/>
        <v>60618.646816758672</v>
      </c>
      <c r="G10" s="30">
        <v>-12307.336572956112</v>
      </c>
      <c r="H10" s="168">
        <v>5.5144998864268494E-3</v>
      </c>
      <c r="I10" s="168"/>
      <c r="J10" s="30">
        <f t="shared" si="2"/>
        <v>12.806472715711349</v>
      </c>
      <c r="K10" s="169">
        <f t="shared" si="3"/>
        <v>48324.122231018155</v>
      </c>
      <c r="L10" s="30"/>
      <c r="M10" s="168">
        <f t="shared" si="4"/>
        <v>48324.122231018155</v>
      </c>
      <c r="N10" s="169">
        <v>50416.490939718424</v>
      </c>
      <c r="O10" s="30">
        <f t="shared" si="6"/>
        <v>-2092.3687087002691</v>
      </c>
      <c r="P10" s="160">
        <f t="shared" si="5"/>
        <v>-4.1501672760249325E-2</v>
      </c>
    </row>
    <row r="11" spans="1:16" x14ac:dyDescent="0.25">
      <c r="A11" s="10">
        <v>188</v>
      </c>
      <c r="B11" s="10">
        <v>8</v>
      </c>
      <c r="C11" s="9" t="s">
        <v>286</v>
      </c>
      <c r="D11" s="153">
        <v>63586.782700910786</v>
      </c>
      <c r="E11" s="30">
        <v>-2554.4059702031809</v>
      </c>
      <c r="F11" s="153">
        <f t="shared" si="1"/>
        <v>61032.376730707605</v>
      </c>
      <c r="G11" s="30">
        <v>-12.359080114933022</v>
      </c>
      <c r="H11" s="168">
        <v>5.5521370440225889E-3</v>
      </c>
      <c r="I11" s="168"/>
      <c r="J11" s="30">
        <f t="shared" si="2"/>
        <v>12.893878508035895</v>
      </c>
      <c r="K11" s="169">
        <f t="shared" si="3"/>
        <v>61032.917081237756</v>
      </c>
      <c r="L11" s="30"/>
      <c r="M11" s="168">
        <f t="shared" si="4"/>
        <v>61032.917081237756</v>
      </c>
      <c r="N11" s="169">
        <v>63591.400758808326</v>
      </c>
      <c r="O11" s="30">
        <f t="shared" si="6"/>
        <v>-2558.4836775705699</v>
      </c>
      <c r="P11" s="160">
        <f t="shared" si="5"/>
        <v>-4.0233170633785467E-2</v>
      </c>
    </row>
    <row r="12" spans="1:16" x14ac:dyDescent="0.25">
      <c r="A12" s="10">
        <v>810</v>
      </c>
      <c r="B12" s="10">
        <v>8</v>
      </c>
      <c r="C12" s="9" t="s">
        <v>311</v>
      </c>
      <c r="D12" s="153">
        <v>36295.651854219308</v>
      </c>
      <c r="E12" s="30">
        <v>-1444.4331978786286</v>
      </c>
      <c r="F12" s="153">
        <f t="shared" si="1"/>
        <v>34851.218656340679</v>
      </c>
      <c r="G12" s="30">
        <v>-5.1229610691480048</v>
      </c>
      <c r="H12" s="168">
        <v>3.1704277712298881E-3</v>
      </c>
      <c r="I12" s="168"/>
      <c r="J12" s="30">
        <f t="shared" si="2"/>
        <v>7.3627704389522437</v>
      </c>
      <c r="K12" s="169">
        <f t="shared" si="3"/>
        <v>34853.461636138258</v>
      </c>
      <c r="L12" s="30"/>
      <c r="M12" s="168">
        <f t="shared" si="4"/>
        <v>34853.461636138258</v>
      </c>
      <c r="N12" s="169">
        <v>36300.088724193454</v>
      </c>
      <c r="O12" s="30">
        <f t="shared" si="6"/>
        <v>-1446.6270880551965</v>
      </c>
      <c r="P12" s="160">
        <f t="shared" si="5"/>
        <v>-3.9851888491144148E-2</v>
      </c>
    </row>
    <row r="13" spans="1:16" x14ac:dyDescent="0.25">
      <c r="A13" s="10">
        <v>413</v>
      </c>
      <c r="B13" s="10">
        <v>8</v>
      </c>
      <c r="C13" s="9" t="s">
        <v>292</v>
      </c>
      <c r="D13" s="153">
        <v>23082.493607809334</v>
      </c>
      <c r="E13" s="30">
        <v>-914.52112846092132</v>
      </c>
      <c r="F13" s="153">
        <f t="shared" si="1"/>
        <v>22167.972479348413</v>
      </c>
      <c r="G13" s="30">
        <v>-4.9375839589411044</v>
      </c>
      <c r="H13" s="168">
        <v>2.0166283501710288E-3</v>
      </c>
      <c r="I13" s="168"/>
      <c r="J13" s="30">
        <f t="shared" si="2"/>
        <v>4.683270736438315</v>
      </c>
      <c r="K13" s="169">
        <f t="shared" si="3"/>
        <v>22167.720182754259</v>
      </c>
      <c r="L13" s="30"/>
      <c r="M13" s="168">
        <f t="shared" si="4"/>
        <v>22167.720182754259</v>
      </c>
      <c r="N13" s="169">
        <v>23083.998513859391</v>
      </c>
      <c r="O13" s="30">
        <f t="shared" si="6"/>
        <v>-916.27833110513166</v>
      </c>
      <c r="P13" s="160">
        <f t="shared" si="5"/>
        <v>-3.9693224315319887E-2</v>
      </c>
    </row>
    <row r="14" spans="1:16" x14ac:dyDescent="0.25">
      <c r="A14" s="10">
        <v>232</v>
      </c>
      <c r="B14" s="10">
        <v>8</v>
      </c>
      <c r="C14" s="9" t="s">
        <v>287</v>
      </c>
      <c r="D14" s="153">
        <v>24080.624189866026</v>
      </c>
      <c r="E14" s="30">
        <v>-948.4136420071336</v>
      </c>
      <c r="F14" s="153">
        <f t="shared" si="1"/>
        <v>23132.210547858893</v>
      </c>
      <c r="G14" s="30">
        <v>-3.7476836834066489</v>
      </c>
      <c r="H14" s="168">
        <v>2.1043454306159766E-3</v>
      </c>
      <c r="I14" s="168"/>
      <c r="J14" s="30">
        <f t="shared" si="2"/>
        <v>4.8869784924553263</v>
      </c>
      <c r="K14" s="169">
        <f t="shared" si="3"/>
        <v>23133.351947013369</v>
      </c>
      <c r="L14" s="30"/>
      <c r="M14" s="168">
        <f t="shared" si="4"/>
        <v>23133.351947013369</v>
      </c>
      <c r="N14" s="169">
        <v>24083.353462496278</v>
      </c>
      <c r="O14" s="30">
        <f t="shared" si="6"/>
        <v>-950.00151548290887</v>
      </c>
      <c r="P14" s="160">
        <f t="shared" si="5"/>
        <v>-3.9446396738821922E-2</v>
      </c>
    </row>
    <row r="15" spans="1:16" x14ac:dyDescent="0.25">
      <c r="A15" s="10">
        <v>847</v>
      </c>
      <c r="B15" s="10">
        <v>8</v>
      </c>
      <c r="C15" s="9" t="s">
        <v>317</v>
      </c>
      <c r="D15" s="153">
        <v>20456.021447079311</v>
      </c>
      <c r="E15" s="30">
        <v>-800.54249736951533</v>
      </c>
      <c r="F15" s="153">
        <f t="shared" si="1"/>
        <v>19655.478949709795</v>
      </c>
      <c r="G15" s="30">
        <v>-2.0632071932013787</v>
      </c>
      <c r="H15" s="168">
        <v>1.7880659191137601E-3</v>
      </c>
      <c r="I15" s="168"/>
      <c r="J15" s="30">
        <f t="shared" si="2"/>
        <v>4.1524740010215355</v>
      </c>
      <c r="K15" s="169">
        <f t="shared" si="3"/>
        <v>19657.570004583533</v>
      </c>
      <c r="L15" s="30"/>
      <c r="M15" s="168">
        <f t="shared" si="4"/>
        <v>19657.570004583533</v>
      </c>
      <c r="N15" s="169">
        <v>20459.192716368216</v>
      </c>
      <c r="O15" s="30">
        <f t="shared" si="6"/>
        <v>-801.62271178468291</v>
      </c>
      <c r="P15" s="160">
        <f t="shared" si="5"/>
        <v>-3.918154166187364E-2</v>
      </c>
    </row>
    <row r="16" spans="1:16" x14ac:dyDescent="0.25">
      <c r="A16" s="10">
        <v>375</v>
      </c>
      <c r="B16" s="10">
        <v>8</v>
      </c>
      <c r="C16" s="9" t="s">
        <v>290</v>
      </c>
      <c r="D16" s="153">
        <v>45588.408605255019</v>
      </c>
      <c r="E16" s="30">
        <v>-1781.8640287501985</v>
      </c>
      <c r="F16" s="153">
        <f t="shared" si="1"/>
        <v>43806.544576504821</v>
      </c>
      <c r="G16" s="30">
        <v>-4.6210683406025055</v>
      </c>
      <c r="H16" s="168">
        <v>3.9850969590615078E-3</v>
      </c>
      <c r="I16" s="168"/>
      <c r="J16" s="30">
        <f t="shared" si="2"/>
        <v>9.2546987989429272</v>
      </c>
      <c r="K16" s="169">
        <f t="shared" si="3"/>
        <v>43811.182192060121</v>
      </c>
      <c r="L16" s="30"/>
      <c r="M16" s="168">
        <f t="shared" si="4"/>
        <v>43811.182192060121</v>
      </c>
      <c r="N16" s="169">
        <v>45595.859649520615</v>
      </c>
      <c r="O16" s="30">
        <f t="shared" si="6"/>
        <v>-1784.6774574604933</v>
      </c>
      <c r="P16" s="160">
        <f t="shared" si="5"/>
        <v>-3.9141217452169627E-2</v>
      </c>
    </row>
    <row r="17" spans="1:16" x14ac:dyDescent="0.25">
      <c r="A17" s="10">
        <v>607</v>
      </c>
      <c r="B17" s="10">
        <v>8</v>
      </c>
      <c r="C17" s="9" t="s">
        <v>296</v>
      </c>
      <c r="D17" s="153">
        <v>824.19232080440236</v>
      </c>
      <c r="E17" s="30">
        <v>-31.499927401946138</v>
      </c>
      <c r="F17" s="153">
        <f t="shared" si="1"/>
        <v>792.69239340245622</v>
      </c>
      <c r="G17" s="30">
        <v>-0.27369309533423802</v>
      </c>
      <c r="H17" s="168">
        <v>7.2111509295202204E-5</v>
      </c>
      <c r="I17" s="168"/>
      <c r="J17" s="30">
        <f t="shared" si="2"/>
        <v>0.16746651469715695</v>
      </c>
      <c r="K17" s="169">
        <f t="shared" si="3"/>
        <v>792.58623893332845</v>
      </c>
      <c r="L17" s="30"/>
      <c r="M17" s="168">
        <f t="shared" si="4"/>
        <v>792.58623893332845</v>
      </c>
      <c r="N17" s="169">
        <v>824.17838751474881</v>
      </c>
      <c r="O17" s="30">
        <f t="shared" si="6"/>
        <v>-31.592148581420361</v>
      </c>
      <c r="P17" s="160">
        <f t="shared" si="5"/>
        <v>-3.8331687726833305E-2</v>
      </c>
    </row>
    <row r="18" spans="1:16" x14ac:dyDescent="0.25">
      <c r="A18" s="10">
        <v>790</v>
      </c>
      <c r="B18" s="10">
        <v>8</v>
      </c>
      <c r="C18" s="9" t="s">
        <v>307</v>
      </c>
      <c r="D18" s="153">
        <v>895.02043334242876</v>
      </c>
      <c r="E18" s="30">
        <v>-33.789341469711189</v>
      </c>
      <c r="F18" s="153">
        <f t="shared" si="1"/>
        <v>861.23109187271757</v>
      </c>
      <c r="G18" s="30">
        <v>-0.3244193903346968</v>
      </c>
      <c r="H18" s="168">
        <v>7.8346499100774867E-5</v>
      </c>
      <c r="I18" s="168"/>
      <c r="J18" s="30">
        <f t="shared" si="2"/>
        <v>0.18194620070174636</v>
      </c>
      <c r="K18" s="169">
        <f t="shared" si="3"/>
        <v>861.08869702958373</v>
      </c>
      <c r="L18" s="30"/>
      <c r="M18" s="168">
        <f t="shared" si="4"/>
        <v>861.08869702958373</v>
      </c>
      <c r="N18" s="169">
        <v>894.9671054841159</v>
      </c>
      <c r="O18" s="30">
        <f t="shared" si="6"/>
        <v>-33.878408454532178</v>
      </c>
      <c r="P18" s="160">
        <f t="shared" si="5"/>
        <v>-3.7854361626180971E-2</v>
      </c>
    </row>
    <row r="19" spans="1:16" x14ac:dyDescent="0.25">
      <c r="A19" s="10">
        <v>537</v>
      </c>
      <c r="B19" s="10">
        <v>8</v>
      </c>
      <c r="C19" s="9" t="s">
        <v>293</v>
      </c>
      <c r="D19" s="153">
        <v>870.76216835180298</v>
      </c>
      <c r="E19" s="30">
        <v>-32.603247871344365</v>
      </c>
      <c r="F19" s="153">
        <f t="shared" si="1"/>
        <v>838.15892048045862</v>
      </c>
      <c r="G19" s="30">
        <v>-0.37983610117544231</v>
      </c>
      <c r="H19" s="168">
        <v>7.6247615453522974E-5</v>
      </c>
      <c r="I19" s="168"/>
      <c r="J19" s="30">
        <f t="shared" si="2"/>
        <v>0.17707190625699654</v>
      </c>
      <c r="K19" s="169">
        <f t="shared" si="3"/>
        <v>837.95623253315557</v>
      </c>
      <c r="L19" s="30"/>
      <c r="M19" s="168">
        <f t="shared" si="4"/>
        <v>837.95623253315557</v>
      </c>
      <c r="N19" s="169">
        <v>870.66200525547902</v>
      </c>
      <c r="O19" s="30">
        <f t="shared" si="6"/>
        <v>-32.705772722323445</v>
      </c>
      <c r="P19" s="160">
        <f t="shared" si="5"/>
        <v>-3.7564258604263503E-2</v>
      </c>
    </row>
    <row r="20" spans="1:16" x14ac:dyDescent="0.25">
      <c r="A20" s="10">
        <v>416</v>
      </c>
      <c r="B20" s="10">
        <v>9</v>
      </c>
      <c r="C20" s="9" t="s">
        <v>344</v>
      </c>
      <c r="D20" s="153">
        <v>16277.132794612457</v>
      </c>
      <c r="E20" s="30">
        <v>-609.81644849989607</v>
      </c>
      <c r="F20" s="153">
        <f t="shared" si="1"/>
        <v>15667.31634611256</v>
      </c>
      <c r="G20" s="30">
        <v>-2.3208448998993845</v>
      </c>
      <c r="H20" s="168">
        <v>1.4252613469320425E-3</v>
      </c>
      <c r="I20" s="168"/>
      <c r="J20" s="30">
        <f t="shared" si="2"/>
        <v>3.3099230987689916</v>
      </c>
      <c r="K20" s="169">
        <f t="shared" si="3"/>
        <v>15668.306849572777</v>
      </c>
      <c r="L20" s="30"/>
      <c r="M20" s="168">
        <f t="shared" si="4"/>
        <v>15668.306849572777</v>
      </c>
      <c r="N20" s="169">
        <v>16278.997295046767</v>
      </c>
      <c r="O20" s="30">
        <f t="shared" si="6"/>
        <v>-610.69044547399062</v>
      </c>
      <c r="P20" s="160">
        <f t="shared" si="5"/>
        <v>-3.7514008658248638E-2</v>
      </c>
    </row>
    <row r="21" spans="1:16" x14ac:dyDescent="0.25">
      <c r="A21" s="10">
        <v>567</v>
      </c>
      <c r="B21" s="10">
        <v>9</v>
      </c>
      <c r="C21" s="9" t="s">
        <v>356</v>
      </c>
      <c r="D21" s="153">
        <v>74740.036511498925</v>
      </c>
      <c r="E21" s="30">
        <v>-2799.18937944356</v>
      </c>
      <c r="F21" s="153">
        <f t="shared" si="1"/>
        <v>71940.847132055365</v>
      </c>
      <c r="G21" s="30">
        <v>-11.834731996714254</v>
      </c>
      <c r="H21" s="168">
        <v>6.5444844807966548E-3</v>
      </c>
      <c r="I21" s="168"/>
      <c r="J21" s="30">
        <f t="shared" si="2"/>
        <v>15.19843388663573</v>
      </c>
      <c r="K21" s="169">
        <f t="shared" si="3"/>
        <v>71944.217378429763</v>
      </c>
      <c r="L21" s="30"/>
      <c r="M21" s="168">
        <f t="shared" si="4"/>
        <v>71944.217378429763</v>
      </c>
      <c r="N21" s="169">
        <v>74747.344704484974</v>
      </c>
      <c r="O21" s="30">
        <f t="shared" si="6"/>
        <v>-2803.1273260552116</v>
      </c>
      <c r="P21" s="160">
        <f t="shared" si="5"/>
        <v>-3.7501363254272481E-2</v>
      </c>
    </row>
    <row r="22" spans="1:16" x14ac:dyDescent="0.25">
      <c r="A22" s="10">
        <v>404</v>
      </c>
      <c r="B22" s="10">
        <v>8</v>
      </c>
      <c r="C22" s="9" t="s">
        <v>291</v>
      </c>
      <c r="D22" s="153">
        <v>110831.90918328632</v>
      </c>
      <c r="E22" s="30">
        <v>-4147.119014333759</v>
      </c>
      <c r="F22" s="153">
        <f t="shared" si="1"/>
        <v>106684.79016895256</v>
      </c>
      <c r="G22" s="30">
        <v>-21.108412918125396</v>
      </c>
      <c r="H22" s="168">
        <v>9.7051533507263258E-3</v>
      </c>
      <c r="I22" s="168"/>
      <c r="J22" s="30">
        <f t="shared" si="2"/>
        <v>22.538540964302182</v>
      </c>
      <c r="K22" s="169">
        <f t="shared" si="3"/>
        <v>106686.23000215209</v>
      </c>
      <c r="L22" s="30"/>
      <c r="M22" s="168">
        <f t="shared" si="4"/>
        <v>106686.23000215209</v>
      </c>
      <c r="N22" s="169">
        <v>110839.78748031793</v>
      </c>
      <c r="O22" s="30">
        <f t="shared" si="6"/>
        <v>-4153.5574781658361</v>
      </c>
      <c r="P22" s="160">
        <f t="shared" si="5"/>
        <v>-3.7473524377727559E-2</v>
      </c>
    </row>
    <row r="23" spans="1:16" x14ac:dyDescent="0.25">
      <c r="A23" s="10">
        <v>550</v>
      </c>
      <c r="B23" s="10">
        <v>7</v>
      </c>
      <c r="C23" s="9" t="s">
        <v>260</v>
      </c>
      <c r="D23" s="153">
        <v>101717.1133913727</v>
      </c>
      <c r="E23" s="30">
        <v>-3589.2453875760984</v>
      </c>
      <c r="F23" s="153">
        <f t="shared" si="1"/>
        <v>98127.868003796597</v>
      </c>
      <c r="G23" s="30">
        <v>-210.94292329626478</v>
      </c>
      <c r="H23" s="168">
        <v>8.9267270943541605E-3</v>
      </c>
      <c r="I23" s="168"/>
      <c r="J23" s="30">
        <f t="shared" si="2"/>
        <v>20.730780547449065</v>
      </c>
      <c r="K23" s="169">
        <f t="shared" si="3"/>
        <v>97937.664787774891</v>
      </c>
      <c r="L23" s="30"/>
      <c r="M23" s="168">
        <f t="shared" si="4"/>
        <v>97937.664787774891</v>
      </c>
      <c r="N23" s="169">
        <v>101735.22175168114</v>
      </c>
      <c r="O23" s="30">
        <f t="shared" si="6"/>
        <v>-3797.5569639062451</v>
      </c>
      <c r="P23" s="160">
        <f t="shared" si="5"/>
        <v>-3.7327848689173292E-2</v>
      </c>
    </row>
    <row r="24" spans="1:16" x14ac:dyDescent="0.25">
      <c r="A24" s="10">
        <v>714</v>
      </c>
      <c r="B24" s="10">
        <v>8</v>
      </c>
      <c r="C24" s="9" t="s">
        <v>303</v>
      </c>
      <c r="D24" s="153">
        <v>9331.3365421168583</v>
      </c>
      <c r="E24" s="30">
        <v>-347.04493599609305</v>
      </c>
      <c r="F24" s="153">
        <f t="shared" si="1"/>
        <v>8984.2916061207652</v>
      </c>
      <c r="G24" s="30">
        <v>-1.4551240912423964</v>
      </c>
      <c r="H24" s="168">
        <v>8.1730420659739515E-4</v>
      </c>
      <c r="I24" s="168"/>
      <c r="J24" s="30">
        <f t="shared" si="2"/>
        <v>1.8980477355685761</v>
      </c>
      <c r="K24" s="169">
        <f t="shared" si="3"/>
        <v>8984.7353470692979</v>
      </c>
      <c r="L24" s="30"/>
      <c r="M24" s="168">
        <f t="shared" si="4"/>
        <v>8984.7353470692979</v>
      </c>
      <c r="N24" s="169">
        <v>9332.4247218274304</v>
      </c>
      <c r="O24" s="30">
        <f t="shared" si="6"/>
        <v>-347.68937475813254</v>
      </c>
      <c r="P24" s="160">
        <f t="shared" si="5"/>
        <v>-3.7256059933162756E-2</v>
      </c>
    </row>
    <row r="25" spans="1:16" x14ac:dyDescent="0.25">
      <c r="A25" s="10">
        <v>414</v>
      </c>
      <c r="B25" s="10">
        <v>6</v>
      </c>
      <c r="C25" s="9" t="s">
        <v>181</v>
      </c>
      <c r="D25" s="153">
        <v>61711.972275944245</v>
      </c>
      <c r="E25" s="30">
        <v>-2291.7949529669495</v>
      </c>
      <c r="F25" s="153">
        <f t="shared" si="1"/>
        <v>59420.177322977295</v>
      </c>
      <c r="G25" s="30">
        <v>-4.9444075128049008</v>
      </c>
      <c r="H25" s="168">
        <v>5.4054746898182654E-3</v>
      </c>
      <c r="I25" s="168"/>
      <c r="J25" s="30">
        <f t="shared" si="2"/>
        <v>12.553280543356877</v>
      </c>
      <c r="K25" s="169">
        <f t="shared" si="3"/>
        <v>59427.791601482531</v>
      </c>
      <c r="L25" s="30"/>
      <c r="M25" s="168">
        <f t="shared" si="4"/>
        <v>59427.791601482531</v>
      </c>
      <c r="N25" s="169">
        <v>61722.380122932111</v>
      </c>
      <c r="O25" s="30">
        <f t="shared" si="6"/>
        <v>-2294.5885214495793</v>
      </c>
      <c r="P25" s="160">
        <f t="shared" si="5"/>
        <v>-3.7175956547357059E-2</v>
      </c>
    </row>
    <row r="26" spans="1:16" x14ac:dyDescent="0.25">
      <c r="A26" s="10">
        <v>918</v>
      </c>
      <c r="B26" s="10">
        <v>8</v>
      </c>
      <c r="C26" s="9" t="s">
        <v>325</v>
      </c>
      <c r="D26" s="153">
        <v>15563.867530573954</v>
      </c>
      <c r="E26" s="30">
        <v>-576.86755426998207</v>
      </c>
      <c r="F26" s="153">
        <f t="shared" si="1"/>
        <v>14986.999976303972</v>
      </c>
      <c r="G26" s="30">
        <v>-2.1335759879730176</v>
      </c>
      <c r="H26" s="168">
        <v>1.3633727245188048E-3</v>
      </c>
      <c r="I26" s="168"/>
      <c r="J26" s="30">
        <f t="shared" si="2"/>
        <v>3.1661974716638213</v>
      </c>
      <c r="K26" s="169">
        <f t="shared" si="3"/>
        <v>14988.033961160389</v>
      </c>
      <c r="L26" s="30"/>
      <c r="M26" s="168">
        <f t="shared" si="4"/>
        <v>14988.033961160389</v>
      </c>
      <c r="N26" s="169">
        <v>15565.880641215192</v>
      </c>
      <c r="O26" s="30">
        <f t="shared" si="6"/>
        <v>-577.84668005480307</v>
      </c>
      <c r="P26" s="160">
        <f t="shared" si="5"/>
        <v>-3.7122646214104077E-2</v>
      </c>
    </row>
    <row r="27" spans="1:16" x14ac:dyDescent="0.25">
      <c r="A27" s="10">
        <v>552</v>
      </c>
      <c r="B27" s="10">
        <v>9</v>
      </c>
      <c r="C27" s="9" t="s">
        <v>355</v>
      </c>
      <c r="D27" s="153">
        <v>31770.335677261548</v>
      </c>
      <c r="E27" s="30">
        <v>-1166.9422421000563</v>
      </c>
      <c r="F27" s="153">
        <f t="shared" si="1"/>
        <v>30603.393435161492</v>
      </c>
      <c r="G27" s="30">
        <v>-7.3181290831489605</v>
      </c>
      <c r="H27" s="168">
        <v>2.7840015982642831E-3</v>
      </c>
      <c r="I27" s="168"/>
      <c r="J27" s="30">
        <f t="shared" si="2"/>
        <v>6.465362452254948</v>
      </c>
      <c r="K27" s="169">
        <f t="shared" si="3"/>
        <v>30602.543452532194</v>
      </c>
      <c r="L27" s="30"/>
      <c r="M27" s="168">
        <f t="shared" si="4"/>
        <v>30602.543452532194</v>
      </c>
      <c r="N27" s="169">
        <v>31771.628769055504</v>
      </c>
      <c r="O27" s="30">
        <f t="shared" si="6"/>
        <v>-1169.0853165233093</v>
      </c>
      <c r="P27" s="160">
        <f t="shared" si="5"/>
        <v>-3.6796518208785038E-2</v>
      </c>
    </row>
    <row r="28" spans="1:16" ht="30" x14ac:dyDescent="0.25">
      <c r="A28" s="10">
        <v>906</v>
      </c>
      <c r="B28" s="10">
        <v>6</v>
      </c>
      <c r="C28" s="9" t="s">
        <v>214</v>
      </c>
      <c r="D28" s="153">
        <v>47945.29045998153</v>
      </c>
      <c r="E28" s="30">
        <v>-1757.276399275208</v>
      </c>
      <c r="F28" s="153">
        <f t="shared" si="1"/>
        <v>46188.014060706322</v>
      </c>
      <c r="G28" s="30">
        <v>-9.6348933588524233</v>
      </c>
      <c r="H28" s="168">
        <v>4.2017400860494157E-3</v>
      </c>
      <c r="I28" s="168"/>
      <c r="J28" s="30">
        <f t="shared" si="2"/>
        <v>9.7578150111031459</v>
      </c>
      <c r="K28" s="169">
        <f t="shared" si="3"/>
        <v>46188.141184098655</v>
      </c>
      <c r="L28" s="30"/>
      <c r="M28" s="168">
        <f t="shared" si="4"/>
        <v>46188.141184098655</v>
      </c>
      <c r="N28" s="169">
        <v>47948.500656445627</v>
      </c>
      <c r="O28" s="30">
        <f t="shared" si="6"/>
        <v>-1760.3594723469723</v>
      </c>
      <c r="P28" s="160">
        <f t="shared" si="5"/>
        <v>-3.671354574692693E-2</v>
      </c>
    </row>
    <row r="29" spans="1:16" x14ac:dyDescent="0.25">
      <c r="A29" s="170">
        <v>989</v>
      </c>
      <c r="B29" s="170">
        <v>6</v>
      </c>
      <c r="C29" s="171" t="s">
        <v>223</v>
      </c>
      <c r="D29" s="153">
        <v>91683.652392327596</v>
      </c>
      <c r="E29" s="30">
        <v>-3324.0937487013725</v>
      </c>
      <c r="F29" s="153">
        <f t="shared" si="1"/>
        <v>88359.558643626224</v>
      </c>
      <c r="G29" s="30">
        <v>-15.474609863405931</v>
      </c>
      <c r="H29" s="168">
        <v>8.0381005134924164E-3</v>
      </c>
      <c r="I29" s="168"/>
      <c r="J29" s="30">
        <f t="shared" si="2"/>
        <v>18.667098926877735</v>
      </c>
      <c r="K29" s="169">
        <f t="shared" si="3"/>
        <v>88362.759170790203</v>
      </c>
      <c r="L29" s="30"/>
      <c r="M29" s="168">
        <f t="shared" si="4"/>
        <v>88362.759170790203</v>
      </c>
      <c r="N29" s="169">
        <v>91692.201551237944</v>
      </c>
      <c r="O29" s="30">
        <f t="shared" si="6"/>
        <v>-3329.442380447741</v>
      </c>
      <c r="P29" s="160">
        <f t="shared" si="5"/>
        <v>-3.6311074705597905E-2</v>
      </c>
    </row>
    <row r="30" spans="1:16" x14ac:dyDescent="0.25">
      <c r="A30" s="10">
        <v>204</v>
      </c>
      <c r="B30" s="10">
        <v>9</v>
      </c>
      <c r="C30" s="9" t="s">
        <v>337</v>
      </c>
      <c r="D30" s="153">
        <v>120489.47282493068</v>
      </c>
      <c r="E30" s="30">
        <v>-4362.51074351235</v>
      </c>
      <c r="F30" s="153">
        <f t="shared" si="1"/>
        <v>116126.96208141833</v>
      </c>
      <c r="G30" s="30">
        <v>-25.157405026766355</v>
      </c>
      <c r="H30" s="168">
        <v>1.0564111091837107E-2</v>
      </c>
      <c r="I30" s="168"/>
      <c r="J30" s="30">
        <f t="shared" si="2"/>
        <v>24.533321833290813</v>
      </c>
      <c r="K30" s="169">
        <f t="shared" si="3"/>
        <v>116126.34856233594</v>
      </c>
      <c r="L30" s="30"/>
      <c r="M30" s="168">
        <f t="shared" si="4"/>
        <v>116126.34856233594</v>
      </c>
      <c r="N30" s="169">
        <v>120496.31689613564</v>
      </c>
      <c r="O30" s="30">
        <f t="shared" si="6"/>
        <v>-4369.9683337996976</v>
      </c>
      <c r="P30" s="160">
        <f t="shared" si="5"/>
        <v>-3.6266405865056313E-2</v>
      </c>
    </row>
    <row r="31" spans="1:16" x14ac:dyDescent="0.25">
      <c r="A31" s="10">
        <v>840</v>
      </c>
      <c r="B31" s="10">
        <v>6</v>
      </c>
      <c r="C31" s="9" t="s">
        <v>207</v>
      </c>
      <c r="D31" s="153">
        <v>28248.62317734203</v>
      </c>
      <c r="E31" s="30">
        <v>-1021.1612745719176</v>
      </c>
      <c r="F31" s="153">
        <f t="shared" si="1"/>
        <v>27227.461902770112</v>
      </c>
      <c r="G31" s="30">
        <v>-4.681065614673571</v>
      </c>
      <c r="H31" s="168">
        <v>2.4768919046376293E-3</v>
      </c>
      <c r="I31" s="168"/>
      <c r="J31" s="30">
        <f t="shared" si="2"/>
        <v>5.7521532776857898</v>
      </c>
      <c r="K31" s="169">
        <f t="shared" si="3"/>
        <v>27228.535467325026</v>
      </c>
      <c r="L31" s="30"/>
      <c r="M31" s="168">
        <f t="shared" si="4"/>
        <v>27228.535467325026</v>
      </c>
      <c r="N31" s="169">
        <v>28251.267222524508</v>
      </c>
      <c r="O31" s="30">
        <f t="shared" si="6"/>
        <v>-1022.731755199482</v>
      </c>
      <c r="P31" s="160">
        <f t="shared" si="5"/>
        <v>-3.6201270093260317E-2</v>
      </c>
    </row>
    <row r="32" spans="1:16" x14ac:dyDescent="0.25">
      <c r="A32" s="10">
        <v>622</v>
      </c>
      <c r="B32" s="10">
        <v>6</v>
      </c>
      <c r="C32" s="9" t="s">
        <v>188</v>
      </c>
      <c r="D32" s="153">
        <v>23210.978597395555</v>
      </c>
      <c r="E32" s="30">
        <v>-834.50381026738251</v>
      </c>
      <c r="F32" s="153">
        <f t="shared" si="1"/>
        <v>22376.474787128172</v>
      </c>
      <c r="G32" s="30">
        <v>-2.1555004374858981</v>
      </c>
      <c r="H32" s="168">
        <v>2.0355958793546952E-3</v>
      </c>
      <c r="I32" s="168"/>
      <c r="J32" s="30">
        <f t="shared" si="2"/>
        <v>4.7273195441231168</v>
      </c>
      <c r="K32" s="169">
        <f t="shared" si="3"/>
        <v>22379.04864183069</v>
      </c>
      <c r="L32" s="30"/>
      <c r="M32" s="168">
        <f t="shared" si="4"/>
        <v>22379.04864183069</v>
      </c>
      <c r="N32" s="169">
        <v>23214.656138999988</v>
      </c>
      <c r="O32" s="30">
        <f t="shared" si="6"/>
        <v>-835.60749716929786</v>
      </c>
      <c r="P32" s="160">
        <f t="shared" si="5"/>
        <v>-3.5994825517380813E-2</v>
      </c>
    </row>
    <row r="33" spans="1:16" x14ac:dyDescent="0.25">
      <c r="A33" s="170">
        <v>988</v>
      </c>
      <c r="B33" s="170">
        <v>6</v>
      </c>
      <c r="C33" s="171" t="s">
        <v>222</v>
      </c>
      <c r="D33" s="153">
        <v>21099.007200162272</v>
      </c>
      <c r="E33" s="30">
        <v>-758.26746234347956</v>
      </c>
      <c r="F33" s="153">
        <f t="shared" si="1"/>
        <v>20340.739737818792</v>
      </c>
      <c r="G33" s="30">
        <v>-2.6404530715553847</v>
      </c>
      <c r="H33" s="168">
        <v>1.8504043370204284E-3</v>
      </c>
      <c r="I33" s="168"/>
      <c r="J33" s="30">
        <f t="shared" si="2"/>
        <v>4.2972442004057712</v>
      </c>
      <c r="K33" s="169">
        <f t="shared" si="3"/>
        <v>20342.39837935198</v>
      </c>
      <c r="L33" s="30"/>
      <c r="M33" s="168">
        <f t="shared" si="4"/>
        <v>20342.39837935198</v>
      </c>
      <c r="N33" s="169">
        <v>21101.745425745925</v>
      </c>
      <c r="O33" s="30">
        <f t="shared" si="6"/>
        <v>-759.34704639394477</v>
      </c>
      <c r="P33" s="160">
        <f t="shared" si="5"/>
        <v>-3.5985034937796034E-2</v>
      </c>
    </row>
    <row r="34" spans="1:16" x14ac:dyDescent="0.25">
      <c r="A34" s="10">
        <v>955</v>
      </c>
      <c r="B34" s="10">
        <v>8</v>
      </c>
      <c r="C34" s="9" t="s">
        <v>329</v>
      </c>
      <c r="D34" s="153">
        <v>7387.7309050099911</v>
      </c>
      <c r="E34" s="30">
        <v>-264.65209678246356</v>
      </c>
      <c r="F34" s="153">
        <f t="shared" si="1"/>
        <v>7123.0788082275276</v>
      </c>
      <c r="G34" s="30">
        <v>0</v>
      </c>
      <c r="H34" s="168">
        <v>6.4798901561954306E-4</v>
      </c>
      <c r="I34" s="168"/>
      <c r="J34" s="30">
        <f t="shared" si="2"/>
        <v>1.5048424733923356</v>
      </c>
      <c r="K34" s="169">
        <f t="shared" si="3"/>
        <v>7124.5842986899352</v>
      </c>
      <c r="L34" s="30"/>
      <c r="M34" s="168">
        <f t="shared" si="4"/>
        <v>7124.5842986899352</v>
      </c>
      <c r="N34" s="169">
        <v>7389.2912898031336</v>
      </c>
      <c r="O34" s="30">
        <f t="shared" si="6"/>
        <v>-264.70699111319846</v>
      </c>
      <c r="P34" s="160">
        <f t="shared" si="5"/>
        <v>-3.5823055382656434E-2</v>
      </c>
    </row>
    <row r="35" spans="1:16" x14ac:dyDescent="0.25">
      <c r="A35" s="170">
        <v>980</v>
      </c>
      <c r="B35" s="170">
        <v>6</v>
      </c>
      <c r="C35" s="171" t="s">
        <v>220</v>
      </c>
      <c r="D35" s="153">
        <v>6756.1755996335614</v>
      </c>
      <c r="E35" s="30">
        <v>-240.53588378620134</v>
      </c>
      <c r="F35" s="153">
        <f t="shared" si="1"/>
        <v>6515.6397158473601</v>
      </c>
      <c r="G35" s="30">
        <v>-0.7790164098578316</v>
      </c>
      <c r="H35" s="168">
        <v>5.9273006508461302E-4</v>
      </c>
      <c r="I35" s="168"/>
      <c r="J35" s="30">
        <f t="shared" si="2"/>
        <v>1.3765131131785002</v>
      </c>
      <c r="K35" s="169">
        <f t="shared" si="3"/>
        <v>6516.2378052807462</v>
      </c>
      <c r="L35" s="30"/>
      <c r="M35" s="168">
        <f t="shared" si="4"/>
        <v>6516.2378052807462</v>
      </c>
      <c r="N35" s="169">
        <v>6757.1050151174995</v>
      </c>
      <c r="O35" s="30">
        <f t="shared" si="6"/>
        <v>-240.86720983675332</v>
      </c>
      <c r="P35" s="160">
        <f t="shared" si="5"/>
        <v>-3.5646509754971578E-2</v>
      </c>
    </row>
    <row r="36" spans="1:16" ht="30" x14ac:dyDescent="0.25">
      <c r="A36" s="10">
        <v>833</v>
      </c>
      <c r="B36" s="10">
        <v>8</v>
      </c>
      <c r="C36" s="9" t="s">
        <v>314</v>
      </c>
      <c r="D36" s="153">
        <v>10234.543391417888</v>
      </c>
      <c r="E36" s="30">
        <v>-364.43897167109208</v>
      </c>
      <c r="F36" s="153">
        <f t="shared" si="1"/>
        <v>9870.1044197467963</v>
      </c>
      <c r="G36" s="30">
        <v>-0.68039552391564939</v>
      </c>
      <c r="H36" s="168">
        <v>8.9788691367929821E-4</v>
      </c>
      <c r="I36" s="168"/>
      <c r="J36" s="30">
        <f t="shared" si="2"/>
        <v>2.0851871427417672</v>
      </c>
      <c r="K36" s="169">
        <f t="shared" si="3"/>
        <v>9871.5101092525365</v>
      </c>
      <c r="L36" s="30"/>
      <c r="M36" s="168">
        <f t="shared" si="4"/>
        <v>9871.5101092525365</v>
      </c>
      <c r="N36" s="169">
        <v>10236.372007283995</v>
      </c>
      <c r="O36" s="30">
        <f t="shared" si="6"/>
        <v>-364.86189803145862</v>
      </c>
      <c r="P36" s="160">
        <f t="shared" si="5"/>
        <v>-3.5643673146289551E-2</v>
      </c>
    </row>
    <row r="37" spans="1:16" x14ac:dyDescent="0.25">
      <c r="A37" s="10">
        <v>905</v>
      </c>
      <c r="B37" s="10">
        <v>8</v>
      </c>
      <c r="C37" s="9" t="s">
        <v>323</v>
      </c>
      <c r="D37" s="153">
        <v>17675.987353533965</v>
      </c>
      <c r="E37" s="30">
        <v>-628.42470643222259</v>
      </c>
      <c r="F37" s="153">
        <f t="shared" si="1"/>
        <v>17047.562647101742</v>
      </c>
      <c r="G37" s="30">
        <v>-1.7167922326407279</v>
      </c>
      <c r="H37" s="168">
        <v>1.5508228444206615E-3</v>
      </c>
      <c r="I37" s="168"/>
      <c r="J37" s="30">
        <f t="shared" si="2"/>
        <v>3.6015179713502241</v>
      </c>
      <c r="K37" s="169">
        <f t="shared" si="3"/>
        <v>17049.448923663298</v>
      </c>
      <c r="L37" s="30"/>
      <c r="M37" s="168">
        <f t="shared" si="4"/>
        <v>17049.448923663298</v>
      </c>
      <c r="N37" s="169">
        <v>17678.902389976291</v>
      </c>
      <c r="O37" s="30">
        <f t="shared" si="6"/>
        <v>-629.45346631299253</v>
      </c>
      <c r="P37" s="160">
        <f t="shared" si="5"/>
        <v>-3.5604782040647757E-2</v>
      </c>
    </row>
    <row r="38" spans="1:16" x14ac:dyDescent="0.25">
      <c r="A38" s="10">
        <v>239</v>
      </c>
      <c r="B38" s="10">
        <v>7</v>
      </c>
      <c r="C38" s="9" t="s">
        <v>236</v>
      </c>
      <c r="D38" s="153">
        <v>583333.12789224752</v>
      </c>
      <c r="E38" s="30">
        <v>-20706.564657005481</v>
      </c>
      <c r="F38" s="153">
        <f t="shared" si="1"/>
        <v>562626.56323524204</v>
      </c>
      <c r="G38" s="30">
        <v>-124.34277343156282</v>
      </c>
      <c r="H38" s="168">
        <v>5.1182338801461384E-2</v>
      </c>
      <c r="I38" s="168"/>
      <c r="J38" s="30">
        <f t="shared" si="2"/>
        <v>118.86213417114092</v>
      </c>
      <c r="K38" s="169">
        <f t="shared" si="3"/>
        <v>562621.13377832051</v>
      </c>
      <c r="L38" s="30"/>
      <c r="M38" s="168">
        <f t="shared" si="4"/>
        <v>562621.13377832051</v>
      </c>
      <c r="N38" s="169">
        <v>583363.38513026445</v>
      </c>
      <c r="O38" s="30">
        <f t="shared" si="6"/>
        <v>-20742.251351943938</v>
      </c>
      <c r="P38" s="160">
        <f t="shared" si="5"/>
        <v>-3.5556313407143672E-2</v>
      </c>
    </row>
    <row r="39" spans="1:16" x14ac:dyDescent="0.25">
      <c r="A39" s="10">
        <v>871</v>
      </c>
      <c r="B39" s="10">
        <v>8</v>
      </c>
      <c r="C39" s="9" t="s">
        <v>319</v>
      </c>
      <c r="D39" s="153">
        <v>3441.4214589024814</v>
      </c>
      <c r="E39" s="30">
        <v>-122.11310476856579</v>
      </c>
      <c r="F39" s="153">
        <f t="shared" si="1"/>
        <v>3319.3083541339156</v>
      </c>
      <c r="G39" s="30">
        <v>-0.3758752406356507</v>
      </c>
      <c r="H39" s="168">
        <v>3.0195866293779988E-4</v>
      </c>
      <c r="I39" s="168"/>
      <c r="J39" s="30">
        <f t="shared" si="2"/>
        <v>0.7012467962332799</v>
      </c>
      <c r="K39" s="169">
        <f t="shared" si="3"/>
        <v>3319.634027648176</v>
      </c>
      <c r="L39" s="30"/>
      <c r="M39" s="168">
        <f t="shared" si="4"/>
        <v>3319.634027648176</v>
      </c>
      <c r="N39" s="169">
        <v>3441.9222021437918</v>
      </c>
      <c r="O39" s="30">
        <f t="shared" si="6"/>
        <v>-122.28817449561575</v>
      </c>
      <c r="P39" s="160">
        <f t="shared" si="5"/>
        <v>-3.5529035031485863E-2</v>
      </c>
    </row>
    <row r="40" spans="1:16" x14ac:dyDescent="0.25">
      <c r="A40" s="10">
        <v>249</v>
      </c>
      <c r="B40" s="10">
        <v>7</v>
      </c>
      <c r="C40" s="9" t="s">
        <v>237</v>
      </c>
      <c r="D40" s="153">
        <v>243943.88043904927</v>
      </c>
      <c r="E40" s="30">
        <v>-8620.0994626927713</v>
      </c>
      <c r="F40" s="153">
        <f t="shared" si="1"/>
        <v>235323.7809763565</v>
      </c>
      <c r="G40" s="30">
        <v>-44.700815453223186</v>
      </c>
      <c r="H40" s="168">
        <v>2.1407488151135926E-2</v>
      </c>
      <c r="I40" s="168"/>
      <c r="J40" s="30">
        <f t="shared" si="2"/>
        <v>49.715190600371209</v>
      </c>
      <c r="K40" s="169">
        <f t="shared" si="3"/>
        <v>235328.8167589918</v>
      </c>
      <c r="L40" s="30"/>
      <c r="M40" s="168">
        <f t="shared" si="4"/>
        <v>235328.8167589918</v>
      </c>
      <c r="N40" s="169">
        <v>243961.50339175193</v>
      </c>
      <c r="O40" s="30">
        <f t="shared" si="6"/>
        <v>-8632.686632760131</v>
      </c>
      <c r="P40" s="160">
        <f t="shared" si="5"/>
        <v>-3.5385446116462951E-2</v>
      </c>
    </row>
    <row r="41" spans="1:16" x14ac:dyDescent="0.25">
      <c r="A41" s="10">
        <v>837</v>
      </c>
      <c r="B41" s="10">
        <v>8</v>
      </c>
      <c r="C41" s="9" t="s">
        <v>316</v>
      </c>
      <c r="D41" s="153">
        <v>28145.44528757743</v>
      </c>
      <c r="E41" s="30">
        <v>-990.209425431407</v>
      </c>
      <c r="F41" s="153">
        <f t="shared" si="1"/>
        <v>27155.235862146023</v>
      </c>
      <c r="G41" s="30">
        <v>-4.1084829857063596</v>
      </c>
      <c r="H41" s="168">
        <v>2.470321476003309E-3</v>
      </c>
      <c r="I41" s="168"/>
      <c r="J41" s="30">
        <f t="shared" si="2"/>
        <v>5.7368945929874613</v>
      </c>
      <c r="K41" s="169">
        <f t="shared" si="3"/>
        <v>27156.866744074781</v>
      </c>
      <c r="L41" s="30"/>
      <c r="M41" s="168">
        <f t="shared" si="4"/>
        <v>27156.866744074781</v>
      </c>
      <c r="N41" s="169">
        <v>28148.526585458814</v>
      </c>
      <c r="O41" s="30">
        <f t="shared" si="6"/>
        <v>-991.65984138403292</v>
      </c>
      <c r="P41" s="160">
        <f t="shared" si="5"/>
        <v>-3.5229547037688012E-2</v>
      </c>
    </row>
    <row r="42" spans="1:16" x14ac:dyDescent="0.25">
      <c r="A42" s="10">
        <v>531</v>
      </c>
      <c r="B42" s="10">
        <v>7</v>
      </c>
      <c r="C42" s="9" t="s">
        <v>259</v>
      </c>
      <c r="D42" s="153">
        <v>346995.52428305097</v>
      </c>
      <c r="E42" s="30">
        <v>-12196.124296573631</v>
      </c>
      <c r="F42" s="153">
        <f t="shared" si="1"/>
        <v>334799.39998647734</v>
      </c>
      <c r="G42" s="30">
        <v>-57.216479482245632</v>
      </c>
      <c r="H42" s="168">
        <v>3.0456820634451886E-2</v>
      </c>
      <c r="I42" s="168"/>
      <c r="J42" s="30">
        <f t="shared" si="2"/>
        <v>70.730700969359148</v>
      </c>
      <c r="K42" s="169">
        <f t="shared" si="3"/>
        <v>334812.94466478506</v>
      </c>
      <c r="L42" s="30"/>
      <c r="M42" s="168">
        <f t="shared" si="4"/>
        <v>334812.94466478506</v>
      </c>
      <c r="N42" s="169">
        <v>347027.42411868216</v>
      </c>
      <c r="O42" s="30">
        <f t="shared" si="6"/>
        <v>-12214.479453897104</v>
      </c>
      <c r="P42" s="160">
        <f t="shared" si="5"/>
        <v>-3.5197447247626731E-2</v>
      </c>
    </row>
    <row r="43" spans="1:16" x14ac:dyDescent="0.25">
      <c r="A43" s="10">
        <v>294</v>
      </c>
      <c r="B43" s="10">
        <v>7</v>
      </c>
      <c r="C43" s="9" t="s">
        <v>243</v>
      </c>
      <c r="D43" s="153">
        <v>212119.27222448599</v>
      </c>
      <c r="E43" s="30">
        <v>-7454.2427653484046</v>
      </c>
      <c r="F43" s="153">
        <f t="shared" si="1"/>
        <v>204665.02945913759</v>
      </c>
      <c r="G43" s="30">
        <v>-36.856520880886819</v>
      </c>
      <c r="H43" s="168">
        <v>1.8618450608434589E-2</v>
      </c>
      <c r="I43" s="168"/>
      <c r="J43" s="30">
        <f t="shared" si="2"/>
        <v>43.238133037705673</v>
      </c>
      <c r="K43" s="169">
        <f t="shared" si="3"/>
        <v>204671.42968974501</v>
      </c>
      <c r="L43" s="30"/>
      <c r="M43" s="168">
        <f t="shared" si="4"/>
        <v>204671.42968974501</v>
      </c>
      <c r="N43" s="169">
        <v>212137.21527679046</v>
      </c>
      <c r="O43" s="30">
        <f t="shared" si="6"/>
        <v>-7465.7855870454514</v>
      </c>
      <c r="P43" s="160">
        <f t="shared" si="5"/>
        <v>-3.5193191243244666E-2</v>
      </c>
    </row>
    <row r="44" spans="1:16" x14ac:dyDescent="0.25">
      <c r="A44" s="10">
        <v>774</v>
      </c>
      <c r="B44" s="10">
        <v>6</v>
      </c>
      <c r="C44" s="9" t="s">
        <v>201</v>
      </c>
      <c r="D44" s="153">
        <v>90390.056843850092</v>
      </c>
      <c r="E44" s="30">
        <v>-3169.2586629128928</v>
      </c>
      <c r="F44" s="153">
        <f t="shared" si="1"/>
        <v>87220.7981809372</v>
      </c>
      <c r="G44" s="30">
        <v>-12.141836043621879</v>
      </c>
      <c r="H44" s="168">
        <v>7.9345070687039075E-3</v>
      </c>
      <c r="I44" s="168"/>
      <c r="J44" s="30">
        <f t="shared" si="2"/>
        <v>18.426521059159214</v>
      </c>
      <c r="K44" s="169">
        <f t="shared" si="3"/>
        <v>87227.090800459802</v>
      </c>
      <c r="L44" s="30"/>
      <c r="M44" s="168">
        <f t="shared" si="4"/>
        <v>87227.090800459802</v>
      </c>
      <c r="N44" s="169">
        <v>90400.595512882399</v>
      </c>
      <c r="O44" s="30">
        <f t="shared" si="6"/>
        <v>-3173.5047124225966</v>
      </c>
      <c r="P44" s="160">
        <f t="shared" si="5"/>
        <v>-3.510490936943398E-2</v>
      </c>
    </row>
    <row r="45" spans="1:16" x14ac:dyDescent="0.25">
      <c r="A45" s="10">
        <v>551</v>
      </c>
      <c r="B45" s="10">
        <v>7</v>
      </c>
      <c r="C45" s="9" t="s">
        <v>261</v>
      </c>
      <c r="D45" s="153">
        <v>36305.647545244661</v>
      </c>
      <c r="E45" s="30">
        <v>-1270.7133225463112</v>
      </c>
      <c r="F45" s="153">
        <f t="shared" si="1"/>
        <v>35034.93422269835</v>
      </c>
      <c r="G45" s="30">
        <v>-4.1262097194012313</v>
      </c>
      <c r="H45" s="168">
        <v>3.1871404417201533E-3</v>
      </c>
      <c r="I45" s="168"/>
      <c r="J45" s="30">
        <f t="shared" si="2"/>
        <v>7.4015827271104229</v>
      </c>
      <c r="K45" s="169">
        <f t="shared" si="3"/>
        <v>35038.212782846495</v>
      </c>
      <c r="L45" s="30"/>
      <c r="M45" s="168">
        <f t="shared" si="4"/>
        <v>35038.212782846495</v>
      </c>
      <c r="N45" s="169">
        <v>36310.606430425207</v>
      </c>
      <c r="O45" s="30">
        <f t="shared" si="6"/>
        <v>-1272.3936475787123</v>
      </c>
      <c r="P45" s="160">
        <f t="shared" si="5"/>
        <v>-3.5041927763358814E-2</v>
      </c>
    </row>
    <row r="46" spans="1:16" x14ac:dyDescent="0.25">
      <c r="A46" s="10">
        <v>430</v>
      </c>
      <c r="B46" s="10">
        <v>6</v>
      </c>
      <c r="C46" s="9" t="s">
        <v>183</v>
      </c>
      <c r="D46" s="153">
        <v>558145.7029404405</v>
      </c>
      <c r="E46" s="30">
        <v>-19505.396499122377</v>
      </c>
      <c r="F46" s="153">
        <f t="shared" si="1"/>
        <v>538640.30644131813</v>
      </c>
      <c r="G46" s="30">
        <v>-75.01718048506882</v>
      </c>
      <c r="H46" s="168">
        <v>4.9000300479726179E-2</v>
      </c>
      <c r="I46" s="168"/>
      <c r="J46" s="30">
        <f t="shared" si="2"/>
        <v>113.79472736953429</v>
      </c>
      <c r="K46" s="169">
        <f t="shared" si="3"/>
        <v>538679.13298850309</v>
      </c>
      <c r="L46" s="30"/>
      <c r="M46" s="168">
        <f t="shared" si="4"/>
        <v>538679.13298850309</v>
      </c>
      <c r="N46" s="169">
        <v>558215.07441458444</v>
      </c>
      <c r="O46" s="30">
        <f t="shared" si="6"/>
        <v>-19535.94142608135</v>
      </c>
      <c r="P46" s="160">
        <f t="shared" si="5"/>
        <v>-3.499715848155701E-2</v>
      </c>
    </row>
    <row r="47" spans="1:16" x14ac:dyDescent="0.25">
      <c r="A47" s="10">
        <v>173</v>
      </c>
      <c r="B47" s="10">
        <v>9</v>
      </c>
      <c r="C47" s="9" t="s">
        <v>336</v>
      </c>
      <c r="D47" s="153">
        <v>58185.426409168198</v>
      </c>
      <c r="E47" s="30">
        <v>-2032.8595179935655</v>
      </c>
      <c r="F47" s="153">
        <f t="shared" si="1"/>
        <v>56152.566891174632</v>
      </c>
      <c r="G47" s="30">
        <v>-11.497891293853172</v>
      </c>
      <c r="H47" s="168">
        <v>5.1082190052838929E-3</v>
      </c>
      <c r="I47" s="168"/>
      <c r="J47" s="30">
        <f t="shared" si="2"/>
        <v>11.86295560147966</v>
      </c>
      <c r="K47" s="169">
        <f t="shared" si="3"/>
        <v>56152.937063701262</v>
      </c>
      <c r="L47" s="30"/>
      <c r="M47" s="168">
        <f t="shared" si="4"/>
        <v>56152.937063701262</v>
      </c>
      <c r="N47" s="169">
        <v>58188.959288339407</v>
      </c>
      <c r="O47" s="30">
        <f t="shared" si="6"/>
        <v>-2036.0222246381454</v>
      </c>
      <c r="P47" s="160">
        <f t="shared" si="5"/>
        <v>-3.4989837411409895E-2</v>
      </c>
    </row>
    <row r="48" spans="1:16" x14ac:dyDescent="0.25">
      <c r="A48" s="10">
        <v>801</v>
      </c>
      <c r="B48" s="10">
        <v>8</v>
      </c>
      <c r="C48" s="9" t="s">
        <v>310</v>
      </c>
      <c r="D48" s="153">
        <v>17310.6416635069</v>
      </c>
      <c r="E48" s="30">
        <v>-604.10013684638761</v>
      </c>
      <c r="F48" s="153">
        <f t="shared" si="1"/>
        <v>16706.541526660512</v>
      </c>
      <c r="G48" s="30">
        <v>-2.5669832394978584</v>
      </c>
      <c r="H48" s="168">
        <v>1.5198000316609674E-3</v>
      </c>
      <c r="I48" s="168"/>
      <c r="J48" s="30">
        <f t="shared" si="2"/>
        <v>3.5294728515108855</v>
      </c>
      <c r="K48" s="169">
        <f t="shared" si="3"/>
        <v>16707.505536072556</v>
      </c>
      <c r="L48" s="30"/>
      <c r="M48" s="168">
        <f t="shared" si="4"/>
        <v>16707.505536072556</v>
      </c>
      <c r="N48" s="169">
        <v>17312.455249441315</v>
      </c>
      <c r="O48" s="30">
        <f t="shared" si="6"/>
        <v>-604.94971336875824</v>
      </c>
      <c r="P48" s="160">
        <f t="shared" si="5"/>
        <v>-3.4943034055685454E-2</v>
      </c>
    </row>
    <row r="49" spans="1:16" x14ac:dyDescent="0.25">
      <c r="A49" s="10">
        <v>394</v>
      </c>
      <c r="B49" s="10">
        <v>6</v>
      </c>
      <c r="C49" s="9" t="s">
        <v>180</v>
      </c>
      <c r="D49" s="153">
        <v>134151.3253180618</v>
      </c>
      <c r="E49" s="30">
        <v>-4677.9744849587878</v>
      </c>
      <c r="F49" s="153">
        <f t="shared" si="1"/>
        <v>129473.35083310302</v>
      </c>
      <c r="G49" s="30">
        <v>-23.997793783666566</v>
      </c>
      <c r="H49" s="168">
        <v>1.1778236829052121E-2</v>
      </c>
      <c r="I49" s="168"/>
      <c r="J49" s="30">
        <f t="shared" si="2"/>
        <v>27.352918976697755</v>
      </c>
      <c r="K49" s="169">
        <f t="shared" si="3"/>
        <v>129476.71773653288</v>
      </c>
      <c r="L49" s="30"/>
      <c r="M49" s="168">
        <f t="shared" si="4"/>
        <v>129476.71773653288</v>
      </c>
      <c r="N49" s="169">
        <v>134161.26484761894</v>
      </c>
      <c r="O49" s="30">
        <f t="shared" si="6"/>
        <v>-4684.5471110860526</v>
      </c>
      <c r="P49" s="160">
        <f t="shared" si="5"/>
        <v>-3.4917284928751867E-2</v>
      </c>
    </row>
    <row r="50" spans="1:16" x14ac:dyDescent="0.25">
      <c r="A50" s="10">
        <v>605</v>
      </c>
      <c r="B50" s="10">
        <v>8</v>
      </c>
      <c r="C50" s="9" t="s">
        <v>295</v>
      </c>
      <c r="D50" s="153">
        <v>529.3624581061581</v>
      </c>
      <c r="E50" s="30">
        <v>-20.173780909517745</v>
      </c>
      <c r="F50" s="153">
        <f t="shared" si="1"/>
        <v>509.18867719664036</v>
      </c>
      <c r="G50" s="30">
        <v>50.141779263379021</v>
      </c>
      <c r="H50" s="168">
        <v>4.6321075279998353E-5</v>
      </c>
      <c r="I50" s="168"/>
      <c r="J50" s="30">
        <f t="shared" si="2"/>
        <v>0.10757268999058475</v>
      </c>
      <c r="K50" s="169">
        <f t="shared" si="3"/>
        <v>559.4380754710852</v>
      </c>
      <c r="L50" s="30"/>
      <c r="M50" s="168">
        <f t="shared" si="4"/>
        <v>559.4380754710852</v>
      </c>
      <c r="N50" s="169">
        <v>579.67344345882589</v>
      </c>
      <c r="O50" s="30">
        <f t="shared" si="6"/>
        <v>-20.235367987740688</v>
      </c>
      <c r="P50" s="160">
        <f t="shared" si="5"/>
        <v>-3.4908219819419765E-2</v>
      </c>
    </row>
    <row r="51" spans="1:16" ht="30" x14ac:dyDescent="0.25">
      <c r="A51" s="10">
        <v>338</v>
      </c>
      <c r="B51" s="10">
        <v>8</v>
      </c>
      <c r="C51" s="9" t="s">
        <v>391</v>
      </c>
      <c r="D51" s="153">
        <v>234776.11808960297</v>
      </c>
      <c r="E51" s="30">
        <v>-8172.4106992008747</v>
      </c>
      <c r="F51" s="153">
        <f t="shared" si="1"/>
        <v>226603.70739040209</v>
      </c>
      <c r="G51" s="30">
        <v>-23.708364886144409</v>
      </c>
      <c r="H51" s="168">
        <v>2.0614219951917642E-2</v>
      </c>
      <c r="I51" s="168"/>
      <c r="J51" s="30">
        <f t="shared" si="2"/>
        <v>47.872962336927905</v>
      </c>
      <c r="K51" s="169">
        <f t="shared" si="3"/>
        <v>226627.89260207282</v>
      </c>
      <c r="L51" s="30"/>
      <c r="M51" s="168">
        <f t="shared" si="4"/>
        <v>226627.89260207282</v>
      </c>
      <c r="N51" s="169">
        <v>234811.90618004987</v>
      </c>
      <c r="O51" s="30">
        <f t="shared" si="6"/>
        <v>-8184.0135779770499</v>
      </c>
      <c r="P51" s="160">
        <f t="shared" si="5"/>
        <v>-3.4853486397328097E-2</v>
      </c>
    </row>
    <row r="52" spans="1:16" x14ac:dyDescent="0.25">
      <c r="A52" s="10">
        <v>277</v>
      </c>
      <c r="B52" s="10">
        <v>9</v>
      </c>
      <c r="C52" s="9" t="s">
        <v>340</v>
      </c>
      <c r="D52" s="153">
        <v>21501.138777535973</v>
      </c>
      <c r="E52" s="30">
        <v>-748.48423772360911</v>
      </c>
      <c r="F52" s="153">
        <f t="shared" si="1"/>
        <v>20752.654539812364</v>
      </c>
      <c r="G52" s="30">
        <v>-1.8220965821274149</v>
      </c>
      <c r="H52" s="168">
        <v>1.8878763732352504E-3</v>
      </c>
      <c r="I52" s="168"/>
      <c r="J52" s="30">
        <f t="shared" si="2"/>
        <v>4.38426652686704</v>
      </c>
      <c r="K52" s="169">
        <f t="shared" si="3"/>
        <v>20755.218597633477</v>
      </c>
      <c r="L52" s="30"/>
      <c r="M52" s="168">
        <f t="shared" si="4"/>
        <v>20755.218597633477</v>
      </c>
      <c r="N52" s="169">
        <v>21504.314397312832</v>
      </c>
      <c r="O52" s="30">
        <f t="shared" si="6"/>
        <v>-749.09579967935497</v>
      </c>
      <c r="P52" s="160">
        <f t="shared" si="5"/>
        <v>-3.4834674839620168E-2</v>
      </c>
    </row>
    <row r="53" spans="1:16" x14ac:dyDescent="0.25">
      <c r="A53" s="10">
        <v>128</v>
      </c>
      <c r="B53" s="10">
        <v>7</v>
      </c>
      <c r="C53" s="9" t="s">
        <v>226</v>
      </c>
      <c r="D53" s="153">
        <v>28299.542223356097</v>
      </c>
      <c r="E53" s="30">
        <v>-980.99564512683719</v>
      </c>
      <c r="F53" s="153">
        <f t="shared" si="1"/>
        <v>27318.546578229259</v>
      </c>
      <c r="G53" s="30">
        <v>-2.8092118880485941</v>
      </c>
      <c r="H53" s="168">
        <v>2.4851779099982082E-3</v>
      </c>
      <c r="I53" s="168"/>
      <c r="J53" s="30">
        <f t="shared" si="2"/>
        <v>5.771396092765662</v>
      </c>
      <c r="K53" s="169">
        <f t="shared" si="3"/>
        <v>27321.511247611885</v>
      </c>
      <c r="L53" s="30"/>
      <c r="M53" s="168">
        <f t="shared" si="4"/>
        <v>27321.511247611885</v>
      </c>
      <c r="N53" s="169">
        <v>28303.797725753422</v>
      </c>
      <c r="O53" s="30">
        <f t="shared" si="6"/>
        <v>-982.28647814153737</v>
      </c>
      <c r="P53" s="160">
        <f t="shared" si="5"/>
        <v>-3.4705112284199299E-2</v>
      </c>
    </row>
    <row r="54" spans="1:16" x14ac:dyDescent="0.25">
      <c r="A54" s="10">
        <v>736</v>
      </c>
      <c r="B54" s="10">
        <v>7</v>
      </c>
      <c r="C54" s="9" t="s">
        <v>272</v>
      </c>
      <c r="D54" s="153">
        <v>27969.376185217312</v>
      </c>
      <c r="E54" s="30">
        <v>-968.53398039994863</v>
      </c>
      <c r="F54" s="153">
        <f t="shared" si="1"/>
        <v>27000.842204817363</v>
      </c>
      <c r="G54" s="30">
        <v>-2.5653772244877473</v>
      </c>
      <c r="H54" s="168">
        <v>2.4562762300185609E-3</v>
      </c>
      <c r="I54" s="168"/>
      <c r="J54" s="30">
        <f t="shared" si="2"/>
        <v>5.7042769371358668</v>
      </c>
      <c r="K54" s="169">
        <f t="shared" si="3"/>
        <v>27003.983560806242</v>
      </c>
      <c r="L54" s="30"/>
      <c r="M54" s="168">
        <f t="shared" si="4"/>
        <v>27003.983560806242</v>
      </c>
      <c r="N54" s="169">
        <v>27973.822436996521</v>
      </c>
      <c r="O54" s="30">
        <f t="shared" si="6"/>
        <v>-969.83887619027882</v>
      </c>
      <c r="P54" s="160">
        <f t="shared" si="5"/>
        <v>-3.4669515700779863E-2</v>
      </c>
    </row>
    <row r="55" spans="1:16" x14ac:dyDescent="0.25">
      <c r="A55" s="10">
        <v>610</v>
      </c>
      <c r="B55" s="10">
        <v>8</v>
      </c>
      <c r="C55" s="9" t="s">
        <v>297</v>
      </c>
      <c r="D55" s="153">
        <v>12008.496115374299</v>
      </c>
      <c r="E55" s="30">
        <v>-415.23290733564136</v>
      </c>
      <c r="F55" s="153">
        <f t="shared" si="1"/>
        <v>11593.263208038657</v>
      </c>
      <c r="G55" s="30">
        <v>-0.84733404659891676</v>
      </c>
      <c r="H55" s="168">
        <v>1.0546432822444881E-3</v>
      </c>
      <c r="I55" s="168"/>
      <c r="J55" s="30">
        <f t="shared" si="2"/>
        <v>2.4492267108602217</v>
      </c>
      <c r="K55" s="169">
        <f t="shared" si="3"/>
        <v>11594.866155346201</v>
      </c>
      <c r="L55" s="30"/>
      <c r="M55" s="168">
        <f t="shared" si="4"/>
        <v>11594.866155346201</v>
      </c>
      <c r="N55" s="169">
        <v>12010.624528957991</v>
      </c>
      <c r="O55" s="30">
        <f t="shared" si="6"/>
        <v>-415.75837361179038</v>
      </c>
      <c r="P55" s="160">
        <f t="shared" si="5"/>
        <v>-3.4615883013359043E-2</v>
      </c>
    </row>
    <row r="56" spans="1:16" x14ac:dyDescent="0.25">
      <c r="A56" s="10">
        <v>904</v>
      </c>
      <c r="B56" s="10">
        <v>6</v>
      </c>
      <c r="C56" s="9" t="s">
        <v>213</v>
      </c>
      <c r="D56" s="153">
        <v>4051.2957904076529</v>
      </c>
      <c r="E56" s="30">
        <v>-140.05180870714094</v>
      </c>
      <c r="F56" s="153">
        <f t="shared" si="1"/>
        <v>3911.243981700512</v>
      </c>
      <c r="G56" s="30">
        <v>-0.39021436393159092</v>
      </c>
      <c r="H56" s="168">
        <v>3.5580725775805858E-4</v>
      </c>
      <c r="I56" s="168"/>
      <c r="J56" s="30">
        <f t="shared" si="2"/>
        <v>0.82630084910259194</v>
      </c>
      <c r="K56" s="169">
        <f t="shared" si="3"/>
        <v>3911.6804239929406</v>
      </c>
      <c r="L56" s="30"/>
      <c r="M56" s="168">
        <f t="shared" si="4"/>
        <v>3911.6804239929406</v>
      </c>
      <c r="N56" s="169">
        <v>4051.9288785814224</v>
      </c>
      <c r="O56" s="30">
        <f t="shared" si="6"/>
        <v>-140.24845458848176</v>
      </c>
      <c r="P56" s="160">
        <f t="shared" si="5"/>
        <v>-3.4612763153331221E-2</v>
      </c>
    </row>
    <row r="57" spans="1:16" x14ac:dyDescent="0.25">
      <c r="A57" s="10">
        <v>325</v>
      </c>
      <c r="B57" s="10">
        <v>7</v>
      </c>
      <c r="C57" s="9" t="s">
        <v>247</v>
      </c>
      <c r="D57" s="153">
        <v>63817.625988839129</v>
      </c>
      <c r="E57" s="30">
        <v>-2193.7489981239851</v>
      </c>
      <c r="F57" s="153">
        <f t="shared" si="1"/>
        <v>61623.876990715144</v>
      </c>
      <c r="G57" s="30">
        <v>-5.4182757467933698</v>
      </c>
      <c r="H57" s="168">
        <v>5.6059460333009702E-3</v>
      </c>
      <c r="I57" s="168"/>
      <c r="J57" s="30">
        <f t="shared" si="2"/>
        <v>13.018840583880658</v>
      </c>
      <c r="K57" s="169">
        <f t="shared" si="3"/>
        <v>61631.483161498261</v>
      </c>
      <c r="L57" s="30"/>
      <c r="M57" s="168">
        <f t="shared" si="4"/>
        <v>61631.483161498261</v>
      </c>
      <c r="N57" s="169">
        <v>63827.835181452858</v>
      </c>
      <c r="O57" s="30">
        <f t="shared" si="6"/>
        <v>-2196.3520199545965</v>
      </c>
      <c r="P57" s="160">
        <f t="shared" si="5"/>
        <v>-3.4410567328669393E-2</v>
      </c>
    </row>
    <row r="58" spans="1:16" x14ac:dyDescent="0.25">
      <c r="A58" s="10">
        <v>502</v>
      </c>
      <c r="B58" s="10">
        <v>7</v>
      </c>
      <c r="C58" s="9" t="s">
        <v>256</v>
      </c>
      <c r="D58" s="153">
        <v>106580.57845369766</v>
      </c>
      <c r="E58" s="30">
        <v>-3653.7729776810593</v>
      </c>
      <c r="F58" s="153">
        <f t="shared" si="1"/>
        <v>102926.8054760166</v>
      </c>
      <c r="G58" s="30">
        <v>-109.47075587404834</v>
      </c>
      <c r="H58" s="168">
        <v>9.3632881450408031E-3</v>
      </c>
      <c r="I58" s="168"/>
      <c r="J58" s="30">
        <f t="shared" si="2"/>
        <v>21.744618121028811</v>
      </c>
      <c r="K58" s="169">
        <f t="shared" si="3"/>
        <v>102839.08870155172</v>
      </c>
      <c r="L58" s="30"/>
      <c r="M58" s="168">
        <f t="shared" si="4"/>
        <v>102839.08870155172</v>
      </c>
      <c r="N58" s="169">
        <v>106498.29910480371</v>
      </c>
      <c r="O58" s="30">
        <f t="shared" si="6"/>
        <v>-3659.2104032519856</v>
      </c>
      <c r="P58" s="160">
        <f t="shared" si="5"/>
        <v>-3.4359331876756077E-2</v>
      </c>
    </row>
    <row r="59" spans="1:16" x14ac:dyDescent="0.25">
      <c r="A59" s="10">
        <v>271</v>
      </c>
      <c r="B59" s="10">
        <v>7</v>
      </c>
      <c r="C59" s="9" t="s">
        <v>238</v>
      </c>
      <c r="D59" s="153">
        <v>153615.73018878509</v>
      </c>
      <c r="E59" s="30">
        <v>-5259.4300367663964</v>
      </c>
      <c r="F59" s="153">
        <f t="shared" si="1"/>
        <v>148356.3001520187</v>
      </c>
      <c r="G59" s="30">
        <v>-20.645457629841985</v>
      </c>
      <c r="H59" s="168">
        <v>1.3496025452564857E-2</v>
      </c>
      <c r="I59" s="168"/>
      <c r="J59" s="30">
        <f t="shared" si="2"/>
        <v>31.342186107253344</v>
      </c>
      <c r="K59" s="169">
        <f t="shared" si="3"/>
        <v>148367.01037652156</v>
      </c>
      <c r="L59" s="30"/>
      <c r="M59" s="168">
        <f t="shared" si="4"/>
        <v>148367.01037652156</v>
      </c>
      <c r="N59" s="169">
        <v>153633.91657123694</v>
      </c>
      <c r="O59" s="30">
        <f t="shared" si="6"/>
        <v>-5266.9061947153823</v>
      </c>
      <c r="P59" s="160">
        <f t="shared" si="5"/>
        <v>-3.4282183988150979E-2</v>
      </c>
    </row>
    <row r="60" spans="1:16" x14ac:dyDescent="0.25">
      <c r="A60" s="10">
        <v>152</v>
      </c>
      <c r="B60" s="10">
        <v>7</v>
      </c>
      <c r="C60" s="9" t="s">
        <v>227</v>
      </c>
      <c r="D60" s="153">
        <v>55826.468824436015</v>
      </c>
      <c r="E60" s="30">
        <v>-1910.9677747779133</v>
      </c>
      <c r="F60" s="153">
        <f t="shared" si="1"/>
        <v>53915.501049658102</v>
      </c>
      <c r="G60" s="30">
        <v>-3.9241410412578261</v>
      </c>
      <c r="H60" s="168">
        <v>4.9047123290912823E-3</v>
      </c>
      <c r="I60" s="168"/>
      <c r="J60" s="30">
        <f t="shared" si="2"/>
        <v>11.390346525443489</v>
      </c>
      <c r="K60" s="169">
        <f t="shared" si="3"/>
        <v>53922.972159854617</v>
      </c>
      <c r="L60" s="30"/>
      <c r="M60" s="168">
        <f t="shared" si="4"/>
        <v>53922.972159854617</v>
      </c>
      <c r="N60" s="169">
        <v>55835.993606049095</v>
      </c>
      <c r="O60" s="30">
        <f t="shared" si="6"/>
        <v>-1913.0214461944779</v>
      </c>
      <c r="P60" s="160">
        <f t="shared" si="5"/>
        <v>-3.4261438234480121E-2</v>
      </c>
    </row>
    <row r="61" spans="1:16" x14ac:dyDescent="0.25">
      <c r="A61" s="10">
        <v>556</v>
      </c>
      <c r="B61" s="10">
        <v>7</v>
      </c>
      <c r="C61" s="9" t="s">
        <v>263</v>
      </c>
      <c r="D61" s="153">
        <v>70329.847234555535</v>
      </c>
      <c r="E61" s="30">
        <v>-2403.2795932797744</v>
      </c>
      <c r="F61" s="153">
        <f t="shared" si="1"/>
        <v>67926.56764127576</v>
      </c>
      <c r="G61" s="30">
        <v>-11.783468338158855</v>
      </c>
      <c r="H61" s="168">
        <v>6.1793040460880752E-3</v>
      </c>
      <c r="I61" s="168"/>
      <c r="J61" s="30">
        <f t="shared" si="2"/>
        <v>14.350365454370822</v>
      </c>
      <c r="K61" s="169">
        <f t="shared" si="3"/>
        <v>67929.14071769602</v>
      </c>
      <c r="L61" s="30"/>
      <c r="M61" s="168">
        <f t="shared" si="4"/>
        <v>67929.14071769602</v>
      </c>
      <c r="N61" s="169">
        <v>70335.751769089227</v>
      </c>
      <c r="O61" s="30">
        <f t="shared" si="6"/>
        <v>-2406.6110513932072</v>
      </c>
      <c r="P61" s="160">
        <f t="shared" si="5"/>
        <v>-3.421604220985737E-2</v>
      </c>
    </row>
    <row r="62" spans="1:16" x14ac:dyDescent="0.25">
      <c r="A62" s="10">
        <v>301</v>
      </c>
      <c r="B62" s="10">
        <v>7</v>
      </c>
      <c r="C62" s="9" t="s">
        <v>245</v>
      </c>
      <c r="D62" s="153">
        <v>100434.0665727661</v>
      </c>
      <c r="E62" s="30">
        <v>-3430.3068034957396</v>
      </c>
      <c r="F62" s="153">
        <f t="shared" si="1"/>
        <v>97003.759769270357</v>
      </c>
      <c r="G62" s="30">
        <v>-14.116758112359094</v>
      </c>
      <c r="H62" s="168">
        <v>8.8244665679790869E-3</v>
      </c>
      <c r="I62" s="168"/>
      <c r="J62" s="30">
        <f t="shared" si="2"/>
        <v>20.493298152329238</v>
      </c>
      <c r="K62" s="169">
        <f t="shared" si="3"/>
        <v>97010.145133776896</v>
      </c>
      <c r="L62" s="30"/>
      <c r="M62" s="168">
        <f t="shared" si="4"/>
        <v>97010.145133776896</v>
      </c>
      <c r="N62" s="169">
        <v>100444.91110228201</v>
      </c>
      <c r="O62" s="30">
        <f t="shared" si="6"/>
        <v>-3434.7659685051185</v>
      </c>
      <c r="P62" s="160">
        <f t="shared" si="5"/>
        <v>-3.4195520019999141E-2</v>
      </c>
    </row>
    <row r="63" spans="1:16" x14ac:dyDescent="0.25">
      <c r="A63" s="10">
        <v>888</v>
      </c>
      <c r="B63" s="10">
        <v>6</v>
      </c>
      <c r="C63" s="9" t="s">
        <v>210</v>
      </c>
      <c r="D63" s="153">
        <v>16025.467835993326</v>
      </c>
      <c r="E63" s="30">
        <v>-545.29205640793589</v>
      </c>
      <c r="F63" s="153">
        <f t="shared" si="1"/>
        <v>15480.17577958539</v>
      </c>
      <c r="G63" s="30">
        <v>-1.9372277658731036</v>
      </c>
      <c r="H63" s="168">
        <v>1.4082371029567606E-3</v>
      </c>
      <c r="I63" s="168"/>
      <c r="J63" s="30">
        <f t="shared" si="2"/>
        <v>3.2703872350523766</v>
      </c>
      <c r="K63" s="169">
        <f t="shared" si="3"/>
        <v>15481.510347291673</v>
      </c>
      <c r="L63" s="30"/>
      <c r="M63" s="168">
        <f t="shared" si="4"/>
        <v>15481.510347291673</v>
      </c>
      <c r="N63" s="169">
        <v>16027.51465356394</v>
      </c>
      <c r="O63" s="30">
        <f t="shared" si="6"/>
        <v>-546.00430627226706</v>
      </c>
      <c r="P63" s="160">
        <f t="shared" si="5"/>
        <v>-3.4066685825856063E-2</v>
      </c>
    </row>
    <row r="64" spans="1:16" x14ac:dyDescent="0.25">
      <c r="A64" s="10">
        <v>290</v>
      </c>
      <c r="B64" s="10">
        <v>7</v>
      </c>
      <c r="C64" s="9" t="s">
        <v>242</v>
      </c>
      <c r="D64" s="153">
        <v>70367.279490022251</v>
      </c>
      <c r="E64" s="30">
        <v>-2390.8716178233881</v>
      </c>
      <c r="F64" s="153">
        <f t="shared" si="1"/>
        <v>67976.407872198863</v>
      </c>
      <c r="G64" s="30">
        <v>-12.371286851688637</v>
      </c>
      <c r="H64" s="168">
        <v>6.1838380296426031E-3</v>
      </c>
      <c r="I64" s="168"/>
      <c r="J64" s="30">
        <f t="shared" si="2"/>
        <v>14.360894847403808</v>
      </c>
      <c r="K64" s="169">
        <f t="shared" si="3"/>
        <v>67978.403664032609</v>
      </c>
      <c r="L64" s="30"/>
      <c r="M64" s="168">
        <f t="shared" si="4"/>
        <v>67978.403664032609</v>
      </c>
      <c r="N64" s="169">
        <v>70372.845617689934</v>
      </c>
      <c r="O64" s="30">
        <f t="shared" si="6"/>
        <v>-2394.4419536573259</v>
      </c>
      <c r="P64" s="160">
        <f t="shared" si="5"/>
        <v>-3.4025083576489971E-2</v>
      </c>
    </row>
    <row r="65" spans="1:16" x14ac:dyDescent="0.25">
      <c r="A65" s="10">
        <v>547</v>
      </c>
      <c r="B65" s="10">
        <v>9</v>
      </c>
      <c r="C65" s="9" t="s">
        <v>354</v>
      </c>
      <c r="D65" s="153">
        <v>42612.023613070975</v>
      </c>
      <c r="E65" s="30">
        <v>-1443.5760283803611</v>
      </c>
      <c r="F65" s="153">
        <f t="shared" si="1"/>
        <v>41168.447584690613</v>
      </c>
      <c r="G65" s="30">
        <v>-5.6291553436749382</v>
      </c>
      <c r="H65" s="168">
        <v>3.7451083363243772E-3</v>
      </c>
      <c r="I65" s="168"/>
      <c r="J65" s="30">
        <f t="shared" si="2"/>
        <v>8.6973667085517459</v>
      </c>
      <c r="K65" s="169">
        <f t="shared" si="3"/>
        <v>41171.519541163827</v>
      </c>
      <c r="L65" s="30"/>
      <c r="M65" s="168">
        <f t="shared" si="4"/>
        <v>41171.519541163827</v>
      </c>
      <c r="N65" s="169">
        <v>42617.038137206298</v>
      </c>
      <c r="O65" s="30">
        <f t="shared" si="6"/>
        <v>-1445.5185960424715</v>
      </c>
      <c r="P65" s="160">
        <f t="shared" si="5"/>
        <v>-3.3918795374483772E-2</v>
      </c>
    </row>
    <row r="66" spans="1:16" x14ac:dyDescent="0.25">
      <c r="A66" s="10">
        <v>612</v>
      </c>
      <c r="B66" s="10">
        <v>7</v>
      </c>
      <c r="C66" s="9" t="s">
        <v>267</v>
      </c>
      <c r="D66" s="153">
        <v>97930.109318565956</v>
      </c>
      <c r="E66" s="30">
        <v>-3300.0630819950165</v>
      </c>
      <c r="F66" s="153">
        <f t="shared" si="1"/>
        <v>94630.046236570939</v>
      </c>
      <c r="G66" s="30">
        <v>-21.022424811540986</v>
      </c>
      <c r="H66" s="168">
        <v>8.6085290026611163E-3</v>
      </c>
      <c r="I66" s="168"/>
      <c r="J66" s="30">
        <f t="shared" si="2"/>
        <v>19.991820485179701</v>
      </c>
      <c r="K66" s="169">
        <f t="shared" si="3"/>
        <v>94629.024240773593</v>
      </c>
      <c r="L66" s="30"/>
      <c r="M66" s="168">
        <f t="shared" si="4"/>
        <v>94629.024240773593</v>
      </c>
      <c r="N66" s="169">
        <v>97934.954249991308</v>
      </c>
      <c r="O66" s="30">
        <f t="shared" si="6"/>
        <v>-3305.9300092177145</v>
      </c>
      <c r="P66" s="160">
        <f t="shared" si="5"/>
        <v>-3.3756384883571924E-2</v>
      </c>
    </row>
    <row r="67" spans="1:16" x14ac:dyDescent="0.25">
      <c r="A67" s="10">
        <v>895</v>
      </c>
      <c r="B67" s="10">
        <v>8</v>
      </c>
      <c r="C67" s="9" t="s">
        <v>321</v>
      </c>
      <c r="D67" s="153">
        <v>4720.0156665513732</v>
      </c>
      <c r="E67" s="30">
        <v>-158.85654417007754</v>
      </c>
      <c r="F67" s="153">
        <f t="shared" si="1"/>
        <v>4561.1591223812957</v>
      </c>
      <c r="G67" s="30">
        <v>-0.31757570306217531</v>
      </c>
      <c r="H67" s="168">
        <v>4.1493026953206023E-4</v>
      </c>
      <c r="I67" s="168"/>
      <c r="J67" s="30">
        <f t="shared" si="2"/>
        <v>0.9636038235786758</v>
      </c>
      <c r="K67" s="169">
        <f t="shared" si="3"/>
        <v>4561.8055654320815</v>
      </c>
      <c r="L67" s="30"/>
      <c r="M67" s="168">
        <f t="shared" si="4"/>
        <v>4561.8055654320815</v>
      </c>
      <c r="N67" s="169">
        <v>4720.8693989695957</v>
      </c>
      <c r="O67" s="30">
        <f t="shared" si="6"/>
        <v>-159.06383353751426</v>
      </c>
      <c r="P67" s="160">
        <f t="shared" si="5"/>
        <v>-3.3693758520884402E-2</v>
      </c>
    </row>
    <row r="68" spans="1:16" x14ac:dyDescent="0.25">
      <c r="A68" s="10">
        <v>216</v>
      </c>
      <c r="B68" s="10">
        <v>7</v>
      </c>
      <c r="C68" s="9" t="s">
        <v>233</v>
      </c>
      <c r="D68" s="153">
        <v>130396.91186040055</v>
      </c>
      <c r="E68" s="30">
        <v>-4380.4275472024165</v>
      </c>
      <c r="F68" s="153">
        <f t="shared" si="1"/>
        <v>126016.48431319813</v>
      </c>
      <c r="G68" s="30">
        <v>-18.699443353820243</v>
      </c>
      <c r="H68" s="168">
        <v>1.1463764450791477E-2</v>
      </c>
      <c r="I68" s="168"/>
      <c r="J68" s="30">
        <f t="shared" si="2"/>
        <v>26.622611239825289</v>
      </c>
      <c r="K68" s="169">
        <f t="shared" si="3"/>
        <v>126024.41894484858</v>
      </c>
      <c r="L68" s="30"/>
      <c r="M68" s="168">
        <f t="shared" si="4"/>
        <v>126024.41894484858</v>
      </c>
      <c r="N68" s="169">
        <v>130411.08991055224</v>
      </c>
      <c r="O68" s="30">
        <f t="shared" si="6"/>
        <v>-4386.6709657036554</v>
      </c>
      <c r="P68" s="160">
        <f t="shared" si="5"/>
        <v>-3.3637254076416601E-2</v>
      </c>
    </row>
    <row r="69" spans="1:16" x14ac:dyDescent="0.25">
      <c r="A69" s="10">
        <v>376</v>
      </c>
      <c r="B69" s="10">
        <v>7</v>
      </c>
      <c r="C69" s="9" t="s">
        <v>251</v>
      </c>
      <c r="D69" s="153">
        <v>114059.6702031215</v>
      </c>
      <c r="E69" s="30">
        <v>-3828.5321329636063</v>
      </c>
      <c r="F69" s="153">
        <f t="shared" ref="F69:F132" si="7">D69+E69</f>
        <v>110231.13807015789</v>
      </c>
      <c r="G69" s="30">
        <v>-12.298610072684824</v>
      </c>
      <c r="H69" s="168">
        <v>1.0027765882107022E-2</v>
      </c>
      <c r="I69" s="168"/>
      <c r="J69" s="30">
        <f t="shared" ref="J69:J132" si="8">--(I69&gt;=0)*(-$I$3)*F69/($I$2)</f>
        <v>23.287752799638803</v>
      </c>
      <c r="K69" s="169">
        <f t="shared" ref="K69:K132" si="9">F69+G69+H69+I69+J69</f>
        <v>110242.13724065071</v>
      </c>
      <c r="L69" s="30"/>
      <c r="M69" s="168">
        <f t="shared" ref="M69:M132" si="10">K69+L69</f>
        <v>110242.13724065071</v>
      </c>
      <c r="N69" s="169">
        <v>114074.89801666664</v>
      </c>
      <c r="O69" s="30">
        <f t="shared" ref="O69:O132" si="11">M69-N69</f>
        <v>-3832.7607760159299</v>
      </c>
      <c r="P69" s="160">
        <f t="shared" ref="P69:P132" si="12">(K69-N69)/N69</f>
        <v>-3.3598634253926341E-2</v>
      </c>
    </row>
    <row r="70" spans="1:16" x14ac:dyDescent="0.25">
      <c r="A70" s="10">
        <v>162</v>
      </c>
      <c r="B70" s="10">
        <v>7</v>
      </c>
      <c r="C70" s="9" t="s">
        <v>228</v>
      </c>
      <c r="D70" s="153">
        <v>133989.85116912631</v>
      </c>
      <c r="E70" s="30">
        <v>-4480.6749670984427</v>
      </c>
      <c r="F70" s="153">
        <f t="shared" si="7"/>
        <v>129509.17620202787</v>
      </c>
      <c r="G70" s="30">
        <v>-25.327643372511375</v>
      </c>
      <c r="H70" s="168">
        <v>1.1781495875620161E-2</v>
      </c>
      <c r="I70" s="168"/>
      <c r="J70" s="30">
        <f t="shared" si="8"/>
        <v>27.360487548973097</v>
      </c>
      <c r="K70" s="169">
        <f t="shared" si="9"/>
        <v>129511.22082770021</v>
      </c>
      <c r="L70" s="30"/>
      <c r="M70" s="168">
        <f t="shared" si="10"/>
        <v>129511.22082770021</v>
      </c>
      <c r="N70" s="169">
        <v>133998.88196539157</v>
      </c>
      <c r="O70" s="30">
        <f t="shared" si="11"/>
        <v>-4487.6611376913643</v>
      </c>
      <c r="P70" s="160">
        <f t="shared" si="12"/>
        <v>-3.3490287917853002E-2</v>
      </c>
    </row>
    <row r="71" spans="1:16" x14ac:dyDescent="0.25">
      <c r="A71" s="10">
        <v>971</v>
      </c>
      <c r="B71" s="10">
        <v>7</v>
      </c>
      <c r="C71" s="9" t="s">
        <v>280</v>
      </c>
      <c r="D71" s="153">
        <v>167010.19777607164</v>
      </c>
      <c r="E71" s="30">
        <v>-5583.1964000280423</v>
      </c>
      <c r="F71" s="153">
        <f t="shared" si="7"/>
        <v>161427.0013760436</v>
      </c>
      <c r="G71" s="30">
        <v>-24.155958568531787</v>
      </c>
      <c r="H71" s="168">
        <v>1.4685071797219944E-2</v>
      </c>
      <c r="I71" s="168"/>
      <c r="J71" s="30">
        <f t="shared" si="8"/>
        <v>34.10354069681857</v>
      </c>
      <c r="K71" s="169">
        <f t="shared" si="9"/>
        <v>161436.96364324368</v>
      </c>
      <c r="L71" s="30"/>
      <c r="M71" s="168">
        <f t="shared" si="10"/>
        <v>161436.96364324368</v>
      </c>
      <c r="N71" s="169">
        <v>167028.02958531483</v>
      </c>
      <c r="O71" s="30">
        <f t="shared" si="11"/>
        <v>-5591.0659420711454</v>
      </c>
      <c r="P71" s="160">
        <f t="shared" si="12"/>
        <v>-3.3473818471978875E-2</v>
      </c>
    </row>
    <row r="72" spans="1:16" x14ac:dyDescent="0.25">
      <c r="A72" s="10">
        <v>834</v>
      </c>
      <c r="B72" s="10">
        <v>8</v>
      </c>
      <c r="C72" s="9" t="s">
        <v>315</v>
      </c>
      <c r="D72" s="153">
        <v>16157.262114457812</v>
      </c>
      <c r="E72" s="30">
        <v>-539.42442722643682</v>
      </c>
      <c r="F72" s="153">
        <f t="shared" si="7"/>
        <v>15617.837687231375</v>
      </c>
      <c r="G72" s="30">
        <v>-2.5617849445079628</v>
      </c>
      <c r="H72" s="168">
        <v>1.4207602557149187E-3</v>
      </c>
      <c r="I72" s="168"/>
      <c r="J72" s="30">
        <f t="shared" si="8"/>
        <v>3.2994700925036535</v>
      </c>
      <c r="K72" s="169">
        <f t="shared" si="9"/>
        <v>15618.576793139626</v>
      </c>
      <c r="L72" s="30"/>
      <c r="M72" s="168">
        <f t="shared" si="10"/>
        <v>15618.576793139626</v>
      </c>
      <c r="N72" s="169">
        <v>16158.795118711409</v>
      </c>
      <c r="O72" s="30">
        <f t="shared" si="11"/>
        <v>-540.21832557178277</v>
      </c>
      <c r="P72" s="160">
        <f t="shared" si="12"/>
        <v>-3.3431844491067647E-2</v>
      </c>
    </row>
    <row r="73" spans="1:16" x14ac:dyDescent="0.25">
      <c r="A73" s="10">
        <v>275</v>
      </c>
      <c r="B73" s="10">
        <v>7</v>
      </c>
      <c r="C73" s="9" t="s">
        <v>239</v>
      </c>
      <c r="D73" s="153">
        <v>110954.42224266786</v>
      </c>
      <c r="E73" s="30">
        <v>-3704.8656020771305</v>
      </c>
      <c r="F73" s="153">
        <f t="shared" si="7"/>
        <v>107249.55664059073</v>
      </c>
      <c r="G73" s="30">
        <v>-7.0173728524969192</v>
      </c>
      <c r="H73" s="168">
        <v>9.7565303577571948E-3</v>
      </c>
      <c r="I73" s="168"/>
      <c r="J73" s="30">
        <f t="shared" si="8"/>
        <v>22.657855181784569</v>
      </c>
      <c r="K73" s="169">
        <f t="shared" si="9"/>
        <v>107265.20687945037</v>
      </c>
      <c r="L73" s="30"/>
      <c r="M73" s="168">
        <f t="shared" si="10"/>
        <v>107265.20687945037</v>
      </c>
      <c r="N73" s="169">
        <v>110973.03427404826</v>
      </c>
      <c r="O73" s="30">
        <f t="shared" si="11"/>
        <v>-3707.8273945978872</v>
      </c>
      <c r="P73" s="160">
        <f t="shared" si="12"/>
        <v>-3.3411967320289684E-2</v>
      </c>
    </row>
    <row r="74" spans="1:16" x14ac:dyDescent="0.25">
      <c r="A74" s="10">
        <v>230</v>
      </c>
      <c r="B74" s="10">
        <v>9</v>
      </c>
      <c r="C74" s="9" t="s">
        <v>339</v>
      </c>
      <c r="D74" s="153">
        <v>25125.655536461494</v>
      </c>
      <c r="E74" s="30">
        <v>-838.55675700524444</v>
      </c>
      <c r="F74" s="153">
        <f t="shared" si="7"/>
        <v>24287.09877945625</v>
      </c>
      <c r="G74" s="30">
        <v>-1.9271075411052152</v>
      </c>
      <c r="H74" s="168">
        <v>2.2094060242849639E-3</v>
      </c>
      <c r="I74" s="168"/>
      <c r="J74" s="30">
        <f t="shared" si="8"/>
        <v>5.1309635598283387</v>
      </c>
      <c r="K74" s="169">
        <f t="shared" si="9"/>
        <v>24290.304844881</v>
      </c>
      <c r="L74" s="30"/>
      <c r="M74" s="168">
        <f t="shared" si="10"/>
        <v>24290.304844881</v>
      </c>
      <c r="N74" s="169">
        <v>25129.939429600228</v>
      </c>
      <c r="O74" s="30">
        <f t="shared" si="11"/>
        <v>-839.63458471922786</v>
      </c>
      <c r="P74" s="160">
        <f t="shared" si="12"/>
        <v>-3.3411723377662947E-2</v>
      </c>
    </row>
    <row r="75" spans="1:16" x14ac:dyDescent="0.25">
      <c r="A75" s="10">
        <v>627</v>
      </c>
      <c r="B75" s="10">
        <v>6</v>
      </c>
      <c r="C75" s="9" t="s">
        <v>191</v>
      </c>
      <c r="D75" s="153">
        <v>28745.925799993474</v>
      </c>
      <c r="E75" s="30">
        <v>-958.41278959035481</v>
      </c>
      <c r="F75" s="153">
        <f t="shared" si="7"/>
        <v>27787.51301040312</v>
      </c>
      <c r="G75" s="30">
        <v>-3.1163677369877405</v>
      </c>
      <c r="H75" s="168">
        <v>2.5278399533258697E-3</v>
      </c>
      <c r="I75" s="168"/>
      <c r="J75" s="30">
        <f t="shared" si="8"/>
        <v>5.8704713135698103</v>
      </c>
      <c r="K75" s="169">
        <f t="shared" si="9"/>
        <v>27790.269641819654</v>
      </c>
      <c r="L75" s="30"/>
      <c r="M75" s="168">
        <f t="shared" si="10"/>
        <v>27790.269641819654</v>
      </c>
      <c r="N75" s="169">
        <v>28750.053027745034</v>
      </c>
      <c r="O75" s="30">
        <f t="shared" si="11"/>
        <v>-959.78338592538057</v>
      </c>
      <c r="P75" s="160">
        <f t="shared" si="12"/>
        <v>-3.3383708370873212E-2</v>
      </c>
    </row>
    <row r="76" spans="1:16" x14ac:dyDescent="0.25">
      <c r="A76" s="10">
        <v>331</v>
      </c>
      <c r="B76" s="10">
        <v>9</v>
      </c>
      <c r="C76" s="9" t="s">
        <v>342</v>
      </c>
      <c r="D76" s="153">
        <v>72930.324825803997</v>
      </c>
      <c r="E76" s="30">
        <v>-2424.8377407531807</v>
      </c>
      <c r="F76" s="153">
        <f t="shared" si="7"/>
        <v>70505.487085050816</v>
      </c>
      <c r="G76" s="30">
        <v>-12.465657266511698</v>
      </c>
      <c r="H76" s="168">
        <v>6.4139092662077336E-3</v>
      </c>
      <c r="I76" s="168"/>
      <c r="J76" s="30">
        <f t="shared" si="8"/>
        <v>14.895195522791157</v>
      </c>
      <c r="K76" s="169">
        <f t="shared" si="9"/>
        <v>70507.923037216373</v>
      </c>
      <c r="L76" s="30"/>
      <c r="M76" s="168">
        <f t="shared" si="10"/>
        <v>70507.923037216373</v>
      </c>
      <c r="N76" s="169">
        <v>72936.889902384341</v>
      </c>
      <c r="O76" s="30">
        <f t="shared" si="11"/>
        <v>-2428.9668651679676</v>
      </c>
      <c r="P76" s="160">
        <f t="shared" si="12"/>
        <v>-3.3302309276126173E-2</v>
      </c>
    </row>
    <row r="77" spans="1:16" x14ac:dyDescent="0.25">
      <c r="A77" s="10">
        <v>434</v>
      </c>
      <c r="B77" s="10">
        <v>7</v>
      </c>
      <c r="C77" s="9" t="s">
        <v>254</v>
      </c>
      <c r="D77" s="153">
        <v>59630.657937367061</v>
      </c>
      <c r="E77" s="30">
        <v>-1967.5720944581626</v>
      </c>
      <c r="F77" s="153">
        <f t="shared" si="7"/>
        <v>57663.085842908898</v>
      </c>
      <c r="G77" s="30">
        <v>-7.1173710671864683</v>
      </c>
      <c r="H77" s="168">
        <v>5.2456314521991763E-3</v>
      </c>
      <c r="I77" s="168"/>
      <c r="J77" s="30">
        <f t="shared" si="8"/>
        <v>12.182072255475997</v>
      </c>
      <c r="K77" s="169">
        <f t="shared" si="9"/>
        <v>57668.15578972864</v>
      </c>
      <c r="L77" s="30"/>
      <c r="M77" s="168">
        <f t="shared" si="10"/>
        <v>57668.15578972864</v>
      </c>
      <c r="N77" s="169">
        <v>59638.555420766934</v>
      </c>
      <c r="O77" s="30">
        <f t="shared" si="11"/>
        <v>-1970.3996310382936</v>
      </c>
      <c r="P77" s="160">
        <f t="shared" si="12"/>
        <v>-3.3039023449454218E-2</v>
      </c>
    </row>
    <row r="78" spans="1:16" x14ac:dyDescent="0.25">
      <c r="A78" s="10">
        <v>818</v>
      </c>
      <c r="B78" s="10">
        <v>8</v>
      </c>
      <c r="C78" s="9" t="s">
        <v>313</v>
      </c>
      <c r="D78" s="153">
        <v>6224.3326730128056</v>
      </c>
      <c r="E78" s="30">
        <v>-205.07711168278729</v>
      </c>
      <c r="F78" s="153">
        <f t="shared" si="7"/>
        <v>6019.2555613300183</v>
      </c>
      <c r="G78" s="30">
        <v>0</v>
      </c>
      <c r="H78" s="168">
        <v>5.4757382179227332E-4</v>
      </c>
      <c r="I78" s="168"/>
      <c r="J78" s="30">
        <f t="shared" si="8"/>
        <v>1.2716455441191998</v>
      </c>
      <c r="K78" s="169">
        <f t="shared" si="9"/>
        <v>6020.5277544479595</v>
      </c>
      <c r="L78" s="30"/>
      <c r="M78" s="168">
        <f t="shared" si="10"/>
        <v>6020.5277544479595</v>
      </c>
      <c r="N78" s="169">
        <v>6225.6473329774572</v>
      </c>
      <c r="O78" s="30">
        <f t="shared" si="11"/>
        <v>-205.11957852949763</v>
      </c>
      <c r="P78" s="160">
        <f t="shared" si="12"/>
        <v>-3.2947510123641686E-2</v>
      </c>
    </row>
    <row r="79" spans="1:16" x14ac:dyDescent="0.25">
      <c r="A79" s="10">
        <v>749</v>
      </c>
      <c r="B79" s="10">
        <v>8</v>
      </c>
      <c r="C79" s="9" t="s">
        <v>304</v>
      </c>
      <c r="D79" s="153">
        <v>2228.5091359284452</v>
      </c>
      <c r="E79" s="30">
        <v>-73.117165439222845</v>
      </c>
      <c r="F79" s="153">
        <f t="shared" si="7"/>
        <v>2155.3919704892223</v>
      </c>
      <c r="G79" s="30">
        <v>-0.14875808573515314</v>
      </c>
      <c r="H79" s="168">
        <v>1.9607677506225976E-4</v>
      </c>
      <c r="I79" s="168"/>
      <c r="J79" s="30">
        <f t="shared" si="8"/>
        <v>0.45535441503953877</v>
      </c>
      <c r="K79" s="169">
        <f t="shared" si="9"/>
        <v>2155.6987628953016</v>
      </c>
      <c r="L79" s="30"/>
      <c r="M79" s="168">
        <f t="shared" si="10"/>
        <v>2155.6987628953016</v>
      </c>
      <c r="N79" s="169">
        <v>2228.9274121922604</v>
      </c>
      <c r="O79" s="30">
        <f t="shared" si="11"/>
        <v>-73.228649296958793</v>
      </c>
      <c r="P79" s="160">
        <f t="shared" si="12"/>
        <v>-3.285376136360349E-2</v>
      </c>
    </row>
    <row r="80" spans="1:16" x14ac:dyDescent="0.25">
      <c r="A80" s="10">
        <v>527</v>
      </c>
      <c r="B80" s="10">
        <v>9</v>
      </c>
      <c r="C80" s="9" t="s">
        <v>352</v>
      </c>
      <c r="D80" s="153">
        <v>50530.338850613036</v>
      </c>
      <c r="E80" s="30">
        <v>-1648.5851066282339</v>
      </c>
      <c r="F80" s="153">
        <f t="shared" si="7"/>
        <v>48881.753743984802</v>
      </c>
      <c r="G80" s="30">
        <v>-12.549457203189377</v>
      </c>
      <c r="H80" s="168">
        <v>4.4467905442426847E-3</v>
      </c>
      <c r="I80" s="168"/>
      <c r="J80" s="30">
        <f t="shared" si="8"/>
        <v>10.326902339321064</v>
      </c>
      <c r="K80" s="169">
        <f t="shared" si="9"/>
        <v>48879.535635911481</v>
      </c>
      <c r="L80" s="30"/>
      <c r="M80" s="168">
        <f t="shared" si="10"/>
        <v>48879.535635911481</v>
      </c>
      <c r="N80" s="169">
        <v>50531.607541793921</v>
      </c>
      <c r="O80" s="30">
        <f t="shared" si="11"/>
        <v>-1652.0719058824398</v>
      </c>
      <c r="P80" s="160">
        <f t="shared" si="12"/>
        <v>-3.26938323605881E-2</v>
      </c>
    </row>
    <row r="81" spans="1:16" x14ac:dyDescent="0.25">
      <c r="A81" s="10">
        <v>183</v>
      </c>
      <c r="B81" s="10">
        <v>4</v>
      </c>
      <c r="C81" s="9" t="s">
        <v>151</v>
      </c>
      <c r="D81" s="153">
        <v>1989259.666356174</v>
      </c>
      <c r="E81" s="30">
        <v>-64782.063414234202</v>
      </c>
      <c r="F81" s="153">
        <f t="shared" si="7"/>
        <v>1924477.6029419398</v>
      </c>
      <c r="G81" s="30">
        <v>-425.47952958103269</v>
      </c>
      <c r="H81" s="168">
        <v>0.17507041282090108</v>
      </c>
      <c r="I81" s="168"/>
      <c r="J81" s="30">
        <f t="shared" si="8"/>
        <v>406.57077002352264</v>
      </c>
      <c r="K81" s="169">
        <f t="shared" si="9"/>
        <v>1924458.8692527954</v>
      </c>
      <c r="L81" s="30"/>
      <c r="M81" s="168">
        <f t="shared" si="10"/>
        <v>1924458.8692527954</v>
      </c>
      <c r="N81" s="169">
        <v>1989349.480882389</v>
      </c>
      <c r="O81" s="30">
        <f t="shared" si="11"/>
        <v>-64890.611629593652</v>
      </c>
      <c r="P81" s="160">
        <f t="shared" si="12"/>
        <v>-3.2619010512326366E-2</v>
      </c>
    </row>
    <row r="82" spans="1:16" x14ac:dyDescent="0.25">
      <c r="A82" s="10">
        <v>775</v>
      </c>
      <c r="B82" s="10">
        <v>8</v>
      </c>
      <c r="C82" s="9" t="s">
        <v>306</v>
      </c>
      <c r="D82" s="153">
        <v>29307.367499377484</v>
      </c>
      <c r="E82" s="30">
        <v>-953.25619559258848</v>
      </c>
      <c r="F82" s="153">
        <f t="shared" si="7"/>
        <v>28354.111303784895</v>
      </c>
      <c r="G82" s="30">
        <v>-2.4485453860434063</v>
      </c>
      <c r="H82" s="168">
        <v>2.5793836018330419E-3</v>
      </c>
      <c r="I82" s="168"/>
      <c r="J82" s="30">
        <f t="shared" si="8"/>
        <v>5.9901725270742379</v>
      </c>
      <c r="K82" s="169">
        <f t="shared" si="9"/>
        <v>28357.655510309531</v>
      </c>
      <c r="L82" s="30"/>
      <c r="M82" s="168">
        <f t="shared" si="10"/>
        <v>28357.655510309531</v>
      </c>
      <c r="N82" s="169">
        <v>29312.10380226003</v>
      </c>
      <c r="O82" s="30">
        <f t="shared" si="11"/>
        <v>-954.44829195049897</v>
      </c>
      <c r="P82" s="160">
        <f t="shared" si="12"/>
        <v>-3.2561575872862077E-2</v>
      </c>
    </row>
    <row r="83" spans="1:16" x14ac:dyDescent="0.25">
      <c r="A83" s="10">
        <v>604</v>
      </c>
      <c r="B83" s="10">
        <v>7</v>
      </c>
      <c r="C83" s="9" t="s">
        <v>266</v>
      </c>
      <c r="D83" s="153">
        <v>112120.21221531082</v>
      </c>
      <c r="E83" s="30">
        <v>-3644.2726093823439</v>
      </c>
      <c r="F83" s="153">
        <f t="shared" si="7"/>
        <v>108475.93960592848</v>
      </c>
      <c r="G83" s="30">
        <v>-16.086590855615214</v>
      </c>
      <c r="H83" s="168">
        <v>9.8680948528128854E-3</v>
      </c>
      <c r="I83" s="168"/>
      <c r="J83" s="30">
        <f t="shared" si="8"/>
        <v>22.916944435823623</v>
      </c>
      <c r="K83" s="169">
        <f t="shared" si="9"/>
        <v>108482.77982760355</v>
      </c>
      <c r="L83" s="30"/>
      <c r="M83" s="168">
        <f t="shared" si="10"/>
        <v>108482.77982760355</v>
      </c>
      <c r="N83" s="169">
        <v>112132.0484763366</v>
      </c>
      <c r="O83" s="30">
        <f t="shared" si="11"/>
        <v>-3649.2686487330502</v>
      </c>
      <c r="P83" s="160">
        <f t="shared" si="12"/>
        <v>-3.2544385822962658E-2</v>
      </c>
    </row>
    <row r="84" spans="1:16" x14ac:dyDescent="0.25">
      <c r="A84" s="10">
        <v>600</v>
      </c>
      <c r="B84" s="10">
        <v>7</v>
      </c>
      <c r="C84" s="9" t="s">
        <v>265</v>
      </c>
      <c r="D84" s="153">
        <v>104896.70596814308</v>
      </c>
      <c r="E84" s="30">
        <v>-3400.6283491561189</v>
      </c>
      <c r="F84" s="153">
        <f t="shared" si="7"/>
        <v>101496.07761898696</v>
      </c>
      <c r="G84" s="30">
        <v>-19.121963804587722</v>
      </c>
      <c r="H84" s="168">
        <v>9.2331343224233645E-3</v>
      </c>
      <c r="I84" s="168"/>
      <c r="J84" s="30">
        <f t="shared" si="8"/>
        <v>21.442358367193584</v>
      </c>
      <c r="K84" s="169">
        <f t="shared" si="9"/>
        <v>101498.40724668388</v>
      </c>
      <c r="L84" s="30"/>
      <c r="M84" s="168">
        <f t="shared" si="10"/>
        <v>101498.40724668388</v>
      </c>
      <c r="N84" s="169">
        <v>104904.13739208061</v>
      </c>
      <c r="O84" s="30">
        <f t="shared" si="11"/>
        <v>-3405.7301453967229</v>
      </c>
      <c r="P84" s="160">
        <f t="shared" si="12"/>
        <v>-3.2465165150424538E-2</v>
      </c>
    </row>
    <row r="85" spans="1:16" x14ac:dyDescent="0.25">
      <c r="A85" s="10">
        <v>873</v>
      </c>
      <c r="B85" s="10">
        <v>8</v>
      </c>
      <c r="C85" s="9" t="s">
        <v>320</v>
      </c>
      <c r="D85" s="153">
        <v>21960.427502567636</v>
      </c>
      <c r="E85" s="30">
        <v>-708.37723624538921</v>
      </c>
      <c r="F85" s="153">
        <f t="shared" si="7"/>
        <v>21252.050266322247</v>
      </c>
      <c r="G85" s="30">
        <v>-2.1322232806378452</v>
      </c>
      <c r="H85" s="168">
        <v>1.933306580304133E-3</v>
      </c>
      <c r="I85" s="168"/>
      <c r="J85" s="30">
        <f t="shared" si="8"/>
        <v>4.4897703294382909</v>
      </c>
      <c r="K85" s="169">
        <f t="shared" si="9"/>
        <v>21254.409746677626</v>
      </c>
      <c r="L85" s="30"/>
      <c r="M85" s="168">
        <f t="shared" si="10"/>
        <v>21254.409746677626</v>
      </c>
      <c r="N85" s="169">
        <v>21963.712232126683</v>
      </c>
      <c r="O85" s="30">
        <f t="shared" si="11"/>
        <v>-709.30248544905771</v>
      </c>
      <c r="P85" s="160">
        <f t="shared" si="12"/>
        <v>-3.2294289688040496E-2</v>
      </c>
    </row>
    <row r="86" spans="1:16" x14ac:dyDescent="0.25">
      <c r="A86" s="10">
        <v>324</v>
      </c>
      <c r="B86" s="10">
        <v>4</v>
      </c>
      <c r="C86" s="9" t="s">
        <v>154</v>
      </c>
      <c r="D86" s="153">
        <v>1219964.3232935034</v>
      </c>
      <c r="E86" s="30">
        <v>-39198.742329881992</v>
      </c>
      <c r="F86" s="153">
        <f t="shared" si="7"/>
        <v>1180765.5809636214</v>
      </c>
      <c r="G86" s="30">
        <v>-798.04316911753267</v>
      </c>
      <c r="H86" s="168">
        <v>0.10741466535542156</v>
      </c>
      <c r="I86" s="168"/>
      <c r="J86" s="30">
        <f t="shared" si="8"/>
        <v>249.45199192538217</v>
      </c>
      <c r="K86" s="169">
        <f t="shared" si="9"/>
        <v>1180217.0972010947</v>
      </c>
      <c r="L86" s="30"/>
      <c r="M86" s="168">
        <f t="shared" si="10"/>
        <v>1180217.0972010947</v>
      </c>
      <c r="N86" s="169">
        <v>1219478.233443205</v>
      </c>
      <c r="O86" s="30">
        <f t="shared" si="11"/>
        <v>-39261.136242110282</v>
      </c>
      <c r="P86" s="160">
        <f t="shared" si="12"/>
        <v>-3.2195028304241396E-2</v>
      </c>
    </row>
    <row r="87" spans="1:16" x14ac:dyDescent="0.25">
      <c r="A87" s="10">
        <v>39</v>
      </c>
      <c r="B87" s="10">
        <v>7</v>
      </c>
      <c r="C87" s="9" t="s">
        <v>224</v>
      </c>
      <c r="D87" s="153">
        <v>51591.082611843391</v>
      </c>
      <c r="E87" s="30">
        <v>-1658.1818505606498</v>
      </c>
      <c r="F87" s="153">
        <f t="shared" si="7"/>
        <v>49932.900761282741</v>
      </c>
      <c r="G87" s="30">
        <v>-6.4827427340569557</v>
      </c>
      <c r="H87" s="168">
        <v>4.5424137627059664E-3</v>
      </c>
      <c r="I87" s="168"/>
      <c r="J87" s="30">
        <f t="shared" si="8"/>
        <v>10.548970734181799</v>
      </c>
      <c r="K87" s="169">
        <f t="shared" si="9"/>
        <v>49936.971531696632</v>
      </c>
      <c r="L87" s="30"/>
      <c r="M87" s="168">
        <f t="shared" si="10"/>
        <v>49936.971531696632</v>
      </c>
      <c r="N87" s="169">
        <v>51597.433097769754</v>
      </c>
      <c r="O87" s="30">
        <f t="shared" si="11"/>
        <v>-1660.4615660731215</v>
      </c>
      <c r="P87" s="160">
        <f t="shared" si="12"/>
        <v>-3.2181088600411273E-2</v>
      </c>
    </row>
    <row r="88" spans="1:16" x14ac:dyDescent="0.25">
      <c r="A88" s="10">
        <v>212</v>
      </c>
      <c r="B88" s="10">
        <v>7</v>
      </c>
      <c r="C88" s="9" t="s">
        <v>232</v>
      </c>
      <c r="D88" s="153">
        <v>86024.903593545983</v>
      </c>
      <c r="E88" s="30">
        <v>-2783.7121832890552</v>
      </c>
      <c r="F88" s="153">
        <f t="shared" si="7"/>
        <v>83241.191410256928</v>
      </c>
      <c r="G88" s="30">
        <v>709.81137588799174</v>
      </c>
      <c r="H88" s="168">
        <v>7.5724808236892665E-3</v>
      </c>
      <c r="I88" s="168"/>
      <c r="J88" s="30">
        <f t="shared" si="8"/>
        <v>17.585777687205763</v>
      </c>
      <c r="K88" s="169">
        <f t="shared" si="9"/>
        <v>83968.596136312946</v>
      </c>
      <c r="L88" s="30"/>
      <c r="M88" s="168">
        <f t="shared" si="10"/>
        <v>83968.596136312946</v>
      </c>
      <c r="N88" s="169">
        <v>86756.164423108479</v>
      </c>
      <c r="O88" s="30">
        <f t="shared" si="11"/>
        <v>-2787.5682867955329</v>
      </c>
      <c r="P88" s="160">
        <f t="shared" si="12"/>
        <v>-3.2131068787234589E-2</v>
      </c>
    </row>
    <row r="89" spans="1:16" x14ac:dyDescent="0.25">
      <c r="A89" s="10">
        <v>957</v>
      </c>
      <c r="B89" s="10">
        <v>6</v>
      </c>
      <c r="C89" s="9" t="s">
        <v>216</v>
      </c>
      <c r="D89" s="153">
        <v>13820.791543381631</v>
      </c>
      <c r="E89" s="30">
        <v>-441.59909774928565</v>
      </c>
      <c r="F89" s="153">
        <f t="shared" si="7"/>
        <v>13379.192445632345</v>
      </c>
      <c r="G89" s="30">
        <v>-1.7907536822986003</v>
      </c>
      <c r="H89" s="168">
        <v>1.2171099009344001E-3</v>
      </c>
      <c r="I89" s="168"/>
      <c r="J89" s="30">
        <f t="shared" si="8"/>
        <v>2.826527347784233</v>
      </c>
      <c r="K89" s="169">
        <f t="shared" si="9"/>
        <v>13380.229436407732</v>
      </c>
      <c r="L89" s="30"/>
      <c r="M89" s="168">
        <f t="shared" si="10"/>
        <v>13380.229436407732</v>
      </c>
      <c r="N89" s="169">
        <v>13822.470553912002</v>
      </c>
      <c r="O89" s="30">
        <f t="shared" si="11"/>
        <v>-442.24111750427073</v>
      </c>
      <c r="P89" s="160">
        <f t="shared" si="12"/>
        <v>-3.1994361339341665E-2</v>
      </c>
    </row>
    <row r="90" spans="1:16" x14ac:dyDescent="0.25">
      <c r="A90" s="10">
        <v>346</v>
      </c>
      <c r="B90" s="10">
        <v>7</v>
      </c>
      <c r="C90" s="9" t="s">
        <v>248</v>
      </c>
      <c r="D90" s="153">
        <v>27995.003680960064</v>
      </c>
      <c r="E90" s="30">
        <v>-894.30404783015547</v>
      </c>
      <c r="F90" s="153">
        <f t="shared" si="7"/>
        <v>27100.699633129909</v>
      </c>
      <c r="G90" s="30">
        <v>-2.5430927410961885</v>
      </c>
      <c r="H90" s="168">
        <v>2.4653602958300759E-3</v>
      </c>
      <c r="I90" s="168"/>
      <c r="J90" s="30">
        <f t="shared" si="8"/>
        <v>5.7253731096553793</v>
      </c>
      <c r="K90" s="169">
        <f t="shared" si="9"/>
        <v>27103.884378858766</v>
      </c>
      <c r="L90" s="30"/>
      <c r="M90" s="168">
        <f t="shared" si="10"/>
        <v>27103.884378858766</v>
      </c>
      <c r="N90" s="169">
        <v>27999.412521148508</v>
      </c>
      <c r="O90" s="30">
        <f t="shared" si="11"/>
        <v>-895.52814228974239</v>
      </c>
      <c r="P90" s="160">
        <f t="shared" si="12"/>
        <v>-3.1983819003821322E-2</v>
      </c>
    </row>
    <row r="91" spans="1:16" x14ac:dyDescent="0.25">
      <c r="A91" s="10">
        <v>771</v>
      </c>
      <c r="B91" s="10">
        <v>9</v>
      </c>
      <c r="C91" s="9" t="s">
        <v>360</v>
      </c>
      <c r="D91" s="153">
        <v>27059.607978321543</v>
      </c>
      <c r="E91" s="30">
        <v>-861.16898481484168</v>
      </c>
      <c r="F91" s="153">
        <f t="shared" si="7"/>
        <v>26198.438993506701</v>
      </c>
      <c r="G91" s="30">
        <v>-3.0137881881928479</v>
      </c>
      <c r="H91" s="168">
        <v>2.3832813241603541E-3</v>
      </c>
      <c r="I91" s="168"/>
      <c r="J91" s="30">
        <f t="shared" si="8"/>
        <v>5.5347588866305193</v>
      </c>
      <c r="K91" s="169">
        <f t="shared" si="9"/>
        <v>26200.962347486464</v>
      </c>
      <c r="L91" s="30"/>
      <c r="M91" s="168">
        <f t="shared" si="10"/>
        <v>26200.962347486464</v>
      </c>
      <c r="N91" s="169">
        <v>27063.290603135563</v>
      </c>
      <c r="O91" s="30">
        <f t="shared" si="11"/>
        <v>-862.32825564909945</v>
      </c>
      <c r="P91" s="160">
        <f t="shared" si="12"/>
        <v>-3.1863392678094724E-2</v>
      </c>
    </row>
    <row r="92" spans="1:16" x14ac:dyDescent="0.25">
      <c r="A92" s="10">
        <v>190</v>
      </c>
      <c r="B92" s="10">
        <v>4</v>
      </c>
      <c r="C92" s="9" t="s">
        <v>153</v>
      </c>
      <c r="D92" s="153">
        <v>476127.88723672542</v>
      </c>
      <c r="E92" s="30">
        <v>-15080.404764950799</v>
      </c>
      <c r="F92" s="153">
        <f t="shared" si="7"/>
        <v>461047.48247177462</v>
      </c>
      <c r="G92" s="30">
        <v>-1384.2580650862074</v>
      </c>
      <c r="H92" s="168">
        <v>4.1941653653428293E-2</v>
      </c>
      <c r="I92" s="168"/>
      <c r="J92" s="30">
        <f t="shared" si="8"/>
        <v>97.402240316751104</v>
      </c>
      <c r="K92" s="169">
        <f t="shared" si="9"/>
        <v>459760.66858865879</v>
      </c>
      <c r="L92" s="30"/>
      <c r="M92" s="168">
        <f t="shared" si="10"/>
        <v>459760.66858865879</v>
      </c>
      <c r="N92" s="169">
        <v>474861.60443382605</v>
      </c>
      <c r="O92" s="30">
        <f t="shared" si="11"/>
        <v>-15100.93584516726</v>
      </c>
      <c r="P92" s="160">
        <f t="shared" si="12"/>
        <v>-3.1800709310183105E-2</v>
      </c>
    </row>
    <row r="93" spans="1:16" x14ac:dyDescent="0.25">
      <c r="A93" s="10">
        <v>426</v>
      </c>
      <c r="B93" s="10">
        <v>6</v>
      </c>
      <c r="C93" s="9" t="s">
        <v>182</v>
      </c>
      <c r="D93" s="153">
        <v>54618.783434412224</v>
      </c>
      <c r="E93" s="30">
        <v>-1731.8297806325645</v>
      </c>
      <c r="F93" s="153">
        <f t="shared" si="7"/>
        <v>52886.953653779659</v>
      </c>
      <c r="G93" s="30">
        <v>-4.2148793184169335</v>
      </c>
      <c r="H93" s="168">
        <v>4.8111450062359616E-3</v>
      </c>
      <c r="I93" s="168"/>
      <c r="J93" s="30">
        <f t="shared" si="8"/>
        <v>11.173052592737427</v>
      </c>
      <c r="K93" s="169">
        <f t="shared" si="9"/>
        <v>52893.916638198985</v>
      </c>
      <c r="L93" s="30"/>
      <c r="M93" s="168">
        <f t="shared" si="10"/>
        <v>52893.916638198985</v>
      </c>
      <c r="N93" s="169">
        <v>54627.841949354945</v>
      </c>
      <c r="O93" s="30">
        <f t="shared" si="11"/>
        <v>-1733.9253111559592</v>
      </c>
      <c r="P93" s="160">
        <f t="shared" si="12"/>
        <v>-3.1740688434360412E-2</v>
      </c>
    </row>
    <row r="94" spans="1:16" x14ac:dyDescent="0.25">
      <c r="A94" s="10">
        <v>192</v>
      </c>
      <c r="B94" s="10">
        <v>7</v>
      </c>
      <c r="C94" s="9" t="s">
        <v>230</v>
      </c>
      <c r="D94" s="153">
        <v>26284.429027373913</v>
      </c>
      <c r="E94" s="30">
        <v>-830.73830617894782</v>
      </c>
      <c r="F94" s="153">
        <f t="shared" si="7"/>
        <v>25453.690721194966</v>
      </c>
      <c r="G94" s="30">
        <v>-6.1291678415145725</v>
      </c>
      <c r="H94" s="168">
        <v>2.3155313086330484E-3</v>
      </c>
      <c r="I94" s="168"/>
      <c r="J94" s="30">
        <f t="shared" si="8"/>
        <v>5.377421187254547</v>
      </c>
      <c r="K94" s="169">
        <f t="shared" si="9"/>
        <v>25452.941290072016</v>
      </c>
      <c r="L94" s="30"/>
      <c r="M94" s="168">
        <f t="shared" si="10"/>
        <v>25452.941290072016</v>
      </c>
      <c r="N94" s="169">
        <v>26285.638621120033</v>
      </c>
      <c r="O94" s="30">
        <f t="shared" si="11"/>
        <v>-832.69733104801708</v>
      </c>
      <c r="P94" s="160">
        <f t="shared" si="12"/>
        <v>-3.1678794000422721E-2</v>
      </c>
    </row>
    <row r="95" spans="1:16" x14ac:dyDescent="0.25">
      <c r="A95" s="10">
        <v>909</v>
      </c>
      <c r="B95" s="10">
        <v>5</v>
      </c>
      <c r="C95" s="9" t="s">
        <v>178</v>
      </c>
      <c r="D95" s="153">
        <v>78218.205058617445</v>
      </c>
      <c r="E95" s="30">
        <v>-2445.6068577171827</v>
      </c>
      <c r="F95" s="153">
        <f t="shared" si="7"/>
        <v>75772.598200900262</v>
      </c>
      <c r="G95" s="30">
        <v>-12.377407247186056</v>
      </c>
      <c r="H95" s="168">
        <v>6.8930602399658522E-3</v>
      </c>
      <c r="I95" s="168"/>
      <c r="J95" s="30">
        <f t="shared" si="8"/>
        <v>16.007940830347209</v>
      </c>
      <c r="K95" s="169">
        <f t="shared" si="9"/>
        <v>75776.235627543661</v>
      </c>
      <c r="L95" s="30"/>
      <c r="M95" s="168">
        <f t="shared" si="10"/>
        <v>75776.235627543661</v>
      </c>
      <c r="N95" s="169">
        <v>78225.118339724373</v>
      </c>
      <c r="O95" s="30">
        <f t="shared" si="11"/>
        <v>-2448.8827121807117</v>
      </c>
      <c r="P95" s="160">
        <f t="shared" si="12"/>
        <v>-3.1305580153237263E-2</v>
      </c>
    </row>
    <row r="96" spans="1:16" x14ac:dyDescent="0.25">
      <c r="A96" s="10">
        <v>87</v>
      </c>
      <c r="B96" s="10">
        <v>4</v>
      </c>
      <c r="C96" s="9" t="s">
        <v>147</v>
      </c>
      <c r="D96" s="153">
        <v>1592504.3371895351</v>
      </c>
      <c r="E96" s="30">
        <v>-49626.181599879172</v>
      </c>
      <c r="F96" s="153">
        <f t="shared" si="7"/>
        <v>1542878.155589656</v>
      </c>
      <c r="G96" s="30">
        <v>-2491.4730469554197</v>
      </c>
      <c r="H96" s="168">
        <v>0.14035617521269778</v>
      </c>
      <c r="I96" s="168"/>
      <c r="J96" s="30">
        <f t="shared" si="8"/>
        <v>325.95295409602318</v>
      </c>
      <c r="K96" s="169">
        <f t="shared" si="9"/>
        <v>1540712.7758529717</v>
      </c>
      <c r="L96" s="30"/>
      <c r="M96" s="168">
        <f t="shared" si="10"/>
        <v>1540712.7758529717</v>
      </c>
      <c r="N96" s="169">
        <v>1590394.4589432834</v>
      </c>
      <c r="O96" s="30">
        <f t="shared" si="11"/>
        <v>-49681.683090311708</v>
      </c>
      <c r="P96" s="160">
        <f t="shared" si="12"/>
        <v>-3.1238591665694086E-2</v>
      </c>
    </row>
    <row r="97" spans="1:16" x14ac:dyDescent="0.25">
      <c r="A97" s="10">
        <v>229</v>
      </c>
      <c r="B97" s="10">
        <v>7</v>
      </c>
      <c r="C97" s="9" t="s">
        <v>234</v>
      </c>
      <c r="D97" s="153">
        <v>114847.3144274454</v>
      </c>
      <c r="E97" s="30">
        <v>-3573.7670408660633</v>
      </c>
      <c r="F97" s="153">
        <f t="shared" si="7"/>
        <v>111273.54738657933</v>
      </c>
      <c r="G97" s="30">
        <v>-18.309268430020893</v>
      </c>
      <c r="H97" s="168">
        <v>1.0122594228810188E-2</v>
      </c>
      <c r="I97" s="168"/>
      <c r="J97" s="30">
        <f t="shared" si="8"/>
        <v>23.507975242243109</v>
      </c>
      <c r="K97" s="169">
        <f t="shared" si="9"/>
        <v>111278.75621598579</v>
      </c>
      <c r="L97" s="30"/>
      <c r="M97" s="168">
        <f t="shared" si="10"/>
        <v>111278.75621598579</v>
      </c>
      <c r="N97" s="169">
        <v>114857.55513315432</v>
      </c>
      <c r="O97" s="30">
        <f t="shared" si="11"/>
        <v>-3578.7989171685331</v>
      </c>
      <c r="P97" s="160">
        <f t="shared" si="12"/>
        <v>-3.1158585197287481E-2</v>
      </c>
    </row>
    <row r="98" spans="1:16" x14ac:dyDescent="0.25">
      <c r="A98" s="10">
        <v>21</v>
      </c>
      <c r="B98" s="10">
        <v>4</v>
      </c>
      <c r="C98" s="9" t="s">
        <v>145</v>
      </c>
      <c r="D98" s="153">
        <v>651553.89061594231</v>
      </c>
      <c r="E98" s="30">
        <v>-20143.187577852863</v>
      </c>
      <c r="F98" s="153">
        <f t="shared" si="7"/>
        <v>631410.70303808944</v>
      </c>
      <c r="G98" s="30">
        <v>-116.40129578765482</v>
      </c>
      <c r="H98" s="168">
        <v>5.7439656492457844E-2</v>
      </c>
      <c r="I98" s="168"/>
      <c r="J98" s="30">
        <f t="shared" si="8"/>
        <v>133.39367282989087</v>
      </c>
      <c r="K98" s="169">
        <f t="shared" si="9"/>
        <v>631427.75285478809</v>
      </c>
      <c r="L98" s="30"/>
      <c r="M98" s="168">
        <f t="shared" si="10"/>
        <v>631427.75285478809</v>
      </c>
      <c r="N98" s="169">
        <v>651601.47682989947</v>
      </c>
      <c r="O98" s="30">
        <f t="shared" si="11"/>
        <v>-20173.723975111381</v>
      </c>
      <c r="P98" s="160">
        <f t="shared" si="12"/>
        <v>-3.0960218312055376E-2</v>
      </c>
    </row>
    <row r="99" spans="1:16" x14ac:dyDescent="0.25">
      <c r="A99" s="10">
        <v>620</v>
      </c>
      <c r="B99" s="10">
        <v>6</v>
      </c>
      <c r="C99" s="9" t="s">
        <v>187</v>
      </c>
      <c r="D99" s="153">
        <v>36541.698322366108</v>
      </c>
      <c r="E99" s="30">
        <v>-1125.451783552795</v>
      </c>
      <c r="F99" s="153">
        <f t="shared" si="7"/>
        <v>35416.246538813313</v>
      </c>
      <c r="G99" s="30">
        <v>-2.8744987664213113</v>
      </c>
      <c r="H99" s="168">
        <v>3.2218285588974534E-3</v>
      </c>
      <c r="I99" s="168"/>
      <c r="J99" s="30">
        <f t="shared" si="8"/>
        <v>7.4821398828524899</v>
      </c>
      <c r="K99" s="169">
        <f t="shared" si="9"/>
        <v>35420.857401758294</v>
      </c>
      <c r="L99" s="30"/>
      <c r="M99" s="168">
        <f t="shared" si="10"/>
        <v>35420.857401758294</v>
      </c>
      <c r="N99" s="169">
        <v>36547.861616294089</v>
      </c>
      <c r="O99" s="30">
        <f t="shared" si="11"/>
        <v>-1127.0042145357947</v>
      </c>
      <c r="P99" s="160">
        <f t="shared" si="12"/>
        <v>-3.0836392738045823E-2</v>
      </c>
    </row>
    <row r="100" spans="1:16" x14ac:dyDescent="0.25">
      <c r="A100" s="10">
        <v>623</v>
      </c>
      <c r="B100" s="10">
        <v>6</v>
      </c>
      <c r="C100" s="9" t="s">
        <v>189</v>
      </c>
      <c r="D100" s="153">
        <v>32215.64336351446</v>
      </c>
      <c r="E100" s="30">
        <v>-992.23971587619599</v>
      </c>
      <c r="F100" s="153">
        <f t="shared" si="7"/>
        <v>31223.403647638264</v>
      </c>
      <c r="G100" s="30">
        <v>-2.2955773605208378</v>
      </c>
      <c r="H100" s="168">
        <v>2.8404041480708121E-3</v>
      </c>
      <c r="I100" s="168"/>
      <c r="J100" s="30">
        <f t="shared" si="8"/>
        <v>6.5963476240874384</v>
      </c>
      <c r="K100" s="169">
        <f t="shared" si="9"/>
        <v>31227.707258305978</v>
      </c>
      <c r="L100" s="30"/>
      <c r="M100" s="168">
        <f t="shared" si="10"/>
        <v>31227.707258305978</v>
      </c>
      <c r="N100" s="169">
        <v>32220.980832198933</v>
      </c>
      <c r="O100" s="30">
        <f t="shared" si="11"/>
        <v>-993.27357389295503</v>
      </c>
      <c r="P100" s="160">
        <f t="shared" si="12"/>
        <v>-3.082691923829833E-2</v>
      </c>
    </row>
    <row r="101" spans="1:16" x14ac:dyDescent="0.25">
      <c r="A101" s="10">
        <v>959</v>
      </c>
      <c r="B101" s="10">
        <v>6</v>
      </c>
      <c r="C101" s="9" t="s">
        <v>217</v>
      </c>
      <c r="D101" s="153">
        <v>44916.644704494276</v>
      </c>
      <c r="E101" s="30">
        <v>-1368.318843724941</v>
      </c>
      <c r="F101" s="153">
        <f t="shared" si="7"/>
        <v>43548.325860769335</v>
      </c>
      <c r="G101" s="30">
        <v>-8.838152993019321</v>
      </c>
      <c r="H101" s="168">
        <v>3.9616067105427474E-3</v>
      </c>
      <c r="I101" s="168"/>
      <c r="J101" s="30">
        <f t="shared" si="8"/>
        <v>9.2001467574275697</v>
      </c>
      <c r="K101" s="169">
        <f t="shared" si="9"/>
        <v>43548.691816140454</v>
      </c>
      <c r="L101" s="30"/>
      <c r="M101" s="168">
        <f t="shared" si="10"/>
        <v>43548.691816140454</v>
      </c>
      <c r="N101" s="169">
        <v>44919.130422342678</v>
      </c>
      <c r="O101" s="30">
        <f t="shared" si="11"/>
        <v>-1370.438606202224</v>
      </c>
      <c r="P101" s="160">
        <f t="shared" si="12"/>
        <v>-3.0509019059740544E-2</v>
      </c>
    </row>
    <row r="102" spans="1:16" x14ac:dyDescent="0.25">
      <c r="A102" s="10">
        <v>420</v>
      </c>
      <c r="B102" s="10">
        <v>9</v>
      </c>
      <c r="C102" s="9" t="s">
        <v>345</v>
      </c>
      <c r="D102" s="153">
        <v>44751.739786062542</v>
      </c>
      <c r="E102" s="30">
        <v>-1344.6638328781773</v>
      </c>
      <c r="F102" s="153">
        <f t="shared" si="7"/>
        <v>43407.075953184365</v>
      </c>
      <c r="G102" s="30">
        <v>-5.1398012127028778</v>
      </c>
      <c r="H102" s="168">
        <v>3.9487571561525004E-3</v>
      </c>
      <c r="I102" s="168"/>
      <c r="J102" s="30">
        <f t="shared" si="8"/>
        <v>9.170305888609569</v>
      </c>
      <c r="K102" s="169">
        <f t="shared" si="9"/>
        <v>43411.11040661743</v>
      </c>
      <c r="L102" s="30"/>
      <c r="M102" s="168">
        <f t="shared" si="10"/>
        <v>43411.11040661743</v>
      </c>
      <c r="N102" s="169">
        <v>44757.538736984425</v>
      </c>
      <c r="O102" s="30">
        <f t="shared" si="11"/>
        <v>-1346.4283303669945</v>
      </c>
      <c r="P102" s="160">
        <f t="shared" si="12"/>
        <v>-3.0082716082294368E-2</v>
      </c>
    </row>
    <row r="103" spans="1:16" x14ac:dyDescent="0.25">
      <c r="A103" s="10">
        <v>427</v>
      </c>
      <c r="B103" s="10">
        <v>5</v>
      </c>
      <c r="C103" s="9" t="s">
        <v>169</v>
      </c>
      <c r="D103" s="153">
        <v>57506.00048152262</v>
      </c>
      <c r="E103" s="30">
        <v>-1726.1684317423205</v>
      </c>
      <c r="F103" s="153">
        <f t="shared" si="7"/>
        <v>55779.8320497803</v>
      </c>
      <c r="G103" s="30">
        <v>26.951643557367788</v>
      </c>
      <c r="H103" s="168">
        <v>5.074311184036253E-3</v>
      </c>
      <c r="I103" s="168"/>
      <c r="J103" s="30">
        <f t="shared" si="8"/>
        <v>11.784210548147456</v>
      </c>
      <c r="K103" s="169">
        <f t="shared" si="9"/>
        <v>55818.572978197</v>
      </c>
      <c r="L103" s="30"/>
      <c r="M103" s="168">
        <f t="shared" si="10"/>
        <v>55818.572978197</v>
      </c>
      <c r="N103" s="169">
        <v>57547.521010078905</v>
      </c>
      <c r="O103" s="30">
        <f t="shared" si="11"/>
        <v>-1728.9480318819042</v>
      </c>
      <c r="P103" s="160">
        <f t="shared" si="12"/>
        <v>-3.0043831628804571E-2</v>
      </c>
    </row>
    <row r="104" spans="1:16" x14ac:dyDescent="0.25">
      <c r="A104" s="10">
        <v>429</v>
      </c>
      <c r="B104" s="10">
        <v>4</v>
      </c>
      <c r="C104" s="9" t="s">
        <v>155</v>
      </c>
      <c r="D104" s="153">
        <v>538561.16350912093</v>
      </c>
      <c r="E104" s="30">
        <v>-16147.930225375923</v>
      </c>
      <c r="F104" s="153">
        <f t="shared" si="7"/>
        <v>522413.23328374501</v>
      </c>
      <c r="G104" s="30">
        <v>-90.046935077989474</v>
      </c>
      <c r="H104" s="168">
        <v>4.7524117856333502E-2</v>
      </c>
      <c r="I104" s="168"/>
      <c r="J104" s="30">
        <f t="shared" si="8"/>
        <v>110.36654840875187</v>
      </c>
      <c r="K104" s="169">
        <f t="shared" si="9"/>
        <v>522433.60042119364</v>
      </c>
      <c r="L104" s="30"/>
      <c r="M104" s="168">
        <f t="shared" si="10"/>
        <v>522433.60042119364</v>
      </c>
      <c r="N104" s="169">
        <v>538605.73211657524</v>
      </c>
      <c r="O104" s="30">
        <f t="shared" si="11"/>
        <v>-16172.131695381599</v>
      </c>
      <c r="P104" s="160">
        <f t="shared" si="12"/>
        <v>-3.0025918275747798E-2</v>
      </c>
    </row>
    <row r="105" spans="1:16" x14ac:dyDescent="0.25">
      <c r="A105" s="10">
        <v>88</v>
      </c>
      <c r="B105" s="10">
        <v>4</v>
      </c>
      <c r="C105" s="9" t="s">
        <v>148</v>
      </c>
      <c r="D105" s="153">
        <v>634563.4095389694</v>
      </c>
      <c r="E105" s="30">
        <v>-19016.044478234835</v>
      </c>
      <c r="F105" s="153">
        <f t="shared" si="7"/>
        <v>615547.36506073456</v>
      </c>
      <c r="G105" s="30">
        <v>-136.66713560686912</v>
      </c>
      <c r="H105" s="168">
        <v>5.5996562987930952E-2</v>
      </c>
      <c r="I105" s="168"/>
      <c r="J105" s="30">
        <f t="shared" si="8"/>
        <v>130.04233762768479</v>
      </c>
      <c r="K105" s="169">
        <f t="shared" si="9"/>
        <v>615540.79625931836</v>
      </c>
      <c r="L105" s="30"/>
      <c r="M105" s="168">
        <f t="shared" si="10"/>
        <v>615540.79625931836</v>
      </c>
      <c r="N105" s="169">
        <v>634590.08660067129</v>
      </c>
      <c r="O105" s="30">
        <f t="shared" si="11"/>
        <v>-19049.290341352927</v>
      </c>
      <c r="P105" s="160">
        <f t="shared" si="12"/>
        <v>-3.001826020225885E-2</v>
      </c>
    </row>
    <row r="106" spans="1:16" x14ac:dyDescent="0.25">
      <c r="A106" s="10">
        <v>172</v>
      </c>
      <c r="B106" s="10">
        <v>1</v>
      </c>
      <c r="C106" s="9" t="s">
        <v>129</v>
      </c>
      <c r="D106" s="153">
        <v>4785192.8063058937</v>
      </c>
      <c r="E106" s="30">
        <v>-143109.98946884833</v>
      </c>
      <c r="F106" s="153">
        <f t="shared" si="7"/>
        <v>4642082.8168370454</v>
      </c>
      <c r="G106" s="30">
        <v>-4208.098051362671</v>
      </c>
      <c r="H106" s="168">
        <v>0.42229192683256767</v>
      </c>
      <c r="I106" s="168"/>
      <c r="J106" s="30">
        <f t="shared" si="8"/>
        <v>980.70000007754834</v>
      </c>
      <c r="K106" s="169">
        <f t="shared" si="9"/>
        <v>4638855.8410776872</v>
      </c>
      <c r="L106" s="30"/>
      <c r="M106" s="168">
        <f t="shared" si="10"/>
        <v>4638855.8410776872</v>
      </c>
      <c r="N106" s="169">
        <v>4782176.8443112234</v>
      </c>
      <c r="O106" s="30">
        <f t="shared" si="11"/>
        <v>-143321.00323353615</v>
      </c>
      <c r="P106" s="160">
        <f t="shared" si="12"/>
        <v>-2.9969825018919531E-2</v>
      </c>
    </row>
    <row r="107" spans="1:16" x14ac:dyDescent="0.25">
      <c r="A107" s="10">
        <v>224</v>
      </c>
      <c r="B107" s="10">
        <v>5</v>
      </c>
      <c r="C107" s="9" t="s">
        <v>166</v>
      </c>
      <c r="D107" s="153">
        <v>33810.210430808285</v>
      </c>
      <c r="E107" s="30">
        <v>-1010.5449363887819</v>
      </c>
      <c r="F107" s="153">
        <f t="shared" si="7"/>
        <v>32799.665494419503</v>
      </c>
      <c r="G107" s="30">
        <v>-4.3377783840405755</v>
      </c>
      <c r="H107" s="168">
        <v>2.9837972495587038E-3</v>
      </c>
      <c r="I107" s="168"/>
      <c r="J107" s="30">
        <f t="shared" si="8"/>
        <v>6.9293533144757635</v>
      </c>
      <c r="K107" s="169">
        <f t="shared" si="9"/>
        <v>32802.260053147183</v>
      </c>
      <c r="L107" s="30"/>
      <c r="M107" s="168">
        <f t="shared" si="10"/>
        <v>32802.260053147183</v>
      </c>
      <c r="N107" s="169">
        <v>33814.230024852761</v>
      </c>
      <c r="O107" s="30">
        <f t="shared" si="11"/>
        <v>-1011.9699717055773</v>
      </c>
      <c r="P107" s="160">
        <f t="shared" si="12"/>
        <v>-2.9927340381898399E-2</v>
      </c>
    </row>
    <row r="108" spans="1:16" x14ac:dyDescent="0.25">
      <c r="A108" s="10">
        <v>731</v>
      </c>
      <c r="B108" s="10">
        <v>5</v>
      </c>
      <c r="C108" s="9" t="s">
        <v>174</v>
      </c>
      <c r="D108" s="153">
        <v>105767.00895270708</v>
      </c>
      <c r="E108" s="30">
        <v>-3133.2652225808415</v>
      </c>
      <c r="F108" s="153">
        <f t="shared" si="7"/>
        <v>102633.74373012624</v>
      </c>
      <c r="G108" s="30">
        <v>-17.162271328430506</v>
      </c>
      <c r="H108" s="168">
        <v>9.3366282136617077E-3</v>
      </c>
      <c r="I108" s="168"/>
      <c r="J108" s="30">
        <f t="shared" si="8"/>
        <v>21.682705039001284</v>
      </c>
      <c r="K108" s="169">
        <f t="shared" si="9"/>
        <v>102638.27350046502</v>
      </c>
      <c r="L108" s="30"/>
      <c r="M108" s="168">
        <f t="shared" si="10"/>
        <v>102638.27350046502</v>
      </c>
      <c r="N108" s="169">
        <v>105776.60640253594</v>
      </c>
      <c r="O108" s="30">
        <f t="shared" si="11"/>
        <v>-3138.3329020709207</v>
      </c>
      <c r="P108" s="160">
        <f t="shared" si="12"/>
        <v>-2.9669442127193076E-2</v>
      </c>
    </row>
    <row r="109" spans="1:16" x14ac:dyDescent="0.25">
      <c r="A109" s="10">
        <v>97</v>
      </c>
      <c r="B109" s="10">
        <v>1</v>
      </c>
      <c r="C109" s="9" t="s">
        <v>128</v>
      </c>
      <c r="D109" s="153">
        <v>9128210.2178696487</v>
      </c>
      <c r="E109" s="30">
        <v>-272975.81565263681</v>
      </c>
      <c r="F109" s="153">
        <f t="shared" si="7"/>
        <v>8855234.4022170119</v>
      </c>
      <c r="G109" s="30">
        <v>1900.1340062599629</v>
      </c>
      <c r="H109" s="168">
        <v>0.80556382680269034</v>
      </c>
      <c r="I109" s="168"/>
      <c r="J109" s="30">
        <f t="shared" si="8"/>
        <v>1870.7827330099494</v>
      </c>
      <c r="K109" s="169">
        <f t="shared" si="9"/>
        <v>8859006.1245201081</v>
      </c>
      <c r="L109" s="30"/>
      <c r="M109" s="168">
        <f t="shared" si="10"/>
        <v>8859006.1245201081</v>
      </c>
      <c r="N109" s="169">
        <v>9129599.5330497138</v>
      </c>
      <c r="O109" s="30">
        <f t="shared" si="11"/>
        <v>-270593.40852960572</v>
      </c>
      <c r="P109" s="160">
        <f t="shared" si="12"/>
        <v>-2.9639132313530388E-2</v>
      </c>
    </row>
    <row r="110" spans="1:16" x14ac:dyDescent="0.25">
      <c r="A110" s="10">
        <v>50</v>
      </c>
      <c r="B110" s="10">
        <v>1</v>
      </c>
      <c r="C110" s="9" t="s">
        <v>127</v>
      </c>
      <c r="D110" s="153">
        <v>3051750.1948615871</v>
      </c>
      <c r="E110" s="30">
        <v>-90115.941216106527</v>
      </c>
      <c r="F110" s="153">
        <f t="shared" si="7"/>
        <v>2961634.2536454806</v>
      </c>
      <c r="G110" s="30">
        <v>-2630.0928287412971</v>
      </c>
      <c r="H110" s="168">
        <v>0.26942092265330364</v>
      </c>
      <c r="I110" s="168"/>
      <c r="J110" s="30">
        <f t="shared" si="8"/>
        <v>625.68351909731791</v>
      </c>
      <c r="K110" s="169">
        <f t="shared" si="9"/>
        <v>2959630.1137567596</v>
      </c>
      <c r="L110" s="30"/>
      <c r="M110" s="168">
        <f t="shared" si="10"/>
        <v>2959630.1137567596</v>
      </c>
      <c r="N110" s="169">
        <v>3049887.2209799378</v>
      </c>
      <c r="O110" s="30">
        <f t="shared" si="11"/>
        <v>-90257.10722317826</v>
      </c>
      <c r="P110" s="160">
        <f t="shared" si="12"/>
        <v>-2.9593588445601074E-2</v>
      </c>
    </row>
    <row r="111" spans="1:16" x14ac:dyDescent="0.25">
      <c r="A111" s="10">
        <v>282</v>
      </c>
      <c r="B111" s="10">
        <v>7</v>
      </c>
      <c r="C111" s="9" t="s">
        <v>240</v>
      </c>
      <c r="D111" s="153">
        <v>22400.06295053579</v>
      </c>
      <c r="E111" s="30">
        <v>-654.12284560942135</v>
      </c>
      <c r="F111" s="153">
        <f t="shared" si="7"/>
        <v>21745.940104926369</v>
      </c>
      <c r="G111" s="30">
        <v>-2.4557060982406256</v>
      </c>
      <c r="H111" s="168">
        <v>1.9782359147896538E-3</v>
      </c>
      <c r="I111" s="168"/>
      <c r="J111" s="30">
        <f t="shared" si="8"/>
        <v>4.5941109420186121</v>
      </c>
      <c r="K111" s="169">
        <f t="shared" si="9"/>
        <v>21748.080488006064</v>
      </c>
      <c r="L111" s="30"/>
      <c r="M111" s="168">
        <f t="shared" si="10"/>
        <v>21748.080488006064</v>
      </c>
      <c r="N111" s="169">
        <v>22403.241657921299</v>
      </c>
      <c r="O111" s="30">
        <f t="shared" si="11"/>
        <v>-655.1611699152345</v>
      </c>
      <c r="P111" s="160">
        <f t="shared" si="12"/>
        <v>-2.9244034408903666E-2</v>
      </c>
    </row>
    <row r="112" spans="1:16" x14ac:dyDescent="0.25">
      <c r="A112" s="10">
        <v>159</v>
      </c>
      <c r="B112" s="10">
        <v>9</v>
      </c>
      <c r="C112" s="9" t="s">
        <v>335</v>
      </c>
      <c r="D112" s="153">
        <v>116843.56717175171</v>
      </c>
      <c r="E112" s="30">
        <v>-3401.142111879235</v>
      </c>
      <c r="F112" s="153">
        <f t="shared" si="7"/>
        <v>113442.42505987248</v>
      </c>
      <c r="G112" s="30">
        <v>-15.598446712814621</v>
      </c>
      <c r="H112" s="168">
        <v>1.0319897803058602E-2</v>
      </c>
      <c r="I112" s="168"/>
      <c r="J112" s="30">
        <f t="shared" si="8"/>
        <v>23.966178686320408</v>
      </c>
      <c r="K112" s="169">
        <f t="shared" si="9"/>
        <v>113450.80311174378</v>
      </c>
      <c r="L112" s="30"/>
      <c r="M112" s="168">
        <f t="shared" si="10"/>
        <v>113450.80311174378</v>
      </c>
      <c r="N112" s="169">
        <v>116856.58114782946</v>
      </c>
      <c r="O112" s="30">
        <f t="shared" si="11"/>
        <v>-3405.778036085685</v>
      </c>
      <c r="P112" s="160">
        <f t="shared" si="12"/>
        <v>-2.914493991380087E-2</v>
      </c>
    </row>
    <row r="113" spans="1:16" x14ac:dyDescent="0.25">
      <c r="A113" s="10">
        <v>157</v>
      </c>
      <c r="B113" s="10">
        <v>5</v>
      </c>
      <c r="C113" s="9" t="s">
        <v>163</v>
      </c>
      <c r="D113" s="153">
        <v>63783.461856458183</v>
      </c>
      <c r="E113" s="30">
        <v>-1845.5374131116332</v>
      </c>
      <c r="F113" s="153">
        <f t="shared" si="7"/>
        <v>61937.92444334655</v>
      </c>
      <c r="G113" s="30">
        <v>-6.7256635529411142</v>
      </c>
      <c r="H113" s="168">
        <v>5.6345150418950348E-3</v>
      </c>
      <c r="I113" s="168"/>
      <c r="J113" s="30">
        <f t="shared" si="8"/>
        <v>13.085187167725069</v>
      </c>
      <c r="K113" s="169">
        <f t="shared" si="9"/>
        <v>61944.289601476376</v>
      </c>
      <c r="L113" s="30"/>
      <c r="M113" s="168">
        <f t="shared" si="10"/>
        <v>61944.289601476376</v>
      </c>
      <c r="N113" s="169">
        <v>63792.344032901536</v>
      </c>
      <c r="O113" s="30">
        <f t="shared" si="11"/>
        <v>-1848.0544314251601</v>
      </c>
      <c r="P113" s="160">
        <f t="shared" si="12"/>
        <v>-2.896984676518561E-2</v>
      </c>
    </row>
    <row r="114" spans="1:16" x14ac:dyDescent="0.25">
      <c r="A114" s="10">
        <v>764</v>
      </c>
      <c r="B114" s="10">
        <v>8</v>
      </c>
      <c r="C114" s="9" t="s">
        <v>305</v>
      </c>
      <c r="D114" s="153">
        <v>5512.0707030837402</v>
      </c>
      <c r="E114" s="30">
        <v>-157.52370907975364</v>
      </c>
      <c r="F114" s="153">
        <f t="shared" si="7"/>
        <v>5354.5469940039866</v>
      </c>
      <c r="G114" s="30">
        <v>-0.34500941621718084</v>
      </c>
      <c r="H114" s="168">
        <v>4.871050467286079E-4</v>
      </c>
      <c r="I114" s="168"/>
      <c r="J114" s="30">
        <f t="shared" si="8"/>
        <v>1.1312172670398273</v>
      </c>
      <c r="K114" s="169">
        <f t="shared" si="9"/>
        <v>5355.3336889598559</v>
      </c>
      <c r="L114" s="30"/>
      <c r="M114" s="168">
        <f t="shared" si="10"/>
        <v>5355.3336889598559</v>
      </c>
      <c r="N114" s="169">
        <v>5513.0278559149619</v>
      </c>
      <c r="O114" s="30">
        <f t="shared" si="11"/>
        <v>-157.69416695510608</v>
      </c>
      <c r="P114" s="160">
        <f t="shared" si="12"/>
        <v>-2.8603912600571213E-2</v>
      </c>
    </row>
    <row r="115" spans="1:16" x14ac:dyDescent="0.25">
      <c r="A115" s="10">
        <v>812</v>
      </c>
      <c r="B115" s="10">
        <v>8</v>
      </c>
      <c r="C115" s="9" t="s">
        <v>312</v>
      </c>
      <c r="D115" s="153">
        <v>20548.259054878476</v>
      </c>
      <c r="E115" s="30">
        <v>-585.74576718041499</v>
      </c>
      <c r="F115" s="153">
        <f t="shared" si="7"/>
        <v>19962.513287698061</v>
      </c>
      <c r="G115" s="30">
        <v>-3.1764646953597548</v>
      </c>
      <c r="H115" s="168">
        <v>1.8159969421714596E-3</v>
      </c>
      <c r="I115" s="168"/>
      <c r="J115" s="30">
        <f t="shared" si="8"/>
        <v>4.2173389737438587</v>
      </c>
      <c r="K115" s="169">
        <f t="shared" si="9"/>
        <v>19963.555977973385</v>
      </c>
      <c r="L115" s="30"/>
      <c r="M115" s="168">
        <f t="shared" si="10"/>
        <v>19963.555977973385</v>
      </c>
      <c r="N115" s="169">
        <v>20550.511901217018</v>
      </c>
      <c r="O115" s="30">
        <f t="shared" si="11"/>
        <v>-586.95592324363315</v>
      </c>
      <c r="P115" s="160">
        <f t="shared" si="12"/>
        <v>-2.8561620560355636E-2</v>
      </c>
    </row>
    <row r="116" spans="1:16" x14ac:dyDescent="0.25">
      <c r="A116" s="10">
        <v>361</v>
      </c>
      <c r="B116" s="10">
        <v>7</v>
      </c>
      <c r="C116" s="9" t="s">
        <v>250</v>
      </c>
      <c r="D116" s="153">
        <v>172272.27437078409</v>
      </c>
      <c r="E116" s="30">
        <v>-4814.3053692846152</v>
      </c>
      <c r="F116" s="153">
        <f t="shared" si="7"/>
        <v>167457.96900149947</v>
      </c>
      <c r="G116" s="30">
        <v>-2897.6517028980888</v>
      </c>
      <c r="H116" s="168">
        <v>1.5233711069656257E-2</v>
      </c>
      <c r="I116" s="168"/>
      <c r="J116" s="30">
        <f t="shared" si="8"/>
        <v>35.377660565878173</v>
      </c>
      <c r="K116" s="169">
        <f t="shared" si="9"/>
        <v>164595.71019287832</v>
      </c>
      <c r="L116" s="30"/>
      <c r="M116" s="168">
        <f t="shared" si="10"/>
        <v>164595.71019287832</v>
      </c>
      <c r="N116" s="169">
        <v>169416.01442872925</v>
      </c>
      <c r="O116" s="30">
        <f t="shared" si="11"/>
        <v>-4820.3042358509265</v>
      </c>
      <c r="P116" s="160">
        <f t="shared" si="12"/>
        <v>-2.8452470990449109E-2</v>
      </c>
    </row>
    <row r="117" spans="1:16" x14ac:dyDescent="0.25">
      <c r="A117" s="10">
        <v>970</v>
      </c>
      <c r="B117" s="10">
        <v>6</v>
      </c>
      <c r="C117" s="9" t="s">
        <v>219</v>
      </c>
      <c r="D117" s="153">
        <v>21029.582958287076</v>
      </c>
      <c r="E117" s="30">
        <v>-592.58983052019539</v>
      </c>
      <c r="F117" s="153">
        <f t="shared" si="7"/>
        <v>20436.99312776688</v>
      </c>
      <c r="G117" s="30">
        <v>-1.6732540046978102</v>
      </c>
      <c r="H117" s="168">
        <v>1.8591605421785775E-3</v>
      </c>
      <c r="I117" s="168"/>
      <c r="J117" s="30">
        <f t="shared" si="8"/>
        <v>4.3175789732338599</v>
      </c>
      <c r="K117" s="169">
        <f t="shared" si="9"/>
        <v>20439.63931189596</v>
      </c>
      <c r="L117" s="30"/>
      <c r="M117" s="168">
        <f t="shared" si="10"/>
        <v>20439.63931189596</v>
      </c>
      <c r="N117" s="169">
        <v>21032.932067850372</v>
      </c>
      <c r="O117" s="30">
        <f t="shared" si="11"/>
        <v>-593.2927559544114</v>
      </c>
      <c r="P117" s="160">
        <f t="shared" si="12"/>
        <v>-2.8207800702274969E-2</v>
      </c>
    </row>
    <row r="118" spans="1:16" x14ac:dyDescent="0.25">
      <c r="A118" s="10">
        <v>523</v>
      </c>
      <c r="B118" s="10">
        <v>9</v>
      </c>
      <c r="C118" s="9" t="s">
        <v>351</v>
      </c>
      <c r="D118" s="153">
        <v>110164.84060504683</v>
      </c>
      <c r="E118" s="30">
        <v>-3085.61737691499</v>
      </c>
      <c r="F118" s="153">
        <f t="shared" si="7"/>
        <v>107079.22322813184</v>
      </c>
      <c r="G118" s="30">
        <v>-345.36400463469909</v>
      </c>
      <c r="H118" s="168">
        <v>9.7410350665723122E-3</v>
      </c>
      <c r="I118" s="168"/>
      <c r="J118" s="30">
        <f t="shared" si="8"/>
        <v>22.621870046619431</v>
      </c>
      <c r="K118" s="169">
        <f t="shared" si="9"/>
        <v>106756.49083457883</v>
      </c>
      <c r="L118" s="30"/>
      <c r="M118" s="168">
        <f t="shared" si="10"/>
        <v>106756.49083457883</v>
      </c>
      <c r="N118" s="169">
        <v>109846.52753391443</v>
      </c>
      <c r="O118" s="30">
        <f t="shared" si="11"/>
        <v>-3090.0366993356001</v>
      </c>
      <c r="P118" s="160">
        <f t="shared" si="12"/>
        <v>-2.8130490500772275E-2</v>
      </c>
    </row>
    <row r="119" spans="1:16" x14ac:dyDescent="0.25">
      <c r="A119" s="10">
        <v>357</v>
      </c>
      <c r="B119" s="10">
        <v>2</v>
      </c>
      <c r="C119" s="9" t="s">
        <v>135</v>
      </c>
      <c r="D119" s="153">
        <v>4068048.4979573926</v>
      </c>
      <c r="E119" s="30">
        <v>-113749.81076309737</v>
      </c>
      <c r="F119" s="153">
        <f t="shared" si="7"/>
        <v>3954298.6871942952</v>
      </c>
      <c r="G119" s="30">
        <v>-734.8513643052429</v>
      </c>
      <c r="H119" s="168">
        <v>0.35972395964804482</v>
      </c>
      <c r="I119" s="168"/>
      <c r="J119" s="30">
        <f t="shared" si="8"/>
        <v>835.39671217680188</v>
      </c>
      <c r="K119" s="169">
        <f t="shared" si="9"/>
        <v>3954399.5922661265</v>
      </c>
      <c r="L119" s="30"/>
      <c r="M119" s="168">
        <f t="shared" si="10"/>
        <v>3954399.5922661265</v>
      </c>
      <c r="N119" s="169">
        <v>4068314.53651057</v>
      </c>
      <c r="O119" s="30">
        <f t="shared" si="11"/>
        <v>-113914.94424444344</v>
      </c>
      <c r="P119" s="160">
        <f t="shared" si="12"/>
        <v>-2.800052533355725E-2</v>
      </c>
    </row>
    <row r="120" spans="1:16" x14ac:dyDescent="0.25">
      <c r="A120" s="10">
        <v>545</v>
      </c>
      <c r="B120" s="10">
        <v>8</v>
      </c>
      <c r="C120" s="9" t="s">
        <v>294</v>
      </c>
      <c r="D120" s="153">
        <v>2198.0956997538115</v>
      </c>
      <c r="E120" s="30">
        <v>-61.337275120652066</v>
      </c>
      <c r="F120" s="153">
        <f t="shared" si="7"/>
        <v>2136.7584246331594</v>
      </c>
      <c r="G120" s="30">
        <v>-0.12568073098623245</v>
      </c>
      <c r="H120" s="168">
        <v>1.9438167476057208E-4</v>
      </c>
      <c r="I120" s="168"/>
      <c r="J120" s="30">
        <f t="shared" si="8"/>
        <v>0.45141783761437837</v>
      </c>
      <c r="K120" s="169">
        <f t="shared" si="9"/>
        <v>2137.0843561214624</v>
      </c>
      <c r="L120" s="30"/>
      <c r="M120" s="168">
        <f t="shared" si="10"/>
        <v>2137.0843561214624</v>
      </c>
      <c r="N120" s="169">
        <v>2198.4853347376152</v>
      </c>
      <c r="O120" s="30">
        <f t="shared" si="11"/>
        <v>-61.40097861615277</v>
      </c>
      <c r="P120" s="160">
        <f t="shared" si="12"/>
        <v>-2.7928764247809209E-2</v>
      </c>
    </row>
    <row r="121" spans="1:16" x14ac:dyDescent="0.25">
      <c r="A121" s="10">
        <v>8</v>
      </c>
      <c r="B121" s="10">
        <v>5</v>
      </c>
      <c r="C121" s="9" t="s">
        <v>159</v>
      </c>
      <c r="D121" s="153">
        <v>238808.96238947136</v>
      </c>
      <c r="E121" s="30">
        <v>-6612.1107440905471</v>
      </c>
      <c r="F121" s="153">
        <f t="shared" si="7"/>
        <v>232196.85164538081</v>
      </c>
      <c r="G121" s="30">
        <v>-34.407804314570967</v>
      </c>
      <c r="H121" s="168">
        <v>2.1123030276438477E-2</v>
      </c>
      <c r="I121" s="168"/>
      <c r="J121" s="30">
        <f t="shared" si="8"/>
        <v>49.05458635953179</v>
      </c>
      <c r="K121" s="169">
        <f t="shared" si="9"/>
        <v>232211.51955045605</v>
      </c>
      <c r="L121" s="30"/>
      <c r="M121" s="168">
        <f t="shared" si="10"/>
        <v>232211.51955045605</v>
      </c>
      <c r="N121" s="169">
        <v>238833.23075069487</v>
      </c>
      <c r="O121" s="30">
        <f t="shared" si="11"/>
        <v>-6621.7112002388167</v>
      </c>
      <c r="P121" s="160">
        <f t="shared" si="12"/>
        <v>-2.7725250709148025E-2</v>
      </c>
    </row>
    <row r="122" spans="1:16" x14ac:dyDescent="0.25">
      <c r="A122" s="10">
        <v>891</v>
      </c>
      <c r="B122" s="10">
        <v>6</v>
      </c>
      <c r="C122" s="9" t="s">
        <v>212</v>
      </c>
      <c r="D122" s="153">
        <v>39640.774273741903</v>
      </c>
      <c r="E122" s="30">
        <v>-1091.0660278706418</v>
      </c>
      <c r="F122" s="153">
        <f t="shared" si="7"/>
        <v>38549.708245871261</v>
      </c>
      <c r="G122" s="30">
        <v>-4.8028893856317154</v>
      </c>
      <c r="H122" s="168">
        <v>3.5068806861731959E-3</v>
      </c>
      <c r="I122" s="168"/>
      <c r="J122" s="30">
        <f t="shared" si="8"/>
        <v>8.1441241725788309</v>
      </c>
      <c r="K122" s="169">
        <f t="shared" si="9"/>
        <v>38553.052987538889</v>
      </c>
      <c r="L122" s="30"/>
      <c r="M122" s="168">
        <f t="shared" si="10"/>
        <v>38553.052987538889</v>
      </c>
      <c r="N122" s="169">
        <v>39645.571240962592</v>
      </c>
      <c r="O122" s="30">
        <f t="shared" si="11"/>
        <v>-1092.5182534237028</v>
      </c>
      <c r="P122" s="160">
        <f t="shared" si="12"/>
        <v>-2.7557132341049263E-2</v>
      </c>
    </row>
    <row r="123" spans="1:16" x14ac:dyDescent="0.25">
      <c r="A123" s="10">
        <v>53</v>
      </c>
      <c r="B123" s="10">
        <v>2</v>
      </c>
      <c r="C123" s="9" t="s">
        <v>133</v>
      </c>
      <c r="D123" s="153">
        <v>3670456.1425675466</v>
      </c>
      <c r="E123" s="30">
        <v>-100471.1804898805</v>
      </c>
      <c r="F123" s="153">
        <f t="shared" si="7"/>
        <v>3569984.9620776661</v>
      </c>
      <c r="G123" s="30">
        <v>-11937.192028279882</v>
      </c>
      <c r="H123" s="168">
        <v>0.32476280322510032</v>
      </c>
      <c r="I123" s="168"/>
      <c r="J123" s="30">
        <f t="shared" si="8"/>
        <v>754.20546998597729</v>
      </c>
      <c r="K123" s="169">
        <f t="shared" si="9"/>
        <v>3558802.3002821752</v>
      </c>
      <c r="L123" s="30"/>
      <c r="M123" s="168">
        <f t="shared" si="10"/>
        <v>3558802.3002821752</v>
      </c>
      <c r="N123" s="169">
        <v>3659423.1079835813</v>
      </c>
      <c r="O123" s="30">
        <f t="shared" si="11"/>
        <v>-100620.80770140607</v>
      </c>
      <c r="P123" s="160">
        <f t="shared" si="12"/>
        <v>-2.7496357959233154E-2</v>
      </c>
    </row>
    <row r="124" spans="1:16" x14ac:dyDescent="0.25">
      <c r="A124" s="10">
        <v>924</v>
      </c>
      <c r="B124" s="10">
        <v>8</v>
      </c>
      <c r="C124" s="9" t="s">
        <v>327</v>
      </c>
      <c r="D124" s="153">
        <v>19385.738859205434</v>
      </c>
      <c r="E124" s="30">
        <v>-531.62548676096412</v>
      </c>
      <c r="F124" s="153">
        <f t="shared" si="7"/>
        <v>18854.11337244447</v>
      </c>
      <c r="G124" s="30">
        <v>-0.89269914482429158</v>
      </c>
      <c r="H124" s="168">
        <v>1.7151654071941452E-3</v>
      </c>
      <c r="I124" s="168"/>
      <c r="J124" s="30">
        <f t="shared" si="8"/>
        <v>3.9831751641210484</v>
      </c>
      <c r="K124" s="169">
        <f t="shared" si="9"/>
        <v>18857.205563629173</v>
      </c>
      <c r="L124" s="30"/>
      <c r="M124" s="168">
        <f t="shared" si="10"/>
        <v>18857.205563629173</v>
      </c>
      <c r="N124" s="169">
        <v>19389.22562848678</v>
      </c>
      <c r="O124" s="30">
        <f t="shared" si="11"/>
        <v>-532.02006485760649</v>
      </c>
      <c r="P124" s="160">
        <f t="shared" si="12"/>
        <v>-2.7438953728815194E-2</v>
      </c>
    </row>
    <row r="125" spans="1:16" x14ac:dyDescent="0.25">
      <c r="A125" s="10">
        <v>279</v>
      </c>
      <c r="B125" s="10">
        <v>9</v>
      </c>
      <c r="C125" s="9" t="s">
        <v>341</v>
      </c>
      <c r="D125" s="153">
        <v>53360.918367522849</v>
      </c>
      <c r="E125" s="30">
        <v>-1442.5051580331929</v>
      </c>
      <c r="F125" s="153">
        <f t="shared" si="7"/>
        <v>51918.413209489656</v>
      </c>
      <c r="G125" s="30">
        <v>-2.816488223572378</v>
      </c>
      <c r="H125" s="168">
        <v>4.7230365371343317E-3</v>
      </c>
      <c r="I125" s="168"/>
      <c r="J125" s="30">
        <f t="shared" si="8"/>
        <v>10.96843590422313</v>
      </c>
      <c r="K125" s="169">
        <f t="shared" si="9"/>
        <v>51926.569880206844</v>
      </c>
      <c r="L125" s="30"/>
      <c r="M125" s="168">
        <f t="shared" si="10"/>
        <v>51926.569880206844</v>
      </c>
      <c r="N125" s="169">
        <v>53370.408378850538</v>
      </c>
      <c r="O125" s="30">
        <f t="shared" si="11"/>
        <v>-1443.838498643694</v>
      </c>
      <c r="P125" s="160">
        <f t="shared" si="12"/>
        <v>-2.7053165649297412E-2</v>
      </c>
    </row>
    <row r="126" spans="1:16" x14ac:dyDescent="0.25">
      <c r="A126" s="10">
        <v>1</v>
      </c>
      <c r="B126" s="10">
        <v>1</v>
      </c>
      <c r="C126" s="9" t="s">
        <v>125</v>
      </c>
      <c r="D126" s="153">
        <v>4374291.8582440997</v>
      </c>
      <c r="E126" s="30">
        <v>-117951.629361609</v>
      </c>
      <c r="F126" s="153">
        <f t="shared" si="7"/>
        <v>4256340.2288824907</v>
      </c>
      <c r="G126" s="30">
        <v>-868.26556744240224</v>
      </c>
      <c r="H126" s="168">
        <v>0.387200786248458</v>
      </c>
      <c r="I126" s="168"/>
      <c r="J126" s="30">
        <f t="shared" si="8"/>
        <v>899.20689214228219</v>
      </c>
      <c r="K126" s="169">
        <f t="shared" si="9"/>
        <v>4256371.5574079761</v>
      </c>
      <c r="L126" s="30"/>
      <c r="M126" s="168">
        <f t="shared" si="10"/>
        <v>4256371.5574079761</v>
      </c>
      <c r="N126" s="169">
        <v>4374509.1220864151</v>
      </c>
      <c r="O126" s="30">
        <f t="shared" si="11"/>
        <v>-118137.56467843894</v>
      </c>
      <c r="P126" s="160">
        <f t="shared" si="12"/>
        <v>-2.7005902006690393E-2</v>
      </c>
    </row>
    <row r="127" spans="1:16" x14ac:dyDescent="0.25">
      <c r="A127" s="10">
        <v>179</v>
      </c>
      <c r="B127" s="10">
        <v>3</v>
      </c>
      <c r="C127" s="9" t="s">
        <v>142</v>
      </c>
      <c r="D127" s="153">
        <v>713453.19268251292</v>
      </c>
      <c r="E127" s="30">
        <v>-19238.313918840024</v>
      </c>
      <c r="F127" s="153">
        <f t="shared" si="7"/>
        <v>694214.8787636729</v>
      </c>
      <c r="G127" s="30">
        <v>750.60530673991889</v>
      </c>
      <c r="H127" s="168">
        <v>6.3152974721958702E-2</v>
      </c>
      <c r="I127" s="168"/>
      <c r="J127" s="30">
        <f t="shared" si="8"/>
        <v>146.6618667784247</v>
      </c>
      <c r="K127" s="169">
        <f t="shared" si="9"/>
        <v>695112.20909016591</v>
      </c>
      <c r="L127" s="30"/>
      <c r="M127" s="168">
        <f t="shared" si="10"/>
        <v>695112.20909016591</v>
      </c>
      <c r="N127" s="169">
        <v>714379.52258377604</v>
      </c>
      <c r="O127" s="30">
        <f t="shared" si="11"/>
        <v>-19267.313493610127</v>
      </c>
      <c r="P127" s="160">
        <f t="shared" si="12"/>
        <v>-2.6970696785825952E-2</v>
      </c>
    </row>
    <row r="128" spans="1:16" x14ac:dyDescent="0.25">
      <c r="A128" s="10">
        <v>754</v>
      </c>
      <c r="B128" s="10">
        <v>5</v>
      </c>
      <c r="C128" s="9" t="s">
        <v>176</v>
      </c>
      <c r="D128" s="153">
        <v>13793.456549998315</v>
      </c>
      <c r="E128" s="30">
        <v>-371.08954987493416</v>
      </c>
      <c r="F128" s="153">
        <f t="shared" si="7"/>
        <v>13422.36700012338</v>
      </c>
      <c r="G128" s="30">
        <v>-1.280455573774816</v>
      </c>
      <c r="H128" s="168">
        <v>1.221037505530343E-3</v>
      </c>
      <c r="I128" s="168"/>
      <c r="J128" s="30">
        <f t="shared" si="8"/>
        <v>2.8356485305083177</v>
      </c>
      <c r="K128" s="169">
        <f t="shared" si="9"/>
        <v>13423.92341411762</v>
      </c>
      <c r="L128" s="30"/>
      <c r="M128" s="168">
        <f t="shared" si="10"/>
        <v>13423.92341411762</v>
      </c>
      <c r="N128" s="169">
        <v>13795.415863935463</v>
      </c>
      <c r="O128" s="30">
        <f t="shared" si="11"/>
        <v>-371.4924498178425</v>
      </c>
      <c r="P128" s="160">
        <f t="shared" si="12"/>
        <v>-2.6928688013604082E-2</v>
      </c>
    </row>
    <row r="129" spans="1:16" x14ac:dyDescent="0.25">
      <c r="A129" s="10">
        <v>14</v>
      </c>
      <c r="B129" s="10">
        <v>3</v>
      </c>
      <c r="C129" s="9" t="s">
        <v>137</v>
      </c>
      <c r="D129" s="153">
        <v>1177471.1334973765</v>
      </c>
      <c r="E129" s="30">
        <v>-30990.667543905322</v>
      </c>
      <c r="F129" s="153">
        <f t="shared" si="7"/>
        <v>1146480.4659534711</v>
      </c>
      <c r="G129" s="30">
        <v>-194.5382784018293</v>
      </c>
      <c r="H129" s="168">
        <v>0.10429573623446771</v>
      </c>
      <c r="I129" s="168"/>
      <c r="J129" s="30">
        <f t="shared" si="8"/>
        <v>242.2088181993212</v>
      </c>
      <c r="K129" s="169">
        <f t="shared" si="9"/>
        <v>1146528.2407890048</v>
      </c>
      <c r="L129" s="30"/>
      <c r="M129" s="168">
        <f t="shared" si="10"/>
        <v>1146528.2407890048</v>
      </c>
      <c r="N129" s="169">
        <v>1177561.3160133036</v>
      </c>
      <c r="O129" s="30">
        <f t="shared" si="11"/>
        <v>-31033.075224298751</v>
      </c>
      <c r="P129" s="160">
        <f t="shared" si="12"/>
        <v>-2.6353680952566339E-2</v>
      </c>
    </row>
    <row r="130" spans="1:16" x14ac:dyDescent="0.25">
      <c r="A130" s="10">
        <v>143</v>
      </c>
      <c r="B130" s="10">
        <v>4</v>
      </c>
      <c r="C130" s="9" t="s">
        <v>150</v>
      </c>
      <c r="D130" s="153">
        <v>358084.95847996062</v>
      </c>
      <c r="E130" s="30">
        <v>-9360.6875480537419</v>
      </c>
      <c r="F130" s="153">
        <f t="shared" si="7"/>
        <v>348724.27093190688</v>
      </c>
      <c r="G130" s="30">
        <v>-49.319943616224919</v>
      </c>
      <c r="H130" s="168">
        <v>3.1723571102821806E-2</v>
      </c>
      <c r="I130" s="168"/>
      <c r="J130" s="30">
        <f t="shared" si="8"/>
        <v>73.672509953837249</v>
      </c>
      <c r="K130" s="169">
        <f t="shared" si="9"/>
        <v>348748.65522181563</v>
      </c>
      <c r="L130" s="30"/>
      <c r="M130" s="168">
        <f t="shared" si="10"/>
        <v>348748.65522181563</v>
      </c>
      <c r="N130" s="169">
        <v>358120.30743669899</v>
      </c>
      <c r="O130" s="30">
        <f t="shared" si="11"/>
        <v>-9371.652214883361</v>
      </c>
      <c r="P130" s="160">
        <f t="shared" si="12"/>
        <v>-2.6169005276362008E-2</v>
      </c>
    </row>
    <row r="131" spans="1:16" x14ac:dyDescent="0.25">
      <c r="A131" s="10">
        <v>18</v>
      </c>
      <c r="B131" s="10">
        <v>2</v>
      </c>
      <c r="C131" s="9" t="s">
        <v>132</v>
      </c>
      <c r="D131" s="153">
        <v>2374183.0947056324</v>
      </c>
      <c r="E131" s="30">
        <v>-61090.943411611486</v>
      </c>
      <c r="F131" s="153">
        <f t="shared" si="7"/>
        <v>2313092.1512940209</v>
      </c>
      <c r="G131" s="30">
        <v>-399.95229490241036</v>
      </c>
      <c r="H131" s="168">
        <v>0.21042281666504156</v>
      </c>
      <c r="I131" s="168"/>
      <c r="J131" s="30">
        <f t="shared" si="8"/>
        <v>488.67061671662844</v>
      </c>
      <c r="K131" s="169">
        <f t="shared" si="9"/>
        <v>2313181.0800386518</v>
      </c>
      <c r="L131" s="30"/>
      <c r="M131" s="168">
        <f t="shared" si="10"/>
        <v>2313181.0800386518</v>
      </c>
      <c r="N131" s="169">
        <v>2374348.0350216171</v>
      </c>
      <c r="O131" s="30">
        <f t="shared" si="11"/>
        <v>-61166.954982965253</v>
      </c>
      <c r="P131" s="160">
        <f t="shared" si="12"/>
        <v>-2.576157921279993E-2</v>
      </c>
    </row>
    <row r="132" spans="1:16" x14ac:dyDescent="0.25">
      <c r="A132" s="10">
        <v>555</v>
      </c>
      <c r="B132" s="10">
        <v>7</v>
      </c>
      <c r="C132" s="9" t="s">
        <v>262</v>
      </c>
      <c r="D132" s="153">
        <v>129640.71985494257</v>
      </c>
      <c r="E132" s="30">
        <v>-3438.495939326167</v>
      </c>
      <c r="F132" s="153">
        <f t="shared" si="7"/>
        <v>126202.2239156164</v>
      </c>
      <c r="G132" s="30">
        <v>4515.299941984762</v>
      </c>
      <c r="H132" s="168">
        <v>1.1480661248562906E-2</v>
      </c>
      <c r="I132" s="168"/>
      <c r="J132" s="30">
        <f t="shared" si="8"/>
        <v>26.6618511317646</v>
      </c>
      <c r="K132" s="169">
        <f t="shared" si="9"/>
        <v>130744.19718939418</v>
      </c>
      <c r="L132" s="30"/>
      <c r="M132" s="168">
        <f t="shared" si="10"/>
        <v>130744.19718939418</v>
      </c>
      <c r="N132" s="169">
        <v>134189.47228967689</v>
      </c>
      <c r="O132" s="30">
        <f t="shared" si="11"/>
        <v>-3445.2751002827135</v>
      </c>
      <c r="P132" s="160">
        <f t="shared" si="12"/>
        <v>-2.5674704889257965E-2</v>
      </c>
    </row>
    <row r="133" spans="1:16" x14ac:dyDescent="0.25">
      <c r="A133" s="10">
        <v>166</v>
      </c>
      <c r="B133" s="10">
        <v>7</v>
      </c>
      <c r="C133" s="9" t="s">
        <v>229</v>
      </c>
      <c r="D133" s="153">
        <v>179115.95454883532</v>
      </c>
      <c r="E133" s="30">
        <v>-4566.4239826436678</v>
      </c>
      <c r="F133" s="153">
        <f t="shared" ref="F133:F196" si="13">D133+E133</f>
        <v>174549.53056619165</v>
      </c>
      <c r="G133" s="30">
        <v>-24.341847614356084</v>
      </c>
      <c r="H133" s="168">
        <v>1.5878832950408515E-2</v>
      </c>
      <c r="I133" s="168"/>
      <c r="J133" s="30">
        <f t="shared" ref="J133:J196" si="14">--(I133&gt;=0)*(-$I$3)*F133/($I$2)</f>
        <v>36.875844614171882</v>
      </c>
      <c r="K133" s="169">
        <f t="shared" ref="K133:K196" si="15">F133+G133+H133+I133+J133</f>
        <v>174562.08044202442</v>
      </c>
      <c r="L133" s="30"/>
      <c r="M133" s="168">
        <f t="shared" ref="M133:M196" si="16">K133+L133</f>
        <v>174562.08044202442</v>
      </c>
      <c r="N133" s="169">
        <v>179135.94030195722</v>
      </c>
      <c r="O133" s="30">
        <f t="shared" ref="O133:O196" si="17">M133-N133</f>
        <v>-4573.8598599327961</v>
      </c>
      <c r="P133" s="160">
        <f t="shared" ref="P133:P155" si="18">(K133-N133)/N133</f>
        <v>-2.5532898938219504E-2</v>
      </c>
    </row>
    <row r="134" spans="1:16" x14ac:dyDescent="0.25">
      <c r="A134" s="10">
        <v>287</v>
      </c>
      <c r="B134" s="10">
        <v>7</v>
      </c>
      <c r="C134" s="9" t="s">
        <v>241</v>
      </c>
      <c r="D134" s="153">
        <v>19932.563315405463</v>
      </c>
      <c r="E134" s="30">
        <v>-505.50102730107028</v>
      </c>
      <c r="F134" s="153">
        <f t="shared" si="13"/>
        <v>19427.062288104393</v>
      </c>
      <c r="G134" s="30">
        <v>-1.1180135470422101</v>
      </c>
      <c r="H134" s="168">
        <v>1.7672867740713347E-3</v>
      </c>
      <c r="I134" s="168"/>
      <c r="J134" s="30">
        <f t="shared" si="14"/>
        <v>4.1042180286718732</v>
      </c>
      <c r="K134" s="169">
        <f t="shared" si="15"/>
        <v>19430.050259872794</v>
      </c>
      <c r="L134" s="30"/>
      <c r="M134" s="168">
        <f t="shared" si="16"/>
        <v>19430.050259872794</v>
      </c>
      <c r="N134" s="169">
        <v>19935.91178443555</v>
      </c>
      <c r="O134" s="30">
        <f t="shared" si="17"/>
        <v>-505.86152456275522</v>
      </c>
      <c r="P134" s="160">
        <f t="shared" si="18"/>
        <v>-2.5374386184718854E-2</v>
      </c>
    </row>
    <row r="135" spans="1:16" x14ac:dyDescent="0.25">
      <c r="A135" s="10">
        <v>233</v>
      </c>
      <c r="B135" s="10">
        <v>5</v>
      </c>
      <c r="C135" s="9" t="s">
        <v>167</v>
      </c>
      <c r="D135" s="153">
        <v>191063.63089711775</v>
      </c>
      <c r="E135" s="30">
        <v>-4655.652815612033</v>
      </c>
      <c r="F135" s="153">
        <f t="shared" si="13"/>
        <v>186407.97808150572</v>
      </c>
      <c r="G135" s="30">
        <v>-18.908162707200972</v>
      </c>
      <c r="H135" s="168">
        <v>1.6957600143514502E-2</v>
      </c>
      <c r="I135" s="168"/>
      <c r="J135" s="30">
        <f t="shared" si="14"/>
        <v>39.381094937799695</v>
      </c>
      <c r="K135" s="169">
        <f t="shared" si="15"/>
        <v>186428.46797133645</v>
      </c>
      <c r="L135" s="30"/>
      <c r="M135" s="168">
        <f t="shared" si="16"/>
        <v>186428.46797133645</v>
      </c>
      <c r="N135" s="169">
        <v>191090.46746014289</v>
      </c>
      <c r="O135" s="30">
        <f t="shared" si="17"/>
        <v>-4661.9994888064393</v>
      </c>
      <c r="P135" s="160">
        <f t="shared" si="18"/>
        <v>-2.439681869415504E-2</v>
      </c>
    </row>
    <row r="136" spans="1:16" x14ac:dyDescent="0.25">
      <c r="A136" s="10">
        <v>503</v>
      </c>
      <c r="B136" s="10">
        <v>7</v>
      </c>
      <c r="C136" s="9" t="s">
        <v>257</v>
      </c>
      <c r="D136" s="153">
        <v>68717.218816618493</v>
      </c>
      <c r="E136" s="30">
        <v>-1664.1753474408761</v>
      </c>
      <c r="F136" s="153">
        <f t="shared" si="13"/>
        <v>67053.043469177617</v>
      </c>
      <c r="G136" s="30">
        <v>-9.4243572834675433</v>
      </c>
      <c r="H136" s="168">
        <v>6.099839241101788E-3</v>
      </c>
      <c r="I136" s="168"/>
      <c r="J136" s="30">
        <f t="shared" si="14"/>
        <v>14.165822181567238</v>
      </c>
      <c r="K136" s="169">
        <f t="shared" si="15"/>
        <v>67057.791033914968</v>
      </c>
      <c r="L136" s="30"/>
      <c r="M136" s="168">
        <f t="shared" si="16"/>
        <v>67057.791033914968</v>
      </c>
      <c r="N136" s="169">
        <v>68724.726246732665</v>
      </c>
      <c r="O136" s="30">
        <f t="shared" si="17"/>
        <v>-1666.9352128176979</v>
      </c>
      <c r="P136" s="160">
        <f t="shared" si="18"/>
        <v>-2.4255247039226262E-2</v>
      </c>
    </row>
    <row r="137" spans="1:16" x14ac:dyDescent="0.25">
      <c r="A137" s="10">
        <v>56</v>
      </c>
      <c r="B137" s="10">
        <v>5</v>
      </c>
      <c r="C137" s="9" t="s">
        <v>161</v>
      </c>
      <c r="D137" s="153">
        <v>284003.53436731588</v>
      </c>
      <c r="E137" s="30">
        <v>-6872.2882805708796</v>
      </c>
      <c r="F137" s="153">
        <f t="shared" si="13"/>
        <v>277131.246086745</v>
      </c>
      <c r="G137" s="30">
        <v>-39.364850606711116</v>
      </c>
      <c r="H137" s="168">
        <v>2.5210728139318808E-2</v>
      </c>
      <c r="I137" s="168"/>
      <c r="J137" s="30">
        <f t="shared" si="14"/>
        <v>58.547558021367905</v>
      </c>
      <c r="K137" s="169">
        <f t="shared" si="15"/>
        <v>277150.45400488778</v>
      </c>
      <c r="L137" s="30"/>
      <c r="M137" s="168">
        <f t="shared" si="16"/>
        <v>277150.45400488778</v>
      </c>
      <c r="N137" s="169">
        <v>284030.90692459594</v>
      </c>
      <c r="O137" s="30">
        <f t="shared" si="17"/>
        <v>-6880.4529197081574</v>
      </c>
      <c r="P137" s="160">
        <f t="shared" si="18"/>
        <v>-2.4224310636499741E-2</v>
      </c>
    </row>
    <row r="138" spans="1:16" x14ac:dyDescent="0.25">
      <c r="A138" s="10">
        <v>41</v>
      </c>
      <c r="B138" s="10">
        <v>5</v>
      </c>
      <c r="C138" s="9" t="s">
        <v>160</v>
      </c>
      <c r="D138" s="153">
        <v>169383.52575400181</v>
      </c>
      <c r="E138" s="30">
        <v>-4084.5503695353982</v>
      </c>
      <c r="F138" s="153">
        <f t="shared" si="13"/>
        <v>165298.97538446641</v>
      </c>
      <c r="G138" s="30">
        <v>-14.137660601263633</v>
      </c>
      <c r="H138" s="168">
        <v>1.5037306651525407E-2</v>
      </c>
      <c r="I138" s="168"/>
      <c r="J138" s="30">
        <f t="shared" si="14"/>
        <v>34.921545256450237</v>
      </c>
      <c r="K138" s="169">
        <f t="shared" si="15"/>
        <v>165319.77430642824</v>
      </c>
      <c r="L138" s="30"/>
      <c r="M138" s="168">
        <f t="shared" si="16"/>
        <v>165319.77430642824</v>
      </c>
      <c r="N138" s="169">
        <v>169408.5542136505</v>
      </c>
      <c r="O138" s="30">
        <f t="shared" si="17"/>
        <v>-4088.7799072222551</v>
      </c>
      <c r="P138" s="160">
        <f t="shared" si="18"/>
        <v>-2.4135616564354055E-2</v>
      </c>
    </row>
    <row r="139" spans="1:16" x14ac:dyDescent="0.25">
      <c r="A139" s="10">
        <v>441</v>
      </c>
      <c r="B139" s="10">
        <v>2</v>
      </c>
      <c r="C139" s="9" t="s">
        <v>136</v>
      </c>
      <c r="D139" s="153">
        <v>5661087.7693716511</v>
      </c>
      <c r="E139" s="30">
        <v>-135432.26462619193</v>
      </c>
      <c r="F139" s="153">
        <f t="shared" si="13"/>
        <v>5525655.5047454592</v>
      </c>
      <c r="G139" s="30">
        <v>-838.59711219836026</v>
      </c>
      <c r="H139" s="168">
        <v>0.50267084888025959</v>
      </c>
      <c r="I139" s="168"/>
      <c r="J139" s="30">
        <f t="shared" si="14"/>
        <v>1167.3661517363241</v>
      </c>
      <c r="K139" s="169">
        <f t="shared" si="15"/>
        <v>5525984.7764558457</v>
      </c>
      <c r="L139" s="30"/>
      <c r="M139" s="168">
        <f t="shared" si="16"/>
        <v>5525984.7764558457</v>
      </c>
      <c r="N139" s="169">
        <v>5661593.5370975947</v>
      </c>
      <c r="O139" s="30">
        <f t="shared" si="17"/>
        <v>-135608.76064174902</v>
      </c>
      <c r="P139" s="160">
        <f t="shared" si="18"/>
        <v>-2.3952401343044594E-2</v>
      </c>
    </row>
    <row r="140" spans="1:16" x14ac:dyDescent="0.25">
      <c r="A140" s="10">
        <v>123</v>
      </c>
      <c r="B140" s="10">
        <v>3</v>
      </c>
      <c r="C140" s="9" t="s">
        <v>141</v>
      </c>
      <c r="D140" s="153">
        <v>523795.28573479631</v>
      </c>
      <c r="E140" s="30">
        <v>-12203.386154691398</v>
      </c>
      <c r="F140" s="153">
        <f t="shared" si="13"/>
        <v>511591.89958010492</v>
      </c>
      <c r="G140" s="30">
        <v>-56.10773810086539</v>
      </c>
      <c r="H140" s="168">
        <v>4.6539697275978141E-2</v>
      </c>
      <c r="I140" s="168"/>
      <c r="J140" s="30">
        <f t="shared" si="14"/>
        <v>108.08040178389911</v>
      </c>
      <c r="K140" s="169">
        <f t="shared" si="15"/>
        <v>511643.91878348525</v>
      </c>
      <c r="L140" s="30"/>
      <c r="M140" s="168">
        <f t="shared" si="16"/>
        <v>511643.91878348525</v>
      </c>
      <c r="N140" s="169">
        <v>523860.63188652403</v>
      </c>
      <c r="O140" s="30">
        <f t="shared" si="17"/>
        <v>-12216.713103038783</v>
      </c>
      <c r="P140" s="160">
        <f t="shared" si="18"/>
        <v>-2.3320540539654645E-2</v>
      </c>
    </row>
    <row r="141" spans="1:16" x14ac:dyDescent="0.25">
      <c r="A141" s="10">
        <v>103</v>
      </c>
      <c r="B141" s="10">
        <v>3</v>
      </c>
      <c r="C141" s="9" t="s">
        <v>140</v>
      </c>
      <c r="D141" s="153">
        <v>407855.74016135652</v>
      </c>
      <c r="E141" s="30">
        <v>-9398.2581225400208</v>
      </c>
      <c r="F141" s="153">
        <f t="shared" si="13"/>
        <v>398457.4820388165</v>
      </c>
      <c r="G141" s="30">
        <v>-47.293999612040352</v>
      </c>
      <c r="H141" s="168">
        <v>3.6247819026562579E-2</v>
      </c>
      <c r="I141" s="168"/>
      <c r="J141" s="30">
        <f t="shared" si="14"/>
        <v>84.179293667281513</v>
      </c>
      <c r="K141" s="169">
        <f t="shared" si="15"/>
        <v>398494.40358069073</v>
      </c>
      <c r="L141" s="30"/>
      <c r="M141" s="168">
        <f t="shared" si="16"/>
        <v>398494.40358069073</v>
      </c>
      <c r="N141" s="169">
        <v>407903.25331382867</v>
      </c>
      <c r="O141" s="30">
        <f t="shared" si="17"/>
        <v>-9408.8497331379331</v>
      </c>
      <c r="P141" s="160">
        <f t="shared" si="18"/>
        <v>-2.3066375805291858E-2</v>
      </c>
    </row>
    <row r="142" spans="1:16" x14ac:dyDescent="0.25">
      <c r="A142" s="10">
        <v>543</v>
      </c>
      <c r="B142" s="10">
        <v>9</v>
      </c>
      <c r="C142" s="9" t="s">
        <v>353</v>
      </c>
      <c r="D142" s="153">
        <v>9692.9923204711922</v>
      </c>
      <c r="E142" s="30">
        <v>-222.95807330078787</v>
      </c>
      <c r="F142" s="153">
        <f t="shared" si="13"/>
        <v>9470.0342471704043</v>
      </c>
      <c r="G142" s="30">
        <v>-0.57924019639722246</v>
      </c>
      <c r="H142" s="168">
        <v>8.6149238762027425E-4</v>
      </c>
      <c r="I142" s="168"/>
      <c r="J142" s="30">
        <f t="shared" si="14"/>
        <v>2.0006671473522784</v>
      </c>
      <c r="K142" s="169">
        <f t="shared" si="15"/>
        <v>9471.4565356137482</v>
      </c>
      <c r="L142" s="30"/>
      <c r="M142" s="168">
        <f t="shared" si="16"/>
        <v>9471.4565356137482</v>
      </c>
      <c r="N142" s="169">
        <v>9694.6906468655616</v>
      </c>
      <c r="O142" s="30">
        <f t="shared" si="17"/>
        <v>-223.23411125181337</v>
      </c>
      <c r="P142" s="160">
        <f t="shared" si="18"/>
        <v>-2.3026429556469479E-2</v>
      </c>
    </row>
    <row r="143" spans="1:16" x14ac:dyDescent="0.25">
      <c r="A143" s="10">
        <v>236</v>
      </c>
      <c r="B143" s="10">
        <v>7</v>
      </c>
      <c r="C143" s="9" t="s">
        <v>235</v>
      </c>
      <c r="D143" s="153">
        <v>204593.32686893022</v>
      </c>
      <c r="E143" s="30">
        <v>-4574.1740918811993</v>
      </c>
      <c r="F143" s="153">
        <f t="shared" si="13"/>
        <v>200019.15277704902</v>
      </c>
      <c r="G143" s="30">
        <v>-29.156561135023367</v>
      </c>
      <c r="H143" s="168">
        <v>1.8195813552329146E-2</v>
      </c>
      <c r="I143" s="168"/>
      <c r="J143" s="30">
        <f t="shared" si="14"/>
        <v>42.256631534553051</v>
      </c>
      <c r="K143" s="169">
        <f t="shared" si="15"/>
        <v>200032.2710432621</v>
      </c>
      <c r="L143" s="30"/>
      <c r="M143" s="168">
        <f t="shared" si="16"/>
        <v>200032.2710432621</v>
      </c>
      <c r="N143" s="169">
        <v>204614.08526167777</v>
      </c>
      <c r="O143" s="30">
        <f t="shared" si="17"/>
        <v>-4581.814218415675</v>
      </c>
      <c r="P143" s="160">
        <f t="shared" si="18"/>
        <v>-2.2392467324798604E-2</v>
      </c>
    </row>
    <row r="144" spans="1:16" x14ac:dyDescent="0.25">
      <c r="A144" s="10">
        <v>958</v>
      </c>
      <c r="B144" s="10">
        <v>7</v>
      </c>
      <c r="C144" s="9" t="s">
        <v>278</v>
      </c>
      <c r="D144" s="153">
        <v>103019.66355697816</v>
      </c>
      <c r="E144" s="30">
        <v>-2298.2933332731482</v>
      </c>
      <c r="F144" s="153">
        <f t="shared" si="13"/>
        <v>100721.37022370502</v>
      </c>
      <c r="G144" s="30">
        <v>-12.460897632918204</v>
      </c>
      <c r="H144" s="168">
        <v>9.1626589148114078E-3</v>
      </c>
      <c r="I144" s="168"/>
      <c r="J144" s="30">
        <f t="shared" si="14"/>
        <v>21.278691415829115</v>
      </c>
      <c r="K144" s="169">
        <f t="shared" si="15"/>
        <v>100730.19718014685</v>
      </c>
      <c r="L144" s="30"/>
      <c r="M144" s="168">
        <f t="shared" si="16"/>
        <v>100730.19718014685</v>
      </c>
      <c r="N144" s="169">
        <v>103032.13840465192</v>
      </c>
      <c r="O144" s="30">
        <f t="shared" si="17"/>
        <v>-2301.9412245050771</v>
      </c>
      <c r="P144" s="160">
        <f t="shared" si="18"/>
        <v>-2.2341972710149476E-2</v>
      </c>
    </row>
    <row r="145" spans="1:16" x14ac:dyDescent="0.25">
      <c r="A145" s="10">
        <v>67</v>
      </c>
      <c r="B145" s="10">
        <v>5</v>
      </c>
      <c r="C145" s="9" t="s">
        <v>162</v>
      </c>
      <c r="D145" s="153">
        <v>123366.45769185082</v>
      </c>
      <c r="E145" s="30">
        <v>-2738.5494186826691</v>
      </c>
      <c r="F145" s="153">
        <f t="shared" si="13"/>
        <v>120627.90827316816</v>
      </c>
      <c r="G145" s="30">
        <v>-14.220548590761609</v>
      </c>
      <c r="H145" s="168">
        <v>1.0973563769628587E-2</v>
      </c>
      <c r="I145" s="168"/>
      <c r="J145" s="30">
        <f t="shared" si="14"/>
        <v>25.484204896942334</v>
      </c>
      <c r="K145" s="169">
        <f t="shared" si="15"/>
        <v>120639.1829030381</v>
      </c>
      <c r="L145" s="30"/>
      <c r="M145" s="168">
        <f t="shared" si="16"/>
        <v>120639.1829030381</v>
      </c>
      <c r="N145" s="169">
        <v>123380.71313844623</v>
      </c>
      <c r="O145" s="30">
        <f t="shared" si="17"/>
        <v>-2741.5302354081214</v>
      </c>
      <c r="P145" s="160">
        <f t="shared" si="18"/>
        <v>-2.222008744860985E-2</v>
      </c>
    </row>
    <row r="146" spans="1:16" x14ac:dyDescent="0.25">
      <c r="A146" s="10">
        <v>293</v>
      </c>
      <c r="B146" s="10">
        <v>3</v>
      </c>
      <c r="C146" s="9" t="s">
        <v>143</v>
      </c>
      <c r="D146" s="153">
        <v>765407.46751045226</v>
      </c>
      <c r="E146" s="30">
        <v>-18321.396559931454</v>
      </c>
      <c r="F146" s="153">
        <f t="shared" si="13"/>
        <v>747086.07095052081</v>
      </c>
      <c r="G146" s="30">
        <v>63725.021037406637</v>
      </c>
      <c r="H146" s="168">
        <v>6.7962685901935438E-2</v>
      </c>
      <c r="I146" s="168"/>
      <c r="J146" s="30">
        <f t="shared" si="14"/>
        <v>157.8315895575351</v>
      </c>
      <c r="K146" s="169">
        <f t="shared" si="15"/>
        <v>810968.99154017097</v>
      </c>
      <c r="L146" s="30"/>
      <c r="M146" s="168">
        <f t="shared" si="16"/>
        <v>810968.99154017097</v>
      </c>
      <c r="N146" s="169">
        <v>829313.68519918516</v>
      </c>
      <c r="O146" s="30">
        <f t="shared" si="17"/>
        <v>-18344.693659014185</v>
      </c>
      <c r="P146" s="160">
        <f t="shared" si="18"/>
        <v>-2.2120331530050833E-2</v>
      </c>
    </row>
    <row r="147" spans="1:16" x14ac:dyDescent="0.25">
      <c r="A147" s="10">
        <v>712</v>
      </c>
      <c r="B147" s="10">
        <v>7</v>
      </c>
      <c r="C147" s="9" t="s">
        <v>270</v>
      </c>
      <c r="D147" s="153">
        <v>86882.96155344724</v>
      </c>
      <c r="E147" s="30">
        <v>-1840.0817915715452</v>
      </c>
      <c r="F147" s="153">
        <f t="shared" si="13"/>
        <v>85042.879761875694</v>
      </c>
      <c r="G147" s="30">
        <v>-13.52332667542214</v>
      </c>
      <c r="H147" s="168">
        <v>7.7363810545936539E-3</v>
      </c>
      <c r="I147" s="168"/>
      <c r="J147" s="30">
        <f t="shared" si="14"/>
        <v>17.966407640674831</v>
      </c>
      <c r="K147" s="169">
        <f t="shared" si="15"/>
        <v>85047.330579222005</v>
      </c>
      <c r="L147" s="30"/>
      <c r="M147" s="168">
        <f t="shared" si="16"/>
        <v>85047.330579222005</v>
      </c>
      <c r="N147" s="169">
        <v>86891.757061831435</v>
      </c>
      <c r="O147" s="30">
        <f t="shared" si="17"/>
        <v>-1844.4264826094295</v>
      </c>
      <c r="P147" s="160">
        <f t="shared" si="18"/>
        <v>-2.1226714074810932E-2</v>
      </c>
    </row>
    <row r="148" spans="1:16" x14ac:dyDescent="0.25">
      <c r="A148" s="10">
        <v>866</v>
      </c>
      <c r="B148" s="10">
        <v>8</v>
      </c>
      <c r="C148" s="9" t="s">
        <v>318</v>
      </c>
      <c r="D148" s="153">
        <v>33762.888347917789</v>
      </c>
      <c r="E148" s="30">
        <v>-684.01249145997281</v>
      </c>
      <c r="F148" s="153">
        <f t="shared" si="13"/>
        <v>33078.875856457817</v>
      </c>
      <c r="G148" s="30">
        <v>-3.1581118890317157</v>
      </c>
      <c r="H148" s="168">
        <v>3.0091971156164829E-3</v>
      </c>
      <c r="I148" s="168"/>
      <c r="J148" s="30">
        <f t="shared" si="14"/>
        <v>6.9883401126172053</v>
      </c>
      <c r="K148" s="169">
        <f t="shared" si="15"/>
        <v>33082.709093878519</v>
      </c>
      <c r="L148" s="30"/>
      <c r="M148" s="168">
        <f t="shared" si="16"/>
        <v>33082.709093878519</v>
      </c>
      <c r="N148" s="169">
        <v>33767.391208303015</v>
      </c>
      <c r="O148" s="30">
        <f t="shared" si="17"/>
        <v>-684.68211442449683</v>
      </c>
      <c r="P148" s="160">
        <f t="shared" si="18"/>
        <v>-2.0276429120652393E-2</v>
      </c>
    </row>
    <row r="149" spans="1:16" x14ac:dyDescent="0.25">
      <c r="A149" s="170">
        <v>987</v>
      </c>
      <c r="B149" s="170">
        <v>9</v>
      </c>
      <c r="C149" s="171" t="s">
        <v>365</v>
      </c>
      <c r="D149" s="153">
        <v>18502.703291252903</v>
      </c>
      <c r="E149" s="30">
        <v>-370.813165954125</v>
      </c>
      <c r="F149" s="153">
        <f t="shared" si="13"/>
        <v>18131.890125298778</v>
      </c>
      <c r="G149" s="30">
        <v>-2.1069938173532137</v>
      </c>
      <c r="H149" s="168">
        <v>1.6494645012270614E-3</v>
      </c>
      <c r="I149" s="168"/>
      <c r="J149" s="30">
        <f t="shared" si="14"/>
        <v>3.8305961674769544</v>
      </c>
      <c r="K149" s="169">
        <f t="shared" si="15"/>
        <v>18133.615377113405</v>
      </c>
      <c r="L149" s="30"/>
      <c r="M149" s="168">
        <f t="shared" si="16"/>
        <v>18133.615377113405</v>
      </c>
      <c r="N149" s="169">
        <v>18505.145793336127</v>
      </c>
      <c r="O149" s="30">
        <f t="shared" si="17"/>
        <v>-371.53041622272212</v>
      </c>
      <c r="P149" s="160">
        <f t="shared" si="18"/>
        <v>-2.0077140724636369E-2</v>
      </c>
    </row>
    <row r="150" spans="1:16" x14ac:dyDescent="0.25">
      <c r="A150" s="10">
        <v>389</v>
      </c>
      <c r="B150" s="10">
        <v>7</v>
      </c>
      <c r="C150" s="9" t="s">
        <v>253</v>
      </c>
      <c r="D150" s="153">
        <v>84505.559932026139</v>
      </c>
      <c r="E150" s="30">
        <v>-1675.6250346556626</v>
      </c>
      <c r="F150" s="153">
        <f t="shared" si="13"/>
        <v>82829.934897370476</v>
      </c>
      <c r="G150" s="30">
        <v>-8.0698025667661568</v>
      </c>
      <c r="H150" s="168">
        <v>7.5350686722689278E-3</v>
      </c>
      <c r="I150" s="168"/>
      <c r="J150" s="30">
        <f t="shared" si="14"/>
        <v>17.498894432827623</v>
      </c>
      <c r="K150" s="169">
        <f t="shared" si="15"/>
        <v>82839.371524305199</v>
      </c>
      <c r="L150" s="30"/>
      <c r="M150" s="168">
        <f t="shared" si="16"/>
        <v>82839.371524305199</v>
      </c>
      <c r="N150" s="169">
        <v>84517.750602245578</v>
      </c>
      <c r="O150" s="30">
        <f t="shared" si="17"/>
        <v>-1678.3790779403789</v>
      </c>
      <c r="P150" s="160">
        <f t="shared" si="18"/>
        <v>-1.9858302734997134E-2</v>
      </c>
    </row>
    <row r="151" spans="1:16" x14ac:dyDescent="0.25">
      <c r="A151" s="10">
        <v>878</v>
      </c>
      <c r="B151" s="10">
        <v>4</v>
      </c>
      <c r="C151" s="9" t="s">
        <v>158</v>
      </c>
      <c r="D151" s="153">
        <v>1110259.8004630585</v>
      </c>
      <c r="E151" s="30">
        <v>-22536.914440481924</v>
      </c>
      <c r="F151" s="153">
        <f t="shared" si="13"/>
        <v>1087722.8860225766</v>
      </c>
      <c r="G151" s="30">
        <v>29732.747596763191</v>
      </c>
      <c r="H151" s="168">
        <v>9.8950538265349455E-2</v>
      </c>
      <c r="I151" s="168"/>
      <c r="J151" s="30">
        <f t="shared" si="14"/>
        <v>229.79551991998383</v>
      </c>
      <c r="K151" s="169">
        <f t="shared" si="15"/>
        <v>1117685.5280897981</v>
      </c>
      <c r="L151" s="30"/>
      <c r="M151" s="168">
        <f t="shared" si="16"/>
        <v>1117685.5280897981</v>
      </c>
      <c r="N151" s="169">
        <v>1130005.0212601519</v>
      </c>
      <c r="O151" s="30">
        <f t="shared" si="17"/>
        <v>-12319.493170353817</v>
      </c>
      <c r="P151" s="160">
        <f t="shared" si="18"/>
        <v>-1.0902157900692726E-2</v>
      </c>
    </row>
    <row r="152" spans="1:16" x14ac:dyDescent="0.25">
      <c r="A152" s="10">
        <v>55</v>
      </c>
      <c r="B152" s="10">
        <v>3</v>
      </c>
      <c r="C152" s="9" t="s">
        <v>139</v>
      </c>
      <c r="D152" s="153">
        <v>605303.19653610617</v>
      </c>
      <c r="E152" s="30">
        <v>-5486.3083632136695</v>
      </c>
      <c r="F152" s="153">
        <f t="shared" si="13"/>
        <v>599816.8881728925</v>
      </c>
      <c r="G152" s="30">
        <v>-62.647647130303085</v>
      </c>
      <c r="H152" s="168">
        <v>5.4565555904027133E-2</v>
      </c>
      <c r="I152" s="168"/>
      <c r="J152" s="30">
        <f t="shared" si="14"/>
        <v>126.71907104804244</v>
      </c>
      <c r="K152" s="169">
        <f t="shared" si="15"/>
        <v>599881.01416236616</v>
      </c>
      <c r="L152" s="30"/>
      <c r="M152" s="168">
        <f t="shared" si="16"/>
        <v>599881.01416236616</v>
      </c>
      <c r="N152" s="169">
        <v>605385.0454988014</v>
      </c>
      <c r="O152" s="30">
        <f t="shared" si="17"/>
        <v>-5504.0313364352332</v>
      </c>
      <c r="P152" s="160">
        <f t="shared" si="18"/>
        <v>-9.0917860911153454E-3</v>
      </c>
    </row>
    <row r="153" spans="1:16" x14ac:dyDescent="0.25">
      <c r="A153" s="10">
        <v>811</v>
      </c>
      <c r="B153" s="10">
        <v>6</v>
      </c>
      <c r="C153" s="9" t="s">
        <v>204</v>
      </c>
      <c r="D153" s="153">
        <v>189057.93497919958</v>
      </c>
      <c r="E153" s="30">
        <v>-1590.0304551730223</v>
      </c>
      <c r="F153" s="153">
        <f t="shared" si="13"/>
        <v>187467.90452402656</v>
      </c>
      <c r="G153" s="30">
        <v>-11106.320459077891</v>
      </c>
      <c r="H153" s="168">
        <v>1.7054022029416551E-2</v>
      </c>
      <c r="I153" s="168"/>
      <c r="J153" s="30">
        <f t="shared" si="14"/>
        <v>39.605018099724369</v>
      </c>
      <c r="K153" s="169">
        <f t="shared" si="15"/>
        <v>176401.2061370704</v>
      </c>
      <c r="L153" s="30"/>
      <c r="M153" s="168">
        <f t="shared" si="16"/>
        <v>176401.2061370704</v>
      </c>
      <c r="N153" s="169">
        <v>178002.28107942242</v>
      </c>
      <c r="O153" s="30">
        <f t="shared" si="17"/>
        <v>-1601.0749423520174</v>
      </c>
      <c r="P153" s="160">
        <f t="shared" si="18"/>
        <v>-8.9946877795214174E-3</v>
      </c>
    </row>
    <row r="154" spans="1:16" x14ac:dyDescent="0.25">
      <c r="A154" s="10">
        <v>760</v>
      </c>
      <c r="B154" s="10">
        <v>4</v>
      </c>
      <c r="C154" s="9" t="s">
        <v>157</v>
      </c>
      <c r="D154" s="153">
        <v>372440.23499999999</v>
      </c>
      <c r="E154" s="30">
        <v>0</v>
      </c>
      <c r="F154" s="153">
        <f t="shared" si="13"/>
        <v>372440.23499999999</v>
      </c>
      <c r="G154" s="30">
        <v>2458.6005964892684</v>
      </c>
      <c r="H154" s="168">
        <v>3.388102079904047E-2</v>
      </c>
      <c r="I154" s="168"/>
      <c r="J154" s="30">
        <f t="shared" si="14"/>
        <v>78.682813923223435</v>
      </c>
      <c r="K154" s="169">
        <f t="shared" si="15"/>
        <v>374977.55229143327</v>
      </c>
      <c r="L154" s="30"/>
      <c r="M154" s="168">
        <f t="shared" si="16"/>
        <v>374977.55229143327</v>
      </c>
      <c r="N154" s="169">
        <v>375177.09635520721</v>
      </c>
      <c r="O154" s="30">
        <f t="shared" si="17"/>
        <v>-199.54406377393752</v>
      </c>
      <c r="P154" s="160">
        <f t="shared" si="18"/>
        <v>-5.318663258298016E-4</v>
      </c>
    </row>
    <row r="155" spans="1:16" x14ac:dyDescent="0.25">
      <c r="A155" s="10">
        <v>335</v>
      </c>
      <c r="B155" s="10">
        <v>2</v>
      </c>
      <c r="C155" s="9" t="s">
        <v>134</v>
      </c>
      <c r="D155" s="153">
        <v>2797827.8291379916</v>
      </c>
      <c r="E155" s="30">
        <v>10.165043217595667</v>
      </c>
      <c r="F155" s="153">
        <f t="shared" si="13"/>
        <v>2797837.9941812092</v>
      </c>
      <c r="G155" s="30">
        <v>-2620.6312578148209</v>
      </c>
      <c r="H155" s="168">
        <v>0.25452031860413582</v>
      </c>
      <c r="I155" s="168"/>
      <c r="J155" s="30">
        <f t="shared" si="14"/>
        <v>591.07944200358691</v>
      </c>
      <c r="K155" s="169">
        <f t="shared" si="15"/>
        <v>2795808.6968857166</v>
      </c>
      <c r="L155" s="30"/>
      <c r="M155" s="168">
        <f t="shared" si="16"/>
        <v>2795808.6968857166</v>
      </c>
      <c r="N155" s="169">
        <v>2795915.4774342026</v>
      </c>
      <c r="O155" s="30">
        <f t="shared" si="17"/>
        <v>-106.78054848592728</v>
      </c>
      <c r="P155" s="160">
        <f t="shared" si="18"/>
        <v>-3.8191622510677345E-5</v>
      </c>
    </row>
    <row r="156" spans="1:16" x14ac:dyDescent="0.25">
      <c r="A156" s="10">
        <v>693</v>
      </c>
      <c r="B156" s="10">
        <v>7</v>
      </c>
      <c r="C156" s="9" t="s">
        <v>392</v>
      </c>
      <c r="D156" s="153">
        <v>0</v>
      </c>
      <c r="E156" s="30">
        <v>0</v>
      </c>
      <c r="F156" s="153">
        <f t="shared" si="13"/>
        <v>0</v>
      </c>
      <c r="G156" s="30">
        <v>0</v>
      </c>
      <c r="H156" s="168">
        <v>0</v>
      </c>
      <c r="I156" s="168"/>
      <c r="J156" s="30">
        <f t="shared" si="14"/>
        <v>0</v>
      </c>
      <c r="K156" s="169">
        <f t="shared" si="15"/>
        <v>0</v>
      </c>
      <c r="L156" s="30"/>
      <c r="M156" s="168">
        <f t="shared" si="16"/>
        <v>0</v>
      </c>
      <c r="N156" s="169">
        <v>0</v>
      </c>
      <c r="O156" s="30">
        <f t="shared" si="17"/>
        <v>0</v>
      </c>
      <c r="P156" s="30">
        <v>0</v>
      </c>
    </row>
    <row r="157" spans="1:16" x14ac:dyDescent="0.25">
      <c r="A157" s="10">
        <v>977</v>
      </c>
      <c r="B157" s="10">
        <v>7</v>
      </c>
      <c r="C157" s="9" t="s">
        <v>39</v>
      </c>
      <c r="D157" s="153">
        <v>1363.4024999999999</v>
      </c>
      <c r="E157" s="30">
        <v>0</v>
      </c>
      <c r="F157" s="153">
        <f t="shared" si="13"/>
        <v>1363.4024999999999</v>
      </c>
      <c r="G157" s="30">
        <v>0</v>
      </c>
      <c r="H157" s="168">
        <v>1.240292109147761E-4</v>
      </c>
      <c r="I157" s="168"/>
      <c r="J157" s="30">
        <f t="shared" si="14"/>
        <v>0.28803640189400492</v>
      </c>
      <c r="K157" s="169">
        <f t="shared" si="15"/>
        <v>1363.6906604311048</v>
      </c>
      <c r="L157" s="30"/>
      <c r="M157" s="168">
        <f t="shared" si="16"/>
        <v>1363.6906604311048</v>
      </c>
      <c r="N157" s="169">
        <v>1363.690468329557</v>
      </c>
      <c r="O157" s="30">
        <f t="shared" si="17"/>
        <v>1.92101547781931E-4</v>
      </c>
      <c r="P157" s="160">
        <f t="shared" ref="P157:P220" si="19">(K157-N157)/N157</f>
        <v>1.4086887915059232E-7</v>
      </c>
    </row>
    <row r="158" spans="1:16" x14ac:dyDescent="0.25">
      <c r="A158" s="10">
        <v>854</v>
      </c>
      <c r="B158" s="10">
        <v>7</v>
      </c>
      <c r="C158" s="9" t="s">
        <v>275</v>
      </c>
      <c r="D158" s="153">
        <v>132881.45031838532</v>
      </c>
      <c r="E158" s="30">
        <v>411.10835656407289</v>
      </c>
      <c r="F158" s="153">
        <f t="shared" si="13"/>
        <v>133292.5586749494</v>
      </c>
      <c r="G158" s="30">
        <v>-32.499874764471315</v>
      </c>
      <c r="H158" s="168">
        <v>1.2125671526394786E-2</v>
      </c>
      <c r="I158" s="168"/>
      <c r="J158" s="30">
        <f t="shared" si="14"/>
        <v>28.159776001568105</v>
      </c>
      <c r="K158" s="169">
        <f t="shared" si="15"/>
        <v>133288.230701858</v>
      </c>
      <c r="L158" s="30"/>
      <c r="M158" s="168">
        <f t="shared" si="16"/>
        <v>133288.230701858</v>
      </c>
      <c r="N158" s="169">
        <v>132885.22056061245</v>
      </c>
      <c r="O158" s="30">
        <f t="shared" si="17"/>
        <v>403.01014124555513</v>
      </c>
      <c r="P158" s="160">
        <f t="shared" si="19"/>
        <v>3.0327687273674774E-3</v>
      </c>
    </row>
    <row r="159" spans="1:16" x14ac:dyDescent="0.25">
      <c r="A159" s="10">
        <v>270</v>
      </c>
      <c r="B159" s="10">
        <v>1</v>
      </c>
      <c r="C159" s="9" t="s">
        <v>130</v>
      </c>
      <c r="D159" s="153">
        <v>12298298.4845114</v>
      </c>
      <c r="E159" s="30">
        <v>89841.374410565943</v>
      </c>
      <c r="F159" s="153">
        <f t="shared" si="13"/>
        <v>12388139.858921966</v>
      </c>
      <c r="G159" s="30">
        <v>-2097.9953139666468</v>
      </c>
      <c r="H159" s="168">
        <v>1.1269534942205088</v>
      </c>
      <c r="I159" s="168"/>
      <c r="J159" s="30">
        <f t="shared" si="14"/>
        <v>2617.1546781846073</v>
      </c>
      <c r="K159" s="169">
        <f t="shared" si="15"/>
        <v>12388660.145239677</v>
      </c>
      <c r="L159" s="30"/>
      <c r="M159" s="168">
        <f t="shared" si="16"/>
        <v>12388660.145239677</v>
      </c>
      <c r="N159" s="169">
        <v>12299087.149268417</v>
      </c>
      <c r="O159" s="30">
        <f t="shared" si="17"/>
        <v>89572.995971260592</v>
      </c>
      <c r="P159" s="160">
        <f t="shared" si="19"/>
        <v>7.2828978999948495E-3</v>
      </c>
    </row>
    <row r="160" spans="1:16" x14ac:dyDescent="0.25">
      <c r="A160" s="10">
        <v>20</v>
      </c>
      <c r="B160" s="10">
        <v>1</v>
      </c>
      <c r="C160" s="9" t="s">
        <v>126</v>
      </c>
      <c r="D160" s="153">
        <v>21123779.322721403</v>
      </c>
      <c r="E160" s="30">
        <v>247555.82435688376</v>
      </c>
      <c r="F160" s="153">
        <f t="shared" si="13"/>
        <v>21371335.147078287</v>
      </c>
      <c r="G160" s="30">
        <v>-15858.10487735644</v>
      </c>
      <c r="H160" s="168">
        <v>1.944157968382294</v>
      </c>
      <c r="I160" s="168"/>
      <c r="J160" s="30">
        <f t="shared" si="14"/>
        <v>4514.9708024118445</v>
      </c>
      <c r="K160" s="169">
        <f t="shared" si="15"/>
        <v>21359993.957161311</v>
      </c>
      <c r="L160" s="30"/>
      <c r="M160" s="168">
        <f t="shared" si="16"/>
        <v>21359993.957161311</v>
      </c>
      <c r="N160" s="169">
        <v>21113297.842317361</v>
      </c>
      <c r="O160" s="30">
        <f t="shared" si="17"/>
        <v>246696.11484394968</v>
      </c>
      <c r="P160" s="160">
        <f t="shared" si="19"/>
        <v>1.16843951469058E-2</v>
      </c>
    </row>
    <row r="161" spans="1:16" x14ac:dyDescent="0.25">
      <c r="A161" s="10">
        <v>510</v>
      </c>
      <c r="B161" s="10">
        <v>7</v>
      </c>
      <c r="C161" s="9" t="s">
        <v>258</v>
      </c>
      <c r="D161" s="153">
        <v>78738.024382850577</v>
      </c>
      <c r="E161" s="30">
        <v>1013.5010900938214</v>
      </c>
      <c r="F161" s="153">
        <f t="shared" si="13"/>
        <v>79751.525472944399</v>
      </c>
      <c r="G161" s="30">
        <v>-8.4071242179925321</v>
      </c>
      <c r="H161" s="168">
        <v>7.2550246707476038E-3</v>
      </c>
      <c r="I161" s="168"/>
      <c r="J161" s="30">
        <f t="shared" si="14"/>
        <v>16.848540649430365</v>
      </c>
      <c r="K161" s="169">
        <f t="shared" si="15"/>
        <v>79759.974144400505</v>
      </c>
      <c r="L161" s="30"/>
      <c r="M161" s="168">
        <f t="shared" si="16"/>
        <v>79759.974144400505</v>
      </c>
      <c r="N161" s="169">
        <v>78750.362245172219</v>
      </c>
      <c r="O161" s="30">
        <f t="shared" si="17"/>
        <v>1009.6118992282863</v>
      </c>
      <c r="P161" s="160">
        <f t="shared" si="19"/>
        <v>1.2820409588530883E-2</v>
      </c>
    </row>
    <row r="162" spans="1:16" x14ac:dyDescent="0.25">
      <c r="A162" s="10">
        <v>100</v>
      </c>
      <c r="B162" s="10">
        <v>9</v>
      </c>
      <c r="C162" s="9" t="s">
        <v>334</v>
      </c>
      <c r="D162" s="153">
        <v>8725.4436535680397</v>
      </c>
      <c r="E162" s="30">
        <v>132.39303665980697</v>
      </c>
      <c r="F162" s="153">
        <f t="shared" si="13"/>
        <v>8857.8366902278467</v>
      </c>
      <c r="G162" s="30">
        <v>-0.9010234714642138</v>
      </c>
      <c r="H162" s="168">
        <v>8.0580055786967674E-4</v>
      </c>
      <c r="I162" s="168"/>
      <c r="J162" s="30">
        <f t="shared" si="14"/>
        <v>1.8713324999902305</v>
      </c>
      <c r="K162" s="169">
        <f t="shared" si="15"/>
        <v>8858.8078050569311</v>
      </c>
      <c r="L162" s="30"/>
      <c r="M162" s="168">
        <f t="shared" si="16"/>
        <v>8858.8078050569311</v>
      </c>
      <c r="N162" s="169">
        <v>8726.8020564820599</v>
      </c>
      <c r="O162" s="30">
        <f t="shared" si="17"/>
        <v>132.00574857487118</v>
      </c>
      <c r="P162" s="160">
        <f t="shared" si="19"/>
        <v>1.5126474477190698E-2</v>
      </c>
    </row>
    <row r="163" spans="1:16" x14ac:dyDescent="0.25">
      <c r="A163" s="10">
        <v>626</v>
      </c>
      <c r="B163" s="10">
        <v>6</v>
      </c>
      <c r="C163" s="9" t="s">
        <v>190</v>
      </c>
      <c r="D163" s="153">
        <v>4784.3153050056362</v>
      </c>
      <c r="E163" s="30">
        <v>77.421074042892542</v>
      </c>
      <c r="F163" s="153">
        <f t="shared" si="13"/>
        <v>4861.7363790485288</v>
      </c>
      <c r="G163" s="30">
        <v>-0.49239054047848185</v>
      </c>
      <c r="H163" s="168">
        <v>4.4227388960270343E-4</v>
      </c>
      <c r="I163" s="168"/>
      <c r="J163" s="30">
        <f t="shared" si="14"/>
        <v>1.0271046544056697</v>
      </c>
      <c r="K163" s="169">
        <f t="shared" si="15"/>
        <v>4862.2715354363454</v>
      </c>
      <c r="L163" s="30"/>
      <c r="M163" s="168">
        <f t="shared" si="16"/>
        <v>4862.2715354363454</v>
      </c>
      <c r="N163" s="169">
        <v>4785.0693785825561</v>
      </c>
      <c r="O163" s="30">
        <f t="shared" si="17"/>
        <v>77.202156853789347</v>
      </c>
      <c r="P163" s="160">
        <f t="shared" si="19"/>
        <v>1.6133968129978995E-2</v>
      </c>
    </row>
    <row r="164" spans="1:16" x14ac:dyDescent="0.25">
      <c r="A164" s="10">
        <v>758</v>
      </c>
      <c r="B164" s="10">
        <v>6</v>
      </c>
      <c r="C164" s="9" t="s">
        <v>198</v>
      </c>
      <c r="D164" s="153">
        <v>117263.32853742482</v>
      </c>
      <c r="E164" s="30">
        <v>2856.6459554093308</v>
      </c>
      <c r="F164" s="153">
        <f t="shared" si="13"/>
        <v>120119.97449283415</v>
      </c>
      <c r="G164" s="30">
        <v>-20.948643296549562</v>
      </c>
      <c r="H164" s="168">
        <v>1.0927356852763035E-2</v>
      </c>
      <c r="I164" s="168"/>
      <c r="J164" s="30">
        <f t="shared" si="14"/>
        <v>25.376897320135175</v>
      </c>
      <c r="K164" s="169">
        <f t="shared" si="15"/>
        <v>120124.41367421459</v>
      </c>
      <c r="L164" s="30"/>
      <c r="M164" s="168">
        <f t="shared" si="16"/>
        <v>120124.41367421459</v>
      </c>
      <c r="N164" s="169">
        <v>117273.44071347213</v>
      </c>
      <c r="O164" s="30">
        <f t="shared" si="17"/>
        <v>2850.972960742467</v>
      </c>
      <c r="P164" s="160">
        <f t="shared" si="19"/>
        <v>2.4310474250585822E-2</v>
      </c>
    </row>
    <row r="165" spans="1:16" x14ac:dyDescent="0.25">
      <c r="A165" s="10">
        <v>786</v>
      </c>
      <c r="B165" s="10">
        <v>7</v>
      </c>
      <c r="C165" s="9" t="s">
        <v>274</v>
      </c>
      <c r="D165" s="153">
        <v>634227.46499497083</v>
      </c>
      <c r="E165" s="30">
        <v>17081.675494860625</v>
      </c>
      <c r="F165" s="153">
        <f t="shared" si="13"/>
        <v>651309.14048983145</v>
      </c>
      <c r="G165" s="30">
        <v>-812.62732202443294</v>
      </c>
      <c r="H165" s="168">
        <v>5.9249824433015817E-2</v>
      </c>
      <c r="I165" s="168"/>
      <c r="J165" s="30">
        <f t="shared" si="14"/>
        <v>137.59747495502464</v>
      </c>
      <c r="K165" s="169">
        <f t="shared" si="15"/>
        <v>650634.16989258642</v>
      </c>
      <c r="L165" s="30"/>
      <c r="M165" s="168">
        <f t="shared" si="16"/>
        <v>650634.16989258642</v>
      </c>
      <c r="N165" s="169">
        <v>633585.22348491347</v>
      </c>
      <c r="O165" s="30">
        <f t="shared" si="17"/>
        <v>17048.946407672949</v>
      </c>
      <c r="P165" s="160">
        <f t="shared" si="19"/>
        <v>2.6908686907024922E-2</v>
      </c>
    </row>
    <row r="166" spans="1:16" x14ac:dyDescent="0.25">
      <c r="A166" s="10">
        <v>601</v>
      </c>
      <c r="B166" s="10">
        <v>4</v>
      </c>
      <c r="C166" s="9" t="s">
        <v>156</v>
      </c>
      <c r="D166" s="153">
        <v>913059.17751591769</v>
      </c>
      <c r="E166" s="30">
        <v>25354.964004885172</v>
      </c>
      <c r="F166" s="153">
        <f t="shared" si="13"/>
        <v>938414.14152080286</v>
      </c>
      <c r="G166" s="30">
        <v>-171.32959669816773</v>
      </c>
      <c r="H166" s="168">
        <v>8.536786861113442E-2</v>
      </c>
      <c r="I166" s="168"/>
      <c r="J166" s="30">
        <f t="shared" si="14"/>
        <v>198.25211763224991</v>
      </c>
      <c r="K166" s="169">
        <f t="shared" si="15"/>
        <v>938441.14940960566</v>
      </c>
      <c r="L166" s="30"/>
      <c r="M166" s="168">
        <f t="shared" si="16"/>
        <v>938441.14940960566</v>
      </c>
      <c r="N166" s="169">
        <v>913126.00741865719</v>
      </c>
      <c r="O166" s="30">
        <f t="shared" si="17"/>
        <v>25315.141990948468</v>
      </c>
      <c r="P166" s="160">
        <f t="shared" si="19"/>
        <v>2.7723601984037876E-2</v>
      </c>
    </row>
    <row r="167" spans="1:16" x14ac:dyDescent="0.25">
      <c r="A167" s="10">
        <v>186</v>
      </c>
      <c r="B167" s="10">
        <v>4</v>
      </c>
      <c r="C167" s="9" t="s">
        <v>152</v>
      </c>
      <c r="D167" s="153">
        <v>1805870.7306621943</v>
      </c>
      <c r="E167" s="30">
        <v>57450.420631021494</v>
      </c>
      <c r="F167" s="153">
        <f t="shared" si="13"/>
        <v>1863321.1512932158</v>
      </c>
      <c r="G167" s="30">
        <v>-371.75093133631162</v>
      </c>
      <c r="H167" s="168">
        <v>0.1695069886374051</v>
      </c>
      <c r="I167" s="168"/>
      <c r="J167" s="30">
        <f t="shared" si="14"/>
        <v>393.65067908522434</v>
      </c>
      <c r="K167" s="169">
        <f t="shared" si="15"/>
        <v>1863343.2205479534</v>
      </c>
      <c r="L167" s="30"/>
      <c r="M167" s="168">
        <f t="shared" si="16"/>
        <v>1863343.2205479534</v>
      </c>
      <c r="N167" s="169">
        <v>1805970.4780495025</v>
      </c>
      <c r="O167" s="30">
        <f t="shared" si="17"/>
        <v>57372.742498450913</v>
      </c>
      <c r="P167" s="160">
        <f t="shared" si="19"/>
        <v>3.1768372293889902E-2</v>
      </c>
    </row>
    <row r="168" spans="1:16" x14ac:dyDescent="0.25">
      <c r="A168" s="10">
        <v>508</v>
      </c>
      <c r="B168" s="10">
        <v>9</v>
      </c>
      <c r="C168" s="9" t="s">
        <v>346</v>
      </c>
      <c r="D168" s="153">
        <v>15279.667658432285</v>
      </c>
      <c r="E168" s="30">
        <v>486.77998216728156</v>
      </c>
      <c r="F168" s="153">
        <f t="shared" si="13"/>
        <v>15766.447640599567</v>
      </c>
      <c r="G168" s="30">
        <v>-2.7342546767322347</v>
      </c>
      <c r="H168" s="168">
        <v>1.4342793560908813E-3</v>
      </c>
      <c r="I168" s="168"/>
      <c r="J168" s="30">
        <f t="shared" si="14"/>
        <v>3.3308658661316248</v>
      </c>
      <c r="K168" s="169">
        <f t="shared" si="15"/>
        <v>15767.045686068323</v>
      </c>
      <c r="L168" s="30"/>
      <c r="M168" s="168">
        <f t="shared" si="16"/>
        <v>15767.045686068323</v>
      </c>
      <c r="N168" s="169">
        <v>15281.034437203889</v>
      </c>
      <c r="O168" s="30">
        <f t="shared" si="17"/>
        <v>486.01124886443358</v>
      </c>
      <c r="P168" s="160">
        <f t="shared" si="19"/>
        <v>3.1804865754452391E-2</v>
      </c>
    </row>
    <row r="169" spans="1:16" x14ac:dyDescent="0.25">
      <c r="A169" s="10">
        <v>732</v>
      </c>
      <c r="B169" s="10">
        <v>5</v>
      </c>
      <c r="C169" s="9" t="s">
        <v>175</v>
      </c>
      <c r="D169" s="153">
        <v>29498.693311481169</v>
      </c>
      <c r="E169" s="30">
        <v>1211.2556286708568</v>
      </c>
      <c r="F169" s="153">
        <f t="shared" si="13"/>
        <v>30709.948940152026</v>
      </c>
      <c r="G169" s="30">
        <v>-2.7582832100124506</v>
      </c>
      <c r="H169" s="168">
        <v>2.793694990496292E-3</v>
      </c>
      <c r="I169" s="168"/>
      <c r="J169" s="30">
        <f t="shared" si="14"/>
        <v>6.487873680054129</v>
      </c>
      <c r="K169" s="169">
        <f t="shared" si="15"/>
        <v>30713.681324317058</v>
      </c>
      <c r="L169" s="30"/>
      <c r="M169" s="168">
        <f t="shared" si="16"/>
        <v>30713.681324317058</v>
      </c>
      <c r="N169" s="169">
        <v>29503.190660173052</v>
      </c>
      <c r="O169" s="30">
        <f t="shared" si="17"/>
        <v>1210.4906641440066</v>
      </c>
      <c r="P169" s="160">
        <f t="shared" si="19"/>
        <v>4.1029144206361119E-2</v>
      </c>
    </row>
    <row r="170" spans="1:16" x14ac:dyDescent="0.25">
      <c r="A170" s="10">
        <v>382</v>
      </c>
      <c r="B170" s="10">
        <v>7</v>
      </c>
      <c r="C170" s="9" t="s">
        <v>252</v>
      </c>
      <c r="D170" s="153">
        <v>31972.795870788308</v>
      </c>
      <c r="E170" s="30">
        <v>1549.462398703974</v>
      </c>
      <c r="F170" s="153">
        <f t="shared" si="13"/>
        <v>33522.258269492282</v>
      </c>
      <c r="G170" s="30">
        <v>-7.3347306513678632</v>
      </c>
      <c r="H170" s="168">
        <v>3.0495317716128993E-3</v>
      </c>
      <c r="I170" s="168"/>
      <c r="J170" s="30">
        <f t="shared" si="14"/>
        <v>7.0820103786710877</v>
      </c>
      <c r="K170" s="169">
        <f t="shared" si="15"/>
        <v>33522.008598751352</v>
      </c>
      <c r="L170" s="30"/>
      <c r="M170" s="168">
        <f t="shared" si="16"/>
        <v>33522.008598751352</v>
      </c>
      <c r="N170" s="169">
        <v>31974.284616387857</v>
      </c>
      <c r="O170" s="30">
        <f t="shared" si="17"/>
        <v>1547.7239823634955</v>
      </c>
      <c r="P170" s="160">
        <f t="shared" si="19"/>
        <v>4.840527320414971E-2</v>
      </c>
    </row>
    <row r="171" spans="1:16" x14ac:dyDescent="0.25">
      <c r="A171" s="10">
        <v>630</v>
      </c>
      <c r="B171" s="10">
        <v>9</v>
      </c>
      <c r="C171" s="9" t="s">
        <v>358</v>
      </c>
      <c r="D171" s="153">
        <v>40453.799480570822</v>
      </c>
      <c r="E171" s="30">
        <v>2350.3251816130578</v>
      </c>
      <c r="F171" s="153">
        <f t="shared" si="13"/>
        <v>42804.12466218388</v>
      </c>
      <c r="G171" s="30">
        <v>2622.4749576632094</v>
      </c>
      <c r="H171" s="168">
        <v>3.8939064625071276E-3</v>
      </c>
      <c r="I171" s="168"/>
      <c r="J171" s="30">
        <f t="shared" si="14"/>
        <v>9.0429246344479228</v>
      </c>
      <c r="K171" s="169">
        <f t="shared" si="15"/>
        <v>45435.646438388001</v>
      </c>
      <c r="L171" s="30"/>
      <c r="M171" s="168">
        <f t="shared" si="16"/>
        <v>45435.646438388001</v>
      </c>
      <c r="N171" s="169">
        <v>43088.04820323905</v>
      </c>
      <c r="O171" s="30">
        <f t="shared" si="17"/>
        <v>2347.5982351489511</v>
      </c>
      <c r="P171" s="160">
        <f t="shared" si="19"/>
        <v>5.4483745099702045E-2</v>
      </c>
    </row>
    <row r="172" spans="1:16" x14ac:dyDescent="0.25">
      <c r="A172" s="10">
        <v>855</v>
      </c>
      <c r="B172" s="10">
        <v>7</v>
      </c>
      <c r="C172" s="9" t="s">
        <v>276</v>
      </c>
      <c r="D172" s="153">
        <v>36262.063328165699</v>
      </c>
      <c r="E172" s="30">
        <v>2240.0247318218608</v>
      </c>
      <c r="F172" s="153">
        <f t="shared" si="13"/>
        <v>38502.08805998756</v>
      </c>
      <c r="G172" s="30">
        <v>-82.353419716197095</v>
      </c>
      <c r="H172" s="168">
        <v>3.502548660906431E-3</v>
      </c>
      <c r="I172" s="168"/>
      <c r="J172" s="30">
        <f t="shared" si="14"/>
        <v>8.1340637927574182</v>
      </c>
      <c r="K172" s="169">
        <f t="shared" si="15"/>
        <v>38427.872206612774</v>
      </c>
      <c r="L172" s="30"/>
      <c r="M172" s="168">
        <f t="shared" si="16"/>
        <v>38427.872206612774</v>
      </c>
      <c r="N172" s="169">
        <v>36269.138755457905</v>
      </c>
      <c r="O172" s="30">
        <f t="shared" si="17"/>
        <v>2158.7334511548688</v>
      </c>
      <c r="P172" s="160">
        <f t="shared" si="19"/>
        <v>5.9519843184310937E-2</v>
      </c>
    </row>
    <row r="173" spans="1:16" x14ac:dyDescent="0.25">
      <c r="A173" s="10">
        <v>12</v>
      </c>
      <c r="B173" s="10">
        <v>4</v>
      </c>
      <c r="C173" s="9" t="s">
        <v>144</v>
      </c>
      <c r="D173" s="153">
        <v>921398.65275664267</v>
      </c>
      <c r="E173" s="30">
        <v>59367.177614978398</v>
      </c>
      <c r="F173" s="153">
        <f t="shared" si="13"/>
        <v>980765.83037162106</v>
      </c>
      <c r="G173" s="30">
        <v>-199.40466589306016</v>
      </c>
      <c r="H173" s="168">
        <v>8.9220616826775165E-2</v>
      </c>
      <c r="I173" s="168"/>
      <c r="J173" s="30">
        <f t="shared" si="14"/>
        <v>207.19945935321937</v>
      </c>
      <c r="K173" s="169">
        <f t="shared" si="15"/>
        <v>980773.71438569808</v>
      </c>
      <c r="L173" s="30"/>
      <c r="M173" s="168">
        <f t="shared" si="16"/>
        <v>980773.71438569808</v>
      </c>
      <c r="N173" s="169">
        <v>921443.74247717613</v>
      </c>
      <c r="O173" s="30">
        <f t="shared" si="17"/>
        <v>59329.971908521955</v>
      </c>
      <c r="P173" s="160">
        <f t="shared" si="19"/>
        <v>6.4388056669657773E-2</v>
      </c>
    </row>
    <row r="174" spans="1:16" x14ac:dyDescent="0.25">
      <c r="A174" s="10">
        <v>516</v>
      </c>
      <c r="B174" s="10">
        <v>9</v>
      </c>
      <c r="C174" s="9" t="s">
        <v>348</v>
      </c>
      <c r="D174" s="153">
        <v>71687.48260835011</v>
      </c>
      <c r="E174" s="30">
        <v>4746.624885246958</v>
      </c>
      <c r="F174" s="153">
        <f t="shared" si="13"/>
        <v>76434.107493597068</v>
      </c>
      <c r="G174" s="30">
        <v>-15.185622018456343</v>
      </c>
      <c r="H174" s="168">
        <v>6.9532379758772776E-3</v>
      </c>
      <c r="I174" s="168"/>
      <c r="J174" s="30">
        <f t="shared" si="14"/>
        <v>16.14769321930633</v>
      </c>
      <c r="K174" s="169">
        <f t="shared" si="15"/>
        <v>76435.076518035887</v>
      </c>
      <c r="L174" s="30"/>
      <c r="M174" s="168">
        <f t="shared" si="16"/>
        <v>76435.076518035887</v>
      </c>
      <c r="N174" s="169">
        <v>71691.591734312926</v>
      </c>
      <c r="O174" s="30">
        <f t="shared" si="17"/>
        <v>4743.4847837229609</v>
      </c>
      <c r="P174" s="160">
        <f t="shared" si="19"/>
        <v>6.61651480874101E-2</v>
      </c>
    </row>
    <row r="175" spans="1:16" x14ac:dyDescent="0.25">
      <c r="A175" s="10">
        <v>885</v>
      </c>
      <c r="B175" s="10">
        <v>5</v>
      </c>
      <c r="C175" s="9" t="s">
        <v>177</v>
      </c>
      <c r="D175" s="153">
        <v>67757.469411155544</v>
      </c>
      <c r="E175" s="30">
        <v>4686.8135612481565</v>
      </c>
      <c r="F175" s="153">
        <f t="shared" si="13"/>
        <v>72444.2829724037</v>
      </c>
      <c r="G175" s="30">
        <v>-11.90227079653414</v>
      </c>
      <c r="H175" s="168">
        <v>6.5902822184600524E-3</v>
      </c>
      <c r="I175" s="168"/>
      <c r="J175" s="30">
        <f t="shared" si="14"/>
        <v>15.304791215479133</v>
      </c>
      <c r="K175" s="169">
        <f t="shared" si="15"/>
        <v>72447.692083104863</v>
      </c>
      <c r="L175" s="30"/>
      <c r="M175" s="168">
        <f t="shared" si="16"/>
        <v>72447.692083104863</v>
      </c>
      <c r="N175" s="169">
        <v>67762.672740049049</v>
      </c>
      <c r="O175" s="30">
        <f t="shared" si="17"/>
        <v>4685.0193430558138</v>
      </c>
      <c r="P175" s="160">
        <f t="shared" si="19"/>
        <v>6.9138644531163501E-2</v>
      </c>
    </row>
    <row r="176" spans="1:16" x14ac:dyDescent="0.25">
      <c r="A176" s="170">
        <v>983</v>
      </c>
      <c r="B176" s="170">
        <v>7</v>
      </c>
      <c r="C176" s="171" t="s">
        <v>285</v>
      </c>
      <c r="D176" s="153">
        <v>12305.450336182987</v>
      </c>
      <c r="E176" s="30">
        <v>-404.71322138646246</v>
      </c>
      <c r="F176" s="153">
        <f t="shared" si="13"/>
        <v>11900.737114796524</v>
      </c>
      <c r="G176" s="30">
        <v>-36.458120195975425</v>
      </c>
      <c r="H176" s="168">
        <v>1.0826142930296827E-3</v>
      </c>
      <c r="I176" s="168"/>
      <c r="J176" s="30">
        <f t="shared" si="14"/>
        <v>2.5141845481671274</v>
      </c>
      <c r="K176" s="169">
        <f t="shared" si="15"/>
        <v>11866.794261763009</v>
      </c>
      <c r="L176" s="30">
        <f>-(0.1*K176)</f>
        <v>-1186.6794261763009</v>
      </c>
      <c r="M176" s="168">
        <f t="shared" si="16"/>
        <v>10680.114835586708</v>
      </c>
      <c r="N176" s="169">
        <v>11077.00079157401</v>
      </c>
      <c r="O176" s="30">
        <f t="shared" si="17"/>
        <v>-396.88595598730171</v>
      </c>
      <c r="P176" s="160">
        <f t="shared" si="19"/>
        <v>7.1300299155866692E-2</v>
      </c>
    </row>
    <row r="177" spans="1:16" ht="30" x14ac:dyDescent="0.25">
      <c r="A177" s="10">
        <v>695</v>
      </c>
      <c r="B177" s="10">
        <v>9</v>
      </c>
      <c r="C177" s="9" t="s">
        <v>359</v>
      </c>
      <c r="D177" s="153">
        <v>5104.6952904668233</v>
      </c>
      <c r="E177" s="30">
        <v>-165.04828460784483</v>
      </c>
      <c r="F177" s="153">
        <f t="shared" si="13"/>
        <v>4939.6470058589784</v>
      </c>
      <c r="G177" s="30">
        <v>-0.42248828589163168</v>
      </c>
      <c r="H177" s="168">
        <v>4.4936144706660391E-4</v>
      </c>
      <c r="I177" s="168"/>
      <c r="J177" s="30">
        <f t="shared" si="14"/>
        <v>1.0435642814166137</v>
      </c>
      <c r="K177" s="169">
        <f t="shared" si="15"/>
        <v>4940.2685312159501</v>
      </c>
      <c r="L177" s="30">
        <f>-(0.1*K177)</f>
        <v>-494.02685312159502</v>
      </c>
      <c r="M177" s="168">
        <f t="shared" si="16"/>
        <v>4446.2416780943549</v>
      </c>
      <c r="N177" s="169">
        <v>4594.9512155993107</v>
      </c>
      <c r="O177" s="30">
        <f t="shared" si="17"/>
        <v>-148.70953750495573</v>
      </c>
      <c r="P177" s="160">
        <f t="shared" si="19"/>
        <v>7.5151465034999379E-2</v>
      </c>
    </row>
    <row r="178" spans="1:16" x14ac:dyDescent="0.25">
      <c r="A178" s="10">
        <v>524</v>
      </c>
      <c r="B178" s="10">
        <v>5</v>
      </c>
      <c r="C178" s="9" t="s">
        <v>170</v>
      </c>
      <c r="D178" s="153">
        <v>74515.737917919076</v>
      </c>
      <c r="E178" s="30">
        <v>5724.8421841549425</v>
      </c>
      <c r="F178" s="153">
        <f t="shared" si="13"/>
        <v>80240.580102074018</v>
      </c>
      <c r="G178" s="30">
        <v>774.60489513960783</v>
      </c>
      <c r="H178" s="168">
        <v>7.2995141445054744E-3</v>
      </c>
      <c r="I178" s="168"/>
      <c r="J178" s="30">
        <f t="shared" si="14"/>
        <v>16.951859761507762</v>
      </c>
      <c r="K178" s="169">
        <f t="shared" si="15"/>
        <v>81032.144156489274</v>
      </c>
      <c r="L178" s="30"/>
      <c r="M178" s="168">
        <f t="shared" si="16"/>
        <v>81032.144156489274</v>
      </c>
      <c r="N178" s="169">
        <v>75308.889299485047</v>
      </c>
      <c r="O178" s="30">
        <f t="shared" si="17"/>
        <v>5723.2548570042272</v>
      </c>
      <c r="P178" s="160">
        <f t="shared" si="19"/>
        <v>7.5997069007939302E-2</v>
      </c>
    </row>
    <row r="179" spans="1:16" x14ac:dyDescent="0.25">
      <c r="A179" s="170">
        <v>982</v>
      </c>
      <c r="B179" s="170">
        <v>9</v>
      </c>
      <c r="C179" s="171" t="s">
        <v>364</v>
      </c>
      <c r="D179" s="153">
        <v>11049.876868080577</v>
      </c>
      <c r="E179" s="30">
        <v>-366.449973997087</v>
      </c>
      <c r="F179" s="153">
        <f t="shared" si="13"/>
        <v>10683.42689408349</v>
      </c>
      <c r="G179" s="30">
        <v>20.793434076567792</v>
      </c>
      <c r="H179" s="168">
        <v>9.7187514878318952E-4</v>
      </c>
      <c r="I179" s="168"/>
      <c r="J179" s="30">
        <f t="shared" si="14"/>
        <v>2.2570120287071886</v>
      </c>
      <c r="K179" s="169">
        <f t="shared" si="15"/>
        <v>10706.478312063913</v>
      </c>
      <c r="L179" s="30">
        <f>-(0.1)*K179</f>
        <v>-1070.6478312063914</v>
      </c>
      <c r="M179" s="168">
        <f t="shared" si="16"/>
        <v>9635.8304808575213</v>
      </c>
      <c r="N179" s="169">
        <v>9946.9097854842494</v>
      </c>
      <c r="O179" s="30">
        <f t="shared" si="17"/>
        <v>-311.07930462672812</v>
      </c>
      <c r="P179" s="160">
        <f t="shared" si="19"/>
        <v>7.6362261542586754E-2</v>
      </c>
    </row>
    <row r="180" spans="1:16" x14ac:dyDescent="0.25">
      <c r="A180" s="10">
        <v>696</v>
      </c>
      <c r="B180" s="10">
        <v>5</v>
      </c>
      <c r="C180" s="9" t="s">
        <v>173</v>
      </c>
      <c r="D180" s="153">
        <v>44068.225975958791</v>
      </c>
      <c r="E180" s="30">
        <v>1594.8918009564513</v>
      </c>
      <c r="F180" s="153">
        <f t="shared" si="13"/>
        <v>45663.117776915242</v>
      </c>
      <c r="G180" s="30">
        <v>-4.1804092332022265</v>
      </c>
      <c r="H180" s="168">
        <v>4.1539900842042484E-3</v>
      </c>
      <c r="I180" s="168">
        <v>-23406</v>
      </c>
      <c r="J180" s="30">
        <f t="shared" si="14"/>
        <v>0</v>
      </c>
      <c r="K180" s="169">
        <f t="shared" si="15"/>
        <v>22252.941521672125</v>
      </c>
      <c r="L180" s="30"/>
      <c r="M180" s="168">
        <f t="shared" si="16"/>
        <v>22252.941521672125</v>
      </c>
      <c r="N180" s="169">
        <v>20660.246125554735</v>
      </c>
      <c r="O180" s="30">
        <f t="shared" si="17"/>
        <v>1592.6953961173895</v>
      </c>
      <c r="P180" s="160">
        <f t="shared" si="19"/>
        <v>7.7089855872887136E-2</v>
      </c>
    </row>
    <row r="181" spans="1:16" x14ac:dyDescent="0.25">
      <c r="A181" s="10">
        <v>6</v>
      </c>
      <c r="B181" s="10">
        <v>2</v>
      </c>
      <c r="C181" s="9" t="s">
        <v>131</v>
      </c>
      <c r="D181" s="153">
        <v>5231864.7783972938</v>
      </c>
      <c r="E181" s="30">
        <v>414366.42384963203</v>
      </c>
      <c r="F181" s="153">
        <f t="shared" si="13"/>
        <v>5646231.2022469258</v>
      </c>
      <c r="G181" s="30">
        <v>-12347.425445662811</v>
      </c>
      <c r="H181" s="168">
        <v>0.51363966301739494</v>
      </c>
      <c r="I181" s="168"/>
      <c r="J181" s="30">
        <f t="shared" si="14"/>
        <v>1192.8393264328517</v>
      </c>
      <c r="K181" s="169">
        <f t="shared" si="15"/>
        <v>5635077.1297673592</v>
      </c>
      <c r="L181" s="30"/>
      <c r="M181" s="168">
        <f t="shared" si="16"/>
        <v>5635077.1297673592</v>
      </c>
      <c r="N181" s="169">
        <v>5224642.3905709339</v>
      </c>
      <c r="O181" s="30">
        <f t="shared" si="17"/>
        <v>410434.7391964253</v>
      </c>
      <c r="P181" s="160">
        <f t="shared" si="19"/>
        <v>7.8557479826207616E-2</v>
      </c>
    </row>
    <row r="182" spans="1:16" x14ac:dyDescent="0.25">
      <c r="A182" s="10">
        <v>711</v>
      </c>
      <c r="B182" s="10">
        <v>7</v>
      </c>
      <c r="C182" s="9" t="s">
        <v>269</v>
      </c>
      <c r="D182" s="153">
        <v>72054.38484530487</v>
      </c>
      <c r="E182" s="30">
        <v>5753.3140678385826</v>
      </c>
      <c r="F182" s="153">
        <f t="shared" si="13"/>
        <v>77807.698913143453</v>
      </c>
      <c r="G182" s="30">
        <v>-11.47877922943735</v>
      </c>
      <c r="H182" s="168">
        <v>7.0781940764313286E-3</v>
      </c>
      <c r="I182" s="168"/>
      <c r="J182" s="30">
        <f t="shared" si="14"/>
        <v>16.437882162159681</v>
      </c>
      <c r="K182" s="169">
        <f t="shared" si="15"/>
        <v>77812.665094270254</v>
      </c>
      <c r="L182" s="30"/>
      <c r="M182" s="168">
        <f t="shared" si="16"/>
        <v>77812.665094270254</v>
      </c>
      <c r="N182" s="169">
        <v>72061.404975151803</v>
      </c>
      <c r="O182" s="30">
        <f t="shared" si="17"/>
        <v>5751.2601191184513</v>
      </c>
      <c r="P182" s="160">
        <f t="shared" si="19"/>
        <v>7.9810546590114356E-2</v>
      </c>
    </row>
    <row r="183" spans="1:16" x14ac:dyDescent="0.25">
      <c r="A183" s="10">
        <v>922</v>
      </c>
      <c r="B183" s="10">
        <v>8</v>
      </c>
      <c r="C183" s="9" t="s">
        <v>326</v>
      </c>
      <c r="D183" s="153">
        <v>30763.278262492575</v>
      </c>
      <c r="E183" s="30">
        <v>3079.531310647013</v>
      </c>
      <c r="F183" s="153">
        <f t="shared" si="13"/>
        <v>33842.809573139588</v>
      </c>
      <c r="G183" s="30">
        <v>-8.8305934269010322</v>
      </c>
      <c r="H183" s="168">
        <v>3.0786924378498164E-3</v>
      </c>
      <c r="I183" s="168"/>
      <c r="J183" s="30">
        <f t="shared" si="14"/>
        <v>7.1497309851134281</v>
      </c>
      <c r="K183" s="169">
        <f t="shared" si="15"/>
        <v>33841.131789390238</v>
      </c>
      <c r="L183" s="30"/>
      <c r="M183" s="168">
        <f t="shared" si="16"/>
        <v>33841.131789390238</v>
      </c>
      <c r="N183" s="169">
        <v>30763.403770616609</v>
      </c>
      <c r="O183" s="30">
        <f t="shared" si="17"/>
        <v>3077.7280187736287</v>
      </c>
      <c r="P183" s="160">
        <f t="shared" si="19"/>
        <v>0.10004510689786847</v>
      </c>
    </row>
    <row r="184" spans="1:16" x14ac:dyDescent="0.25">
      <c r="A184" s="10">
        <v>629</v>
      </c>
      <c r="B184" s="10">
        <v>9</v>
      </c>
      <c r="C184" s="9" t="s">
        <v>357</v>
      </c>
      <c r="D184" s="153">
        <v>65267.728673524594</v>
      </c>
      <c r="E184" s="30">
        <v>7181.0162518086072</v>
      </c>
      <c r="F184" s="153">
        <f t="shared" si="13"/>
        <v>72448.744925333202</v>
      </c>
      <c r="G184" s="30">
        <v>-13.952098104840843</v>
      </c>
      <c r="H184" s="168">
        <v>6.5906881239068925E-3</v>
      </c>
      <c r="I184" s="168"/>
      <c r="J184" s="30">
        <f t="shared" si="14"/>
        <v>15.305733860712095</v>
      </c>
      <c r="K184" s="169">
        <f t="shared" si="15"/>
        <v>72450.105151777199</v>
      </c>
      <c r="L184" s="30"/>
      <c r="M184" s="168">
        <f t="shared" si="16"/>
        <v>72450.105151777199</v>
      </c>
      <c r="N184" s="169">
        <v>65271.793564664644</v>
      </c>
      <c r="O184" s="30">
        <f t="shared" si="17"/>
        <v>7178.3115871125556</v>
      </c>
      <c r="P184" s="160">
        <f t="shared" si="19"/>
        <v>0.1099757061218337</v>
      </c>
    </row>
    <row r="185" spans="1:16" x14ac:dyDescent="0.25">
      <c r="A185" s="10">
        <v>862</v>
      </c>
      <c r="B185" s="10">
        <v>7</v>
      </c>
      <c r="C185" s="9" t="s">
        <v>277</v>
      </c>
      <c r="D185" s="153">
        <v>436.15500000000065</v>
      </c>
      <c r="E185" s="30">
        <v>0</v>
      </c>
      <c r="F185" s="153">
        <f t="shared" si="13"/>
        <v>436.15500000000065</v>
      </c>
      <c r="G185" s="30">
        <v>0</v>
      </c>
      <c r="H185" s="168">
        <v>3.9677175659083985E-5</v>
      </c>
      <c r="I185" s="168"/>
      <c r="J185" s="30">
        <f t="shared" si="14"/>
        <v>9.2143381626540871E-2</v>
      </c>
      <c r="K185" s="169">
        <f t="shared" si="15"/>
        <v>436.24718305880288</v>
      </c>
      <c r="L185" s="30">
        <f>-(0.1)*(K185)</f>
        <v>-43.624718305880293</v>
      </c>
      <c r="M185" s="168">
        <f t="shared" si="16"/>
        <v>392.62246475292261</v>
      </c>
      <c r="N185" s="169">
        <v>392.62240944464384</v>
      </c>
      <c r="O185" s="30">
        <f t="shared" si="17"/>
        <v>5.5308278774646169E-5</v>
      </c>
      <c r="P185" s="160">
        <f t="shared" si="19"/>
        <v>0.11111126763208795</v>
      </c>
    </row>
    <row r="186" spans="1:16" x14ac:dyDescent="0.25">
      <c r="A186" s="10">
        <v>36</v>
      </c>
      <c r="B186" s="10">
        <v>3</v>
      </c>
      <c r="C186" s="9" t="s">
        <v>138</v>
      </c>
      <c r="D186" s="153">
        <v>971573.07107338414</v>
      </c>
      <c r="E186" s="30">
        <v>115019.9475934623</v>
      </c>
      <c r="F186" s="153">
        <f t="shared" si="13"/>
        <v>1086593.0186668464</v>
      </c>
      <c r="G186" s="30">
        <v>-3356.5054550203495</v>
      </c>
      <c r="H186" s="168">
        <v>9.884775382966772E-2</v>
      </c>
      <c r="I186" s="168"/>
      <c r="J186" s="30">
        <f t="shared" si="14"/>
        <v>229.55682083606547</v>
      </c>
      <c r="K186" s="169">
        <f t="shared" si="15"/>
        <v>1083466.1688804161</v>
      </c>
      <c r="L186" s="30"/>
      <c r="M186" s="168">
        <f t="shared" si="16"/>
        <v>1083466.1688804161</v>
      </c>
      <c r="N186" s="169">
        <v>971630.35505178501</v>
      </c>
      <c r="O186" s="30">
        <f t="shared" si="17"/>
        <v>111835.81382863107</v>
      </c>
      <c r="P186" s="160">
        <f t="shared" si="19"/>
        <v>0.1151011938307244</v>
      </c>
    </row>
    <row r="187" spans="1:16" x14ac:dyDescent="0.25">
      <c r="A187" s="10">
        <v>794</v>
      </c>
      <c r="B187" s="10">
        <v>6</v>
      </c>
      <c r="C187" s="9" t="s">
        <v>202</v>
      </c>
      <c r="D187" s="153">
        <v>8230.7307178910596</v>
      </c>
      <c r="E187" s="30">
        <v>973.06387657002597</v>
      </c>
      <c r="F187" s="153">
        <f t="shared" si="13"/>
        <v>9203.7945944610856</v>
      </c>
      <c r="G187" s="30">
        <v>-1.5594448852571077</v>
      </c>
      <c r="H187" s="168">
        <v>8.3727247160885366E-4</v>
      </c>
      <c r="I187" s="168"/>
      <c r="J187" s="30">
        <f t="shared" si="14"/>
        <v>1.9444205792200491</v>
      </c>
      <c r="K187" s="169">
        <f t="shared" si="15"/>
        <v>9204.1804074275205</v>
      </c>
      <c r="L187" s="30"/>
      <c r="M187" s="168">
        <f t="shared" si="16"/>
        <v>9204.1804074275205</v>
      </c>
      <c r="N187" s="169">
        <v>8231.0711992731704</v>
      </c>
      <c r="O187" s="30">
        <f t="shared" si="17"/>
        <v>973.1092081543502</v>
      </c>
      <c r="P187" s="160">
        <f t="shared" si="19"/>
        <v>0.11822388418171852</v>
      </c>
    </row>
    <row r="188" spans="1:16" x14ac:dyDescent="0.25">
      <c r="A188" s="170">
        <v>990</v>
      </c>
      <c r="B188" s="170">
        <v>8</v>
      </c>
      <c r="C188" s="171" t="s">
        <v>0</v>
      </c>
      <c r="D188" s="153">
        <v>1402.2847876907861</v>
      </c>
      <c r="E188" s="30">
        <v>169.15571674918169</v>
      </c>
      <c r="F188" s="153">
        <f t="shared" si="13"/>
        <v>1571.4405044399678</v>
      </c>
      <c r="G188" s="30">
        <v>9.0875376625452873</v>
      </c>
      <c r="H188" s="168">
        <v>1.4295450225828904E-4</v>
      </c>
      <c r="I188" s="168"/>
      <c r="J188" s="30">
        <f t="shared" si="14"/>
        <v>0.33198711949654514</v>
      </c>
      <c r="K188" s="169">
        <f t="shared" si="15"/>
        <v>1580.8601721765119</v>
      </c>
      <c r="L188" s="30"/>
      <c r="M188" s="168">
        <f t="shared" si="16"/>
        <v>1580.8601721765119</v>
      </c>
      <c r="N188" s="169">
        <v>1402.5569601158302</v>
      </c>
      <c r="O188" s="30">
        <f t="shared" si="17"/>
        <v>178.30321206068174</v>
      </c>
      <c r="P188" s="160">
        <f t="shared" si="19"/>
        <v>0.12712725196269858</v>
      </c>
    </row>
    <row r="189" spans="1:16" x14ac:dyDescent="0.25">
      <c r="A189" s="10">
        <v>89</v>
      </c>
      <c r="B189" s="10">
        <v>4</v>
      </c>
      <c r="C189" s="9" t="s">
        <v>149</v>
      </c>
      <c r="D189" s="153">
        <v>910297.1800858567</v>
      </c>
      <c r="E189" s="30">
        <v>119580.48695818591</v>
      </c>
      <c r="F189" s="153">
        <f t="shared" si="13"/>
        <v>1029877.6670440426</v>
      </c>
      <c r="G189" s="30">
        <v>34721.371379545541</v>
      </c>
      <c r="H189" s="168">
        <v>9.3688338096947252E-2</v>
      </c>
      <c r="I189" s="168"/>
      <c r="J189" s="30">
        <f t="shared" si="14"/>
        <v>217.57496968529694</v>
      </c>
      <c r="K189" s="169">
        <f t="shared" si="15"/>
        <v>1064816.7070816115</v>
      </c>
      <c r="L189" s="30"/>
      <c r="M189" s="168">
        <f t="shared" si="16"/>
        <v>1064816.7070816115</v>
      </c>
      <c r="N189" s="169">
        <v>944017.09066530084</v>
      </c>
      <c r="O189" s="30">
        <f t="shared" si="17"/>
        <v>120799.61641631066</v>
      </c>
      <c r="P189" s="160">
        <f t="shared" si="19"/>
        <v>0.12796337864092749</v>
      </c>
    </row>
    <row r="190" spans="1:16" x14ac:dyDescent="0.25">
      <c r="A190" s="10">
        <v>34</v>
      </c>
      <c r="B190" s="10">
        <v>4</v>
      </c>
      <c r="C190" s="9" t="s">
        <v>146</v>
      </c>
      <c r="D190" s="153">
        <v>703992.69596961874</v>
      </c>
      <c r="E190" s="30">
        <v>90487.527126936824</v>
      </c>
      <c r="F190" s="153">
        <f t="shared" si="13"/>
        <v>794480.22309655556</v>
      </c>
      <c r="G190" s="30">
        <v>-93.660573285538703</v>
      </c>
      <c r="H190" s="168">
        <v>7.227414879909716E-2</v>
      </c>
      <c r="I190" s="168"/>
      <c r="J190" s="30">
        <f t="shared" si="14"/>
        <v>167.8442168300837</v>
      </c>
      <c r="K190" s="169">
        <f t="shared" si="15"/>
        <v>794554.47901424894</v>
      </c>
      <c r="L190" s="30"/>
      <c r="M190" s="168">
        <f t="shared" si="16"/>
        <v>794554.47901424894</v>
      </c>
      <c r="N190" s="169">
        <v>704080.39662220085</v>
      </c>
      <c r="O190" s="30">
        <f t="shared" si="17"/>
        <v>90474.082392048091</v>
      </c>
      <c r="P190" s="160">
        <f t="shared" si="19"/>
        <v>0.12849964695238511</v>
      </c>
    </row>
    <row r="191" spans="1:16" x14ac:dyDescent="0.25">
      <c r="A191" s="10">
        <v>757</v>
      </c>
      <c r="B191" s="10">
        <v>7</v>
      </c>
      <c r="C191" s="9" t="s">
        <v>273</v>
      </c>
      <c r="D191" s="153">
        <v>95040.669730010501</v>
      </c>
      <c r="E191" s="30">
        <v>12405.942152809817</v>
      </c>
      <c r="F191" s="153">
        <f t="shared" si="13"/>
        <v>107446.61188282032</v>
      </c>
      <c r="G191" s="30">
        <v>-15.49665835898486</v>
      </c>
      <c r="H191" s="168">
        <v>9.7744565433116118E-3</v>
      </c>
      <c r="I191" s="168"/>
      <c r="J191" s="30">
        <f t="shared" si="14"/>
        <v>22.699485648903533</v>
      </c>
      <c r="K191" s="169">
        <f t="shared" si="15"/>
        <v>107453.82448456678</v>
      </c>
      <c r="L191" s="30"/>
      <c r="M191" s="168">
        <f t="shared" si="16"/>
        <v>107453.82448456678</v>
      </c>
      <c r="N191" s="169">
        <v>95049.577221941086</v>
      </c>
      <c r="O191" s="30">
        <f t="shared" si="17"/>
        <v>12404.247262625693</v>
      </c>
      <c r="P191" s="160">
        <f t="shared" si="19"/>
        <v>0.13050291884688486</v>
      </c>
    </row>
    <row r="192" spans="1:16" x14ac:dyDescent="0.25">
      <c r="A192" s="10">
        <v>697</v>
      </c>
      <c r="B192" s="10">
        <v>6</v>
      </c>
      <c r="C192" s="9" t="s">
        <v>193</v>
      </c>
      <c r="D192" s="153">
        <v>21242.513695177448</v>
      </c>
      <c r="E192" s="30">
        <v>2828.8596084582605</v>
      </c>
      <c r="F192" s="153">
        <f t="shared" si="13"/>
        <v>24071.373303635708</v>
      </c>
      <c r="G192" s="30">
        <v>-1.367332141571751</v>
      </c>
      <c r="H192" s="168">
        <v>2.1897814009325524E-3</v>
      </c>
      <c r="I192" s="168"/>
      <c r="J192" s="30">
        <f t="shared" si="14"/>
        <v>5.085388764525983</v>
      </c>
      <c r="K192" s="169">
        <f t="shared" si="15"/>
        <v>24075.093550040063</v>
      </c>
      <c r="L192" s="30"/>
      <c r="M192" s="168">
        <f t="shared" si="16"/>
        <v>24075.093550040063</v>
      </c>
      <c r="N192" s="169">
        <v>21246.35758830894</v>
      </c>
      <c r="O192" s="30">
        <f t="shared" si="17"/>
        <v>2828.7359617311231</v>
      </c>
      <c r="P192" s="160">
        <f t="shared" si="19"/>
        <v>0.13313980761048982</v>
      </c>
    </row>
    <row r="193" spans="1:16" x14ac:dyDescent="0.25">
      <c r="A193" s="10">
        <v>923</v>
      </c>
      <c r="B193" s="10">
        <v>5</v>
      </c>
      <c r="C193" s="9" t="s">
        <v>179</v>
      </c>
      <c r="D193" s="153">
        <v>8166.8228159345026</v>
      </c>
      <c r="E193" s="30">
        <v>1243.2013284824798</v>
      </c>
      <c r="F193" s="153">
        <f t="shared" si="13"/>
        <v>9410.0241444169824</v>
      </c>
      <c r="G193" s="30">
        <v>3.2916558678880392</v>
      </c>
      <c r="H193" s="168">
        <v>8.5603324720398381E-4</v>
      </c>
      <c r="I193" s="168"/>
      <c r="J193" s="30">
        <f t="shared" si="14"/>
        <v>1.9879892374361787</v>
      </c>
      <c r="K193" s="169">
        <f t="shared" si="15"/>
        <v>9415.3046455555541</v>
      </c>
      <c r="L193" s="30"/>
      <c r="M193" s="168">
        <f t="shared" si="16"/>
        <v>9415.3046455555541</v>
      </c>
      <c r="N193" s="169">
        <v>8167.8254614673742</v>
      </c>
      <c r="O193" s="30">
        <f t="shared" si="17"/>
        <v>1247.4791840881799</v>
      </c>
      <c r="P193" s="160">
        <f t="shared" si="19"/>
        <v>0.152730881673868</v>
      </c>
    </row>
    <row r="194" spans="1:16" x14ac:dyDescent="0.25">
      <c r="A194" s="10">
        <v>296</v>
      </c>
      <c r="B194" s="10">
        <v>7</v>
      </c>
      <c r="C194" s="9" t="s">
        <v>244</v>
      </c>
      <c r="D194" s="153">
        <v>159693.48765516342</v>
      </c>
      <c r="E194" s="30">
        <v>25754.063436467841</v>
      </c>
      <c r="F194" s="153">
        <f t="shared" si="13"/>
        <v>185447.55109163126</v>
      </c>
      <c r="G194" s="30">
        <v>-34.26883095051744</v>
      </c>
      <c r="H194" s="168">
        <v>1.6870229758250151E-2</v>
      </c>
      <c r="I194" s="168"/>
      <c r="J194" s="30">
        <f t="shared" si="14"/>
        <v>39.178192321407735</v>
      </c>
      <c r="K194" s="169">
        <f t="shared" si="15"/>
        <v>185452.47732323193</v>
      </c>
      <c r="L194" s="30"/>
      <c r="M194" s="168">
        <f t="shared" si="16"/>
        <v>185452.47732323193</v>
      </c>
      <c r="N194" s="169">
        <v>159702.33412287012</v>
      </c>
      <c r="O194" s="30">
        <f t="shared" si="17"/>
        <v>25750.14320036181</v>
      </c>
      <c r="P194" s="160">
        <f t="shared" si="19"/>
        <v>0.16123836474769637</v>
      </c>
    </row>
    <row r="195" spans="1:16" x14ac:dyDescent="0.25">
      <c r="A195" s="10">
        <v>59</v>
      </c>
      <c r="B195" s="10">
        <v>7</v>
      </c>
      <c r="C195" s="9" t="s">
        <v>225</v>
      </c>
      <c r="D195" s="153">
        <v>41902.563100185929</v>
      </c>
      <c r="E195" s="30">
        <v>6765.346014280025</v>
      </c>
      <c r="F195" s="153">
        <f t="shared" si="13"/>
        <v>48667.909114465954</v>
      </c>
      <c r="G195" s="30">
        <v>-3.4620878550704219</v>
      </c>
      <c r="H195" s="168">
        <v>4.4273370221480828E-3</v>
      </c>
      <c r="I195" s="168"/>
      <c r="J195" s="30">
        <f t="shared" si="14"/>
        <v>10.281724897112349</v>
      </c>
      <c r="K195" s="169">
        <f t="shared" si="15"/>
        <v>48674.733178845017</v>
      </c>
      <c r="L195" s="30"/>
      <c r="M195" s="168">
        <f t="shared" si="16"/>
        <v>48674.733178845017</v>
      </c>
      <c r="N195" s="169">
        <v>41909.952228227565</v>
      </c>
      <c r="O195" s="30">
        <f t="shared" si="17"/>
        <v>6764.7809506174526</v>
      </c>
      <c r="P195" s="160">
        <f t="shared" si="19"/>
        <v>0.16141228016149292</v>
      </c>
    </row>
    <row r="196" spans="1:16" x14ac:dyDescent="0.25">
      <c r="A196" s="10">
        <v>223</v>
      </c>
      <c r="B196" s="10">
        <v>5</v>
      </c>
      <c r="C196" s="9" t="s">
        <v>165</v>
      </c>
      <c r="D196" s="153">
        <v>42152.323621743082</v>
      </c>
      <c r="E196" s="30">
        <v>7089.6885099175124</v>
      </c>
      <c r="F196" s="153">
        <f t="shared" si="13"/>
        <v>49242.012131660595</v>
      </c>
      <c r="G196" s="30">
        <v>17.703707738903177</v>
      </c>
      <c r="H196" s="168">
        <v>4.4795633780528466E-3</v>
      </c>
      <c r="I196" s="168"/>
      <c r="J196" s="30">
        <f t="shared" si="14"/>
        <v>10.403011580530663</v>
      </c>
      <c r="K196" s="169">
        <f t="shared" si="15"/>
        <v>49270.123330543407</v>
      </c>
      <c r="L196" s="30"/>
      <c r="M196" s="168">
        <f t="shared" si="16"/>
        <v>49270.123330543407</v>
      </c>
      <c r="N196" s="169">
        <v>42159.965197013364</v>
      </c>
      <c r="O196" s="30">
        <f t="shared" si="17"/>
        <v>7110.1581335300434</v>
      </c>
      <c r="P196" s="160">
        <f t="shared" si="19"/>
        <v>0.16864715377027234</v>
      </c>
    </row>
    <row r="197" spans="1:16" x14ac:dyDescent="0.25">
      <c r="A197" s="10">
        <v>613</v>
      </c>
      <c r="B197" s="10">
        <v>5</v>
      </c>
      <c r="C197" s="9" t="s">
        <v>172</v>
      </c>
      <c r="D197" s="153">
        <v>22346.862611865741</v>
      </c>
      <c r="E197" s="30">
        <v>3802.4709626630065</v>
      </c>
      <c r="F197" s="153">
        <f t="shared" ref="F197:F241" si="20">D197+E197</f>
        <v>26149.333574528748</v>
      </c>
      <c r="G197" s="30">
        <v>8.844376913682936</v>
      </c>
      <c r="H197" s="168">
        <v>2.378814186710133E-3</v>
      </c>
      <c r="I197" s="168"/>
      <c r="J197" s="30">
        <f t="shared" ref="J197:J241" si="21">--(I197&gt;=0)*(-$I$3)*F197/($I$2)</f>
        <v>5.524384732119354</v>
      </c>
      <c r="K197" s="169">
        <f t="shared" ref="K197:K241" si="22">F197+G197+H197+I197+J197</f>
        <v>26163.704714988737</v>
      </c>
      <c r="L197" s="30"/>
      <c r="M197" s="168">
        <f t="shared" ref="M197:M241" si="23">K197+L197</f>
        <v>26163.704714988737</v>
      </c>
      <c r="N197" s="169">
        <v>22350.029157672892</v>
      </c>
      <c r="O197" s="30">
        <f t="shared" ref="O197:O241" si="24">M197-N197</f>
        <v>3813.6755573158443</v>
      </c>
      <c r="P197" s="160">
        <f t="shared" si="19"/>
        <v>0.17063403051564199</v>
      </c>
    </row>
    <row r="198" spans="1:16" x14ac:dyDescent="0.25">
      <c r="A198" s="10">
        <v>214</v>
      </c>
      <c r="B198" s="10">
        <v>5</v>
      </c>
      <c r="C198" s="9" t="s">
        <v>164</v>
      </c>
      <c r="D198" s="153">
        <v>399043.07496018591</v>
      </c>
      <c r="E198" s="30">
        <v>70580.696770589682</v>
      </c>
      <c r="F198" s="153">
        <f t="shared" si="20"/>
        <v>469623.7717307756</v>
      </c>
      <c r="G198" s="30">
        <v>-91.723106936435215</v>
      </c>
      <c r="H198" s="168">
        <v>4.2721841741223905E-2</v>
      </c>
      <c r="I198" s="168"/>
      <c r="J198" s="30">
        <f t="shared" si="21"/>
        <v>99.21409228252412</v>
      </c>
      <c r="K198" s="169">
        <f t="shared" si="22"/>
        <v>469631.3054379634</v>
      </c>
      <c r="L198" s="30"/>
      <c r="M198" s="168">
        <f t="shared" si="23"/>
        <v>469631.3054379634</v>
      </c>
      <c r="N198" s="169">
        <v>399058.47201319144</v>
      </c>
      <c r="O198" s="30">
        <f t="shared" si="24"/>
        <v>70572.833424771961</v>
      </c>
      <c r="P198" s="160">
        <f t="shared" si="19"/>
        <v>0.17684835274575772</v>
      </c>
    </row>
    <row r="199" spans="1:16" x14ac:dyDescent="0.25">
      <c r="A199" s="10">
        <v>565</v>
      </c>
      <c r="B199" s="10">
        <v>5</v>
      </c>
      <c r="C199" s="9" t="s">
        <v>171</v>
      </c>
      <c r="D199" s="153">
        <v>65690.902261771611</v>
      </c>
      <c r="E199" s="30">
        <v>11652.675294562592</v>
      </c>
      <c r="F199" s="153">
        <f t="shared" si="20"/>
        <v>77343.577556334203</v>
      </c>
      <c r="G199" s="30">
        <v>24.030195514525985</v>
      </c>
      <c r="H199" s="168">
        <v>7.0359727913348541E-3</v>
      </c>
      <c r="I199" s="168"/>
      <c r="J199" s="30">
        <f t="shared" si="21"/>
        <v>16.339830526155275</v>
      </c>
      <c r="K199" s="169">
        <f t="shared" si="22"/>
        <v>77383.954618347678</v>
      </c>
      <c r="L199" s="30"/>
      <c r="M199" s="168">
        <f t="shared" si="23"/>
        <v>77383.954618347678</v>
      </c>
      <c r="N199" s="169">
        <v>65699.793975889334</v>
      </c>
      <c r="O199" s="30">
        <f t="shared" si="24"/>
        <v>11684.160642458344</v>
      </c>
      <c r="P199" s="160">
        <f t="shared" si="19"/>
        <v>0.1778416633505156</v>
      </c>
    </row>
    <row r="200" spans="1:16" x14ac:dyDescent="0.25">
      <c r="A200" s="10">
        <v>205</v>
      </c>
      <c r="B200" s="10">
        <v>7</v>
      </c>
      <c r="C200" s="9" t="s">
        <v>231</v>
      </c>
      <c r="D200" s="153">
        <v>113130.28157678389</v>
      </c>
      <c r="E200" s="30">
        <v>17697.633482423742</v>
      </c>
      <c r="F200" s="153">
        <f t="shared" si="20"/>
        <v>130827.91505920763</v>
      </c>
      <c r="G200" s="30">
        <v>-17995.619472029983</v>
      </c>
      <c r="H200" s="168">
        <v>1.1901462019043442E-2</v>
      </c>
      <c r="I200" s="168"/>
      <c r="J200" s="30">
        <f t="shared" si="21"/>
        <v>27.639088178985052</v>
      </c>
      <c r="K200" s="169">
        <f t="shared" si="22"/>
        <v>112859.94657681865</v>
      </c>
      <c r="L200" s="30"/>
      <c r="M200" s="168">
        <f t="shared" si="23"/>
        <v>112859.94657681865</v>
      </c>
      <c r="N200" s="169">
        <v>95163.632730917321</v>
      </c>
      <c r="O200" s="30">
        <f t="shared" si="24"/>
        <v>17696.313845901328</v>
      </c>
      <c r="P200" s="160">
        <f t="shared" si="19"/>
        <v>0.18595668679377816</v>
      </c>
    </row>
    <row r="201" spans="1:16" x14ac:dyDescent="0.25">
      <c r="A201" s="10">
        <v>929</v>
      </c>
      <c r="B201" s="10">
        <v>8</v>
      </c>
      <c r="C201" s="9" t="s">
        <v>328</v>
      </c>
      <c r="D201" s="153">
        <v>4930.5975159425661</v>
      </c>
      <c r="E201" s="30">
        <v>960.97949701117159</v>
      </c>
      <c r="F201" s="153">
        <f t="shared" si="20"/>
        <v>5891.5770129537377</v>
      </c>
      <c r="G201" s="30">
        <v>0</v>
      </c>
      <c r="H201" s="168">
        <v>5.3595885878182398E-4</v>
      </c>
      <c r="I201" s="168"/>
      <c r="J201" s="30">
        <f t="shared" si="21"/>
        <v>1.2446718003616861</v>
      </c>
      <c r="K201" s="169">
        <f t="shared" si="22"/>
        <v>5892.8222207129584</v>
      </c>
      <c r="L201" s="30"/>
      <c r="M201" s="168">
        <f t="shared" si="23"/>
        <v>5892.8222207129584</v>
      </c>
      <c r="N201" s="169">
        <v>4931.6389222260259</v>
      </c>
      <c r="O201" s="30">
        <f t="shared" si="24"/>
        <v>961.18329848693247</v>
      </c>
      <c r="P201" s="160">
        <f t="shared" si="19"/>
        <v>0.1949013935620974</v>
      </c>
    </row>
    <row r="202" spans="1:16" x14ac:dyDescent="0.25">
      <c r="A202" s="10">
        <v>618</v>
      </c>
      <c r="B202" s="10">
        <v>6</v>
      </c>
      <c r="C202" s="9" t="s">
        <v>186</v>
      </c>
      <c r="D202" s="153">
        <v>2764.8401707241369</v>
      </c>
      <c r="E202" s="30">
        <v>591.95094454107129</v>
      </c>
      <c r="F202" s="153">
        <f t="shared" si="20"/>
        <v>3356.7911152652082</v>
      </c>
      <c r="G202" s="30">
        <v>-40.786039437776253</v>
      </c>
      <c r="H202" s="168">
        <v>3.0536848306503397E-4</v>
      </c>
      <c r="I202" s="168"/>
      <c r="J202" s="30">
        <f t="shared" si="21"/>
        <v>0.70916551403621053</v>
      </c>
      <c r="K202" s="169">
        <f t="shared" si="22"/>
        <v>3316.7145467099513</v>
      </c>
      <c r="L202" s="30"/>
      <c r="M202" s="168">
        <f t="shared" si="23"/>
        <v>3316.7145467099513</v>
      </c>
      <c r="N202" s="169">
        <v>2765.3370917399002</v>
      </c>
      <c r="O202" s="30">
        <f t="shared" si="24"/>
        <v>551.37745497005108</v>
      </c>
      <c r="P202" s="160">
        <f t="shared" si="19"/>
        <v>0.19938887617608106</v>
      </c>
    </row>
    <row r="203" spans="1:16" x14ac:dyDescent="0.25">
      <c r="A203" s="170">
        <v>986</v>
      </c>
      <c r="B203" s="170">
        <v>6</v>
      </c>
      <c r="C203" s="171" t="s">
        <v>221</v>
      </c>
      <c r="D203" s="153">
        <v>3103.3687329677441</v>
      </c>
      <c r="E203" s="30">
        <v>665.17083322223925</v>
      </c>
      <c r="F203" s="153">
        <f t="shared" si="20"/>
        <v>3768.5395661899834</v>
      </c>
      <c r="G203" s="30">
        <v>-46.10107982146701</v>
      </c>
      <c r="H203" s="168">
        <v>3.4282538626389218E-4</v>
      </c>
      <c r="I203" s="168"/>
      <c r="J203" s="30">
        <f t="shared" si="21"/>
        <v>0.79615269668388977</v>
      </c>
      <c r="K203" s="169">
        <f t="shared" si="22"/>
        <v>3723.2349818905864</v>
      </c>
      <c r="L203" s="30"/>
      <c r="M203" s="168">
        <f t="shared" si="23"/>
        <v>3723.2349818905864</v>
      </c>
      <c r="N203" s="169">
        <v>3103.910683048186</v>
      </c>
      <c r="O203" s="30">
        <f t="shared" si="24"/>
        <v>619.32429884240037</v>
      </c>
      <c r="P203" s="160">
        <f t="shared" si="19"/>
        <v>0.19953032225598541</v>
      </c>
    </row>
    <row r="204" spans="1:16" x14ac:dyDescent="0.25">
      <c r="A204" s="10">
        <v>616</v>
      </c>
      <c r="B204" s="10">
        <v>8</v>
      </c>
      <c r="C204" s="9" t="s">
        <v>299</v>
      </c>
      <c r="D204" s="153">
        <v>52849.362471656939</v>
      </c>
      <c r="E204" s="30">
        <v>10570.009320938545</v>
      </c>
      <c r="F204" s="153">
        <f t="shared" si="20"/>
        <v>63419.371792595484</v>
      </c>
      <c r="G204" s="30">
        <v>-4.8184583783804555</v>
      </c>
      <c r="H204" s="168">
        <v>5.7692828347802117E-3</v>
      </c>
      <c r="I204" s="168"/>
      <c r="J204" s="30">
        <f t="shared" si="21"/>
        <v>13.398162069907714</v>
      </c>
      <c r="K204" s="169">
        <f t="shared" si="22"/>
        <v>63427.957265569843</v>
      </c>
      <c r="L204" s="30"/>
      <c r="M204" s="168">
        <f t="shared" si="23"/>
        <v>63427.957265569843</v>
      </c>
      <c r="N204" s="169">
        <v>52857.962486450429</v>
      </c>
      <c r="O204" s="30">
        <f t="shared" si="24"/>
        <v>10569.994779119414</v>
      </c>
      <c r="P204" s="160">
        <f t="shared" si="19"/>
        <v>0.19996977336818306</v>
      </c>
    </row>
    <row r="205" spans="1:16" x14ac:dyDescent="0.25">
      <c r="A205" s="10">
        <v>562</v>
      </c>
      <c r="B205" s="10">
        <v>6</v>
      </c>
      <c r="C205" s="9" t="s">
        <v>184</v>
      </c>
      <c r="D205" s="153">
        <v>7881.9492114628174</v>
      </c>
      <c r="E205" s="30">
        <v>1709.1939382901983</v>
      </c>
      <c r="F205" s="153">
        <f t="shared" si="20"/>
        <v>9591.1431497530157</v>
      </c>
      <c r="G205" s="30">
        <v>-125.74845502627977</v>
      </c>
      <c r="H205" s="168">
        <v>8.7250970761350863E-4</v>
      </c>
      <c r="I205" s="168"/>
      <c r="J205" s="30">
        <f t="shared" si="21"/>
        <v>2.0262529685145743</v>
      </c>
      <c r="K205" s="169">
        <f t="shared" si="22"/>
        <v>9467.4218202049578</v>
      </c>
      <c r="L205" s="30"/>
      <c r="M205" s="168">
        <f t="shared" si="23"/>
        <v>9467.4218202049578</v>
      </c>
      <c r="N205" s="169">
        <v>7883.1992369008985</v>
      </c>
      <c r="O205" s="30">
        <f t="shared" si="24"/>
        <v>1584.2225833040593</v>
      </c>
      <c r="P205" s="160">
        <f t="shared" si="19"/>
        <v>0.20096188561217446</v>
      </c>
    </row>
    <row r="206" spans="1:16" x14ac:dyDescent="0.25">
      <c r="A206" s="10">
        <v>710</v>
      </c>
      <c r="B206" s="10">
        <v>6</v>
      </c>
      <c r="C206" s="9" t="s">
        <v>194</v>
      </c>
      <c r="D206" s="153">
        <v>14544.50650614318</v>
      </c>
      <c r="E206" s="30">
        <v>3113.9718148482625</v>
      </c>
      <c r="F206" s="153">
        <f t="shared" si="20"/>
        <v>17658.478320991442</v>
      </c>
      <c r="G206" s="30">
        <v>-178.05564766108546</v>
      </c>
      <c r="H206" s="168">
        <v>1.6063980608134788E-3</v>
      </c>
      <c r="I206" s="168"/>
      <c r="J206" s="30">
        <f t="shared" si="21"/>
        <v>3.7305818043473322</v>
      </c>
      <c r="K206" s="169">
        <f t="shared" si="22"/>
        <v>17484.154861532767</v>
      </c>
      <c r="L206" s="30"/>
      <c r="M206" s="168">
        <f t="shared" si="23"/>
        <v>17484.154861532767</v>
      </c>
      <c r="N206" s="169">
        <v>14547.042336187167</v>
      </c>
      <c r="O206" s="30">
        <f t="shared" si="24"/>
        <v>2937.1125253455994</v>
      </c>
      <c r="P206" s="160">
        <f t="shared" si="19"/>
        <v>0.20190444610443248</v>
      </c>
    </row>
    <row r="207" spans="1:16" x14ac:dyDescent="0.25">
      <c r="A207" s="10">
        <v>603</v>
      </c>
      <c r="B207" s="10">
        <v>6</v>
      </c>
      <c r="C207" s="9" t="s">
        <v>185</v>
      </c>
      <c r="D207" s="153">
        <v>21381.249529651403</v>
      </c>
      <c r="E207" s="30">
        <v>4713.4985607426897</v>
      </c>
      <c r="F207" s="153">
        <f t="shared" si="20"/>
        <v>26094.748090394092</v>
      </c>
      <c r="G207" s="30">
        <v>-326.76614134003103</v>
      </c>
      <c r="H207" s="168">
        <v>2.3738485257812276E-3</v>
      </c>
      <c r="I207" s="168"/>
      <c r="J207" s="30">
        <f t="shared" si="21"/>
        <v>5.5128528430067938</v>
      </c>
      <c r="K207" s="169">
        <f t="shared" si="22"/>
        <v>25773.497175745593</v>
      </c>
      <c r="L207" s="30"/>
      <c r="M207" s="168">
        <f t="shared" si="23"/>
        <v>25773.497175745593</v>
      </c>
      <c r="N207" s="169">
        <v>21383.941316629101</v>
      </c>
      <c r="O207" s="30">
        <f t="shared" si="24"/>
        <v>4389.5558591164918</v>
      </c>
      <c r="P207" s="160">
        <f t="shared" si="19"/>
        <v>0.20527347106508276</v>
      </c>
    </row>
    <row r="208" spans="1:16" x14ac:dyDescent="0.25">
      <c r="A208" s="10">
        <v>969</v>
      </c>
      <c r="B208" s="10">
        <v>6</v>
      </c>
      <c r="C208" s="9" t="s">
        <v>218</v>
      </c>
      <c r="D208" s="153">
        <v>3675.2789645796893</v>
      </c>
      <c r="E208" s="30">
        <v>806.23207821304004</v>
      </c>
      <c r="F208" s="153">
        <f t="shared" si="20"/>
        <v>4481.5110427927293</v>
      </c>
      <c r="G208" s="30">
        <v>-49.91143762287129</v>
      </c>
      <c r="H208" s="168">
        <v>4.0768465537025021E-4</v>
      </c>
      <c r="I208" s="168"/>
      <c r="J208" s="30">
        <f t="shared" si="21"/>
        <v>0.9467771372094943</v>
      </c>
      <c r="K208" s="169">
        <f t="shared" si="22"/>
        <v>4432.546789991723</v>
      </c>
      <c r="L208" s="30"/>
      <c r="M208" s="168">
        <f t="shared" si="23"/>
        <v>4432.546789991723</v>
      </c>
      <c r="N208" s="169">
        <v>3675.69767342162</v>
      </c>
      <c r="O208" s="30">
        <f t="shared" si="24"/>
        <v>756.84911657010298</v>
      </c>
      <c r="P208" s="160">
        <f t="shared" si="19"/>
        <v>0.2059062479601512</v>
      </c>
    </row>
    <row r="209" spans="1:16" x14ac:dyDescent="0.25">
      <c r="A209" s="10">
        <v>718</v>
      </c>
      <c r="B209" s="10">
        <v>7</v>
      </c>
      <c r="C209" s="9" t="s">
        <v>271</v>
      </c>
      <c r="D209" s="153">
        <v>2279.8436347103043</v>
      </c>
      <c r="E209" s="30">
        <v>488.10451639497478</v>
      </c>
      <c r="F209" s="153">
        <f t="shared" si="20"/>
        <v>2767.9481511052791</v>
      </c>
      <c r="G209" s="30">
        <v>-10.918870482138118</v>
      </c>
      <c r="H209" s="168">
        <v>2.5180122893613677E-4</v>
      </c>
      <c r="I209" s="168"/>
      <c r="J209" s="30">
        <f t="shared" si="21"/>
        <v>0.58476482628829562</v>
      </c>
      <c r="K209" s="169">
        <f t="shared" si="22"/>
        <v>2757.6142972506582</v>
      </c>
      <c r="L209" s="30"/>
      <c r="M209" s="168">
        <f t="shared" si="23"/>
        <v>2757.6142972506582</v>
      </c>
      <c r="N209" s="169">
        <v>2280.2320290243115</v>
      </c>
      <c r="O209" s="30">
        <f t="shared" si="24"/>
        <v>477.3822682263467</v>
      </c>
      <c r="P209" s="160">
        <f t="shared" si="19"/>
        <v>0.20935688217247514</v>
      </c>
    </row>
    <row r="210" spans="1:16" x14ac:dyDescent="0.25">
      <c r="A210" s="10">
        <v>437</v>
      </c>
      <c r="B210" s="10">
        <v>7</v>
      </c>
      <c r="C210" s="9" t="s">
        <v>255</v>
      </c>
      <c r="D210" s="153">
        <v>55515.005967635523</v>
      </c>
      <c r="E210" s="30">
        <v>11908.278866273329</v>
      </c>
      <c r="F210" s="153">
        <f t="shared" si="20"/>
        <v>67423.284833908852</v>
      </c>
      <c r="G210" s="30">
        <v>-287.24800056115782</v>
      </c>
      <c r="H210" s="168">
        <v>6.1335202298894911E-3</v>
      </c>
      <c r="I210" s="168"/>
      <c r="J210" s="30">
        <f t="shared" si="21"/>
        <v>14.244040455722898</v>
      </c>
      <c r="K210" s="169">
        <f t="shared" si="22"/>
        <v>67150.287007323655</v>
      </c>
      <c r="L210" s="30"/>
      <c r="M210" s="168">
        <f t="shared" si="23"/>
        <v>67150.287007323655</v>
      </c>
      <c r="N210" s="169">
        <v>55523.086867326456</v>
      </c>
      <c r="O210" s="30">
        <f t="shared" si="24"/>
        <v>11627.2001399972</v>
      </c>
      <c r="P210" s="160">
        <f t="shared" si="19"/>
        <v>0.20941199050731149</v>
      </c>
    </row>
    <row r="211" spans="1:16" x14ac:dyDescent="0.25">
      <c r="A211" s="10">
        <v>975</v>
      </c>
      <c r="B211" s="10">
        <v>7</v>
      </c>
      <c r="C211" s="9" t="s">
        <v>281</v>
      </c>
      <c r="D211" s="153">
        <v>4754.9939172639997</v>
      </c>
      <c r="E211" s="30">
        <v>1030.0890261406003</v>
      </c>
      <c r="F211" s="153">
        <f t="shared" si="20"/>
        <v>5785.0829434046</v>
      </c>
      <c r="G211" s="30">
        <v>-24.676416727928881</v>
      </c>
      <c r="H211" s="168">
        <v>5.2627105535379525E-4</v>
      </c>
      <c r="I211" s="168"/>
      <c r="J211" s="30">
        <f t="shared" si="21"/>
        <v>1.2221735515936345</v>
      </c>
      <c r="K211" s="169">
        <f t="shared" si="22"/>
        <v>5761.6292264993199</v>
      </c>
      <c r="L211" s="30"/>
      <c r="M211" s="168">
        <f t="shared" si="23"/>
        <v>5761.6292264993199</v>
      </c>
      <c r="N211" s="169">
        <v>4755.6917521295609</v>
      </c>
      <c r="O211" s="30">
        <f t="shared" si="24"/>
        <v>1005.937474369759</v>
      </c>
      <c r="P211" s="160">
        <f t="shared" si="19"/>
        <v>0.21152285026028195</v>
      </c>
    </row>
    <row r="212" spans="1:16" x14ac:dyDescent="0.25">
      <c r="A212" s="10">
        <v>967</v>
      </c>
      <c r="B212" s="10">
        <v>7</v>
      </c>
      <c r="C212" s="9" t="s">
        <v>279</v>
      </c>
      <c r="D212" s="153">
        <v>27784.948432602978</v>
      </c>
      <c r="E212" s="30">
        <v>6074.5890081479956</v>
      </c>
      <c r="F212" s="153">
        <f t="shared" si="20"/>
        <v>33859.537440750973</v>
      </c>
      <c r="G212" s="30">
        <v>-155.04452917323943</v>
      </c>
      <c r="H212" s="168">
        <v>3.0802141779229983E-3</v>
      </c>
      <c r="I212" s="168"/>
      <c r="J212" s="30">
        <f t="shared" si="21"/>
        <v>7.1532649633760048</v>
      </c>
      <c r="K212" s="169">
        <f t="shared" si="22"/>
        <v>33711.649256755285</v>
      </c>
      <c r="L212" s="30"/>
      <c r="M212" s="168">
        <f t="shared" si="23"/>
        <v>33711.649256755285</v>
      </c>
      <c r="N212" s="169">
        <v>27788.79322391083</v>
      </c>
      <c r="O212" s="30">
        <f t="shared" si="24"/>
        <v>5922.8560328444546</v>
      </c>
      <c r="P212" s="160">
        <f t="shared" si="19"/>
        <v>0.21313829589937505</v>
      </c>
    </row>
    <row r="213" spans="1:16" x14ac:dyDescent="0.25">
      <c r="A213" s="10">
        <v>321</v>
      </c>
      <c r="B213" s="10">
        <v>7</v>
      </c>
      <c r="C213" s="9" t="s">
        <v>246</v>
      </c>
      <c r="D213" s="153">
        <v>95408.868979968844</v>
      </c>
      <c r="E213" s="30">
        <v>20850.867793244979</v>
      </c>
      <c r="F213" s="153">
        <f t="shared" si="20"/>
        <v>116259.73677321382</v>
      </c>
      <c r="G213" s="30">
        <v>-525.182015282262</v>
      </c>
      <c r="H213" s="168">
        <v>1.0576189652829072E-2</v>
      </c>
      <c r="I213" s="168"/>
      <c r="J213" s="30">
        <f t="shared" si="21"/>
        <v>24.561372203219985</v>
      </c>
      <c r="K213" s="169">
        <f t="shared" si="22"/>
        <v>115759.12670632443</v>
      </c>
      <c r="L213" s="30"/>
      <c r="M213" s="168">
        <f t="shared" si="23"/>
        <v>115759.12670632443</v>
      </c>
      <c r="N213" s="169">
        <v>95418.837219016641</v>
      </c>
      <c r="O213" s="30">
        <f t="shared" si="24"/>
        <v>20340.289487307789</v>
      </c>
      <c r="P213" s="160">
        <f t="shared" si="19"/>
        <v>0.21316849041683816</v>
      </c>
    </row>
    <row r="214" spans="1:16" x14ac:dyDescent="0.25">
      <c r="A214" s="170">
        <v>979</v>
      </c>
      <c r="B214" s="170">
        <v>7</v>
      </c>
      <c r="C214" s="171" t="s">
        <v>283</v>
      </c>
      <c r="D214" s="153">
        <v>3641.8589828784966</v>
      </c>
      <c r="E214" s="30">
        <v>802.52100562311034</v>
      </c>
      <c r="F214" s="153">
        <f t="shared" si="20"/>
        <v>4444.3799885016069</v>
      </c>
      <c r="G214" s="30">
        <v>-25.880287811851304</v>
      </c>
      <c r="H214" s="168">
        <v>4.0430683013950466E-4</v>
      </c>
      <c r="I214" s="168"/>
      <c r="J214" s="30">
        <f t="shared" si="21"/>
        <v>0.93893272202282285</v>
      </c>
      <c r="K214" s="169">
        <f t="shared" si="22"/>
        <v>4419.4390377186082</v>
      </c>
      <c r="L214" s="30"/>
      <c r="M214" s="168">
        <f t="shared" si="23"/>
        <v>4419.4390377186082</v>
      </c>
      <c r="N214" s="169">
        <v>3642.0484158770023</v>
      </c>
      <c r="O214" s="30">
        <f t="shared" si="24"/>
        <v>777.39062184160593</v>
      </c>
      <c r="P214" s="160">
        <f t="shared" si="19"/>
        <v>0.21344873353486457</v>
      </c>
    </row>
    <row r="215" spans="1:16" x14ac:dyDescent="0.25">
      <c r="A215" s="170">
        <v>981</v>
      </c>
      <c r="B215" s="170">
        <v>7</v>
      </c>
      <c r="C215" s="171" t="s">
        <v>284</v>
      </c>
      <c r="D215" s="153">
        <v>18884.199174526868</v>
      </c>
      <c r="E215" s="30">
        <v>4147.9517361969229</v>
      </c>
      <c r="F215" s="153">
        <f t="shared" si="20"/>
        <v>23032.150910723791</v>
      </c>
      <c r="G215" s="30">
        <v>-101.97137350402772</v>
      </c>
      <c r="H215" s="168">
        <v>2.0952429697958701E-3</v>
      </c>
      <c r="I215" s="168"/>
      <c r="J215" s="30">
        <f t="shared" si="21"/>
        <v>4.8658396007082354</v>
      </c>
      <c r="K215" s="169">
        <f t="shared" si="22"/>
        <v>22935.047472063441</v>
      </c>
      <c r="L215" s="30"/>
      <c r="M215" s="168">
        <f t="shared" si="23"/>
        <v>22935.047472063441</v>
      </c>
      <c r="N215" s="169">
        <v>18886.274298300355</v>
      </c>
      <c r="O215" s="30">
        <f t="shared" si="24"/>
        <v>4048.7731737630857</v>
      </c>
      <c r="P215" s="160">
        <f t="shared" si="19"/>
        <v>0.21437648896836414</v>
      </c>
    </row>
    <row r="216" spans="1:16" x14ac:dyDescent="0.25">
      <c r="A216" s="10">
        <v>846</v>
      </c>
      <c r="B216" s="10">
        <v>6</v>
      </c>
      <c r="C216" s="9" t="s">
        <v>209</v>
      </c>
      <c r="D216" s="153">
        <v>4336.0021197831393</v>
      </c>
      <c r="E216" s="30">
        <v>930.90975657939634</v>
      </c>
      <c r="F216" s="153">
        <f t="shared" si="20"/>
        <v>5266.9118763625356</v>
      </c>
      <c r="G216" s="30">
        <v>0</v>
      </c>
      <c r="H216" s="168">
        <v>4.791328488710473E-4</v>
      </c>
      <c r="I216" s="168"/>
      <c r="J216" s="30">
        <f t="shared" si="21"/>
        <v>1.1127032156390111</v>
      </c>
      <c r="K216" s="169">
        <f t="shared" si="22"/>
        <v>5268.025058711024</v>
      </c>
      <c r="L216" s="30"/>
      <c r="M216" s="168">
        <f t="shared" si="23"/>
        <v>5268.025058711024</v>
      </c>
      <c r="N216" s="169">
        <v>4336.9179397903563</v>
      </c>
      <c r="O216" s="30">
        <f t="shared" si="24"/>
        <v>931.10711892066774</v>
      </c>
      <c r="P216" s="160">
        <f t="shared" si="19"/>
        <v>0.2146932756965369</v>
      </c>
    </row>
    <row r="217" spans="1:16" x14ac:dyDescent="0.25">
      <c r="A217" s="10">
        <v>806</v>
      </c>
      <c r="B217" s="10">
        <v>6</v>
      </c>
      <c r="C217" s="9" t="s">
        <v>203</v>
      </c>
      <c r="D217" s="153">
        <v>6267.4053828779006</v>
      </c>
      <c r="E217" s="30">
        <v>1352.0894705650453</v>
      </c>
      <c r="F217" s="153">
        <f t="shared" si="20"/>
        <v>7619.4948534429459</v>
      </c>
      <c r="G217" s="30">
        <v>-1.3119036920979852</v>
      </c>
      <c r="H217" s="168">
        <v>6.9314816002004256E-4</v>
      </c>
      <c r="I217" s="168"/>
      <c r="J217" s="30">
        <f t="shared" si="21"/>
        <v>1.6097167797738337</v>
      </c>
      <c r="K217" s="169">
        <f t="shared" si="22"/>
        <v>7619.7933596787816</v>
      </c>
      <c r="L217" s="30"/>
      <c r="M217" s="168">
        <f t="shared" si="23"/>
        <v>7619.7933596787816</v>
      </c>
      <c r="N217" s="169">
        <v>6267.9414525044003</v>
      </c>
      <c r="O217" s="30">
        <f t="shared" si="24"/>
        <v>1351.8519071743813</v>
      </c>
      <c r="P217" s="160">
        <f t="shared" si="19"/>
        <v>0.21567717526050587</v>
      </c>
    </row>
    <row r="218" spans="1:16" x14ac:dyDescent="0.25">
      <c r="A218" s="10">
        <v>826</v>
      </c>
      <c r="B218" s="10">
        <v>6</v>
      </c>
      <c r="C218" s="9" t="s">
        <v>206</v>
      </c>
      <c r="D218" s="153">
        <v>5366.7964488061998</v>
      </c>
      <c r="E218" s="30">
        <v>1158.4067375404356</v>
      </c>
      <c r="F218" s="153">
        <f t="shared" si="20"/>
        <v>6525.2031863466354</v>
      </c>
      <c r="G218" s="30">
        <v>-1.2265555134981696</v>
      </c>
      <c r="H218" s="168">
        <v>5.9360005740135863E-4</v>
      </c>
      <c r="I218" s="168"/>
      <c r="J218" s="30">
        <f t="shared" si="21"/>
        <v>1.378533519941896</v>
      </c>
      <c r="K218" s="169">
        <f t="shared" si="22"/>
        <v>6525.3557579531362</v>
      </c>
      <c r="L218" s="30"/>
      <c r="M218" s="168">
        <f t="shared" si="23"/>
        <v>6525.3557579531362</v>
      </c>
      <c r="N218" s="169">
        <v>5367.1468444686598</v>
      </c>
      <c r="O218" s="30">
        <f t="shared" si="24"/>
        <v>1158.2089134844764</v>
      </c>
      <c r="P218" s="160">
        <f t="shared" si="19"/>
        <v>0.21579601733425974</v>
      </c>
    </row>
    <row r="219" spans="1:16" x14ac:dyDescent="0.25">
      <c r="A219" s="10">
        <v>843</v>
      </c>
      <c r="B219" s="10">
        <v>6</v>
      </c>
      <c r="C219" s="9" t="s">
        <v>208</v>
      </c>
      <c r="D219" s="153">
        <v>4293.43715904496</v>
      </c>
      <c r="E219" s="30">
        <v>926.72539003234942</v>
      </c>
      <c r="F219" s="153">
        <f t="shared" si="20"/>
        <v>5220.1625490773094</v>
      </c>
      <c r="G219" s="30">
        <v>0</v>
      </c>
      <c r="H219" s="168">
        <v>4.7488004592108704E-4</v>
      </c>
      <c r="I219" s="168"/>
      <c r="J219" s="30">
        <f t="shared" si="21"/>
        <v>1.1028268159535171</v>
      </c>
      <c r="K219" s="169">
        <f t="shared" si="22"/>
        <v>5221.2658507733086</v>
      </c>
      <c r="L219" s="30"/>
      <c r="M219" s="168">
        <f t="shared" si="23"/>
        <v>5221.2658507733086</v>
      </c>
      <c r="N219" s="169">
        <v>4294.3439887792083</v>
      </c>
      <c r="O219" s="30">
        <f t="shared" si="24"/>
        <v>926.92186199410025</v>
      </c>
      <c r="P219" s="160">
        <f t="shared" si="19"/>
        <v>0.2158471385655355</v>
      </c>
    </row>
    <row r="220" spans="1:16" x14ac:dyDescent="0.25">
      <c r="A220" s="10">
        <v>824</v>
      </c>
      <c r="B220" s="10">
        <v>6</v>
      </c>
      <c r="C220" s="9" t="s">
        <v>205</v>
      </c>
      <c r="D220" s="153">
        <v>6749.7424221185156</v>
      </c>
      <c r="E220" s="30">
        <v>1459.1914103184808</v>
      </c>
      <c r="F220" s="153">
        <f t="shared" si="20"/>
        <v>8208.9338324369965</v>
      </c>
      <c r="G220" s="30">
        <v>0</v>
      </c>
      <c r="H220" s="168">
        <v>7.4676963383063304E-4</v>
      </c>
      <c r="I220" s="168"/>
      <c r="J220" s="30">
        <f t="shared" si="21"/>
        <v>1.7342433833597317</v>
      </c>
      <c r="K220" s="169">
        <f t="shared" si="22"/>
        <v>8210.6688225899907</v>
      </c>
      <c r="L220" s="30"/>
      <c r="M220" s="168">
        <f t="shared" si="23"/>
        <v>8210.6688225899907</v>
      </c>
      <c r="N220" s="169">
        <v>6751.1680554514733</v>
      </c>
      <c r="O220" s="30">
        <f t="shared" si="24"/>
        <v>1459.5007671385174</v>
      </c>
      <c r="P220" s="160">
        <f t="shared" si="19"/>
        <v>0.21618492609734269</v>
      </c>
    </row>
    <row r="221" spans="1:16" x14ac:dyDescent="0.25">
      <c r="A221" s="10">
        <v>747</v>
      </c>
      <c r="B221" s="10">
        <v>6</v>
      </c>
      <c r="C221" s="9" t="s">
        <v>197</v>
      </c>
      <c r="D221" s="153">
        <v>6119.0860811990906</v>
      </c>
      <c r="E221" s="30">
        <v>1322.8531239096701</v>
      </c>
      <c r="F221" s="153">
        <f t="shared" si="20"/>
        <v>7441.9392051087607</v>
      </c>
      <c r="G221" s="30">
        <v>0</v>
      </c>
      <c r="H221" s="168">
        <v>6.7699585946584062E-4</v>
      </c>
      <c r="I221" s="168"/>
      <c r="J221" s="30">
        <f t="shared" si="21"/>
        <v>1.5722058539231507</v>
      </c>
      <c r="K221" s="169">
        <f t="shared" si="22"/>
        <v>7443.5120879585429</v>
      </c>
      <c r="L221" s="30"/>
      <c r="M221" s="168">
        <f t="shared" si="23"/>
        <v>7443.5120879585429</v>
      </c>
      <c r="N221" s="169">
        <v>6120.3785117155512</v>
      </c>
      <c r="O221" s="30">
        <f t="shared" si="24"/>
        <v>1323.1335762429917</v>
      </c>
      <c r="P221" s="160">
        <f t="shared" ref="P221:P241" si="25">(K221-N221)/N221</f>
        <v>0.21618492609734286</v>
      </c>
    </row>
    <row r="222" spans="1:16" x14ac:dyDescent="0.25">
      <c r="A222" s="10">
        <v>743</v>
      </c>
      <c r="B222" s="10">
        <v>6</v>
      </c>
      <c r="C222" s="9" t="s">
        <v>196</v>
      </c>
      <c r="D222" s="153">
        <v>4236.5704393023079</v>
      </c>
      <c r="E222" s="30">
        <v>918.69667257740002</v>
      </c>
      <c r="F222" s="153">
        <f t="shared" si="20"/>
        <v>5155.267111879708</v>
      </c>
      <c r="G222" s="30">
        <v>0</v>
      </c>
      <c r="H222" s="168">
        <v>4.6897648489080591E-4</v>
      </c>
      <c r="I222" s="168"/>
      <c r="J222" s="30">
        <f t="shared" si="21"/>
        <v>1.0891168159867168</v>
      </c>
      <c r="K222" s="169">
        <f t="shared" si="22"/>
        <v>5156.3566976721795</v>
      </c>
      <c r="L222" s="30"/>
      <c r="M222" s="168">
        <f t="shared" si="23"/>
        <v>5156.3566976721795</v>
      </c>
      <c r="N222" s="169">
        <v>4237.4652580461907</v>
      </c>
      <c r="O222" s="30">
        <f t="shared" si="24"/>
        <v>918.89143962598882</v>
      </c>
      <c r="P222" s="160">
        <f t="shared" si="25"/>
        <v>0.21684931525542961</v>
      </c>
    </row>
    <row r="223" spans="1:16" x14ac:dyDescent="0.25">
      <c r="A223" s="10">
        <v>634</v>
      </c>
      <c r="B223" s="10">
        <v>6</v>
      </c>
      <c r="C223" s="9" t="s">
        <v>192</v>
      </c>
      <c r="D223" s="153">
        <v>57532.366063788133</v>
      </c>
      <c r="E223" s="30">
        <v>12746.612819710332</v>
      </c>
      <c r="F223" s="153">
        <f t="shared" si="20"/>
        <v>70278.978883498465</v>
      </c>
      <c r="G223" s="30">
        <v>0</v>
      </c>
      <c r="H223" s="168">
        <v>6.3933037344559122E-3</v>
      </c>
      <c r="I223" s="168"/>
      <c r="J223" s="30">
        <f t="shared" si="21"/>
        <v>14.847342737297055</v>
      </c>
      <c r="K223" s="169">
        <f t="shared" si="22"/>
        <v>70293.832619539491</v>
      </c>
      <c r="L223" s="30"/>
      <c r="M223" s="168">
        <f t="shared" si="23"/>
        <v>70293.832619539491</v>
      </c>
      <c r="N223" s="169">
        <v>57544.517647308669</v>
      </c>
      <c r="O223" s="30">
        <f t="shared" si="24"/>
        <v>12749.314972230823</v>
      </c>
      <c r="P223" s="160">
        <f t="shared" si="25"/>
        <v>0.22155568407700613</v>
      </c>
    </row>
    <row r="224" spans="1:16" x14ac:dyDescent="0.25">
      <c r="A224" s="10">
        <v>694</v>
      </c>
      <c r="B224" s="10">
        <v>6</v>
      </c>
      <c r="C224" s="9" t="s">
        <v>38</v>
      </c>
      <c r="D224" s="153">
        <v>2882.8504460997701</v>
      </c>
      <c r="E224" s="30">
        <v>625.77273372297577</v>
      </c>
      <c r="F224" s="153">
        <f t="shared" si="20"/>
        <v>3508.6231798227459</v>
      </c>
      <c r="G224" s="30">
        <v>53.161657189276411</v>
      </c>
      <c r="H224" s="168">
        <v>3.1918070004324306E-4</v>
      </c>
      <c r="I224" s="168"/>
      <c r="J224" s="30">
        <f t="shared" si="21"/>
        <v>0.74124200030295229</v>
      </c>
      <c r="K224" s="169">
        <f t="shared" si="22"/>
        <v>3562.5263981930252</v>
      </c>
      <c r="L224" s="30"/>
      <c r="M224" s="168">
        <f t="shared" si="23"/>
        <v>3562.5263981930252</v>
      </c>
      <c r="N224" s="169">
        <v>2882.736298299812</v>
      </c>
      <c r="O224" s="30">
        <f t="shared" si="24"/>
        <v>679.79009989321321</v>
      </c>
      <c r="P224" s="160">
        <f t="shared" si="25"/>
        <v>0.23581418123265097</v>
      </c>
    </row>
    <row r="225" spans="1:16" x14ac:dyDescent="0.25">
      <c r="A225" s="10">
        <v>558</v>
      </c>
      <c r="B225" s="10">
        <v>7</v>
      </c>
      <c r="C225" s="9" t="s">
        <v>264</v>
      </c>
      <c r="D225" s="153">
        <v>66484.316422844378</v>
      </c>
      <c r="E225" s="30">
        <v>14509.39318883614</v>
      </c>
      <c r="F225" s="153">
        <f t="shared" si="20"/>
        <v>80993.709611680519</v>
      </c>
      <c r="G225" s="30">
        <v>-6649.60954373602</v>
      </c>
      <c r="H225" s="168">
        <v>7.3680266041739337E-3</v>
      </c>
      <c r="I225" s="168"/>
      <c r="J225" s="30">
        <f t="shared" si="21"/>
        <v>17.110968105600758</v>
      </c>
      <c r="K225" s="169">
        <f t="shared" si="22"/>
        <v>74361.218404076702</v>
      </c>
      <c r="L225" s="30"/>
      <c r="M225" s="168">
        <f t="shared" si="23"/>
        <v>74361.218404076702</v>
      </c>
      <c r="N225" s="169">
        <v>60162.730085289739</v>
      </c>
      <c r="O225" s="30">
        <f t="shared" si="24"/>
        <v>14198.488318786964</v>
      </c>
      <c r="P225" s="160">
        <f t="shared" si="25"/>
        <v>0.23600139652337029</v>
      </c>
    </row>
    <row r="226" spans="1:16" x14ac:dyDescent="0.25">
      <c r="A226" s="10">
        <v>522</v>
      </c>
      <c r="B226" s="10">
        <v>9</v>
      </c>
      <c r="C226" s="9" t="s">
        <v>350</v>
      </c>
      <c r="D226" s="153">
        <v>23011.843744199436</v>
      </c>
      <c r="E226" s="30">
        <v>6756.557684631618</v>
      </c>
      <c r="F226" s="153">
        <f t="shared" si="20"/>
        <v>29768.401428831054</v>
      </c>
      <c r="G226" s="30">
        <v>-7.2560641878080787</v>
      </c>
      <c r="H226" s="168">
        <v>2.7080420781186837E-3</v>
      </c>
      <c r="I226" s="168"/>
      <c r="J226" s="30">
        <f t="shared" si="21"/>
        <v>6.2889595975486703</v>
      </c>
      <c r="K226" s="169">
        <f t="shared" si="22"/>
        <v>29767.437032282873</v>
      </c>
      <c r="L226" s="30"/>
      <c r="M226" s="168">
        <f t="shared" si="23"/>
        <v>29767.437032282873</v>
      </c>
      <c r="N226" s="169">
        <v>23011.525994807154</v>
      </c>
      <c r="O226" s="30">
        <f t="shared" si="24"/>
        <v>6755.9110374757183</v>
      </c>
      <c r="P226" s="160">
        <f t="shared" si="25"/>
        <v>0.29358813661468069</v>
      </c>
    </row>
    <row r="227" spans="1:16" x14ac:dyDescent="0.25">
      <c r="A227" s="10">
        <v>611</v>
      </c>
      <c r="B227" s="10">
        <v>8</v>
      </c>
      <c r="C227" s="9" t="s">
        <v>298</v>
      </c>
      <c r="D227" s="153">
        <v>5223.8846769797674</v>
      </c>
      <c r="E227" s="30">
        <v>1703.1664102749155</v>
      </c>
      <c r="F227" s="153">
        <f t="shared" si="20"/>
        <v>6927.0510872546829</v>
      </c>
      <c r="G227" s="30">
        <v>-0.49169833514861239</v>
      </c>
      <c r="H227" s="168">
        <v>6.301563040397389E-4</v>
      </c>
      <c r="I227" s="168"/>
      <c r="J227" s="30">
        <f t="shared" si="21"/>
        <v>1.463429083420922</v>
      </c>
      <c r="K227" s="169">
        <f t="shared" si="22"/>
        <v>6928.0234481592597</v>
      </c>
      <c r="L227" s="30"/>
      <c r="M227" s="168">
        <f t="shared" si="23"/>
        <v>6928.0234481592597</v>
      </c>
      <c r="N227" s="169">
        <v>5224.8030062032649</v>
      </c>
      <c r="O227" s="30">
        <f t="shared" si="24"/>
        <v>1703.2204419559948</v>
      </c>
      <c r="P227" s="160">
        <f t="shared" si="25"/>
        <v>0.32598749463545479</v>
      </c>
    </row>
    <row r="228" spans="1:16" x14ac:dyDescent="0.25">
      <c r="A228" s="10">
        <v>952</v>
      </c>
      <c r="B228" s="10">
        <v>9</v>
      </c>
      <c r="C228" s="9" t="s">
        <v>363</v>
      </c>
      <c r="D228" s="153">
        <v>17104.803910328486</v>
      </c>
      <c r="E228" s="30">
        <v>5775.1027735376265</v>
      </c>
      <c r="F228" s="153">
        <f t="shared" si="20"/>
        <v>22879.906683866113</v>
      </c>
      <c r="G228" s="30">
        <v>-5.8637969378905836</v>
      </c>
      <c r="H228" s="168">
        <v>2.0813932582664516E-3</v>
      </c>
      <c r="I228" s="168"/>
      <c r="J228" s="30">
        <f t="shared" si="21"/>
        <v>4.8336760398278491</v>
      </c>
      <c r="K228" s="169">
        <f t="shared" si="22"/>
        <v>22878.878644361306</v>
      </c>
      <c r="L228" s="30"/>
      <c r="M228" s="168">
        <f t="shared" si="23"/>
        <v>22878.878644361306</v>
      </c>
      <c r="N228" s="169">
        <v>17104.178959063451</v>
      </c>
      <c r="O228" s="30">
        <f t="shared" si="24"/>
        <v>5774.6996852978555</v>
      </c>
      <c r="P228" s="160">
        <f t="shared" si="25"/>
        <v>0.33761922738991573</v>
      </c>
    </row>
    <row r="229" spans="1:16" x14ac:dyDescent="0.25">
      <c r="A229" s="10">
        <v>936</v>
      </c>
      <c r="B229" s="10">
        <v>9</v>
      </c>
      <c r="C229" s="9" t="s">
        <v>362</v>
      </c>
      <c r="D229" s="153">
        <v>7475.3221415499111</v>
      </c>
      <c r="E229" s="30">
        <v>2494.7758345703141</v>
      </c>
      <c r="F229" s="153">
        <f t="shared" si="20"/>
        <v>9970.0979761202252</v>
      </c>
      <c r="G229" s="30">
        <v>30.825826025435163</v>
      </c>
      <c r="H229" s="168">
        <v>9.0698336310898492E-4</v>
      </c>
      <c r="I229" s="168"/>
      <c r="J229" s="30">
        <f t="shared" si="21"/>
        <v>2.1063120740737751</v>
      </c>
      <c r="K229" s="169">
        <f t="shared" si="22"/>
        <v>10003.031021203098</v>
      </c>
      <c r="L229" s="30"/>
      <c r="M229" s="168">
        <f t="shared" si="23"/>
        <v>10003.031021203098</v>
      </c>
      <c r="N229" s="169">
        <v>7476.1267775267461</v>
      </c>
      <c r="O229" s="30">
        <f t="shared" si="24"/>
        <v>2526.9042436763521</v>
      </c>
      <c r="P229" s="160">
        <f t="shared" si="25"/>
        <v>0.3379964410545086</v>
      </c>
    </row>
    <row r="230" spans="1:16" x14ac:dyDescent="0.25">
      <c r="A230" s="10">
        <v>369</v>
      </c>
      <c r="B230" s="10">
        <v>9</v>
      </c>
      <c r="C230" s="9" t="s">
        <v>343</v>
      </c>
      <c r="D230" s="153">
        <v>80561.978063395654</v>
      </c>
      <c r="E230" s="30">
        <v>27335.652339140885</v>
      </c>
      <c r="F230" s="153">
        <f t="shared" si="20"/>
        <v>107897.63040253654</v>
      </c>
      <c r="G230" s="30">
        <v>-25.607005426762043</v>
      </c>
      <c r="H230" s="168">
        <v>9.8154858586519851E-3</v>
      </c>
      <c r="I230" s="168"/>
      <c r="J230" s="30">
        <f t="shared" si="21"/>
        <v>22.79476914120065</v>
      </c>
      <c r="K230" s="169">
        <f t="shared" si="22"/>
        <v>107894.82798173683</v>
      </c>
      <c r="L230" s="30"/>
      <c r="M230" s="168">
        <f t="shared" si="23"/>
        <v>107894.82798173683</v>
      </c>
      <c r="N230" s="169">
        <v>80560.604138322611</v>
      </c>
      <c r="O230" s="30">
        <f t="shared" si="24"/>
        <v>27334.22384341422</v>
      </c>
      <c r="P230" s="160">
        <f t="shared" si="25"/>
        <v>0.33930013479642407</v>
      </c>
    </row>
    <row r="231" spans="1:16" x14ac:dyDescent="0.25">
      <c r="A231" s="93">
        <v>521</v>
      </c>
      <c r="B231" s="93">
        <v>9</v>
      </c>
      <c r="C231" s="94" t="s">
        <v>349</v>
      </c>
      <c r="D231" s="153">
        <v>32109.459103766891</v>
      </c>
      <c r="E231" s="30">
        <v>10810.897859013847</v>
      </c>
      <c r="F231" s="153">
        <f t="shared" si="20"/>
        <v>42920.356962780737</v>
      </c>
      <c r="G231" s="30">
        <v>135.75841545544972</v>
      </c>
      <c r="H231" s="168">
        <v>3.9044801562812237E-3</v>
      </c>
      <c r="I231" s="168"/>
      <c r="J231" s="30">
        <f t="shared" si="21"/>
        <v>9.0674802104042378</v>
      </c>
      <c r="K231" s="169">
        <f t="shared" si="22"/>
        <v>43065.186762926751</v>
      </c>
      <c r="L231" s="30"/>
      <c r="M231" s="168">
        <f t="shared" si="23"/>
        <v>43065.186762926751</v>
      </c>
      <c r="N231" s="169">
        <v>32113.366344105518</v>
      </c>
      <c r="O231" s="30">
        <f t="shared" si="24"/>
        <v>10951.820418821233</v>
      </c>
      <c r="P231" s="160">
        <f t="shared" si="25"/>
        <v>0.34103619973903687</v>
      </c>
    </row>
    <row r="232" spans="1:16" x14ac:dyDescent="0.25">
      <c r="A232" s="93">
        <v>797</v>
      </c>
      <c r="B232" s="93">
        <v>8</v>
      </c>
      <c r="C232" s="94" t="s">
        <v>309</v>
      </c>
      <c r="D232" s="153">
        <v>5666.9730512053484</v>
      </c>
      <c r="E232" s="30">
        <v>2010.1889177568237</v>
      </c>
      <c r="F232" s="153">
        <f t="shared" si="20"/>
        <v>7677.1619689621721</v>
      </c>
      <c r="G232" s="30">
        <v>-187.56124313290638</v>
      </c>
      <c r="H232" s="168">
        <v>6.9839415805333124E-4</v>
      </c>
      <c r="I232" s="168"/>
      <c r="J232" s="30">
        <f t="shared" si="21"/>
        <v>1.6218997033505207</v>
      </c>
      <c r="K232" s="169">
        <f t="shared" si="22"/>
        <v>7491.2233239267744</v>
      </c>
      <c r="L232" s="30"/>
      <c r="M232" s="168">
        <f t="shared" si="23"/>
        <v>7491.2233239267744</v>
      </c>
      <c r="N232" s="169">
        <v>5480.8526254516091</v>
      </c>
      <c r="O232" s="30">
        <f t="shared" si="24"/>
        <v>2010.3706984751652</v>
      </c>
      <c r="P232" s="160">
        <f t="shared" si="25"/>
        <v>0.3667988971532537</v>
      </c>
    </row>
    <row r="233" spans="1:16" x14ac:dyDescent="0.25">
      <c r="A233" s="172">
        <v>985</v>
      </c>
      <c r="B233" s="172">
        <v>8</v>
      </c>
      <c r="C233" s="71" t="s">
        <v>333</v>
      </c>
      <c r="D233" s="153">
        <v>7847.7722078000133</v>
      </c>
      <c r="E233" s="30">
        <v>3185.6898715056122</v>
      </c>
      <c r="F233" s="153">
        <f t="shared" si="20"/>
        <v>11033.462079305626</v>
      </c>
      <c r="G233" s="30">
        <v>-2.0637202544858155</v>
      </c>
      <c r="H233" s="168">
        <v>1.0037179742257928E-3</v>
      </c>
      <c r="I233" s="168"/>
      <c r="J233" s="30">
        <f t="shared" si="21"/>
        <v>2.3309614862501267</v>
      </c>
      <c r="K233" s="169">
        <f t="shared" si="22"/>
        <v>11033.730324255364</v>
      </c>
      <c r="L233" s="30"/>
      <c r="M233" s="168">
        <f t="shared" si="23"/>
        <v>11033.730324255364</v>
      </c>
      <c r="N233" s="169">
        <v>7848.4591387945784</v>
      </c>
      <c r="O233" s="30">
        <f t="shared" si="24"/>
        <v>3185.271185460786</v>
      </c>
      <c r="P233" s="160">
        <f t="shared" si="25"/>
        <v>0.4058466928516114</v>
      </c>
    </row>
    <row r="234" spans="1:16" x14ac:dyDescent="0.25">
      <c r="A234" s="93">
        <v>974</v>
      </c>
      <c r="B234" s="93">
        <v>8</v>
      </c>
      <c r="C234" s="94" t="s">
        <v>331</v>
      </c>
      <c r="D234" s="153">
        <v>4086.0959605620251</v>
      </c>
      <c r="E234" s="30">
        <v>1673.103675232031</v>
      </c>
      <c r="F234" s="153">
        <f t="shared" si="20"/>
        <v>5759.1996357940561</v>
      </c>
      <c r="G234" s="30">
        <v>-0.896353547099352</v>
      </c>
      <c r="H234" s="168">
        <v>5.2391644164375729E-4</v>
      </c>
      <c r="I234" s="168"/>
      <c r="J234" s="30">
        <f t="shared" si="21"/>
        <v>1.2167053682851421</v>
      </c>
      <c r="K234" s="169">
        <f t="shared" si="22"/>
        <v>5759.520511531684</v>
      </c>
      <c r="L234" s="30"/>
      <c r="M234" s="168">
        <f t="shared" si="23"/>
        <v>5759.520511531684</v>
      </c>
      <c r="N234" s="169">
        <v>4086.4359462348425</v>
      </c>
      <c r="O234" s="30">
        <f t="shared" si="24"/>
        <v>1673.0845652968414</v>
      </c>
      <c r="P234" s="160">
        <f t="shared" si="25"/>
        <v>0.40942390565020037</v>
      </c>
    </row>
    <row r="235" spans="1:16" x14ac:dyDescent="0.25">
      <c r="A235" s="93">
        <v>897</v>
      </c>
      <c r="B235" s="93">
        <v>8</v>
      </c>
      <c r="C235" s="94" t="s">
        <v>322</v>
      </c>
      <c r="D235" s="153">
        <v>57105.993491494264</v>
      </c>
      <c r="E235" s="30">
        <v>23447.684595926614</v>
      </c>
      <c r="F235" s="153">
        <f t="shared" si="20"/>
        <v>80553.678087420878</v>
      </c>
      <c r="G235" s="30">
        <v>-14.629581556800986</v>
      </c>
      <c r="H235" s="168">
        <v>7.327996779722571E-3</v>
      </c>
      <c r="I235" s="168"/>
      <c r="J235" s="30">
        <f t="shared" si="21"/>
        <v>17.018005758115198</v>
      </c>
      <c r="K235" s="169">
        <f t="shared" si="22"/>
        <v>80556.07383961897</v>
      </c>
      <c r="L235" s="30"/>
      <c r="M235" s="168">
        <f t="shared" si="23"/>
        <v>80556.07383961897</v>
      </c>
      <c r="N235" s="169">
        <v>57108.799964704325</v>
      </c>
      <c r="O235" s="30">
        <f t="shared" si="24"/>
        <v>23447.273874914645</v>
      </c>
      <c r="P235" s="160">
        <f t="shared" si="25"/>
        <v>0.41057199397301397</v>
      </c>
    </row>
    <row r="236" spans="1:16" x14ac:dyDescent="0.25">
      <c r="A236" s="93">
        <v>978</v>
      </c>
      <c r="B236" s="93">
        <v>8</v>
      </c>
      <c r="C236" s="94" t="s">
        <v>332</v>
      </c>
      <c r="D236" s="153">
        <v>9178.4142876902351</v>
      </c>
      <c r="E236" s="30">
        <v>3722.9261780816323</v>
      </c>
      <c r="F236" s="153">
        <f t="shared" si="20"/>
        <v>12901.340465771867</v>
      </c>
      <c r="G236" s="30">
        <v>102.57077878298696</v>
      </c>
      <c r="H236" s="168">
        <v>1.1736395361696599E-3</v>
      </c>
      <c r="I236" s="168"/>
      <c r="J236" s="30">
        <f t="shared" si="21"/>
        <v>2.7255749401739062</v>
      </c>
      <c r="K236" s="169">
        <f t="shared" si="22"/>
        <v>13006.637993134564</v>
      </c>
      <c r="L236" s="30"/>
      <c r="M236" s="168">
        <f t="shared" si="23"/>
        <v>13006.637993134564</v>
      </c>
      <c r="N236" s="169">
        <v>9179.3703362437809</v>
      </c>
      <c r="O236" s="30">
        <f t="shared" si="24"/>
        <v>3827.2676568907827</v>
      </c>
      <c r="P236" s="160">
        <f t="shared" si="25"/>
        <v>0.41694228652908988</v>
      </c>
    </row>
    <row r="237" spans="1:16" x14ac:dyDescent="0.25">
      <c r="A237" s="93">
        <v>907</v>
      </c>
      <c r="B237" s="93">
        <v>8</v>
      </c>
      <c r="C237" s="94" t="s">
        <v>324</v>
      </c>
      <c r="D237" s="153">
        <v>4383.6383946263759</v>
      </c>
      <c r="E237" s="30">
        <v>1788.9231326191184</v>
      </c>
      <c r="F237" s="153">
        <f t="shared" si="20"/>
        <v>6172.5615272454943</v>
      </c>
      <c r="G237" s="30">
        <v>44.057302844998958</v>
      </c>
      <c r="H237" s="168">
        <v>5.6152012010185102E-4</v>
      </c>
      <c r="I237" s="168"/>
      <c r="J237" s="30">
        <f t="shared" si="21"/>
        <v>1.3040334110999181</v>
      </c>
      <c r="K237" s="169">
        <f t="shared" si="22"/>
        <v>6217.9234250217132</v>
      </c>
      <c r="L237" s="30"/>
      <c r="M237" s="168">
        <f t="shared" si="23"/>
        <v>6217.9234250217132</v>
      </c>
      <c r="N237" s="169">
        <v>4384.4478811265171</v>
      </c>
      <c r="O237" s="30">
        <f t="shared" si="24"/>
        <v>1833.4755438951961</v>
      </c>
      <c r="P237" s="160">
        <f t="shared" si="25"/>
        <v>0.41817706438880337</v>
      </c>
    </row>
    <row r="238" spans="1:16" x14ac:dyDescent="0.25">
      <c r="A238" s="93">
        <v>796</v>
      </c>
      <c r="B238" s="93">
        <v>8</v>
      </c>
      <c r="C238" s="94" t="s">
        <v>308</v>
      </c>
      <c r="D238" s="153">
        <v>1398.6155105051787</v>
      </c>
      <c r="E238" s="30">
        <v>567.30303666005807</v>
      </c>
      <c r="F238" s="153">
        <f t="shared" si="20"/>
        <v>1965.9185471652368</v>
      </c>
      <c r="G238" s="30">
        <v>17.464925466152863</v>
      </c>
      <c r="H238" s="168">
        <v>1.7884031027347197E-4</v>
      </c>
      <c r="I238" s="168"/>
      <c r="J238" s="30">
        <f t="shared" si="21"/>
        <v>0.41532570516935707</v>
      </c>
      <c r="K238" s="169">
        <f t="shared" si="22"/>
        <v>1983.7989771768694</v>
      </c>
      <c r="L238" s="30"/>
      <c r="M238" s="168">
        <f t="shared" si="23"/>
        <v>1983.7989771768694</v>
      </c>
      <c r="N238" s="169">
        <v>1398.7840589738882</v>
      </c>
      <c r="O238" s="30">
        <f t="shared" si="24"/>
        <v>585.01491820298111</v>
      </c>
      <c r="P238" s="160">
        <f t="shared" si="25"/>
        <v>0.4182310446346757</v>
      </c>
    </row>
    <row r="239" spans="1:16" x14ac:dyDescent="0.25">
      <c r="A239" s="93">
        <v>512</v>
      </c>
      <c r="B239" s="93">
        <v>9</v>
      </c>
      <c r="C239" s="94" t="s">
        <v>347</v>
      </c>
      <c r="D239" s="153">
        <v>57758.682315965263</v>
      </c>
      <c r="E239" s="30">
        <v>19167.156372439895</v>
      </c>
      <c r="F239" s="153">
        <f t="shared" si="20"/>
        <v>76925.838688405158</v>
      </c>
      <c r="G239" s="30">
        <v>-12301.239370955125</v>
      </c>
      <c r="H239" s="168">
        <v>6.9979709377680083E-3</v>
      </c>
      <c r="I239" s="168"/>
      <c r="J239" s="30">
        <f t="shared" si="21"/>
        <v>16.251577790481431</v>
      </c>
      <c r="K239" s="169">
        <f t="shared" si="22"/>
        <v>64640.857893211454</v>
      </c>
      <c r="L239" s="30"/>
      <c r="M239" s="168">
        <f t="shared" si="23"/>
        <v>64640.857893211454</v>
      </c>
      <c r="N239" s="169">
        <v>45473.457511223321</v>
      </c>
      <c r="O239" s="30">
        <f t="shared" si="24"/>
        <v>19167.400381988133</v>
      </c>
      <c r="P239" s="160">
        <f t="shared" si="25"/>
        <v>0.4215074338092154</v>
      </c>
    </row>
    <row r="240" spans="1:16" x14ac:dyDescent="0.25">
      <c r="A240" s="93">
        <v>245</v>
      </c>
      <c r="B240" s="93">
        <v>8</v>
      </c>
      <c r="C240" s="94" t="s">
        <v>288</v>
      </c>
      <c r="D240" s="153">
        <v>62330.287783061111</v>
      </c>
      <c r="E240" s="30">
        <v>25755.358117539072</v>
      </c>
      <c r="F240" s="153">
        <f t="shared" si="20"/>
        <v>88085.645900600182</v>
      </c>
      <c r="G240" s="30">
        <v>780.68471050304652</v>
      </c>
      <c r="H240" s="168">
        <v>8.0131825737225961E-3</v>
      </c>
      <c r="I240" s="168"/>
      <c r="J240" s="30">
        <f t="shared" si="21"/>
        <v>18.60923131923132</v>
      </c>
      <c r="K240" s="169">
        <f t="shared" si="22"/>
        <v>88884.947855605031</v>
      </c>
      <c r="L240" s="30"/>
      <c r="M240" s="168">
        <f t="shared" si="23"/>
        <v>88884.947855605031</v>
      </c>
      <c r="N240" s="169">
        <v>62330.889194335381</v>
      </c>
      <c r="O240" s="30">
        <f t="shared" si="24"/>
        <v>26554.05866126965</v>
      </c>
      <c r="P240" s="160">
        <f t="shared" si="25"/>
        <v>0.4260176455766474</v>
      </c>
    </row>
    <row r="241" spans="1:16" x14ac:dyDescent="0.25">
      <c r="A241" s="93">
        <v>706</v>
      </c>
      <c r="B241" s="93">
        <v>8</v>
      </c>
      <c r="C241" s="94" t="s">
        <v>301</v>
      </c>
      <c r="D241" s="153">
        <v>5828.4817953651755</v>
      </c>
      <c r="E241" s="30">
        <v>2002.2597919545906</v>
      </c>
      <c r="F241" s="153">
        <f t="shared" si="20"/>
        <v>7830.741587319766</v>
      </c>
      <c r="G241" s="30">
        <v>0</v>
      </c>
      <c r="H241" s="168">
        <v>7.1236535062301246E-4</v>
      </c>
      <c r="I241" s="168"/>
      <c r="J241" s="30">
        <f t="shared" si="21"/>
        <v>1.6543453829469539</v>
      </c>
      <c r="K241" s="169">
        <f t="shared" si="22"/>
        <v>7832.3966450680637</v>
      </c>
      <c r="L241" s="30">
        <f>-(0.1*K241)</f>
        <v>-783.23966450680643</v>
      </c>
      <c r="M241" s="168">
        <f t="shared" si="23"/>
        <v>7049.1569805612571</v>
      </c>
      <c r="N241" s="169">
        <v>5246.7415618312643</v>
      </c>
      <c r="O241" s="30">
        <f t="shared" si="24"/>
        <v>1802.4154187299928</v>
      </c>
      <c r="P241" s="160">
        <f t="shared" si="25"/>
        <v>0.49281159606693703</v>
      </c>
    </row>
  </sheetData>
  <mergeCells count="1">
    <mergeCell ref="A1:C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B1:AD262"/>
  <sheetViews>
    <sheetView topLeftCell="N1" workbookViewId="0">
      <selection activeCell="AA10" sqref="AA10"/>
    </sheetView>
  </sheetViews>
  <sheetFormatPr defaultRowHeight="15" x14ac:dyDescent="0.25"/>
  <cols>
    <col min="1" max="1" width="4.5703125" customWidth="1"/>
    <col min="2" max="3" width="6.5703125" style="1" customWidth="1"/>
    <col min="4" max="4" width="60.140625" customWidth="1"/>
    <col min="5" max="7" width="16.42578125" customWidth="1"/>
    <col min="8" max="26" width="14.5703125" customWidth="1"/>
    <col min="27" max="27" width="22.42578125" customWidth="1"/>
    <col min="28" max="28" width="4.5703125" customWidth="1"/>
    <col min="29" max="29" width="22.140625" customWidth="1"/>
    <col min="30" max="30" width="16.140625" customWidth="1"/>
    <col min="31" max="31" width="12.5703125" customWidth="1"/>
    <col min="32" max="32" width="4.5703125" customWidth="1"/>
    <col min="33" max="36" width="12.5703125" customWidth="1"/>
  </cols>
  <sheetData>
    <row r="1" spans="2:29" ht="24.75" customHeight="1" thickBot="1" x14ac:dyDescent="0.3">
      <c r="D1" s="95" t="s">
        <v>96</v>
      </c>
      <c r="J1" s="71"/>
      <c r="K1" s="71"/>
      <c r="L1" s="71"/>
      <c r="M1" s="31"/>
      <c r="N1" s="31"/>
      <c r="O1" s="31"/>
      <c r="AB1" s="96"/>
      <c r="AC1" s="96"/>
    </row>
    <row r="2" spans="2:29" ht="45" customHeight="1" thickBot="1" x14ac:dyDescent="0.3">
      <c r="B2" s="277" t="s">
        <v>97</v>
      </c>
      <c r="C2" s="278"/>
      <c r="D2" s="278"/>
      <c r="E2" s="278"/>
      <c r="F2" s="278"/>
      <c r="G2" s="278"/>
      <c r="H2" s="278"/>
      <c r="I2" s="279"/>
      <c r="J2" s="214"/>
      <c r="K2" s="214"/>
      <c r="L2" s="214"/>
      <c r="M2" s="214"/>
      <c r="N2" s="254"/>
      <c r="O2" s="254"/>
      <c r="Q2" s="98" t="s">
        <v>40</v>
      </c>
      <c r="R2" s="15">
        <v>0.9</v>
      </c>
      <c r="S2" s="178" t="s">
        <v>41</v>
      </c>
      <c r="T2" s="178" t="s">
        <v>42</v>
      </c>
      <c r="U2" s="178" t="s">
        <v>43</v>
      </c>
      <c r="W2" s="37"/>
      <c r="X2" s="223"/>
      <c r="Y2" s="223"/>
      <c r="Z2" s="19"/>
    </row>
    <row r="3" spans="2:29" ht="15.75" thickBot="1" x14ac:dyDescent="0.3">
      <c r="B3" s="23"/>
      <c r="H3" s="19"/>
      <c r="I3" s="19"/>
      <c r="J3" s="71"/>
      <c r="K3" s="71"/>
      <c r="L3" s="71"/>
      <c r="M3" s="31"/>
      <c r="N3" s="254"/>
      <c r="O3" s="254"/>
      <c r="R3" s="99">
        <v>1</v>
      </c>
      <c r="S3" s="100">
        <f t="shared" ref="S3:S11" si="0">SUMPRODUCT(--($C$26:$C$300=$R3),$E$26:$E$300)</f>
        <v>418448.41000000003</v>
      </c>
      <c r="T3" s="101">
        <f>INDEX('Revised 2016 Cost Bands'!$M$6:$M$242,MATCH('Revised 2016 MFAM (2014 PYAs)'!R3,'Revised 2016 Cost Bands'!$C$6:$C$242,0))</f>
        <v>289.2034192100524</v>
      </c>
      <c r="U3" s="179">
        <f>INDEX('Revised 2016 Cost Bands'!$R$6:$R$242,MATCH('Revised 2016 MFAM (2014 PYAs)'!R3,'Revised 2016 Cost Bands'!$C$6:$C$242,0))</f>
        <v>359.87786393485146</v>
      </c>
      <c r="W3" s="96"/>
      <c r="X3" s="19"/>
      <c r="Y3" s="96"/>
      <c r="Z3" s="19"/>
    </row>
    <row r="4" spans="2:29" x14ac:dyDescent="0.25">
      <c r="D4" s="280" t="s">
        <v>98</v>
      </c>
      <c r="E4" s="281"/>
      <c r="F4" s="252"/>
      <c r="G4" s="106"/>
      <c r="H4" s="180"/>
      <c r="I4" s="180"/>
      <c r="J4" s="255"/>
      <c r="K4" s="255"/>
      <c r="L4" s="255"/>
      <c r="M4" s="255"/>
      <c r="N4" s="254"/>
      <c r="O4" s="254"/>
      <c r="R4" s="107">
        <v>2</v>
      </c>
      <c r="S4" s="20">
        <f t="shared" si="0"/>
        <v>227714.83</v>
      </c>
      <c r="T4" s="108">
        <f>INDEX('Revised 2016 Cost Bands'!$M$6:$M$242,MATCH('Revised 2016 MFAM (2014 PYAs)'!R4,'Revised 2016 Cost Bands'!$C$6:$C$242,0))</f>
        <v>201.48027649319107</v>
      </c>
      <c r="U4" s="109">
        <f>INDEX('Revised 2016 Cost Bands'!$R$6:$R$242,MATCH('Revised 2016 MFAM (2014 PYAs)'!R4,'Revised 2016 Cost Bands'!$C$6:$C$242,0))</f>
        <v>261.32967201903267</v>
      </c>
      <c r="W4" s="96"/>
      <c r="X4" s="19"/>
      <c r="Y4" s="96"/>
      <c r="Z4" s="19"/>
    </row>
    <row r="5" spans="2:29" x14ac:dyDescent="0.25">
      <c r="D5" s="110"/>
      <c r="E5" s="111"/>
      <c r="F5" s="111"/>
      <c r="G5" s="112"/>
      <c r="H5" s="111"/>
      <c r="I5" s="111"/>
      <c r="J5" s="256"/>
      <c r="K5" s="256"/>
      <c r="L5" s="256"/>
      <c r="M5" s="256"/>
      <c r="N5" s="113"/>
      <c r="O5" s="113"/>
      <c r="P5" s="114"/>
      <c r="R5" s="107">
        <v>3</v>
      </c>
      <c r="S5" s="20">
        <f t="shared" si="0"/>
        <v>51485.634700530652</v>
      </c>
      <c r="T5" s="108">
        <f>INDEX('Revised 2016 Cost Bands'!$M$6:$M$242,MATCH('Revised 2016 MFAM (2014 PYAs)'!R5,'Revised 2016 Cost Bands'!$C$6:$C$242,0))</f>
        <v>200.20324483264034</v>
      </c>
      <c r="U5" s="109">
        <f>INDEX('Revised 2016 Cost Bands'!$R$6:$R$242,MATCH('Revised 2016 MFAM (2014 PYAs)'!R5,'Revised 2016 Cost Bands'!$C$6:$C$242,0))</f>
        <v>289.89208307063024</v>
      </c>
      <c r="W5" s="96"/>
      <c r="X5" s="19"/>
      <c r="Y5" s="96"/>
      <c r="Z5" s="19"/>
    </row>
    <row r="6" spans="2:29" x14ac:dyDescent="0.25">
      <c r="D6" s="116" t="s">
        <v>49</v>
      </c>
      <c r="E6" s="248">
        <v>121552551</v>
      </c>
      <c r="F6" s="248"/>
      <c r="G6" s="249"/>
      <c r="H6" s="96"/>
      <c r="I6" s="96"/>
      <c r="J6" s="37"/>
      <c r="K6" s="37"/>
      <c r="L6" s="37"/>
      <c r="M6" s="37"/>
      <c r="N6" s="113"/>
      <c r="O6" s="113"/>
      <c r="P6" s="114"/>
      <c r="R6" s="107">
        <v>4</v>
      </c>
      <c r="S6" s="20">
        <f t="shared" si="0"/>
        <v>101474.71155381936</v>
      </c>
      <c r="T6" s="108">
        <f>INDEX('Revised 2016 Cost Bands'!$M$6:$M$242,MATCH('Revised 2016 MFAM (2014 PYAs)'!R6,'Revised 2016 Cost Bands'!$C$6:$C$242,0))</f>
        <v>325.79174309395529</v>
      </c>
      <c r="U6" s="109">
        <f>INDEX('Revised 2016 Cost Bands'!$R$6:$R$242,MATCH('Revised 2016 MFAM (2014 PYAs)'!R6,'Revised 2016 Cost Bands'!$C$6:$C$242,0))</f>
        <v>447.47730959827243</v>
      </c>
      <c r="W6" s="96"/>
      <c r="X6" s="19"/>
      <c r="Y6" s="96"/>
      <c r="Z6" s="19"/>
    </row>
    <row r="7" spans="2:29" x14ac:dyDescent="0.25">
      <c r="D7" s="116"/>
      <c r="E7" s="96"/>
      <c r="F7" s="96"/>
      <c r="G7" s="103"/>
      <c r="H7" s="96"/>
      <c r="I7" s="96"/>
      <c r="J7" s="96"/>
      <c r="K7" s="96"/>
      <c r="L7" s="96"/>
      <c r="M7" s="96"/>
      <c r="N7" s="113"/>
      <c r="O7" s="113"/>
      <c r="P7" s="114"/>
      <c r="R7" s="107">
        <v>5</v>
      </c>
      <c r="S7" s="20">
        <f t="shared" si="0"/>
        <v>19218.22263534406</v>
      </c>
      <c r="T7" s="108">
        <f>INDEX('Revised 2016 Cost Bands'!$M$6:$M$242,MATCH('Revised 2016 MFAM (2014 PYAs)'!R7,'Revised 2016 Cost Bands'!$C$6:$C$242,0))</f>
        <v>257.8869893618413</v>
      </c>
      <c r="U7" s="109">
        <f>INDEX('Revised 2016 Cost Bands'!$R$6:$R$242,MATCH('Revised 2016 MFAM (2014 PYAs)'!R7,'Revised 2016 Cost Bands'!$C$6:$C$242,0))</f>
        <v>399.78301944609098</v>
      </c>
      <c r="W7" s="96"/>
      <c r="X7" s="19"/>
      <c r="Y7" s="96"/>
      <c r="Z7" s="19"/>
    </row>
    <row r="8" spans="2:29" x14ac:dyDescent="0.25">
      <c r="D8" s="116" t="s">
        <v>52</v>
      </c>
      <c r="E8" s="117">
        <v>-6516034</v>
      </c>
      <c r="F8" s="117"/>
      <c r="G8" s="250"/>
      <c r="H8" s="96"/>
      <c r="I8" s="96"/>
      <c r="J8" s="96"/>
      <c r="K8" s="96"/>
      <c r="L8" s="96"/>
      <c r="M8" s="96"/>
      <c r="N8" s="113"/>
      <c r="O8" s="113"/>
      <c r="P8" s="114"/>
      <c r="R8" s="107">
        <v>6</v>
      </c>
      <c r="S8" s="20">
        <f t="shared" si="0"/>
        <v>10549.842280169185</v>
      </c>
      <c r="T8" s="108">
        <f>INDEX('Revised 2016 Cost Bands'!$M$6:$M$242,MATCH('Revised 2016 MFAM (2014 PYAs)'!R8,'Revised 2016 Cost Bands'!$C$6:$C$242,0))</f>
        <v>536.62475300859887</v>
      </c>
      <c r="U8" s="109">
        <f>INDEX('Revised 2016 Cost Bands'!$R$6:$R$242,MATCH('Revised 2016 MFAM (2014 PYAs)'!R8,'Revised 2016 Cost Bands'!$C$6:$C$242,0))</f>
        <v>850.68169803401406</v>
      </c>
      <c r="W8" s="96"/>
      <c r="X8" s="19"/>
      <c r="Y8" s="222"/>
      <c r="Z8" s="19"/>
    </row>
    <row r="9" spans="2:29" x14ac:dyDescent="0.25">
      <c r="D9" s="119" t="s">
        <v>54</v>
      </c>
      <c r="E9" s="117">
        <v>-4200000</v>
      </c>
      <c r="F9" s="117"/>
      <c r="G9" s="250"/>
      <c r="H9" s="19"/>
      <c r="I9" s="19"/>
      <c r="J9" s="19"/>
      <c r="K9" s="19"/>
      <c r="L9" s="19"/>
      <c r="M9" s="19"/>
      <c r="N9" s="113"/>
      <c r="O9" s="113"/>
      <c r="P9" s="114"/>
      <c r="R9" s="107">
        <v>7</v>
      </c>
      <c r="S9" s="20">
        <f t="shared" si="0"/>
        <v>41355.101286921345</v>
      </c>
      <c r="T9" s="108">
        <f>INDEX('Revised 2016 Cost Bands'!$M$6:$M$242,MATCH('Revised 2016 MFAM (2014 PYAs)'!R9,'Revised 2016 Cost Bands'!$C$6:$C$242,0))</f>
        <v>428.0703756818483</v>
      </c>
      <c r="U9" s="109">
        <f>INDEX('Revised 2016 Cost Bands'!$R$6:$R$242,MATCH('Revised 2016 MFAM (2014 PYAs)'!R9,'Revised 2016 Cost Bands'!$C$6:$C$242,0))</f>
        <v>655.20137599530074</v>
      </c>
      <c r="W9" s="96"/>
      <c r="X9" s="71"/>
      <c r="Y9" s="96"/>
      <c r="Z9" s="19"/>
    </row>
    <row r="10" spans="2:29" ht="15.75" thickBot="1" x14ac:dyDescent="0.3">
      <c r="D10" s="116" t="s">
        <v>99</v>
      </c>
      <c r="E10" s="123">
        <f>E6+E8+E9</f>
        <v>110836517</v>
      </c>
      <c r="F10" s="181"/>
      <c r="G10" s="251"/>
      <c r="H10" s="96"/>
      <c r="I10" s="96"/>
      <c r="J10" s="96"/>
      <c r="K10" s="96"/>
      <c r="L10" s="96"/>
      <c r="M10" s="96"/>
      <c r="N10" s="113"/>
      <c r="O10" s="113"/>
      <c r="P10" s="114"/>
      <c r="R10" s="107">
        <v>8</v>
      </c>
      <c r="S10" s="20">
        <f t="shared" si="0"/>
        <v>5715.8693220621999</v>
      </c>
      <c r="T10" s="108">
        <f>INDEX('Revised 2016 Cost Bands'!$M$6:$M$242,MATCH('Revised 2016 MFAM (2014 PYAs)'!R10,'Revised 2016 Cost Bands'!$C$6:$C$242,0))</f>
        <v>714.77448042333879</v>
      </c>
      <c r="U10" s="109">
        <f>INDEX('Revised 2016 Cost Bands'!$R$6:$R$242,MATCH('Revised 2016 MFAM (2014 PYAs)'!R10,'Revised 2016 Cost Bands'!$C$6:$C$242,0))</f>
        <v>1535.2875763339728</v>
      </c>
      <c r="W10" s="124"/>
      <c r="X10" s="124"/>
      <c r="Y10" s="124"/>
      <c r="Z10" s="124"/>
    </row>
    <row r="11" spans="2:29" ht="16.5" thickTop="1" thickBot="1" x14ac:dyDescent="0.3">
      <c r="D11" s="116" t="s">
        <v>56</v>
      </c>
      <c r="E11" s="96">
        <f>E10-E9</f>
        <v>115036517</v>
      </c>
      <c r="F11" s="96"/>
      <c r="G11" s="103"/>
      <c r="H11" s="125"/>
      <c r="I11" s="125"/>
      <c r="J11" s="125"/>
      <c r="K11" s="96"/>
      <c r="L11" s="96"/>
      <c r="M11" s="96"/>
      <c r="N11" s="113"/>
      <c r="O11" s="113"/>
      <c r="P11" s="114"/>
      <c r="R11" s="126">
        <v>9</v>
      </c>
      <c r="S11" s="127">
        <f t="shared" si="0"/>
        <v>8541.6256324735405</v>
      </c>
      <c r="T11" s="128">
        <f>INDEX('Revised 2016 Cost Bands'!$M$6:$M$242,MATCH('Revised 2016 MFAM (2014 PYAs)'!R11,'Revised 2016 Cost Bands'!$C$6:$C$242,0))</f>
        <v>501.71939107556835</v>
      </c>
      <c r="U11" s="129">
        <f>INDEX('Revised 2016 Cost Bands'!$R$6:$R$242,MATCH('Revised 2016 MFAM (2014 PYAs)'!R11,'Revised 2016 Cost Bands'!$C$6:$C$242,0))</f>
        <v>947.90197900063697</v>
      </c>
      <c r="W11" s="124"/>
      <c r="X11" s="124"/>
      <c r="Y11" s="124"/>
      <c r="Z11" s="124"/>
    </row>
    <row r="12" spans="2:29" x14ac:dyDescent="0.25">
      <c r="D12" s="102"/>
      <c r="E12" s="19"/>
      <c r="F12" s="19"/>
      <c r="G12" s="120"/>
      <c r="H12" s="19"/>
      <c r="I12" s="19"/>
      <c r="J12" s="19"/>
      <c r="K12" s="19"/>
      <c r="L12" s="19"/>
      <c r="M12" s="19"/>
      <c r="N12" s="114"/>
      <c r="O12" s="114"/>
      <c r="P12" s="114"/>
      <c r="Q12" s="114"/>
      <c r="R12" s="97"/>
      <c r="S12" s="97"/>
      <c r="W12" s="124"/>
      <c r="X12" s="124"/>
      <c r="Y12" s="130"/>
      <c r="Z12" s="124"/>
      <c r="AB12" s="96"/>
      <c r="AC12" s="96"/>
    </row>
    <row r="13" spans="2:29" x14ac:dyDescent="0.25">
      <c r="D13" s="282" t="s">
        <v>100</v>
      </c>
      <c r="E13" s="283"/>
      <c r="F13" s="111"/>
      <c r="G13" s="112"/>
      <c r="H13" s="111"/>
      <c r="I13" s="111"/>
      <c r="J13" s="111"/>
      <c r="K13" s="111"/>
      <c r="L13" s="111"/>
      <c r="M13" s="111"/>
      <c r="N13" s="113"/>
      <c r="O13" s="113"/>
      <c r="P13" s="114"/>
      <c r="Q13" s="131"/>
      <c r="R13" s="97"/>
      <c r="S13" s="97"/>
      <c r="T13" s="97"/>
      <c r="W13" s="124"/>
      <c r="X13" s="124"/>
      <c r="Y13" s="124"/>
      <c r="Z13" s="124"/>
      <c r="AB13" s="96"/>
      <c r="AC13" s="96"/>
    </row>
    <row r="14" spans="2:29" x14ac:dyDescent="0.25">
      <c r="D14" s="116" t="s">
        <v>101</v>
      </c>
      <c r="E14" s="17">
        <f>$E$11*G14</f>
        <v>57518258.5</v>
      </c>
      <c r="F14" s="17"/>
      <c r="G14" s="132">
        <v>0.5</v>
      </c>
      <c r="H14" s="17"/>
      <c r="I14" s="17"/>
      <c r="J14" s="17"/>
      <c r="K14" s="19"/>
      <c r="L14" s="182"/>
      <c r="M14" s="182"/>
      <c r="N14" s="97"/>
      <c r="O14" s="97"/>
      <c r="P14" s="97"/>
      <c r="Q14" s="97"/>
      <c r="R14" s="97"/>
      <c r="S14" s="97"/>
      <c r="W14" s="124"/>
      <c r="X14" s="124"/>
      <c r="Y14" s="124"/>
      <c r="Z14" s="124"/>
      <c r="AB14" s="96"/>
      <c r="AC14" s="96"/>
    </row>
    <row r="15" spans="2:29" x14ac:dyDescent="0.25">
      <c r="D15" s="116" t="s">
        <v>102</v>
      </c>
      <c r="E15" s="17">
        <f>$E$11*G15</f>
        <v>40262780.949999996</v>
      </c>
      <c r="F15" s="253">
        <v>45.687720094576726</v>
      </c>
      <c r="G15" s="132">
        <v>0.35</v>
      </c>
      <c r="H15" s="133"/>
      <c r="I15" s="133"/>
      <c r="J15" s="133"/>
      <c r="K15" s="19"/>
      <c r="L15" s="182"/>
      <c r="M15" s="182"/>
      <c r="N15" s="97"/>
      <c r="O15" s="97"/>
      <c r="P15" s="97"/>
      <c r="Q15" s="97"/>
      <c r="R15" s="97"/>
      <c r="S15" s="97"/>
      <c r="T15" s="97"/>
      <c r="AB15" s="96"/>
      <c r="AC15" s="96"/>
    </row>
    <row r="16" spans="2:29" x14ac:dyDescent="0.25">
      <c r="D16" s="116" t="s">
        <v>103</v>
      </c>
      <c r="E16" s="134">
        <f>$E$11*G16</f>
        <v>17255477.550000001</v>
      </c>
      <c r="F16" s="17"/>
      <c r="G16" s="132">
        <v>0.15</v>
      </c>
      <c r="H16" s="17"/>
      <c r="I16" s="17"/>
      <c r="J16" s="17"/>
      <c r="K16" s="19"/>
      <c r="L16" s="182"/>
      <c r="M16" s="182"/>
      <c r="N16" s="97"/>
      <c r="O16" s="97"/>
      <c r="P16" s="97"/>
      <c r="Q16" s="97"/>
      <c r="R16" s="97"/>
      <c r="S16" s="97"/>
      <c r="T16" s="135"/>
    </row>
    <row r="17" spans="2:30" ht="15.75" thickBot="1" x14ac:dyDescent="0.3">
      <c r="D17" s="116" t="s">
        <v>104</v>
      </c>
      <c r="E17" s="136">
        <f>E14+E15+E16</f>
        <v>115036516.99999999</v>
      </c>
      <c r="F17" s="17"/>
      <c r="G17" s="137"/>
      <c r="H17" s="17"/>
      <c r="I17" s="17"/>
      <c r="J17" s="17"/>
      <c r="K17" s="17"/>
      <c r="L17" s="17"/>
      <c r="M17" s="17"/>
      <c r="N17" s="97"/>
      <c r="O17" s="97"/>
      <c r="P17" s="97"/>
      <c r="Q17" s="97"/>
      <c r="R17" s="97"/>
      <c r="S17" s="97"/>
      <c r="U17" s="15">
        <v>0.5</v>
      </c>
      <c r="V17" s="15">
        <v>0.35</v>
      </c>
      <c r="W17" s="15">
        <v>0.15</v>
      </c>
      <c r="X17" s="15"/>
    </row>
    <row r="18" spans="2:30" ht="16.5" thickTop="1" thickBot="1" x14ac:dyDescent="0.3">
      <c r="D18" s="102"/>
      <c r="E18" s="17"/>
      <c r="F18" s="17"/>
      <c r="G18" s="137"/>
      <c r="H18" s="17"/>
      <c r="I18" s="17"/>
      <c r="J18" s="17"/>
      <c r="K18" s="17"/>
      <c r="L18" s="17"/>
      <c r="M18" s="17"/>
      <c r="N18" s="96"/>
      <c r="O18" s="96"/>
      <c r="T18" s="97"/>
      <c r="U18" s="183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183"/>
      <c r="W18" s="183"/>
      <c r="X18" s="183"/>
      <c r="Y18" s="183"/>
      <c r="Z18" s="183"/>
      <c r="AA18" s="184"/>
    </row>
    <row r="19" spans="2:30" ht="15.75" thickBot="1" x14ac:dyDescent="0.3">
      <c r="D19" s="139" t="s">
        <v>57</v>
      </c>
      <c r="E19" s="127">
        <f>F24</f>
        <v>881260.45393933565</v>
      </c>
      <c r="F19" s="127"/>
      <c r="G19" s="140"/>
      <c r="H19" s="20"/>
      <c r="I19" s="20"/>
      <c r="J19" s="20"/>
      <c r="K19" s="20"/>
      <c r="L19" s="20"/>
      <c r="M19" s="20"/>
      <c r="N19" s="96"/>
      <c r="O19" s="96"/>
      <c r="T19" s="97"/>
      <c r="U19" s="224">
        <f>SUM(U26:U300)</f>
        <v>57518258.500000022</v>
      </c>
      <c r="V19" s="225">
        <f>SUM(V26:V300)</f>
        <v>40262780.949999921</v>
      </c>
      <c r="W19" s="225">
        <f>SUM(W26:W300)</f>
        <v>12889381.280778499</v>
      </c>
      <c r="X19" s="225"/>
      <c r="Y19" s="225">
        <f>SUM(Y26:Y300)</f>
        <v>110836516.99999993</v>
      </c>
      <c r="Z19" s="226">
        <f>75%</f>
        <v>0.75</v>
      </c>
      <c r="AA19" s="227">
        <f>SUMPRODUCT(--(Z$26:Z$300&lt;Z$19-0.5%),Y$26:Y$300)</f>
        <v>110453288.53077264</v>
      </c>
    </row>
    <row r="20" spans="2:30" x14ac:dyDescent="0.25">
      <c r="H20" s="19"/>
      <c r="I20" s="19"/>
      <c r="J20" s="19"/>
      <c r="K20" s="19"/>
      <c r="L20" s="19"/>
      <c r="N20" s="96"/>
      <c r="O20" s="96"/>
      <c r="U20" s="228"/>
      <c r="V20" s="229"/>
      <c r="W20" s="229"/>
      <c r="X20" s="229"/>
      <c r="Y20" s="225"/>
      <c r="Z20" s="230"/>
      <c r="AA20" s="231"/>
    </row>
    <row r="21" spans="2:30" x14ac:dyDescent="0.25">
      <c r="N21" s="96"/>
      <c r="O21" s="96"/>
      <c r="U21" s="228"/>
      <c r="V21" s="229"/>
      <c r="W21" s="229"/>
      <c r="X21" s="229"/>
      <c r="Y21" s="232"/>
      <c r="Z21" s="232"/>
      <c r="AA21" s="227"/>
    </row>
    <row r="22" spans="2:30" x14ac:dyDescent="0.25">
      <c r="N22" s="96"/>
      <c r="O22" s="96"/>
      <c r="U22" s="228"/>
      <c r="V22" s="229"/>
      <c r="W22" s="229">
        <f>W24+W23</f>
        <v>17255477.550000001</v>
      </c>
      <c r="X22" s="229"/>
      <c r="Y22" s="225">
        <f>$E$10-Y19</f>
        <v>0</v>
      </c>
      <c r="Z22" s="225">
        <f>SUMPRODUCT(--($Z$26:$Z$262&lt;$Z$19),$Y$26:$Y$262)</f>
        <v>110453288.53077264</v>
      </c>
      <c r="AA22" s="227">
        <f>SUMPRODUCT(--(Z$26:Z$300&gt;Z$19),Y$26:Y$300)-SUMPRODUCT(--(Z$26:Z$300&gt;Z$19),$R$26:$R$300)*Z$19</f>
        <v>10388.131727268861</v>
      </c>
    </row>
    <row r="23" spans="2:30" ht="15.75" thickBot="1" x14ac:dyDescent="0.3"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17"/>
      <c r="O23" s="17"/>
      <c r="R23" s="143">
        <v>244990724.68231803</v>
      </c>
      <c r="S23" s="143"/>
      <c r="U23" s="228"/>
      <c r="V23" s="229"/>
      <c r="W23" s="229">
        <f>E16-W24</f>
        <v>4366096.2692215014</v>
      </c>
      <c r="X23" s="229">
        <f>(E16-W24)+E9</f>
        <v>166096.26922150142</v>
      </c>
      <c r="Y23" s="225">
        <f>Y19+Y22</f>
        <v>110836516.99999993</v>
      </c>
      <c r="Z23" s="225">
        <f>SUMPRODUCT(--($Z$26:$Z$262&gt;$Z$19),$Y$26:$Y$262)-$Z$19*SUMPRODUCT(--($Z$26:$Z$262&gt;$Z$19),$R$26:$R$262)</f>
        <v>10388.131727268861</v>
      </c>
      <c r="AA23" s="233">
        <f>SUM(AA26:AA300)</f>
        <v>110836517.00000004</v>
      </c>
    </row>
    <row r="24" spans="2:30" ht="15.75" thickBot="1" x14ac:dyDescent="0.3">
      <c r="E24" s="18">
        <f t="shared" ref="E24:O24" si="1">SUM(E26:E300)</f>
        <v>884504.24741132045</v>
      </c>
      <c r="F24" s="18">
        <v>881260.45393933565</v>
      </c>
      <c r="G24" s="185">
        <f t="shared" si="1"/>
        <v>-3243.793471985221</v>
      </c>
      <c r="H24" s="17">
        <f t="shared" si="1"/>
        <v>337779565.80000019</v>
      </c>
      <c r="I24" s="17">
        <v>337190598.98000044</v>
      </c>
      <c r="J24" s="186">
        <f t="shared" si="1"/>
        <v>588966.82000000216</v>
      </c>
      <c r="K24" s="17">
        <f t="shared" si="1"/>
        <v>90338387.159999952</v>
      </c>
      <c r="L24" s="17">
        <v>91596172.679999948</v>
      </c>
      <c r="M24" s="185">
        <f t="shared" si="1"/>
        <v>-1257785.5199999979</v>
      </c>
      <c r="N24" s="17">
        <f t="shared" si="1"/>
        <v>247441178.63999996</v>
      </c>
      <c r="O24" s="17">
        <f t="shared" si="1"/>
        <v>245594426.29999992</v>
      </c>
      <c r="Q24" t="s">
        <v>12</v>
      </c>
      <c r="R24" s="17">
        <f>SUM(R26:R300)</f>
        <v>243178590.76826</v>
      </c>
      <c r="S24" s="17">
        <f>SUM(S26:S300)</f>
        <v>4576415.8164606839</v>
      </c>
      <c r="T24" s="145"/>
      <c r="U24" s="187">
        <f>SUM(U26:U300)</f>
        <v>57518258.500000022</v>
      </c>
      <c r="V24" s="188">
        <f>SUM(V26:V300)</f>
        <v>40262780.949999921</v>
      </c>
      <c r="W24" s="189">
        <f>SUM(W26:W300)</f>
        <v>12889381.280778499</v>
      </c>
      <c r="X24" s="189">
        <f>SUM(X26:X300)</f>
        <v>166096.26922150131</v>
      </c>
      <c r="Y24" s="188">
        <f>SUM(Y26:Y300)</f>
        <v>110836516.99999993</v>
      </c>
      <c r="Z24" s="183" t="str">
        <f xml:space="preserve"> "Limit: "&amp;TEXT(Z19,"#,##0.0%")&amp;" of Filtered Net Cost"</f>
        <v>Limit: 75.0% of Filtered Net Cost</v>
      </c>
      <c r="AA24" s="190"/>
      <c r="AC24" s="30">
        <v>110836517.00000015</v>
      </c>
      <c r="AD24" s="30">
        <f>SUM(AD26:AD262)</f>
        <v>-1.1441443348303437E-8</v>
      </c>
    </row>
    <row r="25" spans="2:30" ht="76.5" customHeight="1" thickBot="1" x14ac:dyDescent="0.3">
      <c r="B25" s="14" t="s">
        <v>11</v>
      </c>
      <c r="C25" s="14" t="s">
        <v>10</v>
      </c>
      <c r="D25" s="14" t="s">
        <v>9</v>
      </c>
      <c r="E25" s="14" t="str">
        <f>"2014"&amp;CHAR(10)&amp;"Marketed Tonnes"&amp;CHAR(10)&amp;TEXT(SUM(E26:E300),"#,##0")&amp;" T"</f>
        <v>2014
Marketed Tonnes
884,504 T</v>
      </c>
      <c r="F25" s="191" t="s">
        <v>395</v>
      </c>
      <c r="G25" s="192" t="s">
        <v>105</v>
      </c>
      <c r="H25" s="14" t="str">
        <f>"2014 Reported Gross Cost"&amp;CHAR(10)&amp;TEXT(SUM(H26:H300),"$#,##0")</f>
        <v>2014 Reported Gross Cost
$337,779,566</v>
      </c>
      <c r="I25" s="191" t="s">
        <v>396</v>
      </c>
      <c r="J25" s="192" t="s">
        <v>105</v>
      </c>
      <c r="K25" s="14" t="str">
        <f>"2014 Reported Revenue"&amp;CHAR(10)&amp;TEXT(SUM(K26:K300),"$#,##0")</f>
        <v>2014 Reported Revenue
$90,338,387</v>
      </c>
      <c r="L25" s="191" t="s">
        <v>397</v>
      </c>
      <c r="M25" s="192" t="s">
        <v>105</v>
      </c>
      <c r="N25" s="14" t="str">
        <f>"2014 Reported Net Cost"&amp;CHAR(10)&amp;TEXT(SUM(N26:N300),"$#,##0")</f>
        <v>2014 Reported Net Cost
$247,441,179</v>
      </c>
      <c r="O25" s="191" t="str">
        <f>"2014 Adjusted Reported Net Cost"&amp;CHAR(10)&amp;TEXT(SUM(O26:O300),"$#,##0")</f>
        <v>2014 Adjusted Reported Net Cost
$245,594,426</v>
      </c>
      <c r="P25" s="14" t="s">
        <v>8</v>
      </c>
      <c r="Q25" s="14" t="s">
        <v>1</v>
      </c>
      <c r="R25" s="14" t="str">
        <f>"Adjusted Net Cost"&amp;CHAR(10)&amp;TEXT(SUM(R26:R300),"$#,##0")</f>
        <v>Adjusted Net Cost
$243,178,591</v>
      </c>
      <c r="S25" s="14" t="s">
        <v>106</v>
      </c>
      <c r="T25" s="162" t="s">
        <v>58</v>
      </c>
      <c r="U25" s="14" t="s">
        <v>59</v>
      </c>
      <c r="V25" s="14" t="s">
        <v>60</v>
      </c>
      <c r="W25" s="14" t="s">
        <v>61</v>
      </c>
      <c r="X25" s="14" t="s">
        <v>107</v>
      </c>
      <c r="Y25" s="14" t="str">
        <f>"Subtotal Funding Net of CIF"&amp;CHAR(10)&amp;TEXT(SUM(Y26:Y300),"$#,##0")</f>
        <v>Subtotal Funding Net of CIF
$110,836,517</v>
      </c>
      <c r="Z25" s="14" t="s">
        <v>63</v>
      </c>
      <c r="AA25" s="193" t="s">
        <v>108</v>
      </c>
      <c r="AB25" s="194"/>
      <c r="AC25" s="193" t="s">
        <v>109</v>
      </c>
      <c r="AD25" s="193" t="s">
        <v>110</v>
      </c>
    </row>
    <row r="26" spans="2:30" x14ac:dyDescent="0.25">
      <c r="B26" s="12">
        <v>1</v>
      </c>
      <c r="C26" s="12">
        <v>1</v>
      </c>
      <c r="D26" s="11" t="s">
        <v>125</v>
      </c>
      <c r="E26" s="150">
        <v>41604.6</v>
      </c>
      <c r="F26" s="150">
        <v>41604.6</v>
      </c>
      <c r="G26" s="150">
        <f>F26-E26</f>
        <v>0</v>
      </c>
      <c r="H26" s="151">
        <v>9109229.5399999991</v>
      </c>
      <c r="I26" s="151">
        <v>9106793.2699999996</v>
      </c>
      <c r="J26" s="151">
        <f>H26-I26</f>
        <v>2436.269999999553</v>
      </c>
      <c r="K26" s="151">
        <v>1225861.31</v>
      </c>
      <c r="L26" s="151">
        <v>1225861.31</v>
      </c>
      <c r="M26" s="151">
        <f>K26-L26</f>
        <v>0</v>
      </c>
      <c r="N26" s="5">
        <f t="shared" ref="N26:O89" si="2">H26-K26</f>
        <v>7883368.2299999986</v>
      </c>
      <c r="O26" s="154">
        <f>I26-L26</f>
        <v>7880931.959999999</v>
      </c>
      <c r="P26" s="152">
        <f>IF(ISERROR(O26/F26),"n.a.",O26/F26)</f>
        <v>189.42453382558656</v>
      </c>
      <c r="Q26" s="6">
        <f t="shared" ref="Q26:Q89" si="3">MIN(P26,INDEX($U$3:$U$11,MATCH(C26,$R$3:$R$11,0)))</f>
        <v>189.42453382558656</v>
      </c>
      <c r="R26" s="5">
        <f>F26*Q26</f>
        <v>7880931.9599999981</v>
      </c>
      <c r="S26" s="151">
        <v>34990.177069466001</v>
      </c>
      <c r="T26" s="195">
        <v>0.91111111111111098</v>
      </c>
      <c r="U26" s="154">
        <f>$E$14*(R26/$R$24)</f>
        <v>1864051.7664985026</v>
      </c>
      <c r="V26" s="154">
        <f>$E$15*(F26/$F$24)</f>
        <v>1900819.3194468271</v>
      </c>
      <c r="W26" s="196">
        <f t="shared" ref="W26:W89" si="4">T26*$E$16*(R26/$R$24)</f>
        <v>509507.48284292402</v>
      </c>
      <c r="X26" s="197">
        <f t="shared" ref="X26:X89" si="5">($W$23+$E$9)*(R26/$R$24)</f>
        <v>5382.8480229656225</v>
      </c>
      <c r="Y26" s="197">
        <f>U26+V26+W26+X26</f>
        <v>4279761.4168112194</v>
      </c>
      <c r="Z26" s="198">
        <f t="shared" ref="Z26:Z89" si="6">IF(ISERROR(Y26/R26),0,Y26/R26)</f>
        <v>0.54305270474777967</v>
      </c>
      <c r="AA26" s="197">
        <f t="shared" ref="AA26:AA89" si="7">IF(Z26&gt;$Z$19,$Z$19*R26,--(Z26&lt;$Z$19)*$Z$23*Y26/$Z$22+Y25:Y26)</f>
        <v>4280163.9283701824</v>
      </c>
      <c r="AC26" s="30">
        <v>4256340.2288824944</v>
      </c>
      <c r="AD26" s="30">
        <f>AA26-AC26</f>
        <v>23823.69948768802</v>
      </c>
    </row>
    <row r="27" spans="2:30" x14ac:dyDescent="0.25">
      <c r="B27" s="10">
        <v>20</v>
      </c>
      <c r="C27" s="10">
        <v>1</v>
      </c>
      <c r="D27" s="9" t="s">
        <v>126</v>
      </c>
      <c r="E27" s="150">
        <v>149706.54999999999</v>
      </c>
      <c r="F27" s="150">
        <v>149706.54999999999</v>
      </c>
      <c r="G27" s="150">
        <f t="shared" ref="G27:G90" si="8">F27-E27</f>
        <v>0</v>
      </c>
      <c r="H27" s="151">
        <v>66708736.560000002</v>
      </c>
      <c r="I27" s="151">
        <v>66708736.560000002</v>
      </c>
      <c r="J27" s="151">
        <f t="shared" ref="J27:J90" si="9">H27-I27</f>
        <v>0</v>
      </c>
      <c r="K27" s="151">
        <v>17030829.109999999</v>
      </c>
      <c r="L27" s="151">
        <v>17030829.109999999</v>
      </c>
      <c r="M27" s="151">
        <f t="shared" ref="M27:M90" si="10">K27-L27</f>
        <v>0</v>
      </c>
      <c r="N27" s="5">
        <f t="shared" si="2"/>
        <v>49677907.450000003</v>
      </c>
      <c r="O27" s="154">
        <f t="shared" si="2"/>
        <v>49677907.450000003</v>
      </c>
      <c r="P27" s="152">
        <f>IF(ISERROR(O27/F27),"n.a.",O27/F27)</f>
        <v>331.83522998826709</v>
      </c>
      <c r="Q27" s="6">
        <f t="shared" si="3"/>
        <v>331.83522998826709</v>
      </c>
      <c r="R27" s="5">
        <f t="shared" ref="R27:R90" si="11">F27*Q27</f>
        <v>49677907.450000003</v>
      </c>
      <c r="S27" s="151">
        <v>1224993.6501733959</v>
      </c>
      <c r="T27" s="195">
        <v>0.81666666666666654</v>
      </c>
      <c r="U27" s="154">
        <f t="shared" ref="U27:U90" si="12">$E$14*(R27/$R$24)</f>
        <v>11750157.418961102</v>
      </c>
      <c r="V27" s="154">
        <f t="shared" ref="V27:V90" si="13">$E$15*(F27/$F$24)</f>
        <v>6839750.9527247548</v>
      </c>
      <c r="W27" s="155">
        <f t="shared" si="4"/>
        <v>2878788.5676454692</v>
      </c>
      <c r="X27" s="199">
        <f t="shared" si="5"/>
        <v>33931.091812433529</v>
      </c>
      <c r="Y27" s="199">
        <f t="shared" ref="Y27:Y90" si="14">U27+V27+W27+X27</f>
        <v>21502628.031143755</v>
      </c>
      <c r="Z27" s="200">
        <f t="shared" si="6"/>
        <v>0.43284085692993002</v>
      </c>
      <c r="AA27" s="199">
        <f t="shared" si="7"/>
        <v>21504650.35329859</v>
      </c>
      <c r="AC27" s="30">
        <v>21371335.147078287</v>
      </c>
      <c r="AD27" s="30">
        <f t="shared" ref="AD27:AD90" si="15">AA27-AC27</f>
        <v>133315.20622030273</v>
      </c>
    </row>
    <row r="28" spans="2:30" x14ac:dyDescent="0.25">
      <c r="B28" s="10">
        <v>50</v>
      </c>
      <c r="C28" s="10">
        <v>1</v>
      </c>
      <c r="D28" s="9" t="s">
        <v>127</v>
      </c>
      <c r="E28" s="150">
        <v>25375.47</v>
      </c>
      <c r="F28" s="150">
        <v>25364.44</v>
      </c>
      <c r="G28" s="150">
        <f t="shared" si="8"/>
        <v>-11.030000000002474</v>
      </c>
      <c r="H28" s="151">
        <v>9902855.2200000007</v>
      </c>
      <c r="I28" s="151">
        <v>9943762.0800000001</v>
      </c>
      <c r="J28" s="151">
        <f t="shared" si="9"/>
        <v>-40906.859999999404</v>
      </c>
      <c r="K28" s="151">
        <v>3611678.1599999997</v>
      </c>
      <c r="L28" s="151">
        <v>3587118.75</v>
      </c>
      <c r="M28" s="151">
        <f t="shared" si="10"/>
        <v>24559.409999999683</v>
      </c>
      <c r="N28" s="5">
        <f t="shared" si="2"/>
        <v>6291177.0600000005</v>
      </c>
      <c r="O28" s="154">
        <f t="shared" si="2"/>
        <v>6356643.3300000001</v>
      </c>
      <c r="P28" s="152">
        <f t="shared" ref="P28:P90" si="16">IF(ISERROR(O28/F28),"n.a.",O28/F28)</f>
        <v>250.61240579330749</v>
      </c>
      <c r="Q28" s="6">
        <f t="shared" si="3"/>
        <v>250.61240579330749</v>
      </c>
      <c r="R28" s="5">
        <f t="shared" si="11"/>
        <v>6356643.3300000001</v>
      </c>
      <c r="S28" s="151">
        <v>172426.58889796992</v>
      </c>
      <c r="T28" s="195">
        <v>0.73333333333333328</v>
      </c>
      <c r="U28" s="154">
        <f t="shared" si="12"/>
        <v>1503516.6257529052</v>
      </c>
      <c r="V28" s="154">
        <f t="shared" si="13"/>
        <v>1158843.4350756856</v>
      </c>
      <c r="W28" s="155">
        <f t="shared" si="4"/>
        <v>330773.65766563907</v>
      </c>
      <c r="X28" s="199">
        <f t="shared" si="5"/>
        <v>4341.7257191480849</v>
      </c>
      <c r="Y28" s="199">
        <f t="shared" si="14"/>
        <v>2997475.4442133782</v>
      </c>
      <c r="Z28" s="200">
        <f t="shared" si="6"/>
        <v>0.47155004435546616</v>
      </c>
      <c r="AA28" s="199">
        <f t="shared" si="7"/>
        <v>2997757.3567773039</v>
      </c>
      <c r="AC28" s="30">
        <v>2961634.2536454806</v>
      </c>
      <c r="AD28" s="30">
        <f t="shared" si="15"/>
        <v>36123.103131823242</v>
      </c>
    </row>
    <row r="29" spans="2:30" x14ac:dyDescent="0.25">
      <c r="B29" s="10">
        <v>97</v>
      </c>
      <c r="C29" s="10">
        <v>1</v>
      </c>
      <c r="D29" s="9" t="s">
        <v>128</v>
      </c>
      <c r="E29" s="150">
        <v>74378.210000000006</v>
      </c>
      <c r="F29" s="150">
        <v>74378.210000000006</v>
      </c>
      <c r="G29" s="150">
        <f t="shared" si="8"/>
        <v>0</v>
      </c>
      <c r="H29" s="151">
        <v>26272264</v>
      </c>
      <c r="I29" s="151">
        <v>26218442.059999999</v>
      </c>
      <c r="J29" s="151">
        <f t="shared" si="9"/>
        <v>53821.940000001341</v>
      </c>
      <c r="K29" s="151">
        <v>7864598.5800000001</v>
      </c>
      <c r="L29" s="151">
        <v>7861993.5800000001</v>
      </c>
      <c r="M29" s="151">
        <f t="shared" si="10"/>
        <v>2605</v>
      </c>
      <c r="N29" s="5">
        <f t="shared" si="2"/>
        <v>18407665.420000002</v>
      </c>
      <c r="O29" s="154">
        <f t="shared" si="2"/>
        <v>18356448.479999997</v>
      </c>
      <c r="P29" s="152">
        <f t="shared" si="16"/>
        <v>246.79873957708844</v>
      </c>
      <c r="Q29" s="6">
        <f t="shared" si="3"/>
        <v>246.79873957708844</v>
      </c>
      <c r="R29" s="5">
        <f t="shared" si="11"/>
        <v>18356448.479999997</v>
      </c>
      <c r="S29" s="151">
        <v>372258.89151769975</v>
      </c>
      <c r="T29" s="195">
        <v>0.87499999999999989</v>
      </c>
      <c r="U29" s="154">
        <f t="shared" si="12"/>
        <v>4341792.3653515158</v>
      </c>
      <c r="V29" s="154">
        <f t="shared" si="13"/>
        <v>3398170.8396156481</v>
      </c>
      <c r="W29" s="155">
        <f t="shared" si="4"/>
        <v>1139720.4959047728</v>
      </c>
      <c r="X29" s="199">
        <f t="shared" si="5"/>
        <v>12537.853760285263</v>
      </c>
      <c r="Y29" s="199">
        <f t="shared" si="14"/>
        <v>8892221.5546322223</v>
      </c>
      <c r="Z29" s="200">
        <f t="shared" si="6"/>
        <v>0.48441949783045529</v>
      </c>
      <c r="AA29" s="199">
        <f t="shared" si="7"/>
        <v>8893057.8680646811</v>
      </c>
      <c r="AC29" s="30">
        <v>8855234.4022170119</v>
      </c>
      <c r="AD29" s="30">
        <f>AA29-AC29</f>
        <v>37823.465847669169</v>
      </c>
    </row>
    <row r="30" spans="2:30" x14ac:dyDescent="0.25">
      <c r="B30" s="10">
        <v>172</v>
      </c>
      <c r="C30" s="10">
        <v>1</v>
      </c>
      <c r="D30" s="9" t="s">
        <v>129</v>
      </c>
      <c r="E30" s="150">
        <v>38983.769999999997</v>
      </c>
      <c r="F30" s="150">
        <v>38983.769999999997</v>
      </c>
      <c r="G30" s="150">
        <f t="shared" si="8"/>
        <v>0</v>
      </c>
      <c r="H30" s="151">
        <v>14319979.35</v>
      </c>
      <c r="I30" s="151">
        <v>14319979.35</v>
      </c>
      <c r="J30" s="151">
        <f t="shared" si="9"/>
        <v>0</v>
      </c>
      <c r="K30" s="151">
        <v>4650199.01</v>
      </c>
      <c r="L30" s="151">
        <v>4650199.01</v>
      </c>
      <c r="M30" s="151">
        <f t="shared" si="10"/>
        <v>0</v>
      </c>
      <c r="N30" s="5">
        <f t="shared" si="2"/>
        <v>9669780.3399999999</v>
      </c>
      <c r="O30" s="154">
        <f t="shared" si="2"/>
        <v>9669780.3399999999</v>
      </c>
      <c r="P30" s="152">
        <f t="shared" si="16"/>
        <v>248.04631106740064</v>
      </c>
      <c r="Q30" s="6">
        <f t="shared" si="3"/>
        <v>248.04631106740064</v>
      </c>
      <c r="R30" s="5">
        <f t="shared" si="11"/>
        <v>9669780.3399999999</v>
      </c>
      <c r="S30" s="151">
        <v>210229.84993834014</v>
      </c>
      <c r="T30" s="195">
        <v>0.86666666666666659</v>
      </c>
      <c r="U30" s="154">
        <f t="shared" si="12"/>
        <v>2287162.3833216671</v>
      </c>
      <c r="V30" s="154">
        <f t="shared" si="13"/>
        <v>1781079.5719913575</v>
      </c>
      <c r="W30" s="155">
        <f t="shared" si="4"/>
        <v>594662.21966363338</v>
      </c>
      <c r="X30" s="199">
        <f t="shared" si="5"/>
        <v>6604.6703930280928</v>
      </c>
      <c r="Y30" s="199">
        <f t="shared" si="14"/>
        <v>4669508.8453696864</v>
      </c>
      <c r="Z30" s="200">
        <f t="shared" si="6"/>
        <v>0.48289709602335046</v>
      </c>
      <c r="AA30" s="199">
        <f t="shared" si="7"/>
        <v>4669948.012674097</v>
      </c>
      <c r="AC30" s="30">
        <v>4642082.8168370454</v>
      </c>
      <c r="AD30" s="30">
        <f t="shared" si="15"/>
        <v>27865.195837051608</v>
      </c>
    </row>
    <row r="31" spans="2:30" x14ac:dyDescent="0.25">
      <c r="B31" s="10">
        <v>270</v>
      </c>
      <c r="C31" s="10">
        <v>1</v>
      </c>
      <c r="D31" s="9" t="s">
        <v>130</v>
      </c>
      <c r="E31" s="150">
        <v>88399.81</v>
      </c>
      <c r="F31" s="150">
        <v>88996.06</v>
      </c>
      <c r="G31" s="150">
        <f t="shared" si="8"/>
        <v>596.25</v>
      </c>
      <c r="H31" s="151">
        <v>39226327.07</v>
      </c>
      <c r="I31" s="151">
        <v>39240513.109999999</v>
      </c>
      <c r="J31" s="151">
        <f t="shared" si="9"/>
        <v>-14186.039999999106</v>
      </c>
      <c r="K31" s="151">
        <v>10078375.050000001</v>
      </c>
      <c r="L31" s="151">
        <v>9996266.1099999994</v>
      </c>
      <c r="M31" s="151">
        <f t="shared" si="10"/>
        <v>82108.940000001341</v>
      </c>
      <c r="N31" s="5">
        <f t="shared" si="2"/>
        <v>29147952.02</v>
      </c>
      <c r="O31" s="154">
        <f t="shared" si="2"/>
        <v>29244247</v>
      </c>
      <c r="P31" s="152">
        <f t="shared" si="16"/>
        <v>328.60159202553461</v>
      </c>
      <c r="Q31" s="6">
        <f t="shared" si="3"/>
        <v>328.60159202553461</v>
      </c>
      <c r="R31" s="5">
        <f t="shared" si="11"/>
        <v>29244247</v>
      </c>
      <c r="S31" s="151">
        <v>329548.65999362344</v>
      </c>
      <c r="T31" s="195">
        <v>0.73055555555555551</v>
      </c>
      <c r="U31" s="154">
        <f t="shared" si="12"/>
        <v>6917048.7141559534</v>
      </c>
      <c r="V31" s="154">
        <f t="shared" si="13"/>
        <v>4066027.0788001558</v>
      </c>
      <c r="W31" s="155">
        <f t="shared" si="4"/>
        <v>1515986.5098525132</v>
      </c>
      <c r="X31" s="199">
        <f t="shared" si="5"/>
        <v>19974.457075133585</v>
      </c>
      <c r="Y31" s="199">
        <f t="shared" si="14"/>
        <v>12519036.759883758</v>
      </c>
      <c r="Z31" s="200">
        <f t="shared" si="6"/>
        <v>0.42808545420518973</v>
      </c>
      <c r="AA31" s="199">
        <f t="shared" si="7"/>
        <v>12520214.175284332</v>
      </c>
      <c r="AC31" s="30">
        <v>12388139.858921966</v>
      </c>
      <c r="AD31" s="30">
        <f t="shared" si="15"/>
        <v>132074.31636236608</v>
      </c>
    </row>
    <row r="32" spans="2:30" x14ac:dyDescent="0.25">
      <c r="B32" s="10">
        <v>6</v>
      </c>
      <c r="C32" s="10">
        <v>2</v>
      </c>
      <c r="D32" s="9" t="s">
        <v>131</v>
      </c>
      <c r="E32" s="150">
        <v>46429.69</v>
      </c>
      <c r="F32" s="150">
        <v>46429.69</v>
      </c>
      <c r="G32" s="150">
        <f t="shared" si="8"/>
        <v>0</v>
      </c>
      <c r="H32" s="151">
        <v>17862244.859999999</v>
      </c>
      <c r="I32" s="151">
        <v>17862244.859999999</v>
      </c>
      <c r="J32" s="151">
        <f t="shared" si="9"/>
        <v>0</v>
      </c>
      <c r="K32" s="151">
        <v>5438993.5999999987</v>
      </c>
      <c r="L32" s="151">
        <v>5438993.5999999996</v>
      </c>
      <c r="M32" s="151">
        <f t="shared" si="10"/>
        <v>0</v>
      </c>
      <c r="N32" s="5">
        <f t="shared" si="2"/>
        <v>12423251.260000002</v>
      </c>
      <c r="O32" s="154">
        <f t="shared" si="2"/>
        <v>12423251.26</v>
      </c>
      <c r="P32" s="152">
        <f t="shared" si="16"/>
        <v>267.57127303671422</v>
      </c>
      <c r="Q32" s="6">
        <f t="shared" si="3"/>
        <v>261.32967201903267</v>
      </c>
      <c r="R32" s="5">
        <f t="shared" si="11"/>
        <v>12133455.659645362</v>
      </c>
      <c r="S32" s="151">
        <v>279653.21229130006</v>
      </c>
      <c r="T32" s="195">
        <v>0.76111111111111118</v>
      </c>
      <c r="U32" s="154">
        <f t="shared" si="12"/>
        <v>2869887.6694899416</v>
      </c>
      <c r="V32" s="154">
        <f t="shared" si="13"/>
        <v>2121266.6807979681</v>
      </c>
      <c r="W32" s="155">
        <f t="shared" si="4"/>
        <v>655291.01786687016</v>
      </c>
      <c r="X32" s="199">
        <f t="shared" si="5"/>
        <v>8287.4142475483441</v>
      </c>
      <c r="Y32" s="199">
        <f t="shared" si="14"/>
        <v>5654732.7824023282</v>
      </c>
      <c r="Z32" s="200">
        <f t="shared" si="6"/>
        <v>0.46604470655539576</v>
      </c>
      <c r="AA32" s="199">
        <f t="shared" si="7"/>
        <v>5655264.6100174896</v>
      </c>
      <c r="AC32" s="30">
        <v>5646231.2022469258</v>
      </c>
      <c r="AD32" s="30">
        <f t="shared" si="15"/>
        <v>9033.4077705638483</v>
      </c>
    </row>
    <row r="33" spans="2:30" x14ac:dyDescent="0.25">
      <c r="B33" s="10">
        <v>18</v>
      </c>
      <c r="C33" s="10">
        <v>2</v>
      </c>
      <c r="D33" s="9" t="s">
        <v>132</v>
      </c>
      <c r="E33" s="150">
        <v>23924.73</v>
      </c>
      <c r="F33" s="150">
        <v>23924.73</v>
      </c>
      <c r="G33" s="150">
        <f t="shared" si="8"/>
        <v>0</v>
      </c>
      <c r="H33" s="151">
        <v>7433527.3700000001</v>
      </c>
      <c r="I33" s="151">
        <v>7433527.3700000001</v>
      </c>
      <c r="J33" s="151">
        <f t="shared" si="9"/>
        <v>0</v>
      </c>
      <c r="K33" s="151">
        <v>3225445.3699999996</v>
      </c>
      <c r="L33" s="151">
        <v>3225445.3699999996</v>
      </c>
      <c r="M33" s="151">
        <f t="shared" si="10"/>
        <v>0</v>
      </c>
      <c r="N33" s="5">
        <f t="shared" si="2"/>
        <v>4208082</v>
      </c>
      <c r="O33" s="154">
        <f t="shared" si="2"/>
        <v>4208082</v>
      </c>
      <c r="P33" s="152">
        <f t="shared" si="16"/>
        <v>175.88837993156037</v>
      </c>
      <c r="Q33" s="6">
        <f t="shared" si="3"/>
        <v>175.88837993156037</v>
      </c>
      <c r="R33" s="5">
        <f t="shared" si="11"/>
        <v>4208082</v>
      </c>
      <c r="S33" s="151">
        <v>89057.485630882918</v>
      </c>
      <c r="T33" s="195">
        <v>0.78611111111111109</v>
      </c>
      <c r="U33" s="154">
        <f t="shared" si="12"/>
        <v>995324.24914762937</v>
      </c>
      <c r="V33" s="154">
        <f t="shared" si="13"/>
        <v>1093066.3675783225</v>
      </c>
      <c r="W33" s="155">
        <f t="shared" si="4"/>
        <v>234730.6354239826</v>
      </c>
      <c r="X33" s="199">
        <f t="shared" si="5"/>
        <v>2874.2115766441957</v>
      </c>
      <c r="Y33" s="199">
        <f t="shared" si="14"/>
        <v>2325995.4637265787</v>
      </c>
      <c r="Z33" s="200">
        <f t="shared" si="6"/>
        <v>0.55274480481287647</v>
      </c>
      <c r="AA33" s="199">
        <f t="shared" si="7"/>
        <v>2326214.2235986986</v>
      </c>
      <c r="AC33" s="30">
        <v>2313092.1512940209</v>
      </c>
      <c r="AD33" s="30">
        <f t="shared" si="15"/>
        <v>13122.072304677684</v>
      </c>
    </row>
    <row r="34" spans="2:30" x14ac:dyDescent="0.25">
      <c r="B34" s="10">
        <v>53</v>
      </c>
      <c r="C34" s="10">
        <v>2</v>
      </c>
      <c r="D34" s="9" t="s">
        <v>133</v>
      </c>
      <c r="E34" s="150">
        <v>34184.25</v>
      </c>
      <c r="F34" s="150">
        <v>34184.25</v>
      </c>
      <c r="G34" s="150">
        <f t="shared" si="8"/>
        <v>0</v>
      </c>
      <c r="H34" s="151">
        <v>11024021.83</v>
      </c>
      <c r="I34" s="151">
        <v>11024021.83</v>
      </c>
      <c r="J34" s="151">
        <f t="shared" si="9"/>
        <v>0</v>
      </c>
      <c r="K34" s="151">
        <v>3981950.0700000003</v>
      </c>
      <c r="L34" s="151">
        <v>3981950.07</v>
      </c>
      <c r="M34" s="151">
        <f t="shared" si="10"/>
        <v>0</v>
      </c>
      <c r="N34" s="5">
        <f t="shared" si="2"/>
        <v>7042071.7599999998</v>
      </c>
      <c r="O34" s="154">
        <f t="shared" si="2"/>
        <v>7042071.7599999998</v>
      </c>
      <c r="P34" s="152">
        <f t="shared" si="16"/>
        <v>206.00340098144613</v>
      </c>
      <c r="Q34" s="6">
        <f t="shared" si="3"/>
        <v>206.00340098144613</v>
      </c>
      <c r="R34" s="5">
        <f t="shared" si="11"/>
        <v>7042071.7599999998</v>
      </c>
      <c r="S34" s="151">
        <v>96339.213531255402</v>
      </c>
      <c r="T34" s="195">
        <v>0.71666666666666667</v>
      </c>
      <c r="U34" s="154">
        <f t="shared" si="12"/>
        <v>1665638.8318872408</v>
      </c>
      <c r="V34" s="154">
        <f t="shared" si="13"/>
        <v>1561800.4456430345</v>
      </c>
      <c r="W34" s="155">
        <f t="shared" si="4"/>
        <v>358112.34885575675</v>
      </c>
      <c r="X34" s="199">
        <f t="shared" si="5"/>
        <v>4809.8882522135173</v>
      </c>
      <c r="Y34" s="199">
        <f t="shared" si="14"/>
        <v>3590361.5146382456</v>
      </c>
      <c r="Z34" s="200">
        <f t="shared" si="6"/>
        <v>0.5098444942058139</v>
      </c>
      <c r="AA34" s="199">
        <f t="shared" si="7"/>
        <v>3590699.1881367778</v>
      </c>
      <c r="AC34" s="30">
        <v>3569984.9620776661</v>
      </c>
      <c r="AD34" s="30">
        <f t="shared" si="15"/>
        <v>20714.226059111767</v>
      </c>
    </row>
    <row r="35" spans="2:30" x14ac:dyDescent="0.25">
      <c r="B35" s="10">
        <v>335</v>
      </c>
      <c r="C35" s="10">
        <v>2</v>
      </c>
      <c r="D35" s="9" t="s">
        <v>134</v>
      </c>
      <c r="E35" s="150">
        <v>24571.18</v>
      </c>
      <c r="F35" s="150">
        <v>24571.18</v>
      </c>
      <c r="G35" s="150">
        <f t="shared" si="8"/>
        <v>0</v>
      </c>
      <c r="H35" s="151">
        <v>8787207.3100000005</v>
      </c>
      <c r="I35" s="151">
        <v>8787207.3100000005</v>
      </c>
      <c r="J35" s="151">
        <f t="shared" si="9"/>
        <v>0</v>
      </c>
      <c r="K35" s="151">
        <v>3078982.64</v>
      </c>
      <c r="L35" s="151">
        <v>3078982.64</v>
      </c>
      <c r="M35" s="151">
        <f t="shared" si="10"/>
        <v>0</v>
      </c>
      <c r="N35" s="5">
        <f t="shared" si="2"/>
        <v>5708224.6699999999</v>
      </c>
      <c r="O35" s="154">
        <f t="shared" si="2"/>
        <v>5708224.6699999999</v>
      </c>
      <c r="P35" s="152">
        <f t="shared" si="16"/>
        <v>232.31381927933455</v>
      </c>
      <c r="Q35" s="6">
        <f t="shared" si="3"/>
        <v>232.31381927933455</v>
      </c>
      <c r="R35" s="5">
        <f t="shared" si="11"/>
        <v>5708224.6699999999</v>
      </c>
      <c r="S35" s="151">
        <v>151339.53746977088</v>
      </c>
      <c r="T35" s="195">
        <v>0.83333333333333326</v>
      </c>
      <c r="U35" s="154">
        <f t="shared" si="12"/>
        <v>1350148.2227850417</v>
      </c>
      <c r="V35" s="154">
        <f t="shared" si="13"/>
        <v>1122601.194233462</v>
      </c>
      <c r="W35" s="155">
        <f t="shared" si="4"/>
        <v>337537.05569626042</v>
      </c>
      <c r="X35" s="199">
        <f t="shared" si="5"/>
        <v>3898.8416643496944</v>
      </c>
      <c r="Y35" s="199">
        <f t="shared" si="14"/>
        <v>2814185.3143791137</v>
      </c>
      <c r="Z35" s="200">
        <f t="shared" si="6"/>
        <v>0.49300535228917569</v>
      </c>
      <c r="AA35" s="199">
        <f t="shared" si="7"/>
        <v>2814449.9885064266</v>
      </c>
      <c r="AC35" s="30">
        <v>2797837.9941812092</v>
      </c>
      <c r="AD35" s="30">
        <f t="shared" si="15"/>
        <v>16611.994325217325</v>
      </c>
    </row>
    <row r="36" spans="2:30" x14ac:dyDescent="0.25">
      <c r="B36" s="10">
        <v>357</v>
      </c>
      <c r="C36" s="10">
        <v>2</v>
      </c>
      <c r="D36" s="9" t="s">
        <v>135</v>
      </c>
      <c r="E36" s="150">
        <v>36804.239999999998</v>
      </c>
      <c r="F36" s="150">
        <v>36804.239999999998</v>
      </c>
      <c r="G36" s="150">
        <f t="shared" si="8"/>
        <v>0</v>
      </c>
      <c r="H36" s="151">
        <v>11947754.109999999</v>
      </c>
      <c r="I36" s="151">
        <v>11544567.77</v>
      </c>
      <c r="J36" s="151">
        <f t="shared" si="9"/>
        <v>403186.33999999985</v>
      </c>
      <c r="K36" s="151">
        <v>4247548.82</v>
      </c>
      <c r="L36" s="151">
        <v>4247423.8999999994</v>
      </c>
      <c r="M36" s="151">
        <f t="shared" si="10"/>
        <v>124.92000000085682</v>
      </c>
      <c r="N36" s="5">
        <f t="shared" si="2"/>
        <v>7700205.2899999991</v>
      </c>
      <c r="O36" s="154">
        <f t="shared" si="2"/>
        <v>7297143.8700000001</v>
      </c>
      <c r="P36" s="152">
        <f t="shared" si="16"/>
        <v>198.26910893962219</v>
      </c>
      <c r="Q36" s="6">
        <f t="shared" si="3"/>
        <v>198.26910893962219</v>
      </c>
      <c r="R36" s="5">
        <f t="shared" si="11"/>
        <v>7297143.8700000001</v>
      </c>
      <c r="S36" s="151">
        <v>188797.31404784313</v>
      </c>
      <c r="T36" s="195">
        <v>0.85833333333333317</v>
      </c>
      <c r="U36" s="154">
        <f t="shared" si="12"/>
        <v>1725970.2266566991</v>
      </c>
      <c r="V36" s="154">
        <f t="shared" si="13"/>
        <v>1681501.8154136245</v>
      </c>
      <c r="W36" s="155">
        <f t="shared" si="4"/>
        <v>444437.3333640999</v>
      </c>
      <c r="X36" s="199">
        <f t="shared" si="5"/>
        <v>4984.1080538811329</v>
      </c>
      <c r="Y36" s="199">
        <f t="shared" si="14"/>
        <v>3856893.4834883045</v>
      </c>
      <c r="Z36" s="200">
        <f t="shared" si="6"/>
        <v>0.52854836799158578</v>
      </c>
      <c r="AA36" s="199">
        <f t="shared" si="7"/>
        <v>3857256.2243183646</v>
      </c>
      <c r="AC36" s="30">
        <v>3954298.6871942952</v>
      </c>
      <c r="AD36" s="30">
        <f t="shared" si="15"/>
        <v>-97042.462875930592</v>
      </c>
    </row>
    <row r="37" spans="2:30" x14ac:dyDescent="0.25">
      <c r="B37" s="10">
        <v>441</v>
      </c>
      <c r="C37" s="10">
        <v>2</v>
      </c>
      <c r="D37" s="9" t="s">
        <v>136</v>
      </c>
      <c r="E37" s="150">
        <v>61800.74</v>
      </c>
      <c r="F37" s="150">
        <v>61800.74</v>
      </c>
      <c r="G37" s="150">
        <f t="shared" si="8"/>
        <v>0</v>
      </c>
      <c r="H37" s="151">
        <v>17977935.800000001</v>
      </c>
      <c r="I37" s="151">
        <v>17977935.800000001</v>
      </c>
      <c r="J37" s="151">
        <f t="shared" si="9"/>
        <v>0</v>
      </c>
      <c r="K37" s="151">
        <v>8776662.4499999993</v>
      </c>
      <c r="L37" s="151">
        <v>8776662.4500000011</v>
      </c>
      <c r="M37" s="151">
        <f t="shared" si="10"/>
        <v>0</v>
      </c>
      <c r="N37" s="5">
        <f t="shared" si="2"/>
        <v>9201273.3500000015</v>
      </c>
      <c r="O37" s="154">
        <f t="shared" si="2"/>
        <v>9201273.3499999996</v>
      </c>
      <c r="P37" s="152">
        <f t="shared" si="16"/>
        <v>148.88613550582079</v>
      </c>
      <c r="Q37" s="6">
        <f t="shared" si="3"/>
        <v>148.88613550582079</v>
      </c>
      <c r="R37" s="5">
        <f t="shared" si="11"/>
        <v>9201273.3499999996</v>
      </c>
      <c r="S37" s="151">
        <v>129405.41029129991</v>
      </c>
      <c r="T37" s="195">
        <v>0.84166666666666656</v>
      </c>
      <c r="U37" s="154">
        <f t="shared" si="12"/>
        <v>2176347.915342629</v>
      </c>
      <c r="V37" s="154">
        <f t="shared" si="13"/>
        <v>2823534.9107577121</v>
      </c>
      <c r="W37" s="155">
        <f t="shared" si="4"/>
        <v>549527.84862401383</v>
      </c>
      <c r="X37" s="199">
        <f t="shared" si="5"/>
        <v>6284.6699238364927</v>
      </c>
      <c r="Y37" s="199">
        <f t="shared" si="14"/>
        <v>5555695.3446481917</v>
      </c>
      <c r="Z37" s="200">
        <f t="shared" si="6"/>
        <v>0.60379635875595328</v>
      </c>
      <c r="AA37" s="199">
        <f t="shared" si="7"/>
        <v>5556217.8577923859</v>
      </c>
      <c r="AC37" s="30">
        <v>5525655.5047454592</v>
      </c>
      <c r="AD37" s="30">
        <f t="shared" si="15"/>
        <v>30562.35304692667</v>
      </c>
    </row>
    <row r="38" spans="2:30" x14ac:dyDescent="0.25">
      <c r="B38" s="10">
        <v>14</v>
      </c>
      <c r="C38" s="10">
        <v>3</v>
      </c>
      <c r="D38" s="9" t="s">
        <v>137</v>
      </c>
      <c r="E38" s="150">
        <v>11545.804700530662</v>
      </c>
      <c r="F38" s="150">
        <v>11545.804700530662</v>
      </c>
      <c r="G38" s="150">
        <f t="shared" si="8"/>
        <v>0</v>
      </c>
      <c r="H38" s="151">
        <v>2371013.56</v>
      </c>
      <c r="I38" s="151">
        <v>2371013.56</v>
      </c>
      <c r="J38" s="151">
        <f t="shared" si="9"/>
        <v>0</v>
      </c>
      <c r="K38" s="151">
        <v>249227.8</v>
      </c>
      <c r="L38" s="151">
        <v>249227.8</v>
      </c>
      <c r="M38" s="151">
        <f t="shared" si="10"/>
        <v>0</v>
      </c>
      <c r="N38" s="5">
        <f t="shared" si="2"/>
        <v>2121785.7600000002</v>
      </c>
      <c r="O38" s="154">
        <f t="shared" si="2"/>
        <v>2121785.7600000002</v>
      </c>
      <c r="P38" s="152">
        <f t="shared" si="16"/>
        <v>183.77114588665091</v>
      </c>
      <c r="Q38" s="6">
        <f t="shared" si="3"/>
        <v>183.77114588665091</v>
      </c>
      <c r="R38" s="5">
        <f t="shared" si="11"/>
        <v>2121785.7600000002</v>
      </c>
      <c r="S38" s="151">
        <v>58053.780583784632</v>
      </c>
      <c r="T38" s="195">
        <v>0.81111111111111112</v>
      </c>
      <c r="U38" s="154">
        <f t="shared" si="12"/>
        <v>501859.23620883148</v>
      </c>
      <c r="V38" s="154">
        <f t="shared" si="13"/>
        <v>527501.49342449312</v>
      </c>
      <c r="W38" s="155">
        <f t="shared" si="4"/>
        <v>122119.08081081566</v>
      </c>
      <c r="X38" s="199">
        <f t="shared" si="5"/>
        <v>1449.2258455397975</v>
      </c>
      <c r="Y38" s="199">
        <f t="shared" si="14"/>
        <v>1152929.0362896798</v>
      </c>
      <c r="Z38" s="200">
        <f t="shared" si="6"/>
        <v>0.54337674331911801</v>
      </c>
      <c r="AA38" s="199">
        <f t="shared" si="7"/>
        <v>1153037.4692649264</v>
      </c>
      <c r="AC38" s="30">
        <v>1146480.4659534711</v>
      </c>
      <c r="AD38" s="30">
        <f t="shared" si="15"/>
        <v>6557.0033114552498</v>
      </c>
    </row>
    <row r="39" spans="2:30" x14ac:dyDescent="0.25">
      <c r="B39" s="10">
        <v>36</v>
      </c>
      <c r="C39" s="10">
        <v>3</v>
      </c>
      <c r="D39" s="9" t="s">
        <v>138</v>
      </c>
      <c r="E39" s="150">
        <v>8688.07</v>
      </c>
      <c r="F39" s="150">
        <v>8688.07</v>
      </c>
      <c r="G39" s="150">
        <f t="shared" si="8"/>
        <v>0</v>
      </c>
      <c r="H39" s="151">
        <v>4002500.8</v>
      </c>
      <c r="I39" s="151">
        <v>4002500.8</v>
      </c>
      <c r="J39" s="151">
        <f t="shared" si="9"/>
        <v>0</v>
      </c>
      <c r="K39" s="151">
        <v>1198954.3500000001</v>
      </c>
      <c r="L39" s="151">
        <v>1198954.3500000001</v>
      </c>
      <c r="M39" s="151">
        <f t="shared" si="10"/>
        <v>0</v>
      </c>
      <c r="N39" s="5">
        <f t="shared" si="2"/>
        <v>2803546.4499999997</v>
      </c>
      <c r="O39" s="154">
        <f t="shared" si="2"/>
        <v>2803546.4499999997</v>
      </c>
      <c r="P39" s="152">
        <f t="shared" si="16"/>
        <v>322.6892106071889</v>
      </c>
      <c r="Q39" s="6">
        <f t="shared" si="3"/>
        <v>289.89208307063024</v>
      </c>
      <c r="R39" s="5">
        <f t="shared" si="11"/>
        <v>2518602.7101634503</v>
      </c>
      <c r="S39" s="151">
        <v>16946.002154645976</v>
      </c>
      <c r="T39" s="195">
        <v>0.6</v>
      </c>
      <c r="U39" s="154">
        <f t="shared" si="12"/>
        <v>595717.08711822168</v>
      </c>
      <c r="V39" s="154">
        <f t="shared" si="13"/>
        <v>396938.11032208928</v>
      </c>
      <c r="W39" s="155">
        <f t="shared" si="4"/>
        <v>107229.07568127989</v>
      </c>
      <c r="X39" s="199">
        <f t="shared" si="5"/>
        <v>1720.2604575004086</v>
      </c>
      <c r="Y39" s="199">
        <f t="shared" si="14"/>
        <v>1101604.5335790913</v>
      </c>
      <c r="Z39" s="200">
        <f t="shared" si="6"/>
        <v>0.43738717866606291</v>
      </c>
      <c r="AA39" s="199">
        <f t="shared" si="7"/>
        <v>1101708.1394848854</v>
      </c>
      <c r="AC39" s="30">
        <v>1086593.0186668464</v>
      </c>
      <c r="AD39" s="30">
        <f t="shared" si="15"/>
        <v>15115.120818038937</v>
      </c>
    </row>
    <row r="40" spans="2:30" x14ac:dyDescent="0.25">
      <c r="B40" s="10">
        <v>55</v>
      </c>
      <c r="C40" s="10">
        <v>3</v>
      </c>
      <c r="D40" s="9" t="s">
        <v>139</v>
      </c>
      <c r="E40" s="150">
        <v>5641.52</v>
      </c>
      <c r="F40" s="150">
        <v>5641.52</v>
      </c>
      <c r="G40" s="150">
        <f t="shared" si="8"/>
        <v>0</v>
      </c>
      <c r="H40" s="151">
        <v>1551240.22</v>
      </c>
      <c r="I40" s="151">
        <v>1560752.65</v>
      </c>
      <c r="J40" s="151">
        <f t="shared" si="9"/>
        <v>-9512.4299999999348</v>
      </c>
      <c r="K40" s="151">
        <v>225757.28999999998</v>
      </c>
      <c r="L40" s="151">
        <v>225757.29</v>
      </c>
      <c r="M40" s="151">
        <f t="shared" si="10"/>
        <v>0</v>
      </c>
      <c r="N40" s="5">
        <f t="shared" si="2"/>
        <v>1325482.93</v>
      </c>
      <c r="O40" s="154">
        <f t="shared" si="2"/>
        <v>1334995.3599999999</v>
      </c>
      <c r="P40" s="152">
        <f t="shared" si="16"/>
        <v>236.63753031097997</v>
      </c>
      <c r="Q40" s="6">
        <f t="shared" si="3"/>
        <v>236.63753031097997</v>
      </c>
      <c r="R40" s="5">
        <f t="shared" si="11"/>
        <v>1334995.3599999999</v>
      </c>
      <c r="S40" s="151">
        <v>33240.906986986418</v>
      </c>
      <c r="T40" s="195">
        <v>0.33055555555555555</v>
      </c>
      <c r="U40" s="154">
        <f t="shared" si="12"/>
        <v>315762.20575254207</v>
      </c>
      <c r="V40" s="154">
        <f t="shared" si="13"/>
        <v>257748.18666795653</v>
      </c>
      <c r="W40" s="155">
        <f t="shared" si="4"/>
        <v>31313.085403793757</v>
      </c>
      <c r="X40" s="199">
        <f t="shared" si="5"/>
        <v>911.83088126093662</v>
      </c>
      <c r="Y40" s="199">
        <f t="shared" si="14"/>
        <v>605735.3087055533</v>
      </c>
      <c r="Z40" s="200">
        <f t="shared" si="6"/>
        <v>0.45373589066673115</v>
      </c>
      <c r="AA40" s="199">
        <f t="shared" si="7"/>
        <v>605792.27811101323</v>
      </c>
      <c r="AC40" s="30">
        <v>599816.8881728925</v>
      </c>
      <c r="AD40" s="30">
        <f t="shared" si="15"/>
        <v>5975.3899381207302</v>
      </c>
    </row>
    <row r="41" spans="2:30" x14ac:dyDescent="0.25">
      <c r="B41" s="10">
        <v>103</v>
      </c>
      <c r="C41" s="10">
        <v>3</v>
      </c>
      <c r="D41" s="9" t="s">
        <v>140</v>
      </c>
      <c r="E41" s="150">
        <v>4611.17</v>
      </c>
      <c r="F41" s="150">
        <v>4611.17</v>
      </c>
      <c r="G41" s="150">
        <f t="shared" si="8"/>
        <v>0</v>
      </c>
      <c r="H41" s="151">
        <v>1422510.27</v>
      </c>
      <c r="I41" s="151">
        <v>1422510.27</v>
      </c>
      <c r="J41" s="151">
        <f t="shared" si="9"/>
        <v>0</v>
      </c>
      <c r="K41" s="151">
        <v>707422.1</v>
      </c>
      <c r="L41" s="151">
        <v>707422.1</v>
      </c>
      <c r="M41" s="151">
        <f t="shared" si="10"/>
        <v>0</v>
      </c>
      <c r="N41" s="5">
        <f t="shared" si="2"/>
        <v>715088.17</v>
      </c>
      <c r="O41" s="154">
        <f t="shared" si="2"/>
        <v>715088.17</v>
      </c>
      <c r="P41" s="152">
        <f t="shared" si="16"/>
        <v>155.07738166235467</v>
      </c>
      <c r="Q41" s="6">
        <f t="shared" si="3"/>
        <v>155.07738166235467</v>
      </c>
      <c r="R41" s="5">
        <f t="shared" si="11"/>
        <v>715088.17</v>
      </c>
      <c r="S41" s="151">
        <v>0</v>
      </c>
      <c r="T41" s="195">
        <v>0.39999999999999997</v>
      </c>
      <c r="U41" s="154">
        <f t="shared" si="12"/>
        <v>169137.53008605874</v>
      </c>
      <c r="V41" s="154">
        <f t="shared" si="13"/>
        <v>210673.84426850939</v>
      </c>
      <c r="W41" s="155">
        <f t="shared" si="4"/>
        <v>20296.50361032705</v>
      </c>
      <c r="X41" s="199">
        <f t="shared" si="5"/>
        <v>488.42078090096925</v>
      </c>
      <c r="Y41" s="199">
        <f t="shared" si="14"/>
        <v>400596.29874579614</v>
      </c>
      <c r="Z41" s="200">
        <f t="shared" si="6"/>
        <v>0.56020546214013878</v>
      </c>
      <c r="AA41" s="199">
        <f t="shared" si="7"/>
        <v>400633.97482747905</v>
      </c>
      <c r="AC41" s="30">
        <v>398457.4820388165</v>
      </c>
      <c r="AD41" s="30">
        <f t="shared" si="15"/>
        <v>2176.4927886625519</v>
      </c>
    </row>
    <row r="42" spans="2:30" x14ac:dyDescent="0.25">
      <c r="B42" s="10">
        <v>123</v>
      </c>
      <c r="C42" s="10">
        <v>3</v>
      </c>
      <c r="D42" s="9" t="s">
        <v>141</v>
      </c>
      <c r="E42" s="150">
        <v>5867.41</v>
      </c>
      <c r="F42" s="150">
        <v>5867.41</v>
      </c>
      <c r="G42" s="150">
        <f t="shared" si="8"/>
        <v>0</v>
      </c>
      <c r="H42" s="151">
        <v>853814.51</v>
      </c>
      <c r="I42" s="151">
        <v>853814.51</v>
      </c>
      <c r="J42" s="151">
        <f t="shared" si="9"/>
        <v>0</v>
      </c>
      <c r="K42" s="151">
        <v>33</v>
      </c>
      <c r="L42" s="151">
        <v>33</v>
      </c>
      <c r="M42" s="151">
        <f t="shared" si="10"/>
        <v>0</v>
      </c>
      <c r="N42" s="5">
        <f t="shared" si="2"/>
        <v>853781.51</v>
      </c>
      <c r="O42" s="154">
        <f t="shared" si="2"/>
        <v>853781.51</v>
      </c>
      <c r="P42" s="152">
        <f t="shared" si="16"/>
        <v>145.51250210910777</v>
      </c>
      <c r="Q42" s="6">
        <f t="shared" si="3"/>
        <v>145.51250210910777</v>
      </c>
      <c r="R42" s="5">
        <f t="shared" si="11"/>
        <v>853781.51</v>
      </c>
      <c r="S42" s="151">
        <v>22969.653340573823</v>
      </c>
      <c r="T42" s="195">
        <v>0.72222222222222221</v>
      </c>
      <c r="U42" s="154">
        <f t="shared" si="12"/>
        <v>201942.22459944439</v>
      </c>
      <c r="V42" s="154">
        <f t="shared" si="13"/>
        <v>268068.58576012042</v>
      </c>
      <c r="W42" s="155">
        <f t="shared" si="4"/>
        <v>43754.148663212953</v>
      </c>
      <c r="X42" s="199">
        <f t="shared" si="5"/>
        <v>583.15135017966907</v>
      </c>
      <c r="Y42" s="199">
        <f t="shared" si="14"/>
        <v>514348.11037295748</v>
      </c>
      <c r="Z42" s="200">
        <f t="shared" si="6"/>
        <v>0.60243528859386697</v>
      </c>
      <c r="AA42" s="199">
        <f t="shared" si="7"/>
        <v>514396.48481246305</v>
      </c>
      <c r="AC42" s="30">
        <v>511591.89958010492</v>
      </c>
      <c r="AD42" s="30">
        <f t="shared" si="15"/>
        <v>2804.5852323581348</v>
      </c>
    </row>
    <row r="43" spans="2:30" x14ac:dyDescent="0.25">
      <c r="B43" s="10">
        <v>179</v>
      </c>
      <c r="C43" s="10">
        <v>3</v>
      </c>
      <c r="D43" s="9" t="s">
        <v>142</v>
      </c>
      <c r="E43" s="150">
        <v>6778.45</v>
      </c>
      <c r="F43" s="150">
        <v>6735.06</v>
      </c>
      <c r="G43" s="150">
        <f t="shared" si="8"/>
        <v>-43.389999999999418</v>
      </c>
      <c r="H43" s="151">
        <v>2219526.4900000002</v>
      </c>
      <c r="I43" s="151">
        <v>2250698.11</v>
      </c>
      <c r="J43" s="151">
        <f t="shared" si="9"/>
        <v>-31171.619999999646</v>
      </c>
      <c r="K43" s="151">
        <v>860765.04000000015</v>
      </c>
      <c r="L43" s="151">
        <v>838854.01</v>
      </c>
      <c r="M43" s="151">
        <f t="shared" si="10"/>
        <v>21911.030000000144</v>
      </c>
      <c r="N43" s="5">
        <f t="shared" si="2"/>
        <v>1358761.4500000002</v>
      </c>
      <c r="O43" s="154">
        <f t="shared" si="2"/>
        <v>1411844.0999999999</v>
      </c>
      <c r="P43" s="152">
        <f t="shared" si="16"/>
        <v>209.62606123776177</v>
      </c>
      <c r="Q43" s="6">
        <f t="shared" si="3"/>
        <v>209.62606123776177</v>
      </c>
      <c r="R43" s="5">
        <f t="shared" si="11"/>
        <v>1411844.0999999999</v>
      </c>
      <c r="S43" s="151">
        <v>27673.80390568174</v>
      </c>
      <c r="T43" s="195">
        <v>0.68611111111111112</v>
      </c>
      <c r="U43" s="154">
        <f t="shared" si="12"/>
        <v>333938.99376153084</v>
      </c>
      <c r="V43" s="154">
        <f t="shared" si="13"/>
        <v>307709.53610017995</v>
      </c>
      <c r="W43" s="155">
        <f t="shared" si="4"/>
        <v>68735.776215915103</v>
      </c>
      <c r="X43" s="199">
        <f t="shared" si="5"/>
        <v>964.32024296028555</v>
      </c>
      <c r="Y43" s="199">
        <f t="shared" si="14"/>
        <v>711348.62632058607</v>
      </c>
      <c r="Z43" s="200">
        <f t="shared" si="6"/>
        <v>0.50384360873880207</v>
      </c>
      <c r="AA43" s="199">
        <f t="shared" si="7"/>
        <v>711415.52865851123</v>
      </c>
      <c r="AC43" s="30">
        <v>694214.8787636729</v>
      </c>
      <c r="AD43" s="30">
        <f t="shared" si="15"/>
        <v>17200.649894838338</v>
      </c>
    </row>
    <row r="44" spans="2:30" x14ac:dyDescent="0.25">
      <c r="B44" s="10">
        <v>293</v>
      </c>
      <c r="C44" s="10">
        <v>3</v>
      </c>
      <c r="D44" s="9" t="s">
        <v>143</v>
      </c>
      <c r="E44" s="150">
        <v>8353.2099999999991</v>
      </c>
      <c r="F44" s="150">
        <v>8120.68</v>
      </c>
      <c r="G44" s="150">
        <f t="shared" si="8"/>
        <v>-232.52999999999884</v>
      </c>
      <c r="H44" s="151">
        <v>2180524.25</v>
      </c>
      <c r="I44" s="151">
        <v>1969324.68</v>
      </c>
      <c r="J44" s="151">
        <f t="shared" si="9"/>
        <v>211199.57000000007</v>
      </c>
      <c r="K44" s="151">
        <v>958014.98</v>
      </c>
      <c r="L44" s="151">
        <v>958014.98</v>
      </c>
      <c r="M44" s="151">
        <f t="shared" si="10"/>
        <v>0</v>
      </c>
      <c r="N44" s="5">
        <f t="shared" si="2"/>
        <v>1222509.27</v>
      </c>
      <c r="O44" s="154">
        <f t="shared" si="2"/>
        <v>1011309.7</v>
      </c>
      <c r="P44" s="152">
        <f t="shared" si="16"/>
        <v>124.53510050882437</v>
      </c>
      <c r="Q44" s="6">
        <f t="shared" si="3"/>
        <v>124.53510050882437</v>
      </c>
      <c r="R44" s="5">
        <f t="shared" si="11"/>
        <v>1011309.7</v>
      </c>
      <c r="S44" s="151">
        <v>33878.033896902678</v>
      </c>
      <c r="T44" s="195">
        <v>0.91666666666666652</v>
      </c>
      <c r="U44" s="154">
        <f t="shared" si="12"/>
        <v>239201.86626786602</v>
      </c>
      <c r="V44" s="154">
        <f t="shared" si="13"/>
        <v>371015.35481762741</v>
      </c>
      <c r="W44" s="155">
        <f t="shared" si="4"/>
        <v>65780.513223663147</v>
      </c>
      <c r="X44" s="199">
        <f t="shared" si="5"/>
        <v>690.74653186714704</v>
      </c>
      <c r="Y44" s="199">
        <f t="shared" si="14"/>
        <v>676688.48084102385</v>
      </c>
      <c r="Z44" s="200">
        <f t="shared" si="6"/>
        <v>0.66912092392767897</v>
      </c>
      <c r="AA44" s="199">
        <f t="shared" si="7"/>
        <v>676752.1233922852</v>
      </c>
      <c r="AC44" s="30">
        <v>747086.07095052081</v>
      </c>
      <c r="AD44" s="30">
        <f t="shared" si="15"/>
        <v>-70333.94755823561</v>
      </c>
    </row>
    <row r="45" spans="2:30" x14ac:dyDescent="0.25">
      <c r="B45" s="10">
        <v>12</v>
      </c>
      <c r="C45" s="10">
        <v>4</v>
      </c>
      <c r="D45" s="9" t="s">
        <v>144</v>
      </c>
      <c r="E45" s="150">
        <v>5905.93</v>
      </c>
      <c r="F45" s="150">
        <v>5905.93</v>
      </c>
      <c r="G45" s="150">
        <f t="shared" si="8"/>
        <v>0</v>
      </c>
      <c r="H45" s="151">
        <v>3090261.13</v>
      </c>
      <c r="I45" s="151">
        <v>3090261.13</v>
      </c>
      <c r="J45" s="151">
        <f t="shared" si="9"/>
        <v>0</v>
      </c>
      <c r="K45" s="151">
        <v>559227.85000000009</v>
      </c>
      <c r="L45" s="151">
        <v>559227.85</v>
      </c>
      <c r="M45" s="151">
        <f t="shared" si="10"/>
        <v>0</v>
      </c>
      <c r="N45" s="5">
        <f t="shared" si="2"/>
        <v>2531033.2799999998</v>
      </c>
      <c r="O45" s="154">
        <f t="shared" si="2"/>
        <v>2531033.2799999998</v>
      </c>
      <c r="P45" s="152">
        <f t="shared" si="16"/>
        <v>428.55795446271793</v>
      </c>
      <c r="Q45" s="6">
        <f t="shared" si="3"/>
        <v>428.55795446271793</v>
      </c>
      <c r="R45" s="5">
        <f t="shared" si="11"/>
        <v>2531033.2799999998</v>
      </c>
      <c r="S45" s="151">
        <v>49221.784378069184</v>
      </c>
      <c r="T45" s="195">
        <v>0.64999999999999991</v>
      </c>
      <c r="U45" s="154">
        <f t="shared" si="12"/>
        <v>598657.25025882595</v>
      </c>
      <c r="V45" s="154">
        <f t="shared" si="13"/>
        <v>269828.47673816356</v>
      </c>
      <c r="W45" s="155">
        <f t="shared" si="4"/>
        <v>116738.16380047105</v>
      </c>
      <c r="X45" s="199">
        <f t="shared" si="5"/>
        <v>1728.7508071961829</v>
      </c>
      <c r="Y45" s="199">
        <f t="shared" si="14"/>
        <v>986952.64160465659</v>
      </c>
      <c r="Z45" s="200">
        <f t="shared" si="6"/>
        <v>0.38994060228424049</v>
      </c>
      <c r="AA45" s="30">
        <f t="shared" si="7"/>
        <v>987045.46450007183</v>
      </c>
      <c r="AC45" s="30">
        <v>980765.83037162106</v>
      </c>
      <c r="AD45" s="30">
        <f t="shared" si="15"/>
        <v>6279.6341284507653</v>
      </c>
    </row>
    <row r="46" spans="2:30" x14ac:dyDescent="0.25">
      <c r="B46" s="10">
        <v>21</v>
      </c>
      <c r="C46" s="10">
        <v>4</v>
      </c>
      <c r="D46" s="9" t="s">
        <v>145</v>
      </c>
      <c r="E46" s="150">
        <v>5000.62</v>
      </c>
      <c r="F46" s="150">
        <v>5000.62</v>
      </c>
      <c r="G46" s="150">
        <f t="shared" si="8"/>
        <v>0</v>
      </c>
      <c r="H46" s="151">
        <v>2200771.41</v>
      </c>
      <c r="I46" s="151">
        <v>2200771.41</v>
      </c>
      <c r="J46" s="151">
        <f t="shared" si="9"/>
        <v>0</v>
      </c>
      <c r="K46" s="151">
        <v>808842.57</v>
      </c>
      <c r="L46" s="151">
        <v>808842.57000000007</v>
      </c>
      <c r="M46" s="151">
        <f t="shared" si="10"/>
        <v>0</v>
      </c>
      <c r="N46" s="5">
        <f t="shared" si="2"/>
        <v>1391928.8400000003</v>
      </c>
      <c r="O46" s="154">
        <f t="shared" si="2"/>
        <v>1391928.84</v>
      </c>
      <c r="P46" s="152">
        <f t="shared" si="16"/>
        <v>278.35125244469685</v>
      </c>
      <c r="Q46" s="6">
        <f t="shared" si="3"/>
        <v>278.35125244469685</v>
      </c>
      <c r="R46" s="5">
        <f t="shared" si="11"/>
        <v>1391928.8399999999</v>
      </c>
      <c r="S46" s="151">
        <v>32931.866542919553</v>
      </c>
      <c r="T46" s="195">
        <v>0.77499999999999991</v>
      </c>
      <c r="U46" s="154">
        <f t="shared" si="12"/>
        <v>329228.50066608266</v>
      </c>
      <c r="V46" s="154">
        <f t="shared" si="13"/>
        <v>228466.92685934226</v>
      </c>
      <c r="W46" s="155">
        <f t="shared" si="4"/>
        <v>76545.626404864219</v>
      </c>
      <c r="X46" s="199">
        <f t="shared" si="5"/>
        <v>950.71768701107192</v>
      </c>
      <c r="Y46" s="199">
        <f t="shared" si="14"/>
        <v>635191.77161730023</v>
      </c>
      <c r="Z46" s="200">
        <f t="shared" si="6"/>
        <v>0.45633925626348854</v>
      </c>
      <c r="AA46" s="199">
        <f t="shared" si="7"/>
        <v>635251.51140308124</v>
      </c>
      <c r="AC46" s="30">
        <v>631410.70303808944</v>
      </c>
      <c r="AD46" s="30">
        <f t="shared" si="15"/>
        <v>3840.8083649917971</v>
      </c>
    </row>
    <row r="47" spans="2:30" x14ac:dyDescent="0.25">
      <c r="B47" s="10">
        <v>34</v>
      </c>
      <c r="C47" s="10">
        <v>4</v>
      </c>
      <c r="D47" s="9" t="s">
        <v>146</v>
      </c>
      <c r="E47" s="150">
        <v>4668.9399999999996</v>
      </c>
      <c r="F47" s="150">
        <v>4314.5285898996199</v>
      </c>
      <c r="G47" s="150">
        <f t="shared" si="8"/>
        <v>-354.41141010037973</v>
      </c>
      <c r="H47" s="151">
        <v>2311070.11</v>
      </c>
      <c r="I47" s="151">
        <v>2311070.11</v>
      </c>
      <c r="J47" s="151">
        <f t="shared" si="9"/>
        <v>0</v>
      </c>
      <c r="K47" s="151">
        <v>0</v>
      </c>
      <c r="L47" s="151">
        <v>513200.1</v>
      </c>
      <c r="M47" s="151">
        <f t="shared" si="10"/>
        <v>-513200.1</v>
      </c>
      <c r="N47" s="5">
        <f t="shared" si="2"/>
        <v>2311070.11</v>
      </c>
      <c r="O47" s="154">
        <f t="shared" si="2"/>
        <v>1797870.0099999998</v>
      </c>
      <c r="P47" s="152">
        <f t="shared" si="16"/>
        <v>416.70137827081322</v>
      </c>
      <c r="Q47" s="6">
        <f t="shared" si="3"/>
        <v>416.70137827081322</v>
      </c>
      <c r="R47" s="5">
        <f t="shared" si="11"/>
        <v>1797870.0099999998</v>
      </c>
      <c r="S47" s="151">
        <v>62836.868036000546</v>
      </c>
      <c r="T47" s="195">
        <v>0.46111111111111108</v>
      </c>
      <c r="U47" s="154">
        <f t="shared" si="12"/>
        <v>425244.47426839365</v>
      </c>
      <c r="V47" s="154">
        <f t="shared" si="13"/>
        <v>197120.97455538265</v>
      </c>
      <c r="W47" s="155">
        <f t="shared" si="4"/>
        <v>58825.48560712779</v>
      </c>
      <c r="X47" s="199">
        <f t="shared" si="5"/>
        <v>1227.9843396690974</v>
      </c>
      <c r="Y47" s="199">
        <f t="shared" si="14"/>
        <v>682418.91877057322</v>
      </c>
      <c r="Z47" s="200">
        <f t="shared" si="6"/>
        <v>0.37957077818466606</v>
      </c>
      <c r="AA47" s="199">
        <f t="shared" si="7"/>
        <v>682483.10026951879</v>
      </c>
      <c r="AC47" s="30">
        <v>794480.22309655556</v>
      </c>
      <c r="AD47" s="30">
        <f t="shared" si="15"/>
        <v>-111997.12282703677</v>
      </c>
    </row>
    <row r="48" spans="2:30" x14ac:dyDescent="0.25">
      <c r="B48" s="10">
        <v>87</v>
      </c>
      <c r="C48" s="10">
        <v>4</v>
      </c>
      <c r="D48" s="9" t="s">
        <v>147</v>
      </c>
      <c r="E48" s="150">
        <v>12050.44</v>
      </c>
      <c r="F48" s="150">
        <v>11986.87</v>
      </c>
      <c r="G48" s="150">
        <f t="shared" si="8"/>
        <v>-63.569999999999709</v>
      </c>
      <c r="H48" s="151">
        <v>4950001.76</v>
      </c>
      <c r="I48" s="151">
        <v>4956764.6100000003</v>
      </c>
      <c r="J48" s="151">
        <f t="shared" si="9"/>
        <v>-6762.8500000005588</v>
      </c>
      <c r="K48" s="151">
        <v>1623255.6599999997</v>
      </c>
      <c r="L48" s="151">
        <v>1616295.68</v>
      </c>
      <c r="M48" s="151">
        <f t="shared" si="10"/>
        <v>6959.9799999997485</v>
      </c>
      <c r="N48" s="5">
        <f t="shared" si="2"/>
        <v>3326746.1</v>
      </c>
      <c r="O48" s="154">
        <f t="shared" si="2"/>
        <v>3340468.9300000006</v>
      </c>
      <c r="P48" s="152">
        <f t="shared" si="16"/>
        <v>278.67733027888016</v>
      </c>
      <c r="Q48" s="6">
        <f t="shared" si="3"/>
        <v>278.67733027888016</v>
      </c>
      <c r="R48" s="5">
        <f t="shared" si="11"/>
        <v>3340468.9300000006</v>
      </c>
      <c r="S48" s="151">
        <v>77813.956264193752</v>
      </c>
      <c r="T48" s="195">
        <v>0.89999999999999991</v>
      </c>
      <c r="U48" s="154">
        <f t="shared" si="12"/>
        <v>790110.48966090381</v>
      </c>
      <c r="V48" s="154">
        <f t="shared" si="13"/>
        <v>547652.76137007901</v>
      </c>
      <c r="W48" s="155">
        <f t="shared" si="4"/>
        <v>213329.83220844402</v>
      </c>
      <c r="X48" s="199">
        <f t="shared" si="5"/>
        <v>2281.6129700006441</v>
      </c>
      <c r="Y48" s="199">
        <f t="shared" si="14"/>
        <v>1553374.6962094274</v>
      </c>
      <c r="Z48" s="200">
        <f t="shared" si="6"/>
        <v>0.46501695682870103</v>
      </c>
      <c r="AA48" s="199">
        <f t="shared" si="7"/>
        <v>1553520.7910987756</v>
      </c>
      <c r="AC48" s="30">
        <v>1542878.155589656</v>
      </c>
      <c r="AD48" s="30">
        <f t="shared" si="15"/>
        <v>10642.635509119602</v>
      </c>
    </row>
    <row r="49" spans="2:30" x14ac:dyDescent="0.25">
      <c r="B49" s="10">
        <v>88</v>
      </c>
      <c r="C49" s="10">
        <v>4</v>
      </c>
      <c r="D49" s="9" t="s">
        <v>148</v>
      </c>
      <c r="E49" s="150">
        <v>5152.42</v>
      </c>
      <c r="F49" s="150">
        <v>5152.42</v>
      </c>
      <c r="G49" s="150">
        <f t="shared" si="8"/>
        <v>0</v>
      </c>
      <c r="H49" s="151">
        <v>1973375.49</v>
      </c>
      <c r="I49" s="151">
        <v>1973891.96</v>
      </c>
      <c r="J49" s="151">
        <f t="shared" si="9"/>
        <v>-516.46999999997206</v>
      </c>
      <c r="K49" s="151">
        <v>693621.51</v>
      </c>
      <c r="L49" s="151">
        <v>693621.51</v>
      </c>
      <c r="M49" s="151">
        <f t="shared" si="10"/>
        <v>0</v>
      </c>
      <c r="N49" s="5">
        <f t="shared" si="2"/>
        <v>1279753.98</v>
      </c>
      <c r="O49" s="154">
        <f t="shared" si="2"/>
        <v>1280270.45</v>
      </c>
      <c r="P49" s="152">
        <f t="shared" si="16"/>
        <v>248.47944266965814</v>
      </c>
      <c r="Q49" s="6">
        <f t="shared" si="3"/>
        <v>248.47944266965814</v>
      </c>
      <c r="R49" s="5">
        <f t="shared" si="11"/>
        <v>1280270.45</v>
      </c>
      <c r="S49" s="151">
        <v>32175.276378921593</v>
      </c>
      <c r="T49" s="195">
        <v>0.8833333333333333</v>
      </c>
      <c r="U49" s="154">
        <f t="shared" si="12"/>
        <v>302818.29687542864</v>
      </c>
      <c r="V49" s="154">
        <f t="shared" si="13"/>
        <v>235402.32276969904</v>
      </c>
      <c r="W49" s="155">
        <f t="shared" si="4"/>
        <v>80246.848671988584</v>
      </c>
      <c r="X49" s="199">
        <f t="shared" si="5"/>
        <v>874.45257688074366</v>
      </c>
      <c r="Y49" s="199">
        <f t="shared" si="14"/>
        <v>619341.92089399695</v>
      </c>
      <c r="Z49" s="200">
        <f t="shared" si="6"/>
        <v>0.48375866278409924</v>
      </c>
      <c r="AA49" s="199">
        <f t="shared" si="7"/>
        <v>619400.1700013259</v>
      </c>
      <c r="AC49" s="30">
        <v>615547.36506073456</v>
      </c>
      <c r="AD49" s="30">
        <f t="shared" si="15"/>
        <v>3852.8049405913334</v>
      </c>
    </row>
    <row r="50" spans="2:30" x14ac:dyDescent="0.25">
      <c r="B50" s="10">
        <v>89</v>
      </c>
      <c r="C50" s="10">
        <v>4</v>
      </c>
      <c r="D50" s="9" t="s">
        <v>149</v>
      </c>
      <c r="E50" s="150">
        <v>5724.7</v>
      </c>
      <c r="F50" s="150">
        <v>5724.7</v>
      </c>
      <c r="G50" s="150">
        <f t="shared" si="8"/>
        <v>0</v>
      </c>
      <c r="H50" s="151">
        <v>3475560.94</v>
      </c>
      <c r="I50" s="151">
        <v>3475560.94</v>
      </c>
      <c r="J50" s="151">
        <f t="shared" si="9"/>
        <v>0</v>
      </c>
      <c r="K50" s="151">
        <v>482424.93999999994</v>
      </c>
      <c r="L50" s="151">
        <v>482424.94</v>
      </c>
      <c r="M50" s="151">
        <f t="shared" si="10"/>
        <v>0</v>
      </c>
      <c r="N50" s="5">
        <f t="shared" si="2"/>
        <v>2993136</v>
      </c>
      <c r="O50" s="154">
        <f t="shared" si="2"/>
        <v>2993136</v>
      </c>
      <c r="P50" s="152">
        <f t="shared" si="16"/>
        <v>522.84591332296895</v>
      </c>
      <c r="Q50" s="6">
        <f t="shared" si="3"/>
        <v>447.47730959827243</v>
      </c>
      <c r="R50" s="5">
        <f t="shared" si="11"/>
        <v>2561673.3542572302</v>
      </c>
      <c r="S50" s="151">
        <v>7970.7624997981839</v>
      </c>
      <c r="T50" s="195">
        <v>0.7583333333333333</v>
      </c>
      <c r="U50" s="154">
        <f t="shared" si="12"/>
        <v>605904.44955387432</v>
      </c>
      <c r="V50" s="154">
        <f t="shared" si="13"/>
        <v>261548.49122542338</v>
      </c>
      <c r="W50" s="155">
        <f t="shared" si="4"/>
        <v>137843.26227350641</v>
      </c>
      <c r="X50" s="199">
        <f t="shared" si="5"/>
        <v>1749.6786446621284</v>
      </c>
      <c r="Y50" s="199">
        <f t="shared" si="14"/>
        <v>1007045.8816974662</v>
      </c>
      <c r="Z50" s="200">
        <f t="shared" si="6"/>
        <v>0.3931203328573733</v>
      </c>
      <c r="AA50" s="199">
        <f t="shared" si="7"/>
        <v>1007140.5943621015</v>
      </c>
      <c r="AC50" s="30">
        <v>1029877.6670440426</v>
      </c>
      <c r="AD50" s="30">
        <f t="shared" si="15"/>
        <v>-22737.072681941092</v>
      </c>
    </row>
    <row r="51" spans="2:30" x14ac:dyDescent="0.25">
      <c r="B51" s="10">
        <v>143</v>
      </c>
      <c r="C51" s="10">
        <v>4</v>
      </c>
      <c r="D51" s="9" t="s">
        <v>150</v>
      </c>
      <c r="E51" s="150">
        <v>3539.74</v>
      </c>
      <c r="F51" s="150">
        <v>3121.29</v>
      </c>
      <c r="G51" s="150">
        <f t="shared" si="8"/>
        <v>-418.44999999999982</v>
      </c>
      <c r="H51" s="151">
        <v>1028293.53</v>
      </c>
      <c r="I51" s="151">
        <v>1019227.53</v>
      </c>
      <c r="J51" s="151">
        <f t="shared" si="9"/>
        <v>9066</v>
      </c>
      <c r="K51" s="151">
        <v>375903.61</v>
      </c>
      <c r="L51" s="151">
        <v>353105.24</v>
      </c>
      <c r="M51" s="151">
        <f t="shared" si="10"/>
        <v>22798.369999999995</v>
      </c>
      <c r="N51" s="5">
        <f t="shared" si="2"/>
        <v>652389.92000000004</v>
      </c>
      <c r="O51" s="154">
        <f t="shared" si="2"/>
        <v>666122.29</v>
      </c>
      <c r="P51" s="152">
        <f t="shared" si="16"/>
        <v>213.41249611538819</v>
      </c>
      <c r="Q51" s="6">
        <f t="shared" si="3"/>
        <v>213.41249611538819</v>
      </c>
      <c r="R51" s="5">
        <f t="shared" si="11"/>
        <v>666122.29</v>
      </c>
      <c r="S51" s="151">
        <v>18009.629217471807</v>
      </c>
      <c r="T51" s="195">
        <v>0.73888888888888893</v>
      </c>
      <c r="U51" s="154">
        <f t="shared" si="12"/>
        <v>157555.78625481855</v>
      </c>
      <c r="V51" s="154">
        <f t="shared" si="13"/>
        <v>142604.6238540014</v>
      </c>
      <c r="W51" s="155">
        <f t="shared" si="4"/>
        <v>34924.86595315145</v>
      </c>
      <c r="X51" s="199">
        <f t="shared" si="5"/>
        <v>454.97601933107342</v>
      </c>
      <c r="Y51" s="199">
        <f t="shared" si="14"/>
        <v>335540.25208130246</v>
      </c>
      <c r="Z51" s="200">
        <f t="shared" si="6"/>
        <v>0.5037216996316134</v>
      </c>
      <c r="AA51" s="199">
        <f t="shared" si="7"/>
        <v>335571.80964183132</v>
      </c>
      <c r="AC51" s="30">
        <v>348724.27093190688</v>
      </c>
      <c r="AD51" s="30">
        <f t="shared" si="15"/>
        <v>-13152.46129007556</v>
      </c>
    </row>
    <row r="52" spans="2:30" x14ac:dyDescent="0.25">
      <c r="B52" s="10">
        <v>183</v>
      </c>
      <c r="C52" s="10">
        <v>4</v>
      </c>
      <c r="D52" s="9" t="s">
        <v>151</v>
      </c>
      <c r="E52" s="150">
        <v>13754.03</v>
      </c>
      <c r="F52" s="150">
        <v>13754.03</v>
      </c>
      <c r="G52" s="150">
        <f t="shared" si="8"/>
        <v>0</v>
      </c>
      <c r="H52" s="151">
        <v>5212483.79</v>
      </c>
      <c r="I52" s="151">
        <v>5212483.79</v>
      </c>
      <c r="J52" s="151">
        <f t="shared" si="9"/>
        <v>0</v>
      </c>
      <c r="K52" s="151">
        <v>810825.95</v>
      </c>
      <c r="L52" s="151">
        <v>810825.95</v>
      </c>
      <c r="M52" s="151">
        <f t="shared" si="10"/>
        <v>0</v>
      </c>
      <c r="N52" s="5">
        <f t="shared" si="2"/>
        <v>4401657.84</v>
      </c>
      <c r="O52" s="154">
        <f t="shared" si="2"/>
        <v>4401657.84</v>
      </c>
      <c r="P52" s="152">
        <f t="shared" si="16"/>
        <v>320.02677324391465</v>
      </c>
      <c r="Q52" s="6">
        <f t="shared" si="3"/>
        <v>320.02677324391465</v>
      </c>
      <c r="R52" s="5">
        <f t="shared" si="11"/>
        <v>4401657.84</v>
      </c>
      <c r="S52" s="151">
        <v>121395.72249290423</v>
      </c>
      <c r="T52" s="195">
        <v>0.84444444444444444</v>
      </c>
      <c r="U52" s="154">
        <f t="shared" si="12"/>
        <v>1041110.1267995194</v>
      </c>
      <c r="V52" s="154">
        <f t="shared" si="13"/>
        <v>628390.27281241119</v>
      </c>
      <c r="W52" s="155">
        <f t="shared" si="4"/>
        <v>263747.89878921158</v>
      </c>
      <c r="X52" s="199">
        <f t="shared" si="5"/>
        <v>3006.4280877023502</v>
      </c>
      <c r="Y52" s="199">
        <f t="shared" si="14"/>
        <v>1936254.7264888445</v>
      </c>
      <c r="Z52" s="200">
        <f t="shared" si="6"/>
        <v>0.43989214902011659</v>
      </c>
      <c r="AA52" s="199">
        <f t="shared" si="7"/>
        <v>1936436.8312448356</v>
      </c>
      <c r="AC52" s="30">
        <v>1924477.6029419398</v>
      </c>
      <c r="AD52" s="30">
        <f t="shared" si="15"/>
        <v>11959.22830289579</v>
      </c>
    </row>
    <row r="53" spans="2:30" x14ac:dyDescent="0.25">
      <c r="B53" s="10">
        <v>186</v>
      </c>
      <c r="C53" s="10">
        <v>4</v>
      </c>
      <c r="D53" s="9" t="s">
        <v>152</v>
      </c>
      <c r="E53" s="150">
        <v>11373.31</v>
      </c>
      <c r="F53" s="150">
        <v>11373.31</v>
      </c>
      <c r="G53" s="150">
        <f t="shared" si="8"/>
        <v>0</v>
      </c>
      <c r="H53" s="151">
        <v>5917398.4400000004</v>
      </c>
      <c r="I53" s="151">
        <v>5917398.4400000004</v>
      </c>
      <c r="J53" s="151">
        <f t="shared" si="9"/>
        <v>0</v>
      </c>
      <c r="K53" s="151">
        <v>1250393.5499999998</v>
      </c>
      <c r="L53" s="151">
        <v>1250393.55</v>
      </c>
      <c r="M53" s="151">
        <f t="shared" si="10"/>
        <v>0</v>
      </c>
      <c r="N53" s="5">
        <f t="shared" si="2"/>
        <v>4667004.8900000006</v>
      </c>
      <c r="O53" s="154">
        <f t="shared" si="2"/>
        <v>4667004.8900000006</v>
      </c>
      <c r="P53" s="152">
        <f t="shared" si="16"/>
        <v>410.34711003217188</v>
      </c>
      <c r="Q53" s="6">
        <f t="shared" si="3"/>
        <v>410.34711003217188</v>
      </c>
      <c r="R53" s="5">
        <f t="shared" si="11"/>
        <v>4667004.8900000006</v>
      </c>
      <c r="S53" s="151">
        <v>115947.29492597876</v>
      </c>
      <c r="T53" s="195">
        <v>0.75</v>
      </c>
      <c r="U53" s="154">
        <f t="shared" si="12"/>
        <v>1103871.8204416086</v>
      </c>
      <c r="V53" s="154">
        <f t="shared" si="13"/>
        <v>519620.60382885044</v>
      </c>
      <c r="W53" s="155">
        <f t="shared" si="4"/>
        <v>248371.15959936194</v>
      </c>
      <c r="X53" s="199">
        <f t="shared" si="5"/>
        <v>3187.6658969794485</v>
      </c>
      <c r="Y53" s="199">
        <f t="shared" si="14"/>
        <v>1875051.2497668003</v>
      </c>
      <c r="Z53" s="200">
        <f t="shared" si="6"/>
        <v>0.40176757769945259</v>
      </c>
      <c r="AA53" s="199">
        <f t="shared" si="7"/>
        <v>1875227.5983358384</v>
      </c>
      <c r="AC53" s="30">
        <v>1863321.1512932158</v>
      </c>
      <c r="AD53" s="30">
        <f t="shared" si="15"/>
        <v>11906.447042622603</v>
      </c>
    </row>
    <row r="54" spans="2:30" x14ac:dyDescent="0.25">
      <c r="B54" s="10">
        <v>190</v>
      </c>
      <c r="C54" s="10">
        <v>4</v>
      </c>
      <c r="D54" s="9" t="s">
        <v>153</v>
      </c>
      <c r="E54" s="150">
        <v>3483.98</v>
      </c>
      <c r="F54" s="150">
        <v>3483.98</v>
      </c>
      <c r="G54" s="150">
        <f t="shared" si="8"/>
        <v>0</v>
      </c>
      <c r="H54" s="151">
        <v>1640534.95</v>
      </c>
      <c r="I54" s="151">
        <v>1640534.95</v>
      </c>
      <c r="J54" s="151">
        <f t="shared" si="9"/>
        <v>0</v>
      </c>
      <c r="K54" s="151">
        <v>566005.17000000004</v>
      </c>
      <c r="L54" s="151">
        <v>566005.17000000004</v>
      </c>
      <c r="M54" s="151">
        <f t="shared" si="10"/>
        <v>0</v>
      </c>
      <c r="N54" s="5">
        <f t="shared" si="2"/>
        <v>1074529.7799999998</v>
      </c>
      <c r="O54" s="154">
        <f t="shared" si="2"/>
        <v>1074529.7799999998</v>
      </c>
      <c r="P54" s="152">
        <f t="shared" si="16"/>
        <v>308.42019184955132</v>
      </c>
      <c r="Q54" s="6">
        <f t="shared" si="3"/>
        <v>308.42019184955132</v>
      </c>
      <c r="R54" s="5">
        <f t="shared" si="11"/>
        <v>1074529.7799999998</v>
      </c>
      <c r="S54" s="151">
        <v>9737.7716162624874</v>
      </c>
      <c r="T54" s="195">
        <v>0.65277777777777768</v>
      </c>
      <c r="U54" s="154">
        <f t="shared" si="12"/>
        <v>254155.11068112907</v>
      </c>
      <c r="V54" s="154">
        <f t="shared" si="13"/>
        <v>159175.10305510342</v>
      </c>
      <c r="W54" s="155">
        <f t="shared" si="4"/>
        <v>49772.042508387778</v>
      </c>
      <c r="X54" s="199">
        <f t="shared" si="5"/>
        <v>733.92722221785118</v>
      </c>
      <c r="Y54" s="199">
        <f t="shared" si="14"/>
        <v>463836.18346683809</v>
      </c>
      <c r="Z54" s="200">
        <f t="shared" si="6"/>
        <v>0.43166433550760985</v>
      </c>
      <c r="AA54" s="199">
        <f t="shared" si="7"/>
        <v>463879.8072596452</v>
      </c>
      <c r="AC54" s="30">
        <v>461047.48247177462</v>
      </c>
      <c r="AD54" s="30">
        <f t="shared" si="15"/>
        <v>2832.3247878705733</v>
      </c>
    </row>
    <row r="55" spans="2:30" x14ac:dyDescent="0.25">
      <c r="B55" s="10">
        <v>324</v>
      </c>
      <c r="C55" s="10">
        <v>4</v>
      </c>
      <c r="D55" s="9" t="s">
        <v>154</v>
      </c>
      <c r="E55" s="150">
        <v>8675.1</v>
      </c>
      <c r="F55" s="150">
        <v>8675.1</v>
      </c>
      <c r="G55" s="150">
        <f t="shared" si="8"/>
        <v>0</v>
      </c>
      <c r="H55" s="151">
        <v>3894218.11</v>
      </c>
      <c r="I55" s="151">
        <v>3894218.11</v>
      </c>
      <c r="J55" s="151">
        <f t="shared" si="9"/>
        <v>0</v>
      </c>
      <c r="K55" s="151">
        <v>1174109.95</v>
      </c>
      <c r="L55" s="151">
        <v>1174109.95</v>
      </c>
      <c r="M55" s="151">
        <f t="shared" si="10"/>
        <v>0</v>
      </c>
      <c r="N55" s="5">
        <f t="shared" si="2"/>
        <v>2720108.16</v>
      </c>
      <c r="O55" s="154">
        <f t="shared" si="2"/>
        <v>2720108.16</v>
      </c>
      <c r="P55" s="152">
        <f t="shared" si="16"/>
        <v>313.55352214960061</v>
      </c>
      <c r="Q55" s="6">
        <f t="shared" si="3"/>
        <v>313.55352214960061</v>
      </c>
      <c r="R55" s="5">
        <f t="shared" si="11"/>
        <v>2720108.16</v>
      </c>
      <c r="S55" s="151">
        <v>64968.439613965435</v>
      </c>
      <c r="T55" s="195">
        <v>0.7583333333333333</v>
      </c>
      <c r="U55" s="154">
        <f t="shared" si="12"/>
        <v>643378.53015990171</v>
      </c>
      <c r="V55" s="154">
        <f t="shared" si="13"/>
        <v>396345.54059246258</v>
      </c>
      <c r="W55" s="155">
        <f t="shared" si="4"/>
        <v>146368.61561137764</v>
      </c>
      <c r="X55" s="199">
        <f t="shared" si="5"/>
        <v>1857.8930646304757</v>
      </c>
      <c r="Y55" s="199">
        <f t="shared" si="14"/>
        <v>1187950.5794283724</v>
      </c>
      <c r="Z55" s="200">
        <f t="shared" si="6"/>
        <v>0.43672917014754753</v>
      </c>
      <c r="AA55" s="199">
        <f t="shared" si="7"/>
        <v>1188062.3061797325</v>
      </c>
      <c r="AC55" s="30">
        <v>1180765.5809636214</v>
      </c>
      <c r="AD55" s="30">
        <f t="shared" si="15"/>
        <v>7296.7252161111683</v>
      </c>
    </row>
    <row r="56" spans="2:30" x14ac:dyDescent="0.25">
      <c r="B56" s="10">
        <v>429</v>
      </c>
      <c r="C56" s="10">
        <v>4</v>
      </c>
      <c r="D56" s="9" t="s">
        <v>155</v>
      </c>
      <c r="E56" s="150">
        <v>4364.1615538193764</v>
      </c>
      <c r="F56" s="150">
        <v>4364.1615538193764</v>
      </c>
      <c r="G56" s="150">
        <f t="shared" si="8"/>
        <v>0</v>
      </c>
      <c r="H56" s="151">
        <v>1136652.27</v>
      </c>
      <c r="I56" s="151">
        <v>1136652.27</v>
      </c>
      <c r="J56" s="151">
        <f t="shared" si="9"/>
        <v>0</v>
      </c>
      <c r="K56" s="151">
        <v>2541.21</v>
      </c>
      <c r="L56" s="151">
        <v>2541.21</v>
      </c>
      <c r="M56" s="151">
        <f t="shared" si="10"/>
        <v>0</v>
      </c>
      <c r="N56" s="5">
        <f t="shared" si="2"/>
        <v>1134111.06</v>
      </c>
      <c r="O56" s="154">
        <f t="shared" si="2"/>
        <v>1134111.06</v>
      </c>
      <c r="P56" s="152">
        <f t="shared" si="16"/>
        <v>259.86917441391734</v>
      </c>
      <c r="Q56" s="6">
        <f t="shared" si="3"/>
        <v>259.86917441391734</v>
      </c>
      <c r="R56" s="5">
        <f t="shared" si="11"/>
        <v>1134111.06</v>
      </c>
      <c r="S56" s="151">
        <v>11999.61443450423</v>
      </c>
      <c r="T56" s="195">
        <v>0.70944444444444443</v>
      </c>
      <c r="U56" s="154">
        <f t="shared" si="12"/>
        <v>268247.68130576401</v>
      </c>
      <c r="V56" s="154">
        <f t="shared" si="13"/>
        <v>199388.59151841275</v>
      </c>
      <c r="W56" s="155">
        <f t="shared" si="4"/>
        <v>57092.048171243434</v>
      </c>
      <c r="X56" s="199">
        <f t="shared" si="5"/>
        <v>774.62253298586381</v>
      </c>
      <c r="Y56" s="199">
        <f t="shared" si="14"/>
        <v>525502.94352840609</v>
      </c>
      <c r="Z56" s="200">
        <f t="shared" si="6"/>
        <v>0.46336109580697155</v>
      </c>
      <c r="AA56" s="199">
        <f t="shared" si="7"/>
        <v>525552.36707996402</v>
      </c>
      <c r="AC56" s="30">
        <v>522413.23328374501</v>
      </c>
      <c r="AD56" s="30">
        <f t="shared" si="15"/>
        <v>3139.1337962190155</v>
      </c>
    </row>
    <row r="57" spans="2:30" x14ac:dyDescent="0.25">
      <c r="B57" s="10">
        <v>601</v>
      </c>
      <c r="C57" s="10">
        <v>4</v>
      </c>
      <c r="D57" s="9" t="s">
        <v>156</v>
      </c>
      <c r="E57" s="150">
        <v>5769.98</v>
      </c>
      <c r="F57" s="150">
        <v>5769.98</v>
      </c>
      <c r="G57" s="150">
        <f t="shared" si="8"/>
        <v>0</v>
      </c>
      <c r="H57" s="151">
        <v>2696898.99</v>
      </c>
      <c r="I57" s="151">
        <v>2696898.99</v>
      </c>
      <c r="J57" s="151">
        <f t="shared" si="9"/>
        <v>0</v>
      </c>
      <c r="K57" s="151">
        <v>341941.75</v>
      </c>
      <c r="L57" s="151">
        <v>341941.75</v>
      </c>
      <c r="M57" s="151">
        <f t="shared" si="10"/>
        <v>0</v>
      </c>
      <c r="N57" s="5">
        <f t="shared" si="2"/>
        <v>2354957.2400000002</v>
      </c>
      <c r="O57" s="154">
        <f t="shared" si="2"/>
        <v>2354957.2400000002</v>
      </c>
      <c r="P57" s="152">
        <f t="shared" si="16"/>
        <v>408.13958453928791</v>
      </c>
      <c r="Q57" s="6">
        <f t="shared" si="3"/>
        <v>408.13958453928791</v>
      </c>
      <c r="R57" s="5">
        <f t="shared" si="11"/>
        <v>2354957.2400000002</v>
      </c>
      <c r="S57" s="151">
        <v>34285.007296213473</v>
      </c>
      <c r="T57" s="195">
        <v>0.73055555555555551</v>
      </c>
      <c r="U57" s="154">
        <f t="shared" si="12"/>
        <v>557010.54463239398</v>
      </c>
      <c r="V57" s="154">
        <f t="shared" si="13"/>
        <v>263617.23119130579</v>
      </c>
      <c r="W57" s="155">
        <f t="shared" si="4"/>
        <v>122078.14436526634</v>
      </c>
      <c r="X57" s="199">
        <f t="shared" si="5"/>
        <v>1608.4870403452364</v>
      </c>
      <c r="Y57" s="199">
        <f t="shared" si="14"/>
        <v>944314.4072293113</v>
      </c>
      <c r="Z57" s="200">
        <f t="shared" si="6"/>
        <v>0.40099004397604737</v>
      </c>
      <c r="AA57" s="199">
        <f t="shared" si="7"/>
        <v>944403.21999880637</v>
      </c>
      <c r="AC57" s="30">
        <v>938414.14152080286</v>
      </c>
      <c r="AD57" s="30">
        <f t="shared" si="15"/>
        <v>5989.0784780035028</v>
      </c>
    </row>
    <row r="58" spans="2:30" x14ac:dyDescent="0.25">
      <c r="B58" s="10">
        <v>760</v>
      </c>
      <c r="C58" s="10">
        <v>4</v>
      </c>
      <c r="D58" s="9" t="s">
        <v>157</v>
      </c>
      <c r="E58" s="150">
        <v>5029.13</v>
      </c>
      <c r="F58" s="150">
        <v>5029.13</v>
      </c>
      <c r="G58" s="150">
        <f t="shared" si="8"/>
        <v>0</v>
      </c>
      <c r="H58" s="151">
        <v>1321141.1200000001</v>
      </c>
      <c r="I58" s="151">
        <v>1332789.49</v>
      </c>
      <c r="J58" s="151">
        <f t="shared" si="9"/>
        <v>-11648.369999999879</v>
      </c>
      <c r="K58" s="151">
        <v>824554.14000000013</v>
      </c>
      <c r="L58" s="151">
        <v>838068.45</v>
      </c>
      <c r="M58" s="151">
        <f t="shared" si="10"/>
        <v>-13514.309999999823</v>
      </c>
      <c r="N58" s="5">
        <f t="shared" si="2"/>
        <v>496586.98</v>
      </c>
      <c r="O58" s="154">
        <f t="shared" si="2"/>
        <v>494721.04000000004</v>
      </c>
      <c r="P58" s="152">
        <f t="shared" si="16"/>
        <v>98.371097983150179</v>
      </c>
      <c r="Q58" s="6">
        <f t="shared" si="3"/>
        <v>98.371097983150179</v>
      </c>
      <c r="R58" s="5">
        <f t="shared" si="11"/>
        <v>494721.0400000001</v>
      </c>
      <c r="S58" s="151">
        <v>13761.360305431903</v>
      </c>
      <c r="T58" s="195">
        <v>0.95</v>
      </c>
      <c r="U58" s="154">
        <f t="shared" si="12"/>
        <v>117014.79383613114</v>
      </c>
      <c r="V58" s="154">
        <f t="shared" si="13"/>
        <v>229769.48375923865</v>
      </c>
      <c r="W58" s="155">
        <f t="shared" si="4"/>
        <v>33349.216243297371</v>
      </c>
      <c r="X58" s="199">
        <f t="shared" si="5"/>
        <v>337.9052357766451</v>
      </c>
      <c r="Y58" s="199">
        <f t="shared" si="14"/>
        <v>380471.39907444379</v>
      </c>
      <c r="Z58" s="200">
        <f t="shared" si="6"/>
        <v>0.76906249848286967</v>
      </c>
      <c r="AA58" s="199">
        <f t="shared" si="7"/>
        <v>371040.78000000009</v>
      </c>
      <c r="AC58" s="30">
        <v>372440.23499999999</v>
      </c>
      <c r="AD58" s="30">
        <f t="shared" si="15"/>
        <v>-1399.4549999998999</v>
      </c>
    </row>
    <row r="59" spans="2:30" x14ac:dyDescent="0.25">
      <c r="B59" s="10">
        <v>878</v>
      </c>
      <c r="C59" s="10">
        <v>4</v>
      </c>
      <c r="D59" s="9" t="s">
        <v>158</v>
      </c>
      <c r="E59" s="150">
        <v>6982.23</v>
      </c>
      <c r="F59" s="150">
        <v>6982.23</v>
      </c>
      <c r="G59" s="150">
        <f t="shared" si="8"/>
        <v>0</v>
      </c>
      <c r="H59" s="151">
        <v>2681533.2799999998</v>
      </c>
      <c r="I59" s="151">
        <v>2800086.57</v>
      </c>
      <c r="J59" s="151">
        <f t="shared" si="9"/>
        <v>-118553.29000000004</v>
      </c>
      <c r="K59" s="151">
        <v>16729.82</v>
      </c>
      <c r="L59" s="151">
        <v>860885.67</v>
      </c>
      <c r="M59" s="151">
        <f t="shared" si="10"/>
        <v>-844155.85000000009</v>
      </c>
      <c r="N59" s="5">
        <f t="shared" si="2"/>
        <v>2664803.46</v>
      </c>
      <c r="O59" s="154">
        <f t="shared" si="2"/>
        <v>1939200.9</v>
      </c>
      <c r="P59" s="152">
        <f t="shared" si="16"/>
        <v>277.73374695476946</v>
      </c>
      <c r="Q59" s="6">
        <f t="shared" si="3"/>
        <v>277.73374695476946</v>
      </c>
      <c r="R59" s="5">
        <f t="shared" si="11"/>
        <v>1939200.9</v>
      </c>
      <c r="S59" s="151">
        <v>27763.890930730748</v>
      </c>
      <c r="T59" s="195">
        <v>0.7583333333333333</v>
      </c>
      <c r="U59" s="154">
        <f t="shared" si="12"/>
        <v>458673.02009297989</v>
      </c>
      <c r="V59" s="154">
        <f t="shared" si="13"/>
        <v>319002.16987595649</v>
      </c>
      <c r="W59" s="155">
        <f t="shared" si="4"/>
        <v>104348.11207115292</v>
      </c>
      <c r="X59" s="199">
        <f t="shared" si="5"/>
        <v>1324.5164129926277</v>
      </c>
      <c r="Y59" s="199">
        <f t="shared" si="14"/>
        <v>883347.81845308188</v>
      </c>
      <c r="Z59" s="200">
        <f t="shared" si="6"/>
        <v>0.45552155965536212</v>
      </c>
      <c r="AA59" s="199">
        <f t="shared" si="7"/>
        <v>883430.89731493511</v>
      </c>
      <c r="AC59" s="30">
        <v>1087722.8860225766</v>
      </c>
      <c r="AD59" s="30">
        <f t="shared" si="15"/>
        <v>-204291.98870764149</v>
      </c>
    </row>
    <row r="60" spans="2:30" x14ac:dyDescent="0.25">
      <c r="B60" s="10">
        <v>8</v>
      </c>
      <c r="C60" s="10">
        <v>5</v>
      </c>
      <c r="D60" s="9" t="s">
        <v>159</v>
      </c>
      <c r="E60" s="150">
        <v>2186.2800000000002</v>
      </c>
      <c r="F60" s="150">
        <v>2186.2800000000002</v>
      </c>
      <c r="G60" s="150">
        <f t="shared" si="8"/>
        <v>0</v>
      </c>
      <c r="H60" s="151">
        <v>536002.18999999994</v>
      </c>
      <c r="I60" s="151">
        <v>536002.18999999994</v>
      </c>
      <c r="J60" s="151">
        <f t="shared" si="9"/>
        <v>0</v>
      </c>
      <c r="K60" s="151">
        <v>42344.86</v>
      </c>
      <c r="L60" s="151">
        <v>42344.86</v>
      </c>
      <c r="M60" s="151">
        <f t="shared" si="10"/>
        <v>0</v>
      </c>
      <c r="N60" s="5">
        <f t="shared" si="2"/>
        <v>493657.32999999996</v>
      </c>
      <c r="O60" s="154">
        <f t="shared" si="2"/>
        <v>493657.32999999996</v>
      </c>
      <c r="P60" s="152">
        <f t="shared" si="16"/>
        <v>225.79785297400147</v>
      </c>
      <c r="Q60" s="6">
        <f t="shared" si="3"/>
        <v>225.79785297400147</v>
      </c>
      <c r="R60" s="5">
        <f t="shared" si="11"/>
        <v>493657.32999999996</v>
      </c>
      <c r="S60" s="151">
        <v>6956.2515587575117</v>
      </c>
      <c r="T60" s="195">
        <v>0.47222222222222215</v>
      </c>
      <c r="U60" s="154">
        <f t="shared" si="12"/>
        <v>116763.19789359462</v>
      </c>
      <c r="V60" s="154">
        <f t="shared" si="13"/>
        <v>99886.148688371235</v>
      </c>
      <c r="W60" s="155">
        <f t="shared" si="4"/>
        <v>16541.453034925904</v>
      </c>
      <c r="X60" s="199">
        <f t="shared" si="5"/>
        <v>337.17869869961277</v>
      </c>
      <c r="Y60" s="199">
        <f t="shared" si="14"/>
        <v>233527.97831559138</v>
      </c>
      <c r="Z60" s="200">
        <f t="shared" si="6"/>
        <v>0.47305684353069649</v>
      </c>
      <c r="AA60" s="199">
        <f t="shared" si="7"/>
        <v>233549.94162182711</v>
      </c>
      <c r="AC60" s="30">
        <v>232196.85164538081</v>
      </c>
      <c r="AD60" s="30">
        <f t="shared" si="15"/>
        <v>1353.0899764462956</v>
      </c>
    </row>
    <row r="61" spans="2:30" x14ac:dyDescent="0.25">
      <c r="B61" s="10">
        <v>41</v>
      </c>
      <c r="C61" s="10">
        <v>5</v>
      </c>
      <c r="D61" s="9" t="s">
        <v>160</v>
      </c>
      <c r="E61" s="150">
        <v>1829.55</v>
      </c>
      <c r="F61" s="150">
        <v>1829.55</v>
      </c>
      <c r="G61" s="150">
        <f t="shared" si="8"/>
        <v>0</v>
      </c>
      <c r="H61" s="151">
        <v>551935.75</v>
      </c>
      <c r="I61" s="151">
        <v>551935.75</v>
      </c>
      <c r="J61" s="151">
        <f t="shared" si="9"/>
        <v>0</v>
      </c>
      <c r="K61" s="151">
        <v>227902.09999999995</v>
      </c>
      <c r="L61" s="151">
        <v>227902.1</v>
      </c>
      <c r="M61" s="151">
        <f t="shared" si="10"/>
        <v>0</v>
      </c>
      <c r="N61" s="5">
        <f t="shared" si="2"/>
        <v>324033.65000000002</v>
      </c>
      <c r="O61" s="154">
        <f t="shared" si="2"/>
        <v>324033.65000000002</v>
      </c>
      <c r="P61" s="152">
        <f t="shared" si="16"/>
        <v>177.11112022081934</v>
      </c>
      <c r="Q61" s="6">
        <f t="shared" si="3"/>
        <v>177.11112022081934</v>
      </c>
      <c r="R61" s="5">
        <f t="shared" si="11"/>
        <v>324033.65000000002</v>
      </c>
      <c r="S61" s="151">
        <v>8427.2985445011946</v>
      </c>
      <c r="T61" s="195">
        <v>0.25</v>
      </c>
      <c r="U61" s="154">
        <f t="shared" si="12"/>
        <v>76642.648452386551</v>
      </c>
      <c r="V61" s="154">
        <f t="shared" si="13"/>
        <v>83587.968299032858</v>
      </c>
      <c r="W61" s="155">
        <f t="shared" si="4"/>
        <v>5748.1986339289924</v>
      </c>
      <c r="X61" s="199">
        <f t="shared" si="5"/>
        <v>221.3220341362819</v>
      </c>
      <c r="Y61" s="199">
        <f t="shared" si="14"/>
        <v>166200.13741948467</v>
      </c>
      <c r="Z61" s="200">
        <f t="shared" si="6"/>
        <v>0.51291011726555147</v>
      </c>
      <c r="AA61" s="199">
        <f t="shared" si="7"/>
        <v>166215.76854232012</v>
      </c>
      <c r="AC61" s="30">
        <v>165298.97538446641</v>
      </c>
      <c r="AD61" s="30">
        <f t="shared" si="15"/>
        <v>916.79315785371</v>
      </c>
    </row>
    <row r="62" spans="2:30" x14ac:dyDescent="0.25">
      <c r="B62" s="10">
        <v>56</v>
      </c>
      <c r="C62" s="10">
        <v>5</v>
      </c>
      <c r="D62" s="9" t="s">
        <v>161</v>
      </c>
      <c r="E62" s="150">
        <v>3063.88</v>
      </c>
      <c r="F62" s="150">
        <v>3063.88</v>
      </c>
      <c r="G62" s="150">
        <f t="shared" si="8"/>
        <v>0</v>
      </c>
      <c r="H62" s="151">
        <v>473306.5</v>
      </c>
      <c r="I62" s="151">
        <v>473306.5</v>
      </c>
      <c r="J62" s="151">
        <f t="shared" si="9"/>
        <v>0</v>
      </c>
      <c r="K62" s="151">
        <v>2260.21</v>
      </c>
      <c r="L62" s="151">
        <v>2260.21</v>
      </c>
      <c r="M62" s="151">
        <f t="shared" si="10"/>
        <v>0</v>
      </c>
      <c r="N62" s="5">
        <f t="shared" si="2"/>
        <v>471046.29</v>
      </c>
      <c r="O62" s="154">
        <f t="shared" si="2"/>
        <v>471046.29</v>
      </c>
      <c r="P62" s="152">
        <f t="shared" si="16"/>
        <v>153.741755551784</v>
      </c>
      <c r="Q62" s="6">
        <f t="shared" si="3"/>
        <v>153.741755551784</v>
      </c>
      <c r="R62" s="5">
        <f t="shared" si="11"/>
        <v>471046.29</v>
      </c>
      <c r="S62" s="151">
        <v>13053.579691571786</v>
      </c>
      <c r="T62" s="195">
        <v>0.80555555555555547</v>
      </c>
      <c r="U62" s="154">
        <f t="shared" si="12"/>
        <v>111415.08053028112</v>
      </c>
      <c r="V62" s="154">
        <f t="shared" si="13"/>
        <v>139981.69184337175</v>
      </c>
      <c r="W62" s="155">
        <f t="shared" si="4"/>
        <v>26925.311128151268</v>
      </c>
      <c r="X62" s="199">
        <f t="shared" si="5"/>
        <v>321.73486634844539</v>
      </c>
      <c r="Y62" s="199">
        <f t="shared" si="14"/>
        <v>278643.8183681526</v>
      </c>
      <c r="Z62" s="200">
        <f t="shared" si="6"/>
        <v>0.59154232669607187</v>
      </c>
      <c r="AA62" s="199">
        <f t="shared" si="7"/>
        <v>278670.02481912117</v>
      </c>
      <c r="AC62" s="30">
        <v>277131.246086745</v>
      </c>
      <c r="AD62" s="30">
        <f t="shared" si="15"/>
        <v>1538.7787323761731</v>
      </c>
    </row>
    <row r="63" spans="2:30" x14ac:dyDescent="0.25">
      <c r="B63" s="10">
        <v>67</v>
      </c>
      <c r="C63" s="10">
        <v>5</v>
      </c>
      <c r="D63" s="9" t="s">
        <v>162</v>
      </c>
      <c r="E63" s="150">
        <v>1444.0011041767455</v>
      </c>
      <c r="F63" s="150">
        <v>1444.0011041767457</v>
      </c>
      <c r="G63" s="150">
        <f t="shared" si="8"/>
        <v>0</v>
      </c>
      <c r="H63" s="151">
        <v>199316.69</v>
      </c>
      <c r="I63" s="151">
        <v>199316.69</v>
      </c>
      <c r="J63" s="151">
        <f t="shared" si="9"/>
        <v>0</v>
      </c>
      <c r="K63" s="151">
        <v>0</v>
      </c>
      <c r="L63" s="151">
        <v>0</v>
      </c>
      <c r="M63" s="151">
        <f t="shared" si="10"/>
        <v>0</v>
      </c>
      <c r="N63" s="5">
        <f t="shared" si="2"/>
        <v>199316.69</v>
      </c>
      <c r="O63" s="154">
        <f t="shared" si="2"/>
        <v>199316.69</v>
      </c>
      <c r="P63" s="152">
        <f t="shared" si="16"/>
        <v>138.03084320606146</v>
      </c>
      <c r="Q63" s="6">
        <f t="shared" si="3"/>
        <v>138.03084320606146</v>
      </c>
      <c r="R63" s="5">
        <f t="shared" si="11"/>
        <v>199316.69</v>
      </c>
      <c r="S63" s="151">
        <v>5523.4407997891449</v>
      </c>
      <c r="T63" s="195">
        <v>0.56666666666666665</v>
      </c>
      <c r="U63" s="154">
        <f t="shared" si="12"/>
        <v>47143.742640195887</v>
      </c>
      <c r="V63" s="154">
        <f t="shared" si="13"/>
        <v>65973.118263886892</v>
      </c>
      <c r="W63" s="155">
        <f t="shared" si="4"/>
        <v>8014.4362488333009</v>
      </c>
      <c r="X63" s="199">
        <f t="shared" si="5"/>
        <v>136.13763653284377</v>
      </c>
      <c r="Y63" s="199">
        <f t="shared" si="14"/>
        <v>121267.43478944892</v>
      </c>
      <c r="Z63" s="200">
        <f t="shared" si="6"/>
        <v>0.60841585714396984</v>
      </c>
      <c r="AA63" s="199">
        <f t="shared" si="7"/>
        <v>121278.83999162604</v>
      </c>
      <c r="AC63" s="30">
        <v>120627.90827316816</v>
      </c>
      <c r="AD63" s="30">
        <f t="shared" si="15"/>
        <v>650.93171845788311</v>
      </c>
    </row>
    <row r="64" spans="2:30" x14ac:dyDescent="0.25">
      <c r="B64" s="10">
        <v>157</v>
      </c>
      <c r="C64" s="10">
        <v>5</v>
      </c>
      <c r="D64" s="9" t="s">
        <v>163</v>
      </c>
      <c r="E64" s="150">
        <v>546.13</v>
      </c>
      <c r="F64" s="150">
        <v>546.13</v>
      </c>
      <c r="G64" s="150">
        <f t="shared" si="8"/>
        <v>0</v>
      </c>
      <c r="H64" s="151">
        <v>147393.28</v>
      </c>
      <c r="I64" s="151">
        <v>147393.28</v>
      </c>
      <c r="J64" s="151">
        <f t="shared" si="9"/>
        <v>0</v>
      </c>
      <c r="K64" s="151">
        <v>220</v>
      </c>
      <c r="L64" s="151">
        <v>220</v>
      </c>
      <c r="M64" s="151">
        <f t="shared" si="10"/>
        <v>0</v>
      </c>
      <c r="N64" s="5">
        <f t="shared" si="2"/>
        <v>147173.28</v>
      </c>
      <c r="O64" s="154">
        <f t="shared" si="2"/>
        <v>147173.28</v>
      </c>
      <c r="P64" s="152">
        <f t="shared" si="16"/>
        <v>269.4839690183656</v>
      </c>
      <c r="Q64" s="6">
        <f t="shared" si="3"/>
        <v>269.4839690183656</v>
      </c>
      <c r="R64" s="5">
        <f t="shared" si="11"/>
        <v>147173.28</v>
      </c>
      <c r="S64" s="151">
        <v>3301.2197898305703</v>
      </c>
      <c r="T64" s="195">
        <v>0.23333333333333334</v>
      </c>
      <c r="U64" s="154">
        <f t="shared" si="12"/>
        <v>34810.427746083325</v>
      </c>
      <c r="V64" s="154">
        <f t="shared" si="13"/>
        <v>24951.434575251187</v>
      </c>
      <c r="W64" s="155">
        <f t="shared" si="4"/>
        <v>2436.7299422258329</v>
      </c>
      <c r="X64" s="199">
        <f t="shared" si="5"/>
        <v>100.52255282779605</v>
      </c>
      <c r="Y64" s="199">
        <f t="shared" si="14"/>
        <v>62299.114816388144</v>
      </c>
      <c r="Z64" s="200">
        <f t="shared" si="6"/>
        <v>0.4233045211494107</v>
      </c>
      <c r="AA64" s="199">
        <f t="shared" si="7"/>
        <v>62304.974048103322</v>
      </c>
      <c r="AC64" s="30">
        <v>61937.92444334655</v>
      </c>
      <c r="AD64" s="30">
        <f t="shared" si="15"/>
        <v>367.04960475677217</v>
      </c>
    </row>
    <row r="65" spans="2:30" x14ac:dyDescent="0.25">
      <c r="B65" s="10">
        <v>214</v>
      </c>
      <c r="C65" s="10">
        <v>5</v>
      </c>
      <c r="D65" s="9" t="s">
        <v>164</v>
      </c>
      <c r="E65" s="150">
        <v>3010.75</v>
      </c>
      <c r="F65" s="150">
        <v>3010.75</v>
      </c>
      <c r="G65" s="150">
        <f t="shared" si="8"/>
        <v>0</v>
      </c>
      <c r="H65" s="151">
        <v>1630287.1</v>
      </c>
      <c r="I65" s="151">
        <v>1630287.1</v>
      </c>
      <c r="J65" s="151">
        <f t="shared" si="9"/>
        <v>0</v>
      </c>
      <c r="K65" s="151">
        <v>343412.94</v>
      </c>
      <c r="L65" s="151">
        <v>343412.94</v>
      </c>
      <c r="M65" s="151">
        <f t="shared" si="10"/>
        <v>0</v>
      </c>
      <c r="N65" s="5">
        <f t="shared" si="2"/>
        <v>1286874.1600000001</v>
      </c>
      <c r="O65" s="154">
        <f t="shared" si="2"/>
        <v>1286874.1600000001</v>
      </c>
      <c r="P65" s="152">
        <f t="shared" si="16"/>
        <v>427.42644191646605</v>
      </c>
      <c r="Q65" s="6">
        <f t="shared" si="3"/>
        <v>399.78301944609098</v>
      </c>
      <c r="R65" s="5">
        <f t="shared" si="11"/>
        <v>1203646.7257973184</v>
      </c>
      <c r="S65" s="151">
        <v>0</v>
      </c>
      <c r="T65" s="195">
        <v>0.55555555555555558</v>
      </c>
      <c r="U65" s="154">
        <f t="shared" si="12"/>
        <v>284694.73113718274</v>
      </c>
      <c r="V65" s="154">
        <f t="shared" si="13"/>
        <v>137554.3032747469</v>
      </c>
      <c r="W65" s="155">
        <f t="shared" si="4"/>
        <v>47449.121856197133</v>
      </c>
      <c r="X65" s="199">
        <f t="shared" si="5"/>
        <v>822.11690586745544</v>
      </c>
      <c r="Y65" s="199">
        <f t="shared" si="14"/>
        <v>470520.27317399427</v>
      </c>
      <c r="Z65" s="200">
        <f t="shared" si="6"/>
        <v>0.39091226943047824</v>
      </c>
      <c r="AA65" s="199">
        <f t="shared" si="7"/>
        <v>470564.52560543473</v>
      </c>
      <c r="AC65" s="30">
        <v>469623.7717307756</v>
      </c>
      <c r="AD65" s="30">
        <f t="shared" si="15"/>
        <v>940.75387465913082</v>
      </c>
    </row>
    <row r="66" spans="2:30" x14ac:dyDescent="0.25">
      <c r="B66" s="10">
        <v>223</v>
      </c>
      <c r="C66" s="10">
        <v>5</v>
      </c>
      <c r="D66" s="9" t="s">
        <v>165</v>
      </c>
      <c r="E66" s="150">
        <v>348.19</v>
      </c>
      <c r="F66" s="150">
        <v>343.91</v>
      </c>
      <c r="G66" s="150">
        <f t="shared" si="8"/>
        <v>-4.2799999999999727</v>
      </c>
      <c r="H66" s="151">
        <v>187682.38</v>
      </c>
      <c r="I66" s="151">
        <v>179435.51999999999</v>
      </c>
      <c r="J66" s="151">
        <f t="shared" si="9"/>
        <v>8246.8600000000151</v>
      </c>
      <c r="K66" s="151">
        <v>2953.92</v>
      </c>
      <c r="L66" s="151">
        <v>2953.92</v>
      </c>
      <c r="M66" s="151">
        <f t="shared" si="10"/>
        <v>0</v>
      </c>
      <c r="N66" s="5">
        <f t="shared" si="2"/>
        <v>184728.46</v>
      </c>
      <c r="O66" s="154">
        <f t="shared" si="2"/>
        <v>176481.59999999998</v>
      </c>
      <c r="P66" s="152">
        <f t="shared" si="16"/>
        <v>513.1621645197871</v>
      </c>
      <c r="Q66" s="6">
        <f t="shared" si="3"/>
        <v>399.78301944609098</v>
      </c>
      <c r="R66" s="5">
        <f t="shared" si="11"/>
        <v>137489.37821770515</v>
      </c>
      <c r="S66" s="151">
        <v>0</v>
      </c>
      <c r="T66" s="195">
        <v>4.1666666666666664E-2</v>
      </c>
      <c r="U66" s="154">
        <f t="shared" si="12"/>
        <v>32519.925262937319</v>
      </c>
      <c r="V66" s="154">
        <f t="shared" si="13"/>
        <v>15712.463817725884</v>
      </c>
      <c r="W66" s="155">
        <f t="shared" si="4"/>
        <v>406.49906578671647</v>
      </c>
      <c r="X66" s="199">
        <f t="shared" si="5"/>
        <v>93.90823718238866</v>
      </c>
      <c r="Y66" s="199">
        <f t="shared" si="14"/>
        <v>48732.796383632311</v>
      </c>
      <c r="Z66" s="200">
        <f t="shared" si="6"/>
        <v>0.35444771818276188</v>
      </c>
      <c r="AA66" s="199">
        <f t="shared" si="7"/>
        <v>48737.37970310614</v>
      </c>
      <c r="AC66" s="30">
        <v>49242.012131660595</v>
      </c>
      <c r="AD66" s="30">
        <f t="shared" si="15"/>
        <v>-504.63242855445424</v>
      </c>
    </row>
    <row r="67" spans="2:30" x14ac:dyDescent="0.25">
      <c r="B67" s="10">
        <v>224</v>
      </c>
      <c r="C67" s="10">
        <v>5</v>
      </c>
      <c r="D67" s="9" t="s">
        <v>166</v>
      </c>
      <c r="E67" s="150">
        <v>274.64004611714159</v>
      </c>
      <c r="F67" s="150">
        <v>274.64004611714159</v>
      </c>
      <c r="G67" s="150">
        <f t="shared" si="8"/>
        <v>0</v>
      </c>
      <c r="H67" s="151">
        <v>79275.95</v>
      </c>
      <c r="I67" s="151">
        <v>79275.95</v>
      </c>
      <c r="J67" s="151">
        <f t="shared" si="9"/>
        <v>0</v>
      </c>
      <c r="K67" s="151">
        <v>0</v>
      </c>
      <c r="L67" s="151">
        <v>0</v>
      </c>
      <c r="M67" s="151">
        <f t="shared" si="10"/>
        <v>0</v>
      </c>
      <c r="N67" s="5">
        <f t="shared" si="2"/>
        <v>79275.95</v>
      </c>
      <c r="O67" s="154">
        <f t="shared" si="2"/>
        <v>79275.95</v>
      </c>
      <c r="P67" s="152">
        <f t="shared" si="16"/>
        <v>288.65400774869738</v>
      </c>
      <c r="Q67" s="6">
        <f t="shared" si="3"/>
        <v>288.65400774869738</v>
      </c>
      <c r="R67" s="5">
        <f t="shared" si="11"/>
        <v>79275.95</v>
      </c>
      <c r="S67" s="151">
        <v>0</v>
      </c>
      <c r="T67" s="195">
        <v>0.29166666666666663</v>
      </c>
      <c r="U67" s="154">
        <f t="shared" si="12"/>
        <v>18750.888269100982</v>
      </c>
      <c r="V67" s="154">
        <f t="shared" si="13"/>
        <v>12547.67755376161</v>
      </c>
      <c r="W67" s="155">
        <f t="shared" si="4"/>
        <v>1640.7027235463356</v>
      </c>
      <c r="X67" s="199">
        <f t="shared" si="5"/>
        <v>54.147198947042</v>
      </c>
      <c r="Y67" s="199">
        <f t="shared" si="14"/>
        <v>32993.415745355975</v>
      </c>
      <c r="Z67" s="200">
        <f t="shared" si="6"/>
        <v>0.41618442598740191</v>
      </c>
      <c r="AA67" s="199">
        <f t="shared" si="7"/>
        <v>32996.518776089186</v>
      </c>
      <c r="AC67" s="30">
        <v>32799.665494419503</v>
      </c>
      <c r="AD67" s="30">
        <f t="shared" si="15"/>
        <v>196.85328166968247</v>
      </c>
    </row>
    <row r="68" spans="2:30" x14ac:dyDescent="0.25">
      <c r="B68" s="10">
        <v>233</v>
      </c>
      <c r="C68" s="10">
        <v>5</v>
      </c>
      <c r="D68" s="9" t="s">
        <v>167</v>
      </c>
      <c r="E68" s="150">
        <v>2043.33</v>
      </c>
      <c r="F68" s="150">
        <v>2043.33</v>
      </c>
      <c r="G68" s="150">
        <f t="shared" si="8"/>
        <v>0</v>
      </c>
      <c r="H68" s="151">
        <v>571153.54</v>
      </c>
      <c r="I68" s="151">
        <v>571153.54</v>
      </c>
      <c r="J68" s="151">
        <f t="shared" si="9"/>
        <v>0</v>
      </c>
      <c r="K68" s="151">
        <v>222389.93</v>
      </c>
      <c r="L68" s="151">
        <v>222389.93</v>
      </c>
      <c r="M68" s="151">
        <f t="shared" si="10"/>
        <v>0</v>
      </c>
      <c r="N68" s="5">
        <f t="shared" si="2"/>
        <v>348763.61000000004</v>
      </c>
      <c r="O68" s="154">
        <f t="shared" si="2"/>
        <v>348763.61000000004</v>
      </c>
      <c r="P68" s="152">
        <f t="shared" si="16"/>
        <v>170.68393749418843</v>
      </c>
      <c r="Q68" s="6">
        <f t="shared" si="3"/>
        <v>170.68393749418843</v>
      </c>
      <c r="R68" s="5">
        <f t="shared" si="11"/>
        <v>348763.61000000004</v>
      </c>
      <c r="S68" s="151">
        <v>4886.745353827876</v>
      </c>
      <c r="T68" s="195">
        <v>0.45833333333333326</v>
      </c>
      <c r="U68" s="154">
        <f t="shared" si="12"/>
        <v>82491.947222812363</v>
      </c>
      <c r="V68" s="154">
        <f t="shared" si="13"/>
        <v>93355.089100851459</v>
      </c>
      <c r="W68" s="155">
        <f t="shared" si="4"/>
        <v>11342.642743136697</v>
      </c>
      <c r="X68" s="199">
        <f t="shared" si="5"/>
        <v>238.21313495654823</v>
      </c>
      <c r="Y68" s="199">
        <f t="shared" si="14"/>
        <v>187427.89220175709</v>
      </c>
      <c r="Z68" s="200">
        <f t="shared" si="6"/>
        <v>0.53740667554667487</v>
      </c>
      <c r="AA68" s="199">
        <f t="shared" si="7"/>
        <v>187445.51979491845</v>
      </c>
      <c r="AC68" s="30">
        <v>186407.97808150572</v>
      </c>
      <c r="AD68" s="30">
        <f t="shared" si="15"/>
        <v>1037.5417134127347</v>
      </c>
    </row>
    <row r="69" spans="2:30" x14ac:dyDescent="0.25">
      <c r="B69" s="10">
        <v>427</v>
      </c>
      <c r="C69" s="10">
        <v>5</v>
      </c>
      <c r="D69" s="9" t="s">
        <v>169</v>
      </c>
      <c r="E69" s="150">
        <v>464.43</v>
      </c>
      <c r="F69" s="150">
        <v>464.43</v>
      </c>
      <c r="G69" s="150">
        <f t="shared" si="8"/>
        <v>0</v>
      </c>
      <c r="H69" s="151">
        <v>187063.08</v>
      </c>
      <c r="I69" s="151">
        <v>194115.61</v>
      </c>
      <c r="J69" s="151">
        <f t="shared" si="9"/>
        <v>-7052.5299999999988</v>
      </c>
      <c r="K69" s="151">
        <v>59110.880000000005</v>
      </c>
      <c r="L69" s="151">
        <v>59110.879999999997</v>
      </c>
      <c r="M69" s="151">
        <f t="shared" si="10"/>
        <v>0</v>
      </c>
      <c r="N69" s="5">
        <f t="shared" si="2"/>
        <v>127952.19999999998</v>
      </c>
      <c r="O69" s="154">
        <f t="shared" si="2"/>
        <v>135004.72999999998</v>
      </c>
      <c r="P69" s="152">
        <f t="shared" si="16"/>
        <v>290.68908123936865</v>
      </c>
      <c r="Q69" s="6">
        <f t="shared" si="3"/>
        <v>290.68908123936865</v>
      </c>
      <c r="R69" s="5">
        <f t="shared" si="11"/>
        <v>135004.72999999998</v>
      </c>
      <c r="S69" s="151">
        <v>2636.6178360498889</v>
      </c>
      <c r="T69" s="195">
        <v>0.5</v>
      </c>
      <c r="U69" s="154">
        <f t="shared" si="12"/>
        <v>31932.239323907754</v>
      </c>
      <c r="V69" s="154">
        <f t="shared" si="13"/>
        <v>21218.74784352427</v>
      </c>
      <c r="W69" s="155">
        <f t="shared" si="4"/>
        <v>4789.8358985861632</v>
      </c>
      <c r="X69" s="199">
        <f t="shared" si="5"/>
        <v>92.211168382109435</v>
      </c>
      <c r="Y69" s="199">
        <f t="shared" si="14"/>
        <v>58033.034234400293</v>
      </c>
      <c r="Z69" s="200">
        <f t="shared" si="6"/>
        <v>0.4298592666671775</v>
      </c>
      <c r="AA69" s="199">
        <f t="shared" si="7"/>
        <v>58038.492241239015</v>
      </c>
      <c r="AC69" s="30">
        <v>55779.8320497803</v>
      </c>
      <c r="AD69" s="30">
        <f t="shared" si="15"/>
        <v>2258.6601914587154</v>
      </c>
    </row>
    <row r="70" spans="2:30" x14ac:dyDescent="0.25">
      <c r="B70" s="10">
        <v>524</v>
      </c>
      <c r="C70" s="10">
        <v>5</v>
      </c>
      <c r="D70" s="9" t="s">
        <v>170</v>
      </c>
      <c r="E70" s="150">
        <v>574.31373573802944</v>
      </c>
      <c r="F70" s="150">
        <v>574.31373573802944</v>
      </c>
      <c r="G70" s="150">
        <f t="shared" si="8"/>
        <v>0</v>
      </c>
      <c r="H70" s="151">
        <v>203691.07</v>
      </c>
      <c r="I70" s="151">
        <v>203365.06</v>
      </c>
      <c r="J70" s="151">
        <f t="shared" si="9"/>
        <v>326.01000000000931</v>
      </c>
      <c r="K70" s="151">
        <v>181.1</v>
      </c>
      <c r="L70" s="151">
        <v>181.1</v>
      </c>
      <c r="M70" s="151">
        <f t="shared" si="10"/>
        <v>0</v>
      </c>
      <c r="N70" s="5">
        <f t="shared" si="2"/>
        <v>203509.97</v>
      </c>
      <c r="O70" s="154">
        <f t="shared" si="2"/>
        <v>203183.96</v>
      </c>
      <c r="P70" s="152">
        <f t="shared" si="16"/>
        <v>353.78565295656</v>
      </c>
      <c r="Q70" s="6">
        <f t="shared" si="3"/>
        <v>353.78565295656</v>
      </c>
      <c r="R70" s="5">
        <f t="shared" si="11"/>
        <v>203183.96</v>
      </c>
      <c r="S70" s="151">
        <v>5178.0498205813519</v>
      </c>
      <c r="T70" s="195">
        <v>0.43055555555555558</v>
      </c>
      <c r="U70" s="154">
        <f t="shared" si="12"/>
        <v>48058.45571113917</v>
      </c>
      <c r="V70" s="154">
        <f t="shared" si="13"/>
        <v>26239.0852048698</v>
      </c>
      <c r="W70" s="155">
        <f t="shared" si="4"/>
        <v>6207.550529355477</v>
      </c>
      <c r="X70" s="199">
        <f t="shared" si="5"/>
        <v>138.77906609719372</v>
      </c>
      <c r="Y70" s="199">
        <f t="shared" si="14"/>
        <v>80643.870511461631</v>
      </c>
      <c r="Z70" s="200">
        <f t="shared" si="6"/>
        <v>0.39690077165275073</v>
      </c>
      <c r="AA70" s="199">
        <f t="shared" si="7"/>
        <v>80651.455067440125</v>
      </c>
      <c r="AC70" s="30">
        <v>80240.580102074018</v>
      </c>
      <c r="AD70" s="30">
        <f t="shared" si="15"/>
        <v>410.87496536610706</v>
      </c>
    </row>
    <row r="71" spans="2:30" x14ac:dyDescent="0.25">
      <c r="B71" s="10">
        <v>565</v>
      </c>
      <c r="C71" s="10">
        <v>5</v>
      </c>
      <c r="D71" s="9" t="s">
        <v>171</v>
      </c>
      <c r="E71" s="150">
        <v>492.86429541244104</v>
      </c>
      <c r="F71" s="150">
        <v>492.86429541244104</v>
      </c>
      <c r="G71" s="150">
        <f t="shared" si="8"/>
        <v>0</v>
      </c>
      <c r="H71" s="151">
        <v>208854.09</v>
      </c>
      <c r="I71" s="151">
        <v>208854.09</v>
      </c>
      <c r="J71" s="151">
        <f t="shared" si="9"/>
        <v>0</v>
      </c>
      <c r="K71" s="151">
        <v>500</v>
      </c>
      <c r="L71" s="151">
        <v>500</v>
      </c>
      <c r="M71" s="151">
        <f t="shared" si="10"/>
        <v>0</v>
      </c>
      <c r="N71" s="5">
        <f t="shared" si="2"/>
        <v>208354.09</v>
      </c>
      <c r="O71" s="154">
        <f t="shared" si="2"/>
        <v>208354.09</v>
      </c>
      <c r="P71" s="152">
        <f t="shared" si="16"/>
        <v>422.74129398163063</v>
      </c>
      <c r="Q71" s="6">
        <f t="shared" si="3"/>
        <v>399.78301944609098</v>
      </c>
      <c r="R71" s="5">
        <f t="shared" si="11"/>
        <v>197038.77619715585</v>
      </c>
      <c r="S71" s="151">
        <v>5637.276528984914</v>
      </c>
      <c r="T71" s="195">
        <v>0.58888888888888891</v>
      </c>
      <c r="U71" s="154">
        <f t="shared" si="12"/>
        <v>46604.954934671405</v>
      </c>
      <c r="V71" s="154">
        <f t="shared" si="13"/>
        <v>22517.845973414383</v>
      </c>
      <c r="W71" s="155">
        <f t="shared" si="4"/>
        <v>8233.5420384586159</v>
      </c>
      <c r="X71" s="199">
        <f t="shared" si="5"/>
        <v>134.58177183659208</v>
      </c>
      <c r="Y71" s="199">
        <f t="shared" si="14"/>
        <v>77490.924718380993</v>
      </c>
      <c r="Z71" s="200">
        <f t="shared" si="6"/>
        <v>0.39327753761951922</v>
      </c>
      <c r="AA71" s="199">
        <f t="shared" si="7"/>
        <v>77498.212739809329</v>
      </c>
      <c r="AC71" s="30">
        <v>77343.577556334203</v>
      </c>
      <c r="AD71" s="30">
        <f t="shared" si="15"/>
        <v>154.63518347512581</v>
      </c>
    </row>
    <row r="72" spans="2:30" x14ac:dyDescent="0.25">
      <c r="B72" s="10">
        <v>613</v>
      </c>
      <c r="C72" s="10">
        <v>5</v>
      </c>
      <c r="D72" s="9" t="s">
        <v>172</v>
      </c>
      <c r="E72" s="150">
        <v>180.97411383439103</v>
      </c>
      <c r="F72" s="150">
        <v>180.97411383439103</v>
      </c>
      <c r="G72" s="150">
        <f t="shared" si="8"/>
        <v>0</v>
      </c>
      <c r="H72" s="151">
        <v>72929.37</v>
      </c>
      <c r="I72" s="151">
        <v>72929.37</v>
      </c>
      <c r="J72" s="151">
        <f t="shared" si="9"/>
        <v>0</v>
      </c>
      <c r="K72" s="151">
        <v>0</v>
      </c>
      <c r="L72" s="151">
        <v>0</v>
      </c>
      <c r="M72" s="151">
        <f t="shared" si="10"/>
        <v>0</v>
      </c>
      <c r="N72" s="5">
        <f t="shared" si="2"/>
        <v>72929.37</v>
      </c>
      <c r="O72" s="154">
        <f t="shared" si="2"/>
        <v>72929.37</v>
      </c>
      <c r="P72" s="152">
        <f t="shared" si="16"/>
        <v>402.98232965371767</v>
      </c>
      <c r="Q72" s="6">
        <f t="shared" si="3"/>
        <v>399.78301944609098</v>
      </c>
      <c r="R72" s="5">
        <f t="shared" si="11"/>
        <v>72350.377670293426</v>
      </c>
      <c r="S72" s="151">
        <v>0</v>
      </c>
      <c r="T72" s="195">
        <v>0.15</v>
      </c>
      <c r="U72" s="154">
        <f t="shared" si="12"/>
        <v>17112.804676865188</v>
      </c>
      <c r="V72" s="154">
        <f t="shared" si="13"/>
        <v>8268.2946572297224</v>
      </c>
      <c r="W72" s="155">
        <f t="shared" si="4"/>
        <v>770.07621045893336</v>
      </c>
      <c r="X72" s="199">
        <f t="shared" si="5"/>
        <v>49.416882340823463</v>
      </c>
      <c r="Y72" s="199">
        <f t="shared" si="14"/>
        <v>26200.592426894666</v>
      </c>
      <c r="Z72" s="200">
        <f t="shared" si="6"/>
        <v>0.36213483979714528</v>
      </c>
      <c r="AA72" s="199">
        <f t="shared" si="7"/>
        <v>26203.056592598408</v>
      </c>
      <c r="AC72" s="30">
        <v>26149.333574528748</v>
      </c>
      <c r="AD72" s="30">
        <f t="shared" si="15"/>
        <v>53.723018069660611</v>
      </c>
    </row>
    <row r="73" spans="2:30" x14ac:dyDescent="0.25">
      <c r="B73" s="10">
        <v>696</v>
      </c>
      <c r="C73" s="10">
        <v>5</v>
      </c>
      <c r="D73" s="9" t="s">
        <v>173</v>
      </c>
      <c r="E73" s="150">
        <v>358.50387682399594</v>
      </c>
      <c r="F73" s="150">
        <v>358.50387682399599</v>
      </c>
      <c r="G73" s="150">
        <f t="shared" si="8"/>
        <v>0</v>
      </c>
      <c r="H73" s="151">
        <v>120113.85</v>
      </c>
      <c r="I73" s="151">
        <v>120113.85</v>
      </c>
      <c r="J73" s="151">
        <f t="shared" si="9"/>
        <v>0</v>
      </c>
      <c r="K73" s="151">
        <v>0</v>
      </c>
      <c r="L73" s="151">
        <v>0</v>
      </c>
      <c r="M73" s="151">
        <f t="shared" si="10"/>
        <v>0</v>
      </c>
      <c r="N73" s="5">
        <f t="shared" si="2"/>
        <v>120113.85</v>
      </c>
      <c r="O73" s="154">
        <f t="shared" si="2"/>
        <v>120113.85</v>
      </c>
      <c r="P73" s="152">
        <f t="shared" si="16"/>
        <v>335.04198354588152</v>
      </c>
      <c r="Q73" s="6">
        <f t="shared" si="3"/>
        <v>335.04198354588152</v>
      </c>
      <c r="R73" s="5">
        <f t="shared" si="11"/>
        <v>120113.85</v>
      </c>
      <c r="S73" s="151">
        <v>0</v>
      </c>
      <c r="T73" s="195">
        <v>0.125</v>
      </c>
      <c r="U73" s="154">
        <f t="shared" si="12"/>
        <v>28410.146846824984</v>
      </c>
      <c r="V73" s="154">
        <f t="shared" si="13"/>
        <v>16379.224777155341</v>
      </c>
      <c r="W73" s="155">
        <f t="shared" si="4"/>
        <v>1065.3805067559369</v>
      </c>
      <c r="X73" s="199">
        <f t="shared" si="5"/>
        <v>82.04037330672368</v>
      </c>
      <c r="Y73" s="199">
        <f t="shared" si="14"/>
        <v>45936.792504042984</v>
      </c>
      <c r="Z73" s="200">
        <f t="shared" si="6"/>
        <v>0.38244376068241076</v>
      </c>
      <c r="AA73" s="199">
        <f t="shared" si="7"/>
        <v>45941.11285935343</v>
      </c>
      <c r="AC73" s="30">
        <v>45663.117776915242</v>
      </c>
      <c r="AD73" s="30">
        <f t="shared" si="15"/>
        <v>277.99508243818855</v>
      </c>
    </row>
    <row r="74" spans="2:30" x14ac:dyDescent="0.25">
      <c r="B74" s="10">
        <v>731</v>
      </c>
      <c r="C74" s="10">
        <v>5</v>
      </c>
      <c r="D74" s="9" t="s">
        <v>174</v>
      </c>
      <c r="E74" s="150">
        <v>874.85</v>
      </c>
      <c r="F74" s="150">
        <v>874.85</v>
      </c>
      <c r="G74" s="150">
        <f t="shared" si="8"/>
        <v>0</v>
      </c>
      <c r="H74" s="151">
        <v>218287.9</v>
      </c>
      <c r="I74" s="151">
        <v>218287.9</v>
      </c>
      <c r="J74" s="151">
        <f t="shared" si="9"/>
        <v>0</v>
      </c>
      <c r="K74" s="151">
        <v>0</v>
      </c>
      <c r="L74" s="151">
        <v>0</v>
      </c>
      <c r="M74" s="151">
        <f t="shared" si="10"/>
        <v>0</v>
      </c>
      <c r="N74" s="5">
        <f t="shared" si="2"/>
        <v>218287.9</v>
      </c>
      <c r="O74" s="154">
        <f t="shared" si="2"/>
        <v>218287.9</v>
      </c>
      <c r="P74" s="152">
        <f t="shared" si="16"/>
        <v>249.51465965594102</v>
      </c>
      <c r="Q74" s="6">
        <f t="shared" si="3"/>
        <v>249.51465965594102</v>
      </c>
      <c r="R74" s="5">
        <f t="shared" si="11"/>
        <v>218287.9</v>
      </c>
      <c r="S74" s="151">
        <v>6049.1687523021419</v>
      </c>
      <c r="T74" s="195">
        <v>0.74166666666666659</v>
      </c>
      <c r="U74" s="154">
        <f t="shared" si="12"/>
        <v>51630.942592257656</v>
      </c>
      <c r="V74" s="154">
        <f t="shared" si="13"/>
        <v>39969.90192474045</v>
      </c>
      <c r="W74" s="155">
        <f t="shared" si="4"/>
        <v>11487.884726777329</v>
      </c>
      <c r="X74" s="199">
        <f t="shared" si="5"/>
        <v>149.09538578890584</v>
      </c>
      <c r="Y74" s="199">
        <f t="shared" si="14"/>
        <v>103237.82462956433</v>
      </c>
      <c r="Z74" s="200">
        <f t="shared" si="6"/>
        <v>0.47294341385649108</v>
      </c>
      <c r="AA74" s="199">
        <f t="shared" si="7"/>
        <v>103247.53414691555</v>
      </c>
      <c r="AC74" s="30">
        <v>102633.74373012624</v>
      </c>
      <c r="AD74" s="30">
        <f t="shared" si="15"/>
        <v>613.79041678931389</v>
      </c>
    </row>
    <row r="75" spans="2:30" x14ac:dyDescent="0.25">
      <c r="B75" s="10">
        <v>732</v>
      </c>
      <c r="C75" s="10">
        <v>5</v>
      </c>
      <c r="D75" s="9" t="s">
        <v>175</v>
      </c>
      <c r="E75" s="150">
        <v>237.1055539064819</v>
      </c>
      <c r="F75" s="150">
        <v>237.10555390648193</v>
      </c>
      <c r="G75" s="150">
        <f t="shared" si="8"/>
        <v>0</v>
      </c>
      <c r="H75" s="151">
        <v>79988.36</v>
      </c>
      <c r="I75" s="151">
        <v>79988.36</v>
      </c>
      <c r="J75" s="151">
        <f t="shared" si="9"/>
        <v>0</v>
      </c>
      <c r="K75" s="151">
        <v>0</v>
      </c>
      <c r="L75" s="151">
        <v>0</v>
      </c>
      <c r="M75" s="151">
        <f t="shared" si="10"/>
        <v>0</v>
      </c>
      <c r="N75" s="5">
        <f t="shared" si="2"/>
        <v>79988.36</v>
      </c>
      <c r="O75" s="154">
        <f t="shared" si="2"/>
        <v>79988.36</v>
      </c>
      <c r="P75" s="152">
        <f t="shared" si="16"/>
        <v>337.35337988560417</v>
      </c>
      <c r="Q75" s="6">
        <f t="shared" si="3"/>
        <v>337.35337988560417</v>
      </c>
      <c r="R75" s="5">
        <f t="shared" si="11"/>
        <v>79988.36</v>
      </c>
      <c r="S75" s="151">
        <v>0</v>
      </c>
      <c r="T75" s="195">
        <v>0.19166666666666665</v>
      </c>
      <c r="U75" s="154">
        <f t="shared" si="12"/>
        <v>18919.392340156457</v>
      </c>
      <c r="V75" s="154">
        <f t="shared" si="13"/>
        <v>10832.81217974892</v>
      </c>
      <c r="W75" s="155">
        <f t="shared" si="4"/>
        <v>1087.8650595589963</v>
      </c>
      <c r="X75" s="199">
        <f t="shared" si="5"/>
        <v>54.633790479554222</v>
      </c>
      <c r="Y75" s="199">
        <f t="shared" si="14"/>
        <v>30894.703369943927</v>
      </c>
      <c r="Z75" s="200">
        <f t="shared" si="6"/>
        <v>0.38623999004285031</v>
      </c>
      <c r="AA75" s="199">
        <f t="shared" si="7"/>
        <v>30897.609016779352</v>
      </c>
      <c r="AC75" s="30">
        <v>30709.948940152026</v>
      </c>
      <c r="AD75" s="30">
        <f t="shared" si="15"/>
        <v>187.66007662732591</v>
      </c>
    </row>
    <row r="76" spans="2:30" x14ac:dyDescent="0.25">
      <c r="B76" s="10">
        <v>754</v>
      </c>
      <c r="C76" s="10">
        <v>5</v>
      </c>
      <c r="D76" s="9" t="s">
        <v>176</v>
      </c>
      <c r="E76" s="150">
        <v>131.05468149506399</v>
      </c>
      <c r="F76" s="150">
        <v>131.05468149506399</v>
      </c>
      <c r="G76" s="150">
        <f t="shared" si="8"/>
        <v>0</v>
      </c>
      <c r="H76" s="151">
        <v>30289.86</v>
      </c>
      <c r="I76" s="151">
        <v>30289.86</v>
      </c>
      <c r="J76" s="151">
        <f t="shared" si="9"/>
        <v>0</v>
      </c>
      <c r="K76" s="151">
        <v>130</v>
      </c>
      <c r="L76" s="151">
        <v>130</v>
      </c>
      <c r="M76" s="151">
        <f t="shared" si="10"/>
        <v>0</v>
      </c>
      <c r="N76" s="5">
        <f t="shared" si="2"/>
        <v>30159.86</v>
      </c>
      <c r="O76" s="154">
        <f t="shared" si="2"/>
        <v>30159.86</v>
      </c>
      <c r="P76" s="152">
        <f t="shared" si="16"/>
        <v>230.13187820486928</v>
      </c>
      <c r="Q76" s="6">
        <f t="shared" si="3"/>
        <v>230.13187820486928</v>
      </c>
      <c r="R76" s="5">
        <f t="shared" si="11"/>
        <v>30159.86</v>
      </c>
      <c r="S76" s="151">
        <v>0</v>
      </c>
      <c r="T76" s="195">
        <v>0.16666666666666666</v>
      </c>
      <c r="U76" s="154">
        <f t="shared" si="12"/>
        <v>7133.6157443931979</v>
      </c>
      <c r="V76" s="154">
        <f t="shared" si="13"/>
        <v>5987.5896052303879</v>
      </c>
      <c r="W76" s="155">
        <f t="shared" si="4"/>
        <v>356.68078721965986</v>
      </c>
      <c r="X76" s="199">
        <f t="shared" si="5"/>
        <v>20.599840678477321</v>
      </c>
      <c r="Y76" s="199">
        <f t="shared" si="14"/>
        <v>13498.485977521723</v>
      </c>
      <c r="Z76" s="200">
        <f t="shared" si="6"/>
        <v>0.44756460996575326</v>
      </c>
      <c r="AA76" s="199">
        <f t="shared" si="7"/>
        <v>13499.755510120693</v>
      </c>
      <c r="AC76" s="30">
        <v>13422.36700012338</v>
      </c>
      <c r="AD76" s="30">
        <f t="shared" si="15"/>
        <v>77.388509997312212</v>
      </c>
    </row>
    <row r="77" spans="2:30" x14ac:dyDescent="0.25">
      <c r="B77" s="10">
        <v>885</v>
      </c>
      <c r="C77" s="10">
        <v>5</v>
      </c>
      <c r="D77" s="9" t="s">
        <v>177</v>
      </c>
      <c r="E77" s="150">
        <v>503.68</v>
      </c>
      <c r="F77" s="150">
        <v>503.68</v>
      </c>
      <c r="G77" s="150">
        <f t="shared" si="8"/>
        <v>0</v>
      </c>
      <c r="H77" s="151">
        <v>232620.17</v>
      </c>
      <c r="I77" s="151">
        <v>232620.17</v>
      </c>
      <c r="J77" s="151">
        <f t="shared" si="9"/>
        <v>0</v>
      </c>
      <c r="K77" s="151">
        <v>56334.869999999995</v>
      </c>
      <c r="L77" s="151">
        <v>70548.25</v>
      </c>
      <c r="M77" s="151">
        <f t="shared" si="10"/>
        <v>-14213.380000000005</v>
      </c>
      <c r="N77" s="5">
        <f t="shared" si="2"/>
        <v>176285.30000000002</v>
      </c>
      <c r="O77" s="154">
        <f t="shared" si="2"/>
        <v>162071.92000000001</v>
      </c>
      <c r="P77" s="152">
        <f t="shared" si="16"/>
        <v>321.77557179161374</v>
      </c>
      <c r="Q77" s="6">
        <f t="shared" si="3"/>
        <v>321.77557179161374</v>
      </c>
      <c r="R77" s="5">
        <f t="shared" si="11"/>
        <v>162071.92000000001</v>
      </c>
      <c r="S77" s="151">
        <v>4885.1976140235392</v>
      </c>
      <c r="T77" s="195">
        <v>0.64444444444444438</v>
      </c>
      <c r="U77" s="154">
        <f t="shared" si="12"/>
        <v>38334.355671280799</v>
      </c>
      <c r="V77" s="154">
        <f t="shared" si="13"/>
        <v>23011.990857236407</v>
      </c>
      <c r="W77" s="155">
        <f t="shared" si="4"/>
        <v>7411.3087631142871</v>
      </c>
      <c r="X77" s="199">
        <f t="shared" si="5"/>
        <v>110.69864815204454</v>
      </c>
      <c r="Y77" s="199">
        <f t="shared" si="14"/>
        <v>68868.353939783541</v>
      </c>
      <c r="Z77" s="200">
        <f t="shared" si="6"/>
        <v>0.42492465036376159</v>
      </c>
      <c r="AA77" s="199">
        <f t="shared" si="7"/>
        <v>68874.831008434761</v>
      </c>
      <c r="AC77" s="30">
        <v>72444.2829724037</v>
      </c>
      <c r="AD77" s="30">
        <f t="shared" si="15"/>
        <v>-3569.4519639689388</v>
      </c>
    </row>
    <row r="78" spans="2:30" x14ac:dyDescent="0.25">
      <c r="B78" s="10">
        <v>909</v>
      </c>
      <c r="C78" s="10">
        <v>5</v>
      </c>
      <c r="D78" s="9" t="s">
        <v>178</v>
      </c>
      <c r="E78" s="150">
        <v>587.29</v>
      </c>
      <c r="F78" s="150">
        <v>587.29</v>
      </c>
      <c r="G78" s="150">
        <f t="shared" si="8"/>
        <v>0</v>
      </c>
      <c r="H78" s="151">
        <v>265083.2</v>
      </c>
      <c r="I78" s="151">
        <v>265083.2</v>
      </c>
      <c r="J78" s="151">
        <f t="shared" si="9"/>
        <v>0</v>
      </c>
      <c r="K78" s="151">
        <v>92898.170000000013</v>
      </c>
      <c r="L78" s="151">
        <v>92898.17</v>
      </c>
      <c r="M78" s="151">
        <f t="shared" si="10"/>
        <v>0</v>
      </c>
      <c r="N78" s="5">
        <f t="shared" si="2"/>
        <v>172185.03</v>
      </c>
      <c r="O78" s="154">
        <f t="shared" si="2"/>
        <v>172185.03000000003</v>
      </c>
      <c r="P78" s="152">
        <f t="shared" si="16"/>
        <v>293.18570042057593</v>
      </c>
      <c r="Q78" s="6">
        <f t="shared" si="3"/>
        <v>293.18570042057593</v>
      </c>
      <c r="R78" s="5">
        <f t="shared" si="11"/>
        <v>172185.03000000003</v>
      </c>
      <c r="S78" s="151">
        <v>4771.5714113801405</v>
      </c>
      <c r="T78" s="195">
        <v>0.7</v>
      </c>
      <c r="U78" s="154">
        <f t="shared" si="12"/>
        <v>40726.377408808112</v>
      </c>
      <c r="V78" s="154">
        <f t="shared" si="13"/>
        <v>26831.941134343964</v>
      </c>
      <c r="W78" s="155">
        <f t="shared" si="4"/>
        <v>8552.5392558497042</v>
      </c>
      <c r="X78" s="199">
        <f t="shared" si="5"/>
        <v>117.60612234999893</v>
      </c>
      <c r="Y78" s="199">
        <f t="shared" si="14"/>
        <v>76228.463921351766</v>
      </c>
      <c r="Z78" s="200">
        <f t="shared" si="6"/>
        <v>0.4427124931903299</v>
      </c>
      <c r="AA78" s="199">
        <f t="shared" si="7"/>
        <v>76235.633208342813</v>
      </c>
      <c r="AC78" s="30">
        <v>75772.598200900262</v>
      </c>
      <c r="AD78" s="30">
        <f t="shared" si="15"/>
        <v>463.03500744255143</v>
      </c>
    </row>
    <row r="79" spans="2:30" x14ac:dyDescent="0.25">
      <c r="B79" s="10">
        <v>923</v>
      </c>
      <c r="C79" s="10">
        <v>5</v>
      </c>
      <c r="D79" s="9" t="s">
        <v>179</v>
      </c>
      <c r="E79" s="150">
        <v>66.405227839763782</v>
      </c>
      <c r="F79" s="150">
        <v>66.405227839763782</v>
      </c>
      <c r="G79" s="150">
        <f t="shared" si="8"/>
        <v>0</v>
      </c>
      <c r="H79" s="151">
        <v>26124.19</v>
      </c>
      <c r="I79" s="151">
        <v>26124.19</v>
      </c>
      <c r="J79" s="151">
        <f t="shared" si="9"/>
        <v>0</v>
      </c>
      <c r="K79" s="151">
        <v>0</v>
      </c>
      <c r="L79" s="151">
        <v>0</v>
      </c>
      <c r="M79" s="151">
        <f t="shared" si="10"/>
        <v>0</v>
      </c>
      <c r="N79" s="5">
        <f t="shared" si="2"/>
        <v>26124.19</v>
      </c>
      <c r="O79" s="154">
        <f t="shared" si="2"/>
        <v>26124.19</v>
      </c>
      <c r="P79" s="152">
        <f t="shared" si="16"/>
        <v>393.40562256691339</v>
      </c>
      <c r="Q79" s="6">
        <f t="shared" si="3"/>
        <v>393.40562256691339</v>
      </c>
      <c r="R79" s="5">
        <f t="shared" si="11"/>
        <v>26124.19</v>
      </c>
      <c r="S79" s="151">
        <v>552.83492544750402</v>
      </c>
      <c r="T79" s="195">
        <v>0.12777777777777777</v>
      </c>
      <c r="U79" s="154">
        <f t="shared" si="12"/>
        <v>6179.0715571464634</v>
      </c>
      <c r="V79" s="154">
        <f t="shared" si="13"/>
        <v>3033.9034623597222</v>
      </c>
      <c r="W79" s="155">
        <f t="shared" si="4"/>
        <v>236.86440969061442</v>
      </c>
      <c r="X79" s="199">
        <f t="shared" si="5"/>
        <v>17.84339024963214</v>
      </c>
      <c r="Y79" s="199">
        <f t="shared" si="14"/>
        <v>9467.6828194464324</v>
      </c>
      <c r="Z79" s="200">
        <f t="shared" si="6"/>
        <v>0.36241057883312106</v>
      </c>
      <c r="AA79" s="199">
        <f t="shared" si="7"/>
        <v>9468.5732550105404</v>
      </c>
      <c r="AC79" s="30">
        <v>9410.0241444169824</v>
      </c>
      <c r="AD79" s="30">
        <f t="shared" si="15"/>
        <v>58.549110593557998</v>
      </c>
    </row>
    <row r="80" spans="2:30" x14ac:dyDescent="0.25">
      <c r="B80" s="10">
        <v>394</v>
      </c>
      <c r="C80" s="10">
        <v>6</v>
      </c>
      <c r="D80" s="9" t="s">
        <v>180</v>
      </c>
      <c r="E80" s="150">
        <v>783.64</v>
      </c>
      <c r="F80" s="150">
        <v>783.64</v>
      </c>
      <c r="G80" s="150">
        <f t="shared" si="8"/>
        <v>0</v>
      </c>
      <c r="H80" s="151">
        <v>373537.77</v>
      </c>
      <c r="I80" s="151">
        <v>373537.77</v>
      </c>
      <c r="J80" s="151">
        <f t="shared" si="9"/>
        <v>0</v>
      </c>
      <c r="K80" s="151">
        <v>48642.7</v>
      </c>
      <c r="L80" s="151">
        <v>48642.7</v>
      </c>
      <c r="M80" s="151">
        <f t="shared" si="10"/>
        <v>0</v>
      </c>
      <c r="N80" s="5">
        <f t="shared" si="2"/>
        <v>324895.07</v>
      </c>
      <c r="O80" s="154">
        <f t="shared" si="2"/>
        <v>324895.07</v>
      </c>
      <c r="P80" s="152">
        <f t="shared" si="16"/>
        <v>414.59735337655047</v>
      </c>
      <c r="Q80" s="6">
        <f t="shared" si="3"/>
        <v>414.59735337655047</v>
      </c>
      <c r="R80" s="5">
        <f t="shared" si="11"/>
        <v>324895.07</v>
      </c>
      <c r="S80" s="151">
        <v>0</v>
      </c>
      <c r="T80" s="195">
        <v>0.75555555555555554</v>
      </c>
      <c r="U80" s="154">
        <f t="shared" si="12"/>
        <v>76846.397384726923</v>
      </c>
      <c r="V80" s="154">
        <f t="shared" si="13"/>
        <v>35802.724974914105</v>
      </c>
      <c r="W80" s="155">
        <f t="shared" si="4"/>
        <v>17418.516740538103</v>
      </c>
      <c r="X80" s="199">
        <f t="shared" si="5"/>
        <v>221.91040274135014</v>
      </c>
      <c r="Y80" s="199">
        <f t="shared" si="14"/>
        <v>130289.54950292049</v>
      </c>
      <c r="Z80" s="200">
        <f t="shared" si="6"/>
        <v>0.40102039560932856</v>
      </c>
      <c r="AA80" s="199">
        <f t="shared" si="7"/>
        <v>130301.80323498159</v>
      </c>
      <c r="AC80" s="30">
        <v>129473.35083310302</v>
      </c>
      <c r="AD80" s="30">
        <f t="shared" si="15"/>
        <v>828.45240187857416</v>
      </c>
    </row>
    <row r="81" spans="2:30" x14ac:dyDescent="0.25">
      <c r="B81" s="10">
        <v>414</v>
      </c>
      <c r="C81" s="10">
        <v>6</v>
      </c>
      <c r="D81" s="9" t="s">
        <v>181</v>
      </c>
      <c r="E81" s="150">
        <v>294.36</v>
      </c>
      <c r="F81" s="150">
        <v>294.36</v>
      </c>
      <c r="G81" s="150">
        <f t="shared" si="8"/>
        <v>0</v>
      </c>
      <c r="H81" s="151">
        <v>172746.48</v>
      </c>
      <c r="I81" s="151">
        <v>172746.48</v>
      </c>
      <c r="J81" s="151">
        <f t="shared" si="9"/>
        <v>0</v>
      </c>
      <c r="K81" s="151">
        <v>0</v>
      </c>
      <c r="L81" s="151">
        <v>0</v>
      </c>
      <c r="M81" s="151">
        <f t="shared" si="10"/>
        <v>0</v>
      </c>
      <c r="N81" s="5">
        <f t="shared" si="2"/>
        <v>172746.48</v>
      </c>
      <c r="O81" s="154">
        <f t="shared" si="2"/>
        <v>172746.48</v>
      </c>
      <c r="P81" s="152">
        <f t="shared" si="16"/>
        <v>586.85446392172855</v>
      </c>
      <c r="Q81" s="6">
        <f t="shared" si="3"/>
        <v>586.85446392172855</v>
      </c>
      <c r="R81" s="5">
        <f t="shared" si="11"/>
        <v>172746.48</v>
      </c>
      <c r="S81" s="151">
        <v>0</v>
      </c>
      <c r="T81" s="195">
        <v>0.43888888888888888</v>
      </c>
      <c r="U81" s="154">
        <f t="shared" si="12"/>
        <v>40859.175391281817</v>
      </c>
      <c r="V81" s="154">
        <f t="shared" si="13"/>
        <v>13448.637287039606</v>
      </c>
      <c r="W81" s="155">
        <f t="shared" si="4"/>
        <v>5379.7914265187719</v>
      </c>
      <c r="X81" s="199">
        <f t="shared" si="5"/>
        <v>117.9896049175218</v>
      </c>
      <c r="Y81" s="199">
        <f t="shared" si="14"/>
        <v>59805.593709757719</v>
      </c>
      <c r="Z81" s="200">
        <f t="shared" si="6"/>
        <v>0.34620441302050098</v>
      </c>
      <c r="AA81" s="199">
        <f t="shared" si="7"/>
        <v>59811.21842581415</v>
      </c>
      <c r="AC81" s="30">
        <v>59420.177322977295</v>
      </c>
      <c r="AD81" s="30">
        <f t="shared" si="15"/>
        <v>391.04110283685441</v>
      </c>
    </row>
    <row r="82" spans="2:30" x14ac:dyDescent="0.25">
      <c r="B82" s="10">
        <v>426</v>
      </c>
      <c r="C82" s="10">
        <v>6</v>
      </c>
      <c r="D82" s="9" t="s">
        <v>182</v>
      </c>
      <c r="E82" s="150">
        <v>396.89737485636715</v>
      </c>
      <c r="F82" s="150">
        <v>396.89737485636715</v>
      </c>
      <c r="G82" s="150">
        <f t="shared" si="8"/>
        <v>0</v>
      </c>
      <c r="H82" s="151">
        <v>142529.81</v>
      </c>
      <c r="I82" s="151">
        <v>118567.88</v>
      </c>
      <c r="J82" s="151">
        <f t="shared" si="9"/>
        <v>23961.929999999993</v>
      </c>
      <c r="K82" s="151">
        <v>0</v>
      </c>
      <c r="L82" s="151">
        <v>0</v>
      </c>
      <c r="M82" s="151">
        <f t="shared" si="10"/>
        <v>0</v>
      </c>
      <c r="N82" s="5">
        <f t="shared" si="2"/>
        <v>142529.81</v>
      </c>
      <c r="O82" s="154">
        <f t="shared" si="2"/>
        <v>118567.88</v>
      </c>
      <c r="P82" s="152">
        <f t="shared" si="16"/>
        <v>298.73687132072473</v>
      </c>
      <c r="Q82" s="6">
        <f t="shared" si="3"/>
        <v>298.73687132072473</v>
      </c>
      <c r="R82" s="5">
        <f t="shared" si="11"/>
        <v>118567.88</v>
      </c>
      <c r="S82" s="151">
        <v>0</v>
      </c>
      <c r="T82" s="195">
        <v>0.125</v>
      </c>
      <c r="U82" s="154">
        <f t="shared" si="12"/>
        <v>28044.483480603802</v>
      </c>
      <c r="V82" s="154">
        <f t="shared" si="13"/>
        <v>18133.336168709997</v>
      </c>
      <c r="W82" s="155">
        <f t="shared" si="4"/>
        <v>1051.6681305226427</v>
      </c>
      <c r="X82" s="199">
        <f t="shared" si="5"/>
        <v>80.9844421553952</v>
      </c>
      <c r="Y82" s="199">
        <f t="shared" si="14"/>
        <v>47310.472221991833</v>
      </c>
      <c r="Z82" s="200">
        <f t="shared" si="6"/>
        <v>0.39901592422831406</v>
      </c>
      <c r="AA82" s="199">
        <f t="shared" si="7"/>
        <v>47314.921771879017</v>
      </c>
      <c r="AC82" s="30">
        <v>52886.953653779659</v>
      </c>
      <c r="AD82" s="30">
        <f t="shared" si="15"/>
        <v>-5572.0318819006425</v>
      </c>
    </row>
    <row r="83" spans="2:30" x14ac:dyDescent="0.25">
      <c r="B83" s="10">
        <v>430</v>
      </c>
      <c r="C83" s="10">
        <v>6</v>
      </c>
      <c r="D83" s="9" t="s">
        <v>183</v>
      </c>
      <c r="E83" s="150">
        <v>3218.260113581206</v>
      </c>
      <c r="F83" s="150">
        <v>3218.2601135812065</v>
      </c>
      <c r="G83" s="150">
        <f t="shared" si="8"/>
        <v>0</v>
      </c>
      <c r="H83" s="151">
        <v>1582375.59</v>
      </c>
      <c r="I83" s="151">
        <v>1582375.59</v>
      </c>
      <c r="J83" s="151">
        <f t="shared" si="9"/>
        <v>0</v>
      </c>
      <c r="K83" s="151">
        <v>0</v>
      </c>
      <c r="L83" s="151">
        <v>0</v>
      </c>
      <c r="M83" s="151">
        <f t="shared" si="10"/>
        <v>0</v>
      </c>
      <c r="N83" s="5">
        <f t="shared" si="2"/>
        <v>1582375.59</v>
      </c>
      <c r="O83" s="154">
        <f t="shared" si="2"/>
        <v>1582375.59</v>
      </c>
      <c r="P83" s="152">
        <f t="shared" si="16"/>
        <v>491.68666737728933</v>
      </c>
      <c r="Q83" s="6">
        <f t="shared" si="3"/>
        <v>491.68666737728933</v>
      </c>
      <c r="R83" s="5">
        <f t="shared" si="11"/>
        <v>1582375.59</v>
      </c>
      <c r="S83" s="151">
        <v>0</v>
      </c>
      <c r="T83" s="195">
        <v>0.17499999999999999</v>
      </c>
      <c r="U83" s="154">
        <f t="shared" si="12"/>
        <v>374274.26461420831</v>
      </c>
      <c r="V83" s="154">
        <f t="shared" si="13"/>
        <v>147034.96726083886</v>
      </c>
      <c r="W83" s="155">
        <f t="shared" si="4"/>
        <v>19649.398892245939</v>
      </c>
      <c r="X83" s="199">
        <f t="shared" si="5"/>
        <v>1080.796961508162</v>
      </c>
      <c r="Y83" s="199">
        <f t="shared" si="14"/>
        <v>542039.42772880127</v>
      </c>
      <c r="Z83" s="200">
        <f t="shared" si="6"/>
        <v>0.34254789517373763</v>
      </c>
      <c r="AA83" s="199">
        <f t="shared" si="7"/>
        <v>542090.40653668938</v>
      </c>
      <c r="AC83" s="30">
        <v>538640.30644131813</v>
      </c>
      <c r="AD83" s="30">
        <f t="shared" si="15"/>
        <v>3450.1000953712501</v>
      </c>
    </row>
    <row r="84" spans="2:30" x14ac:dyDescent="0.25">
      <c r="B84" s="10">
        <v>562</v>
      </c>
      <c r="C84" s="10">
        <v>6</v>
      </c>
      <c r="D84" s="9" t="s">
        <v>184</v>
      </c>
      <c r="E84" s="150">
        <v>37.821321052745773</v>
      </c>
      <c r="F84" s="150">
        <v>37.821321052745773</v>
      </c>
      <c r="G84" s="150">
        <f t="shared" si="8"/>
        <v>0</v>
      </c>
      <c r="H84" s="151">
        <v>44660.03</v>
      </c>
      <c r="I84" s="151">
        <v>44660.03</v>
      </c>
      <c r="J84" s="151">
        <f t="shared" si="9"/>
        <v>0</v>
      </c>
      <c r="K84" s="151">
        <v>0</v>
      </c>
      <c r="L84" s="151">
        <v>0</v>
      </c>
      <c r="M84" s="151">
        <f t="shared" si="10"/>
        <v>0</v>
      </c>
      <c r="N84" s="5">
        <f t="shared" si="2"/>
        <v>44660.03</v>
      </c>
      <c r="O84" s="154">
        <f t="shared" si="2"/>
        <v>44660.03</v>
      </c>
      <c r="P84" s="152">
        <f t="shared" si="16"/>
        <v>1180.81623689762</v>
      </c>
      <c r="Q84" s="6">
        <f t="shared" si="3"/>
        <v>850.68169803401406</v>
      </c>
      <c r="R84" s="5">
        <f t="shared" si="11"/>
        <v>32173.905615039377</v>
      </c>
      <c r="S84" s="151">
        <v>0</v>
      </c>
      <c r="T84" s="195">
        <v>0.2</v>
      </c>
      <c r="U84" s="154">
        <f t="shared" si="12"/>
        <v>7609.9915468462268</v>
      </c>
      <c r="V84" s="154">
        <f t="shared" si="13"/>
        <v>1727.9699298649709</v>
      </c>
      <c r="W84" s="155">
        <f t="shared" si="4"/>
        <v>456.5994928107736</v>
      </c>
      <c r="X84" s="199">
        <f t="shared" si="5"/>
        <v>21.975477660512286</v>
      </c>
      <c r="Y84" s="199">
        <f t="shared" si="14"/>
        <v>9816.5364471824832</v>
      </c>
      <c r="Z84" s="200">
        <f t="shared" si="6"/>
        <v>0.30510863569494151</v>
      </c>
      <c r="AA84" s="199">
        <f t="shared" si="7"/>
        <v>9817.4596924300931</v>
      </c>
      <c r="AC84" s="30">
        <v>9591.1431497530157</v>
      </c>
      <c r="AD84" s="30">
        <f t="shared" si="15"/>
        <v>226.31654267707745</v>
      </c>
    </row>
    <row r="85" spans="2:30" x14ac:dyDescent="0.25">
      <c r="B85" s="10">
        <v>603</v>
      </c>
      <c r="C85" s="10">
        <v>6</v>
      </c>
      <c r="D85" s="9" t="s">
        <v>185</v>
      </c>
      <c r="E85" s="150">
        <v>96.390687372599032</v>
      </c>
      <c r="F85" s="150">
        <v>96.390687372599032</v>
      </c>
      <c r="G85" s="150">
        <f t="shared" si="8"/>
        <v>0</v>
      </c>
      <c r="H85" s="151">
        <v>83950.17</v>
      </c>
      <c r="I85" s="151">
        <v>83950.17</v>
      </c>
      <c r="J85" s="151">
        <f t="shared" si="9"/>
        <v>0</v>
      </c>
      <c r="K85" s="151">
        <v>0</v>
      </c>
      <c r="L85" s="151">
        <v>0</v>
      </c>
      <c r="M85" s="151">
        <f t="shared" si="10"/>
        <v>0</v>
      </c>
      <c r="N85" s="5">
        <f t="shared" si="2"/>
        <v>83950.17</v>
      </c>
      <c r="O85" s="154">
        <f t="shared" si="2"/>
        <v>83950.17</v>
      </c>
      <c r="P85" s="152">
        <f t="shared" si="16"/>
        <v>870.93652186014504</v>
      </c>
      <c r="Q85" s="6">
        <f t="shared" si="3"/>
        <v>850.68169803401406</v>
      </c>
      <c r="R85" s="5">
        <f t="shared" si="11"/>
        <v>81997.793608788343</v>
      </c>
      <c r="S85" s="151">
        <v>0</v>
      </c>
      <c r="T85" s="195">
        <v>0.4916666666666667</v>
      </c>
      <c r="U85" s="154">
        <f t="shared" si="12"/>
        <v>19394.677279442163</v>
      </c>
      <c r="V85" s="154">
        <f t="shared" si="13"/>
        <v>4403.8707444031561</v>
      </c>
      <c r="W85" s="155">
        <f t="shared" si="4"/>
        <v>2860.7148987177188</v>
      </c>
      <c r="X85" s="199">
        <f t="shared" si="5"/>
        <v>56.00627736095943</v>
      </c>
      <c r="Y85" s="199">
        <f t="shared" si="14"/>
        <v>26715.269199923998</v>
      </c>
      <c r="Z85" s="200">
        <f t="shared" si="6"/>
        <v>0.32580473234905083</v>
      </c>
      <c r="AA85" s="199">
        <f t="shared" si="7"/>
        <v>26717.781770977967</v>
      </c>
      <c r="AC85" s="30">
        <v>26094.748090394092</v>
      </c>
      <c r="AD85" s="30">
        <f t="shared" si="15"/>
        <v>623.03368058387423</v>
      </c>
    </row>
    <row r="86" spans="2:30" x14ac:dyDescent="0.25">
      <c r="B86" s="10">
        <v>618</v>
      </c>
      <c r="C86" s="10">
        <v>6</v>
      </c>
      <c r="D86" s="9" t="s">
        <v>186</v>
      </c>
      <c r="E86" s="150">
        <v>13.879856974022433</v>
      </c>
      <c r="F86" s="150">
        <v>13.879856974022433</v>
      </c>
      <c r="G86" s="150">
        <f t="shared" si="8"/>
        <v>0</v>
      </c>
      <c r="H86" s="151">
        <v>14635.94</v>
      </c>
      <c r="I86" s="151">
        <v>14635.94</v>
      </c>
      <c r="J86" s="151">
        <f t="shared" si="9"/>
        <v>0</v>
      </c>
      <c r="K86" s="151">
        <v>0</v>
      </c>
      <c r="L86" s="151">
        <v>0</v>
      </c>
      <c r="M86" s="151">
        <f t="shared" si="10"/>
        <v>0</v>
      </c>
      <c r="N86" s="5">
        <f t="shared" si="2"/>
        <v>14635.94</v>
      </c>
      <c r="O86" s="154">
        <f t="shared" si="2"/>
        <v>14635.94</v>
      </c>
      <c r="P86" s="152">
        <f t="shared" si="16"/>
        <v>1054.4734018075731</v>
      </c>
      <c r="Q86" s="6">
        <f t="shared" si="3"/>
        <v>850.68169803401406</v>
      </c>
      <c r="R86" s="5">
        <f t="shared" si="11"/>
        <v>11807.340299130656</v>
      </c>
      <c r="S86" s="151">
        <v>0</v>
      </c>
      <c r="T86" s="195">
        <v>0</v>
      </c>
      <c r="U86" s="154">
        <f t="shared" si="12"/>
        <v>2792.7526406716324</v>
      </c>
      <c r="V86" s="154">
        <f t="shared" si="13"/>
        <v>634.13902038189565</v>
      </c>
      <c r="W86" s="155">
        <f t="shared" si="4"/>
        <v>0</v>
      </c>
      <c r="X86" s="199">
        <f t="shared" si="5"/>
        <v>8.0646703598311227</v>
      </c>
      <c r="Y86" s="199">
        <f t="shared" si="14"/>
        <v>3434.9563314133593</v>
      </c>
      <c r="Z86" s="200">
        <f t="shared" si="6"/>
        <v>0.29091702656069518</v>
      </c>
      <c r="AA86" s="199">
        <f t="shared" si="7"/>
        <v>3435.2793890544922</v>
      </c>
      <c r="AC86" s="30">
        <v>3356.7911152652082</v>
      </c>
      <c r="AD86" s="30">
        <f t="shared" si="15"/>
        <v>78.488273789283994</v>
      </c>
    </row>
    <row r="87" spans="2:30" x14ac:dyDescent="0.25">
      <c r="B87" s="10">
        <v>620</v>
      </c>
      <c r="C87" s="10">
        <v>6</v>
      </c>
      <c r="D87" s="9" t="s">
        <v>187</v>
      </c>
      <c r="E87" s="150">
        <v>172.17676107855257</v>
      </c>
      <c r="F87" s="150">
        <v>172.17676107855257</v>
      </c>
      <c r="G87" s="150">
        <f t="shared" si="8"/>
        <v>0</v>
      </c>
      <c r="H87" s="151">
        <v>107961.55</v>
      </c>
      <c r="I87" s="151">
        <v>107961.55</v>
      </c>
      <c r="J87" s="151">
        <f t="shared" si="9"/>
        <v>0</v>
      </c>
      <c r="K87" s="151">
        <v>0</v>
      </c>
      <c r="L87" s="151">
        <v>0</v>
      </c>
      <c r="M87" s="151">
        <f t="shared" si="10"/>
        <v>0</v>
      </c>
      <c r="N87" s="5">
        <f t="shared" si="2"/>
        <v>107961.55</v>
      </c>
      <c r="O87" s="154">
        <f t="shared" si="2"/>
        <v>107961.55</v>
      </c>
      <c r="P87" s="152">
        <f t="shared" si="16"/>
        <v>627.03903432557001</v>
      </c>
      <c r="Q87" s="6">
        <f t="shared" si="3"/>
        <v>627.03903432557001</v>
      </c>
      <c r="R87" s="5">
        <f t="shared" si="11"/>
        <v>107961.54999999999</v>
      </c>
      <c r="S87" s="151">
        <v>0</v>
      </c>
      <c r="T87" s="195">
        <v>0.28333333333333333</v>
      </c>
      <c r="U87" s="154">
        <f t="shared" si="12"/>
        <v>25535.801985456612</v>
      </c>
      <c r="V87" s="154">
        <f t="shared" si="13"/>
        <v>7866.3636669477228</v>
      </c>
      <c r="W87" s="155">
        <f t="shared" si="4"/>
        <v>2170.543168763812</v>
      </c>
      <c r="X87" s="199">
        <f t="shared" si="5"/>
        <v>73.740087964647813</v>
      </c>
      <c r="Y87" s="199">
        <f t="shared" si="14"/>
        <v>35646.448909132792</v>
      </c>
      <c r="Z87" s="200">
        <f t="shared" si="6"/>
        <v>0.33017726134103109</v>
      </c>
      <c r="AA87" s="199">
        <f t="shared" si="7"/>
        <v>35649.801457633635</v>
      </c>
      <c r="AC87" s="30">
        <v>35416.246538813313</v>
      </c>
      <c r="AD87" s="30">
        <f t="shared" si="15"/>
        <v>233.5549188203222</v>
      </c>
    </row>
    <row r="88" spans="2:30" x14ac:dyDescent="0.25">
      <c r="B88" s="10">
        <v>622</v>
      </c>
      <c r="C88" s="10">
        <v>6</v>
      </c>
      <c r="D88" s="9" t="s">
        <v>188</v>
      </c>
      <c r="E88" s="150">
        <v>123.098252164416</v>
      </c>
      <c r="F88" s="150">
        <v>123.098252164416</v>
      </c>
      <c r="G88" s="150">
        <f t="shared" si="8"/>
        <v>0</v>
      </c>
      <c r="H88" s="151">
        <v>66686.509999999995</v>
      </c>
      <c r="I88" s="151">
        <v>66686.509999999995</v>
      </c>
      <c r="J88" s="151">
        <f t="shared" si="9"/>
        <v>0</v>
      </c>
      <c r="K88" s="151">
        <v>108</v>
      </c>
      <c r="L88" s="151">
        <v>108</v>
      </c>
      <c r="M88" s="151">
        <f t="shared" si="10"/>
        <v>0</v>
      </c>
      <c r="N88" s="5">
        <f t="shared" si="2"/>
        <v>66578.509999999995</v>
      </c>
      <c r="O88" s="154">
        <f t="shared" si="2"/>
        <v>66578.509999999995</v>
      </c>
      <c r="P88" s="152">
        <f t="shared" si="16"/>
        <v>540.85666391976474</v>
      </c>
      <c r="Q88" s="6">
        <f t="shared" si="3"/>
        <v>540.85666391976474</v>
      </c>
      <c r="R88" s="5">
        <f t="shared" si="11"/>
        <v>66578.509999999995</v>
      </c>
      <c r="S88" s="151">
        <v>0</v>
      </c>
      <c r="T88" s="195">
        <v>0.23333333333333334</v>
      </c>
      <c r="U88" s="154">
        <f t="shared" si="12"/>
        <v>15747.603177675228</v>
      </c>
      <c r="V88" s="154">
        <f t="shared" si="13"/>
        <v>5624.0784890194627</v>
      </c>
      <c r="W88" s="155">
        <f t="shared" si="4"/>
        <v>1102.332222437266</v>
      </c>
      <c r="X88" s="199">
        <f t="shared" si="5"/>
        <v>45.47457112235962</v>
      </c>
      <c r="Y88" s="199">
        <f t="shared" si="14"/>
        <v>22519.488460254317</v>
      </c>
      <c r="Z88" s="200">
        <f t="shared" si="6"/>
        <v>0.33823959803627807</v>
      </c>
      <c r="AA88" s="199">
        <f t="shared" si="7"/>
        <v>22521.606418131963</v>
      </c>
      <c r="AC88" s="30">
        <v>22376.474787128172</v>
      </c>
      <c r="AD88" s="30">
        <f t="shared" si="15"/>
        <v>145.13163100379097</v>
      </c>
    </row>
    <row r="89" spans="2:30" x14ac:dyDescent="0.25">
      <c r="B89" s="10">
        <v>623</v>
      </c>
      <c r="C89" s="10">
        <v>6</v>
      </c>
      <c r="D89" s="9" t="s">
        <v>189</v>
      </c>
      <c r="E89" s="150">
        <v>247.97076034681618</v>
      </c>
      <c r="F89" s="150">
        <v>247.97076034681618</v>
      </c>
      <c r="G89" s="150">
        <f t="shared" si="8"/>
        <v>0</v>
      </c>
      <c r="H89" s="151">
        <v>78764.210000000006</v>
      </c>
      <c r="I89" s="151">
        <v>78764.210000000006</v>
      </c>
      <c r="J89" s="151">
        <f t="shared" si="9"/>
        <v>0</v>
      </c>
      <c r="K89" s="151">
        <v>0</v>
      </c>
      <c r="L89" s="151">
        <v>0</v>
      </c>
      <c r="M89" s="151">
        <f t="shared" si="10"/>
        <v>0</v>
      </c>
      <c r="N89" s="5">
        <f t="shared" si="2"/>
        <v>78764.210000000006</v>
      </c>
      <c r="O89" s="154">
        <f t="shared" si="2"/>
        <v>78764.210000000006</v>
      </c>
      <c r="P89" s="152">
        <f t="shared" si="16"/>
        <v>317.63507072301195</v>
      </c>
      <c r="Q89" s="6">
        <f t="shared" si="3"/>
        <v>317.63507072301195</v>
      </c>
      <c r="R89" s="5">
        <f t="shared" si="11"/>
        <v>78764.210000000006</v>
      </c>
      <c r="S89" s="151">
        <v>0</v>
      </c>
      <c r="T89" s="195">
        <v>0.25</v>
      </c>
      <c r="U89" s="154">
        <f t="shared" si="12"/>
        <v>18629.848034794995</v>
      </c>
      <c r="V89" s="154">
        <f t="shared" si="13"/>
        <v>11329.218690364703</v>
      </c>
      <c r="W89" s="155">
        <f t="shared" si="4"/>
        <v>1397.2386026096246</v>
      </c>
      <c r="X89" s="199">
        <f t="shared" si="5"/>
        <v>53.797669391241541</v>
      </c>
      <c r="Y89" s="199">
        <f t="shared" si="14"/>
        <v>31410.102997160564</v>
      </c>
      <c r="Z89" s="200">
        <f t="shared" si="6"/>
        <v>0.39878649195060245</v>
      </c>
      <c r="AA89" s="199">
        <f t="shared" si="7"/>
        <v>31413.057117330656</v>
      </c>
      <c r="AC89" s="30">
        <v>31223.403647638264</v>
      </c>
      <c r="AD89" s="30">
        <f t="shared" si="15"/>
        <v>189.65346969239181</v>
      </c>
    </row>
    <row r="90" spans="2:30" x14ac:dyDescent="0.25">
      <c r="B90" s="10">
        <v>626</v>
      </c>
      <c r="C90" s="10">
        <v>6</v>
      </c>
      <c r="D90" s="9" t="s">
        <v>190</v>
      </c>
      <c r="E90" s="150">
        <v>23.564337738852998</v>
      </c>
      <c r="F90" s="150">
        <v>23.564337738852998</v>
      </c>
      <c r="G90" s="150">
        <f t="shared" si="8"/>
        <v>0</v>
      </c>
      <c r="H90" s="151">
        <v>15698.78</v>
      </c>
      <c r="I90" s="151">
        <v>15698.78</v>
      </c>
      <c r="J90" s="151">
        <f t="shared" si="9"/>
        <v>0</v>
      </c>
      <c r="K90" s="151">
        <v>0</v>
      </c>
      <c r="L90" s="151">
        <v>0</v>
      </c>
      <c r="M90" s="151">
        <f t="shared" si="10"/>
        <v>0</v>
      </c>
      <c r="N90" s="5">
        <f t="shared" ref="N90:O153" si="17">H90-K90</f>
        <v>15698.78</v>
      </c>
      <c r="O90" s="154">
        <f t="shared" si="17"/>
        <v>15698.78</v>
      </c>
      <c r="P90" s="152">
        <f t="shared" si="16"/>
        <v>666.20925968633412</v>
      </c>
      <c r="Q90" s="6">
        <f t="shared" ref="Q90:Q153" si="18">MIN(P90,INDEX($U$3:$U$11,MATCH(C90,$R$3:$R$11,0)))</f>
        <v>666.20925968633412</v>
      </c>
      <c r="R90" s="5">
        <f t="shared" si="11"/>
        <v>15698.78</v>
      </c>
      <c r="S90" s="151">
        <v>0</v>
      </c>
      <c r="T90" s="195">
        <v>8.3333333333333329E-2</v>
      </c>
      <c r="U90" s="154">
        <f t="shared" si="12"/>
        <v>3713.1824940754059</v>
      </c>
      <c r="V90" s="154">
        <f t="shared" si="13"/>
        <v>1076.6008668267868</v>
      </c>
      <c r="W90" s="155">
        <f t="shared" ref="W90:W153" si="19">T90*$E$16*(R90/$R$24)</f>
        <v>92.829562351885144</v>
      </c>
      <c r="X90" s="199">
        <f t="shared" ref="X90:X153" si="20">($W$23+$E$9)*(R90/$R$24)</f>
        <v>10.722608355823477</v>
      </c>
      <c r="Y90" s="199">
        <f t="shared" si="14"/>
        <v>4893.3355316099014</v>
      </c>
      <c r="Z90" s="200">
        <f t="shared" ref="Z90:Z153" si="21">IF(ISERROR(Y90/R90),0,Y90/R90)</f>
        <v>0.31170164379715504</v>
      </c>
      <c r="AA90" s="199">
        <f t="shared" ref="AA90:AA153" si="22">IF(Z90&gt;$Z$19,$Z$19*R90,--(Z90&lt;$Z$19)*$Z$23*Y90/$Z$22+Y89:Y90)</f>
        <v>4893.7957498140331</v>
      </c>
      <c r="AC90" s="30">
        <v>4861.7363790485288</v>
      </c>
      <c r="AD90" s="30">
        <f t="shared" si="15"/>
        <v>32.059370765504354</v>
      </c>
    </row>
    <row r="91" spans="2:30" x14ac:dyDescent="0.25">
      <c r="B91" s="10">
        <v>627</v>
      </c>
      <c r="C91" s="10">
        <v>6</v>
      </c>
      <c r="D91" s="9" t="s">
        <v>191</v>
      </c>
      <c r="E91" s="150">
        <v>187.40579189958385</v>
      </c>
      <c r="F91" s="150">
        <v>187.40579189958385</v>
      </c>
      <c r="G91" s="150">
        <f t="shared" ref="G91:G154" si="23">F91-E91</f>
        <v>0</v>
      </c>
      <c r="H91" s="151">
        <v>75700.72</v>
      </c>
      <c r="I91" s="151">
        <v>75700.72</v>
      </c>
      <c r="J91" s="151">
        <f t="shared" ref="J91:J154" si="24">H91-I91</f>
        <v>0</v>
      </c>
      <c r="K91" s="151">
        <v>144.08000000000001</v>
      </c>
      <c r="L91" s="151">
        <v>144.08000000000001</v>
      </c>
      <c r="M91" s="151">
        <f t="shared" ref="M91:M154" si="25">K91-L91</f>
        <v>0</v>
      </c>
      <c r="N91" s="5">
        <f t="shared" si="17"/>
        <v>75556.639999999999</v>
      </c>
      <c r="O91" s="154">
        <f t="shared" si="17"/>
        <v>75556.639999999999</v>
      </c>
      <c r="P91" s="152">
        <f t="shared" ref="P91:P154" si="26">IF(ISERROR(O91/F91),"n.a.",O91/F91)</f>
        <v>403.17131735440125</v>
      </c>
      <c r="Q91" s="6">
        <f t="shared" si="18"/>
        <v>403.17131735440125</v>
      </c>
      <c r="R91" s="5">
        <f t="shared" ref="R91:R154" si="27">F91*Q91</f>
        <v>75556.639999999999</v>
      </c>
      <c r="S91" s="151">
        <v>0</v>
      </c>
      <c r="T91" s="195">
        <v>0.27499999999999997</v>
      </c>
      <c r="U91" s="154">
        <f t="shared" ref="U91:U154" si="28">$E$14*(R91/$R$24)</f>
        <v>17871.171706282752</v>
      </c>
      <c r="V91" s="154">
        <f t="shared" ref="V91:V154" si="29">$E$15*(F91/$F$24)</f>
        <v>8562.1433644106819</v>
      </c>
      <c r="W91" s="155">
        <f t="shared" si="19"/>
        <v>1474.3716657683269</v>
      </c>
      <c r="X91" s="199">
        <f t="shared" si="20"/>
        <v>51.60682928239941</v>
      </c>
      <c r="Y91" s="199">
        <f t="shared" ref="Y91:Y154" si="30">U91+V91+W91+X91</f>
        <v>27959.293565744156</v>
      </c>
      <c r="Z91" s="200">
        <f t="shared" si="21"/>
        <v>0.37004416244216465</v>
      </c>
      <c r="AA91" s="199">
        <f t="shared" si="22"/>
        <v>27961.923137289068</v>
      </c>
      <c r="AC91" s="30">
        <v>27787.51301040312</v>
      </c>
      <c r="AD91" s="30">
        <f t="shared" ref="AD91:AD154" si="31">AA91-AC91</f>
        <v>174.41012688594856</v>
      </c>
    </row>
    <row r="92" spans="2:30" x14ac:dyDescent="0.25">
      <c r="B92" s="10">
        <v>634</v>
      </c>
      <c r="C92" s="10">
        <v>6</v>
      </c>
      <c r="D92" s="9" t="s">
        <v>192</v>
      </c>
      <c r="E92" s="150">
        <v>254.23993037233464</v>
      </c>
      <c r="F92" s="150">
        <v>254.23993037233467</v>
      </c>
      <c r="G92" s="150">
        <f t="shared" si="23"/>
        <v>0</v>
      </c>
      <c r="H92" s="151">
        <v>304755.86</v>
      </c>
      <c r="I92" s="151">
        <v>304755.86</v>
      </c>
      <c r="J92" s="151">
        <f t="shared" si="24"/>
        <v>0</v>
      </c>
      <c r="K92" s="151">
        <v>0</v>
      </c>
      <c r="L92" s="151">
        <v>0</v>
      </c>
      <c r="M92" s="151">
        <f t="shared" si="25"/>
        <v>0</v>
      </c>
      <c r="N92" s="5">
        <f t="shared" si="17"/>
        <v>304755.86</v>
      </c>
      <c r="O92" s="154">
        <f t="shared" si="17"/>
        <v>304755.86</v>
      </c>
      <c r="P92" s="152">
        <f t="shared" si="26"/>
        <v>1198.6939248830217</v>
      </c>
      <c r="Q92" s="6">
        <f t="shared" si="18"/>
        <v>850.68169803401406</v>
      </c>
      <c r="R92" s="5">
        <f t="shared" si="27"/>
        <v>216277.25567718718</v>
      </c>
      <c r="S92" s="151">
        <v>0</v>
      </c>
      <c r="T92" s="195">
        <v>0.58888888888888891</v>
      </c>
      <c r="U92" s="154">
        <f t="shared" si="28"/>
        <v>51155.371286635142</v>
      </c>
      <c r="V92" s="154">
        <f t="shared" si="29"/>
        <v>11615.642775715904</v>
      </c>
      <c r="W92" s="155">
        <f t="shared" si="19"/>
        <v>9037.4489273055406</v>
      </c>
      <c r="X92" s="199">
        <f t="shared" si="20"/>
        <v>147.72207196347597</v>
      </c>
      <c r="Y92" s="199">
        <f t="shared" si="30"/>
        <v>71956.185061620068</v>
      </c>
      <c r="Z92" s="200">
        <f t="shared" si="21"/>
        <v>0.33270343123375395</v>
      </c>
      <c r="AA92" s="199">
        <f t="shared" si="22"/>
        <v>71962.952540786646</v>
      </c>
      <c r="AC92" s="30">
        <v>70278.978883498465</v>
      </c>
      <c r="AD92" s="30">
        <f t="shared" si="31"/>
        <v>1683.9736572881811</v>
      </c>
    </row>
    <row r="93" spans="2:30" x14ac:dyDescent="0.25">
      <c r="B93" s="10">
        <v>694</v>
      </c>
      <c r="C93" s="10">
        <v>6</v>
      </c>
      <c r="D93" s="9" t="s">
        <v>38</v>
      </c>
      <c r="E93" s="150">
        <v>13.782567722659952</v>
      </c>
      <c r="F93" s="150">
        <v>13.782567722659953</v>
      </c>
      <c r="G93" s="150">
        <f t="shared" si="23"/>
        <v>0</v>
      </c>
      <c r="H93" s="151">
        <v>26844.42</v>
      </c>
      <c r="I93" s="151">
        <v>26844.42</v>
      </c>
      <c r="J93" s="151">
        <f t="shared" si="24"/>
        <v>0</v>
      </c>
      <c r="K93" s="151">
        <v>0</v>
      </c>
      <c r="L93" s="151">
        <v>0</v>
      </c>
      <c r="M93" s="151">
        <f t="shared" si="25"/>
        <v>0</v>
      </c>
      <c r="N93" s="5">
        <f t="shared" si="17"/>
        <v>26844.42</v>
      </c>
      <c r="O93" s="154">
        <f t="shared" si="17"/>
        <v>26844.42</v>
      </c>
      <c r="P93" s="152">
        <f t="shared" si="26"/>
        <v>1947.7081876307432</v>
      </c>
      <c r="Q93" s="6">
        <f t="shared" si="18"/>
        <v>850.68169803401406</v>
      </c>
      <c r="R93" s="5">
        <f t="shared" si="27"/>
        <v>11724.578113581163</v>
      </c>
      <c r="S93" s="151">
        <v>0</v>
      </c>
      <c r="T93" s="195">
        <v>0.21666666666666667</v>
      </c>
      <c r="U93" s="154">
        <f t="shared" si="28"/>
        <v>2773.1771641980595</v>
      </c>
      <c r="V93" s="154">
        <f t="shared" si="29"/>
        <v>629.69409629743586</v>
      </c>
      <c r="W93" s="155">
        <f t="shared" si="19"/>
        <v>180.25651567287389</v>
      </c>
      <c r="X93" s="199">
        <f t="shared" si="20"/>
        <v>8.0081419861409877</v>
      </c>
      <c r="Y93" s="199">
        <f t="shared" si="30"/>
        <v>3591.1359181545099</v>
      </c>
      <c r="Z93" s="200">
        <f t="shared" si="21"/>
        <v>0.30629126978946203</v>
      </c>
      <c r="AA93" s="199">
        <f t="shared" si="22"/>
        <v>3591.4736644856926</v>
      </c>
      <c r="AC93" s="30">
        <v>3508.6231798227459</v>
      </c>
      <c r="AD93" s="30">
        <f t="shared" si="31"/>
        <v>82.850484662946656</v>
      </c>
    </row>
    <row r="94" spans="2:30" x14ac:dyDescent="0.25">
      <c r="B94" s="10">
        <v>697</v>
      </c>
      <c r="C94" s="10">
        <v>6</v>
      </c>
      <c r="D94" s="9" t="s">
        <v>193</v>
      </c>
      <c r="E94" s="150">
        <v>106.64017941426023</v>
      </c>
      <c r="F94" s="150">
        <v>106.64017941426023</v>
      </c>
      <c r="G94" s="150">
        <f t="shared" si="23"/>
        <v>0</v>
      </c>
      <c r="H94" s="151">
        <v>81604.289999999994</v>
      </c>
      <c r="I94" s="151">
        <v>81604.289999999994</v>
      </c>
      <c r="J94" s="151">
        <f t="shared" si="24"/>
        <v>0</v>
      </c>
      <c r="K94" s="151">
        <v>0</v>
      </c>
      <c r="L94" s="151">
        <v>0</v>
      </c>
      <c r="M94" s="151">
        <f t="shared" si="25"/>
        <v>0</v>
      </c>
      <c r="N94" s="5">
        <f t="shared" si="17"/>
        <v>81604.289999999994</v>
      </c>
      <c r="O94" s="154">
        <f t="shared" si="17"/>
        <v>81604.289999999994</v>
      </c>
      <c r="P94" s="152">
        <f t="shared" si="26"/>
        <v>765.23023918588456</v>
      </c>
      <c r="Q94" s="6">
        <f t="shared" si="18"/>
        <v>765.23023918588456</v>
      </c>
      <c r="R94" s="5">
        <f t="shared" si="27"/>
        <v>81604.289999999994</v>
      </c>
      <c r="S94" s="151">
        <v>0</v>
      </c>
      <c r="T94" s="195">
        <v>0</v>
      </c>
      <c r="U94" s="154">
        <f t="shared" si="28"/>
        <v>19301.603122628167</v>
      </c>
      <c r="V94" s="154">
        <f t="shared" si="29"/>
        <v>4872.1466679141649</v>
      </c>
      <c r="W94" s="155">
        <f t="shared" si="19"/>
        <v>0</v>
      </c>
      <c r="X94" s="199">
        <f t="shared" si="20"/>
        <v>55.737505833258503</v>
      </c>
      <c r="Y94" s="199">
        <f t="shared" si="30"/>
        <v>24229.487296375588</v>
      </c>
      <c r="Z94" s="200">
        <f t="shared" si="21"/>
        <v>0.29691438154018118</v>
      </c>
      <c r="AA94" s="199">
        <f t="shared" si="22"/>
        <v>24231.766079642857</v>
      </c>
      <c r="AC94" s="30">
        <v>24071.373303635708</v>
      </c>
      <c r="AD94" s="30">
        <f t="shared" si="31"/>
        <v>160.39277600714922</v>
      </c>
    </row>
    <row r="95" spans="2:30" x14ac:dyDescent="0.25">
      <c r="B95" s="10">
        <v>710</v>
      </c>
      <c r="C95" s="10">
        <v>6</v>
      </c>
      <c r="D95" s="9" t="s">
        <v>194</v>
      </c>
      <c r="E95" s="150">
        <v>73.015312856270114</v>
      </c>
      <c r="F95" s="150">
        <v>73.015312856270128</v>
      </c>
      <c r="G95" s="150">
        <f t="shared" si="23"/>
        <v>0</v>
      </c>
      <c r="H95" s="151">
        <v>74539.039999999994</v>
      </c>
      <c r="I95" s="151">
        <v>74539.039999999994</v>
      </c>
      <c r="J95" s="151">
        <f t="shared" si="24"/>
        <v>0</v>
      </c>
      <c r="K95" s="151">
        <v>0</v>
      </c>
      <c r="L95" s="151">
        <v>0</v>
      </c>
      <c r="M95" s="151">
        <f t="shared" si="25"/>
        <v>0</v>
      </c>
      <c r="N95" s="5">
        <f t="shared" si="17"/>
        <v>74539.039999999994</v>
      </c>
      <c r="O95" s="154">
        <f t="shared" si="17"/>
        <v>74539.039999999994</v>
      </c>
      <c r="P95" s="152">
        <f t="shared" si="26"/>
        <v>1020.8685970671564</v>
      </c>
      <c r="Q95" s="6">
        <f t="shared" si="18"/>
        <v>850.68169803401406</v>
      </c>
      <c r="R95" s="5">
        <f t="shared" si="27"/>
        <v>62112.790323056652</v>
      </c>
      <c r="S95" s="151">
        <v>2065.6171578662829</v>
      </c>
      <c r="T95" s="195">
        <v>0</v>
      </c>
      <c r="U95" s="154">
        <f t="shared" si="28"/>
        <v>14691.340708370344</v>
      </c>
      <c r="V95" s="154">
        <f t="shared" si="29"/>
        <v>3335.9031763952194</v>
      </c>
      <c r="W95" s="155">
        <f t="shared" si="19"/>
        <v>0</v>
      </c>
      <c r="X95" s="199">
        <f t="shared" si="20"/>
        <v>42.424387405997074</v>
      </c>
      <c r="Y95" s="199">
        <f t="shared" si="30"/>
        <v>18069.668272171562</v>
      </c>
      <c r="Z95" s="200">
        <f t="shared" si="21"/>
        <v>0.29091702656069518</v>
      </c>
      <c r="AA95" s="199">
        <f t="shared" si="22"/>
        <v>18071.3677244629</v>
      </c>
      <c r="AC95" s="30">
        <v>17658.478320991442</v>
      </c>
      <c r="AD95" s="30">
        <f t="shared" si="31"/>
        <v>412.88940347145763</v>
      </c>
    </row>
    <row r="96" spans="2:30" x14ac:dyDescent="0.25">
      <c r="B96" s="10">
        <v>743</v>
      </c>
      <c r="C96" s="10">
        <v>6</v>
      </c>
      <c r="D96" s="9" t="s">
        <v>196</v>
      </c>
      <c r="E96" s="150">
        <v>20.329069174208378</v>
      </c>
      <c r="F96" s="150">
        <v>20.329069174208382</v>
      </c>
      <c r="G96" s="150">
        <f t="shared" si="23"/>
        <v>0</v>
      </c>
      <c r="H96" s="151">
        <v>38346.15</v>
      </c>
      <c r="I96" s="151">
        <v>38346.15</v>
      </c>
      <c r="J96" s="151">
        <f t="shared" si="24"/>
        <v>0</v>
      </c>
      <c r="K96" s="151">
        <v>0</v>
      </c>
      <c r="L96" s="151">
        <v>0</v>
      </c>
      <c r="M96" s="151">
        <f t="shared" si="25"/>
        <v>0</v>
      </c>
      <c r="N96" s="5">
        <f t="shared" si="17"/>
        <v>38346.15</v>
      </c>
      <c r="O96" s="154">
        <f t="shared" si="17"/>
        <v>38346.15</v>
      </c>
      <c r="P96" s="152">
        <f t="shared" si="26"/>
        <v>1886.2718047440167</v>
      </c>
      <c r="Q96" s="6">
        <f t="shared" si="18"/>
        <v>850.68169803401406</v>
      </c>
      <c r="R96" s="5">
        <f t="shared" si="27"/>
        <v>17293.567084566519</v>
      </c>
      <c r="S96" s="151">
        <v>0</v>
      </c>
      <c r="T96" s="195">
        <v>0.2</v>
      </c>
      <c r="U96" s="154">
        <f t="shared" si="28"/>
        <v>4090.3924100172781</v>
      </c>
      <c r="V96" s="154">
        <f t="shared" si="29"/>
        <v>928.78882221452068</v>
      </c>
      <c r="W96" s="155">
        <f t="shared" si="19"/>
        <v>245.4235446010367</v>
      </c>
      <c r="X96" s="199">
        <f t="shared" si="20"/>
        <v>11.81188263820289</v>
      </c>
      <c r="Y96" s="199">
        <f t="shared" si="30"/>
        <v>5276.4166594710387</v>
      </c>
      <c r="Z96" s="200">
        <f t="shared" si="21"/>
        <v>0.30510863569494157</v>
      </c>
      <c r="AA96" s="199">
        <f t="shared" si="22"/>
        <v>5276.9129064550407</v>
      </c>
      <c r="AC96" s="30">
        <v>5155.267111879708</v>
      </c>
      <c r="AD96" s="30">
        <f t="shared" si="31"/>
        <v>121.64579457533273</v>
      </c>
    </row>
    <row r="97" spans="2:30" x14ac:dyDescent="0.25">
      <c r="B97" s="10">
        <v>747</v>
      </c>
      <c r="C97" s="10">
        <v>6</v>
      </c>
      <c r="D97" s="9" t="s">
        <v>197</v>
      </c>
      <c r="E97" s="150">
        <v>29.69</v>
      </c>
      <c r="F97" s="150">
        <v>29.69</v>
      </c>
      <c r="G97" s="150">
        <f t="shared" si="23"/>
        <v>0</v>
      </c>
      <c r="H97" s="151">
        <v>45802.77</v>
      </c>
      <c r="I97" s="151">
        <v>45802.77</v>
      </c>
      <c r="J97" s="151">
        <f t="shared" si="24"/>
        <v>0</v>
      </c>
      <c r="K97" s="151">
        <v>0</v>
      </c>
      <c r="L97" s="151">
        <v>0</v>
      </c>
      <c r="M97" s="151">
        <f t="shared" si="25"/>
        <v>0</v>
      </c>
      <c r="N97" s="5">
        <f t="shared" si="17"/>
        <v>45802.77</v>
      </c>
      <c r="O97" s="154">
        <f t="shared" si="17"/>
        <v>45802.77</v>
      </c>
      <c r="P97" s="152">
        <f t="shared" si="26"/>
        <v>1542.7002357696192</v>
      </c>
      <c r="Q97" s="6">
        <f t="shared" si="18"/>
        <v>850.68169803401406</v>
      </c>
      <c r="R97" s="5">
        <f t="shared" si="27"/>
        <v>25256.739614629878</v>
      </c>
      <c r="S97" s="151">
        <v>0</v>
      </c>
      <c r="T97" s="195">
        <v>0.15</v>
      </c>
      <c r="U97" s="154">
        <f t="shared" si="28"/>
        <v>5973.8962769377276</v>
      </c>
      <c r="V97" s="154">
        <f t="shared" si="29"/>
        <v>1356.4684096079832</v>
      </c>
      <c r="W97" s="155">
        <f t="shared" si="19"/>
        <v>268.82533246219776</v>
      </c>
      <c r="X97" s="199">
        <f t="shared" si="20"/>
        <v>17.250902760130923</v>
      </c>
      <c r="Y97" s="199">
        <f t="shared" si="30"/>
        <v>7616.4409217680386</v>
      </c>
      <c r="Z97" s="200">
        <f t="shared" si="21"/>
        <v>0.3015607334113799</v>
      </c>
      <c r="AA97" s="199">
        <f t="shared" si="22"/>
        <v>7617.1572480326586</v>
      </c>
      <c r="AC97" s="30">
        <v>7441.9392051087607</v>
      </c>
      <c r="AD97" s="30">
        <f t="shared" si="31"/>
        <v>175.21804292389788</v>
      </c>
    </row>
    <row r="98" spans="2:30" x14ac:dyDescent="0.25">
      <c r="B98" s="10">
        <v>758</v>
      </c>
      <c r="C98" s="10">
        <v>6</v>
      </c>
      <c r="D98" s="9" t="s">
        <v>198</v>
      </c>
      <c r="E98" s="150">
        <v>501.76</v>
      </c>
      <c r="F98" s="150">
        <v>501.76</v>
      </c>
      <c r="G98" s="150">
        <f t="shared" si="23"/>
        <v>0</v>
      </c>
      <c r="H98" s="151">
        <v>339017.51</v>
      </c>
      <c r="I98" s="151">
        <v>339017.51</v>
      </c>
      <c r="J98" s="151">
        <f t="shared" si="24"/>
        <v>0</v>
      </c>
      <c r="K98" s="151">
        <v>1615.77</v>
      </c>
      <c r="L98" s="151">
        <v>1615.77</v>
      </c>
      <c r="M98" s="151">
        <f t="shared" si="25"/>
        <v>0</v>
      </c>
      <c r="N98" s="5">
        <f t="shared" si="17"/>
        <v>337401.74</v>
      </c>
      <c r="O98" s="154">
        <f t="shared" si="17"/>
        <v>337401.74</v>
      </c>
      <c r="P98" s="152">
        <f t="shared" si="26"/>
        <v>672.43650350765301</v>
      </c>
      <c r="Q98" s="6">
        <f t="shared" si="18"/>
        <v>672.43650350765301</v>
      </c>
      <c r="R98" s="5">
        <f t="shared" si="27"/>
        <v>337401.74</v>
      </c>
      <c r="S98" s="151">
        <v>0</v>
      </c>
      <c r="T98" s="195">
        <v>0.74999999999999989</v>
      </c>
      <c r="U98" s="154">
        <f t="shared" si="28"/>
        <v>79804.56025491035</v>
      </c>
      <c r="V98" s="154">
        <f t="shared" si="29"/>
        <v>22924.270434654816</v>
      </c>
      <c r="W98" s="155">
        <f t="shared" si="19"/>
        <v>17956.026057354826</v>
      </c>
      <c r="X98" s="199">
        <f t="shared" si="20"/>
        <v>230.45273050475132</v>
      </c>
      <c r="Y98" s="199">
        <f t="shared" si="30"/>
        <v>120915.30947742474</v>
      </c>
      <c r="Z98" s="200">
        <f t="shared" si="21"/>
        <v>0.35837192030315179</v>
      </c>
      <c r="AA98" s="199">
        <f t="shared" si="22"/>
        <v>120926.68156221646</v>
      </c>
      <c r="AC98" s="30">
        <v>120119.97449283415</v>
      </c>
      <c r="AD98" s="30">
        <f t="shared" si="31"/>
        <v>806.70706938230433</v>
      </c>
    </row>
    <row r="99" spans="2:30" x14ac:dyDescent="0.25">
      <c r="B99" s="10">
        <v>774</v>
      </c>
      <c r="C99" s="10">
        <v>6</v>
      </c>
      <c r="D99" s="9" t="s">
        <v>201</v>
      </c>
      <c r="E99" s="150">
        <v>519.64</v>
      </c>
      <c r="F99" s="150">
        <v>519.64</v>
      </c>
      <c r="G99" s="150">
        <f t="shared" si="23"/>
        <v>0</v>
      </c>
      <c r="H99" s="151">
        <v>223811.92</v>
      </c>
      <c r="I99" s="151">
        <v>233257.27</v>
      </c>
      <c r="J99" s="151">
        <f t="shared" si="24"/>
        <v>-9445.3499999999767</v>
      </c>
      <c r="K99" s="151">
        <v>0</v>
      </c>
      <c r="L99" s="151">
        <v>0</v>
      </c>
      <c r="M99" s="151">
        <f t="shared" si="25"/>
        <v>0</v>
      </c>
      <c r="N99" s="5">
        <f t="shared" si="17"/>
        <v>223811.92</v>
      </c>
      <c r="O99" s="154">
        <f t="shared" si="17"/>
        <v>233257.27</v>
      </c>
      <c r="P99" s="152">
        <f t="shared" si="26"/>
        <v>448.8824378415826</v>
      </c>
      <c r="Q99" s="6">
        <f t="shared" si="18"/>
        <v>448.8824378415826</v>
      </c>
      <c r="R99" s="5">
        <f t="shared" si="27"/>
        <v>233257.27</v>
      </c>
      <c r="S99" s="151">
        <v>6202.2497484136638</v>
      </c>
      <c r="T99" s="195">
        <v>0.68888888888888888</v>
      </c>
      <c r="U99" s="154">
        <f t="shared" si="28"/>
        <v>55171.60005935622</v>
      </c>
      <c r="V99" s="154">
        <f t="shared" si="29"/>
        <v>23741.16686994585</v>
      </c>
      <c r="W99" s="155">
        <f t="shared" si="19"/>
        <v>11402.130678933619</v>
      </c>
      <c r="X99" s="199">
        <f t="shared" si="20"/>
        <v>159.31979124228587</v>
      </c>
      <c r="Y99" s="199">
        <f t="shared" si="30"/>
        <v>90474.217399477988</v>
      </c>
      <c r="Z99" s="200">
        <f t="shared" si="21"/>
        <v>0.3878730870831078</v>
      </c>
      <c r="AA99" s="199">
        <f t="shared" si="22"/>
        <v>90482.726499576034</v>
      </c>
      <c r="AC99" s="30">
        <v>87220.7981809372</v>
      </c>
      <c r="AD99" s="30">
        <f t="shared" si="31"/>
        <v>3261.9283186388348</v>
      </c>
    </row>
    <row r="100" spans="2:30" x14ac:dyDescent="0.25">
      <c r="B100" s="10">
        <v>794</v>
      </c>
      <c r="C100" s="10">
        <v>6</v>
      </c>
      <c r="D100" s="9" t="s">
        <v>202</v>
      </c>
      <c r="E100" s="150">
        <v>37.148485376544727</v>
      </c>
      <c r="F100" s="150">
        <v>37.148485376544727</v>
      </c>
      <c r="G100" s="150">
        <f t="shared" si="23"/>
        <v>0</v>
      </c>
      <c r="H100" s="151">
        <v>27852.79</v>
      </c>
      <c r="I100" s="151">
        <v>27852.79</v>
      </c>
      <c r="J100" s="151">
        <f t="shared" si="24"/>
        <v>0</v>
      </c>
      <c r="K100" s="151">
        <v>0</v>
      </c>
      <c r="L100" s="151">
        <v>0</v>
      </c>
      <c r="M100" s="151">
        <f t="shared" si="25"/>
        <v>0</v>
      </c>
      <c r="N100" s="5">
        <f t="shared" si="17"/>
        <v>27852.79</v>
      </c>
      <c r="O100" s="154">
        <f t="shared" si="17"/>
        <v>27852.79</v>
      </c>
      <c r="P100" s="152">
        <f t="shared" si="26"/>
        <v>749.76919563956278</v>
      </c>
      <c r="Q100" s="6">
        <f t="shared" si="18"/>
        <v>749.76919563956278</v>
      </c>
      <c r="R100" s="5">
        <f t="shared" si="27"/>
        <v>27852.79</v>
      </c>
      <c r="S100" s="151">
        <v>0</v>
      </c>
      <c r="T100" s="195">
        <v>0.4861111111111111</v>
      </c>
      <c r="U100" s="154">
        <f t="shared" si="28"/>
        <v>6587.9318163041016</v>
      </c>
      <c r="V100" s="154">
        <f t="shared" si="29"/>
        <v>1697.2296018210525</v>
      </c>
      <c r="W100" s="155">
        <f t="shared" si="19"/>
        <v>960.74005654434825</v>
      </c>
      <c r="X100" s="199">
        <f t="shared" si="20"/>
        <v>19.024061665110061</v>
      </c>
      <c r="Y100" s="199">
        <f t="shared" si="30"/>
        <v>9264.925536334611</v>
      </c>
      <c r="Z100" s="200">
        <f t="shared" si="21"/>
        <v>0.33263904751856493</v>
      </c>
      <c r="AA100" s="199">
        <f t="shared" si="22"/>
        <v>9265.7969025763505</v>
      </c>
      <c r="AC100" s="30">
        <v>9203.7945944610856</v>
      </c>
      <c r="AD100" s="30">
        <f t="shared" si="31"/>
        <v>62.002308115264896</v>
      </c>
    </row>
    <row r="101" spans="2:30" x14ac:dyDescent="0.25">
      <c r="B101" s="10">
        <v>806</v>
      </c>
      <c r="C101" s="10">
        <v>6</v>
      </c>
      <c r="D101" s="9" t="s">
        <v>203</v>
      </c>
      <c r="E101" s="150">
        <v>30.637626793246632</v>
      </c>
      <c r="F101" s="150">
        <v>21.446338755272645</v>
      </c>
      <c r="G101" s="150">
        <f t="shared" si="23"/>
        <v>-9.1912880379739867</v>
      </c>
      <c r="H101" s="151">
        <v>37974.839999999997</v>
      </c>
      <c r="I101" s="151">
        <v>37974.839999999997</v>
      </c>
      <c r="J101" s="151">
        <f t="shared" si="24"/>
        <v>0</v>
      </c>
      <c r="K101" s="151">
        <v>0</v>
      </c>
      <c r="L101" s="151">
        <v>0</v>
      </c>
      <c r="M101" s="151">
        <f t="shared" si="25"/>
        <v>0</v>
      </c>
      <c r="N101" s="5">
        <f t="shared" si="17"/>
        <v>37974.839999999997</v>
      </c>
      <c r="O101" s="154">
        <f t="shared" si="17"/>
        <v>37974.839999999997</v>
      </c>
      <c r="P101" s="152">
        <f t="shared" si="26"/>
        <v>1770.6910458394102</v>
      </c>
      <c r="Q101" s="6">
        <f t="shared" si="18"/>
        <v>850.68169803401406</v>
      </c>
      <c r="R101" s="5">
        <f t="shared" si="27"/>
        <v>18244.007868948018</v>
      </c>
      <c r="S101" s="151">
        <v>0</v>
      </c>
      <c r="T101" s="195">
        <v>0.11666666666666667</v>
      </c>
      <c r="U101" s="154">
        <f t="shared" si="28"/>
        <v>4315.1971453037577</v>
      </c>
      <c r="V101" s="154">
        <f t="shared" si="29"/>
        <v>979.83432210436968</v>
      </c>
      <c r="W101" s="155">
        <f t="shared" si="19"/>
        <v>151.03190008563152</v>
      </c>
      <c r="X101" s="199">
        <f t="shared" si="20"/>
        <v>12.461054376154788</v>
      </c>
      <c r="Y101" s="199">
        <f t="shared" si="30"/>
        <v>5458.5244218699136</v>
      </c>
      <c r="Z101" s="200">
        <f t="shared" si="21"/>
        <v>0.29919546522233886</v>
      </c>
      <c r="AA101" s="199">
        <f t="shared" si="22"/>
        <v>5459.0377960888718</v>
      </c>
      <c r="AC101" s="30">
        <v>7619.4948534429459</v>
      </c>
      <c r="AD101" s="30">
        <f t="shared" si="31"/>
        <v>-2160.4570573540741</v>
      </c>
    </row>
    <row r="102" spans="2:30" x14ac:dyDescent="0.25">
      <c r="B102" s="10">
        <v>811</v>
      </c>
      <c r="C102" s="10">
        <v>6</v>
      </c>
      <c r="D102" s="9" t="s">
        <v>204</v>
      </c>
      <c r="E102" s="150">
        <v>861.24027362850677</v>
      </c>
      <c r="F102" s="150">
        <v>861.24027362850688</v>
      </c>
      <c r="G102" s="150">
        <f t="shared" si="23"/>
        <v>0</v>
      </c>
      <c r="H102" s="151">
        <v>561323.81000000006</v>
      </c>
      <c r="I102" s="151">
        <v>561323.81000000006</v>
      </c>
      <c r="J102" s="151">
        <f t="shared" si="24"/>
        <v>0</v>
      </c>
      <c r="K102" s="151">
        <v>5198.7999999999993</v>
      </c>
      <c r="L102" s="151">
        <v>5198.8</v>
      </c>
      <c r="M102" s="151">
        <f t="shared" si="25"/>
        <v>0</v>
      </c>
      <c r="N102" s="5">
        <f t="shared" si="17"/>
        <v>556125.01</v>
      </c>
      <c r="O102" s="154">
        <f t="shared" si="17"/>
        <v>556125.01</v>
      </c>
      <c r="P102" s="152">
        <f t="shared" si="26"/>
        <v>645.72573650902291</v>
      </c>
      <c r="Q102" s="6">
        <f t="shared" si="18"/>
        <v>645.72573650902291</v>
      </c>
      <c r="R102" s="5">
        <f t="shared" si="27"/>
        <v>556125.01</v>
      </c>
      <c r="S102" s="151">
        <v>0</v>
      </c>
      <c r="T102" s="195">
        <v>0.44166666666666665</v>
      </c>
      <c r="U102" s="154">
        <f t="shared" si="28"/>
        <v>131538.47952831429</v>
      </c>
      <c r="V102" s="154">
        <f t="shared" si="29"/>
        <v>39348.104555715894</v>
      </c>
      <c r="W102" s="155">
        <f t="shared" si="19"/>
        <v>17428.848537501643</v>
      </c>
      <c r="X102" s="199">
        <f t="shared" si="20"/>
        <v>379.84548347759596</v>
      </c>
      <c r="Y102" s="199">
        <f t="shared" si="30"/>
        <v>188695.27810500943</v>
      </c>
      <c r="Z102" s="200">
        <f t="shared" si="21"/>
        <v>0.33930370818066502</v>
      </c>
      <c r="AA102" s="199">
        <f t="shared" si="22"/>
        <v>188713.02489581433</v>
      </c>
      <c r="AC102" s="30">
        <v>187467.90452402656</v>
      </c>
      <c r="AD102" s="30">
        <f t="shared" si="31"/>
        <v>1245.1203717877797</v>
      </c>
    </row>
    <row r="103" spans="2:30" x14ac:dyDescent="0.25">
      <c r="B103" s="10">
        <v>824</v>
      </c>
      <c r="C103" s="10">
        <v>6</v>
      </c>
      <c r="D103" s="9" t="s">
        <v>205</v>
      </c>
      <c r="E103" s="150">
        <v>32.749964594946263</v>
      </c>
      <c r="F103" s="150">
        <v>32.749964594946256</v>
      </c>
      <c r="G103" s="150">
        <f t="shared" si="23"/>
        <v>0</v>
      </c>
      <c r="H103" s="151">
        <v>49541.43</v>
      </c>
      <c r="I103" s="151">
        <v>49541.43</v>
      </c>
      <c r="J103" s="151">
        <f t="shared" si="24"/>
        <v>0</v>
      </c>
      <c r="K103" s="151">
        <v>0</v>
      </c>
      <c r="L103" s="151">
        <v>0</v>
      </c>
      <c r="M103" s="151">
        <f t="shared" si="25"/>
        <v>0</v>
      </c>
      <c r="N103" s="5">
        <f t="shared" si="17"/>
        <v>49541.43</v>
      </c>
      <c r="O103" s="154">
        <f t="shared" si="17"/>
        <v>49541.43</v>
      </c>
      <c r="P103" s="152">
        <f t="shared" si="26"/>
        <v>1512.7170552008745</v>
      </c>
      <c r="Q103" s="6">
        <f t="shared" si="18"/>
        <v>850.68169803401406</v>
      </c>
      <c r="R103" s="5">
        <f t="shared" si="27"/>
        <v>27859.795492182722</v>
      </c>
      <c r="S103" s="151">
        <v>0</v>
      </c>
      <c r="T103" s="195">
        <v>0.15</v>
      </c>
      <c r="U103" s="154">
        <f t="shared" si="28"/>
        <v>6589.5888030849392</v>
      </c>
      <c r="V103" s="154">
        <f t="shared" si="29"/>
        <v>1496.2712155212025</v>
      </c>
      <c r="W103" s="155">
        <f t="shared" si="19"/>
        <v>296.53149613882226</v>
      </c>
      <c r="X103" s="199">
        <f t="shared" si="20"/>
        <v>19.028846568715</v>
      </c>
      <c r="Y103" s="199">
        <f t="shared" si="30"/>
        <v>8401.4203613136797</v>
      </c>
      <c r="Z103" s="200">
        <f t="shared" si="21"/>
        <v>0.30156073341137996</v>
      </c>
      <c r="AA103" s="199">
        <f t="shared" si="22"/>
        <v>8402.21051489417</v>
      </c>
      <c r="AC103" s="30">
        <v>8208.9338324369965</v>
      </c>
      <c r="AD103" s="30">
        <f t="shared" si="31"/>
        <v>193.27668245717359</v>
      </c>
    </row>
    <row r="104" spans="2:30" x14ac:dyDescent="0.25">
      <c r="B104" s="10">
        <v>826</v>
      </c>
      <c r="C104" s="10">
        <v>6</v>
      </c>
      <c r="D104" s="9" t="s">
        <v>206</v>
      </c>
      <c r="E104" s="150">
        <v>26.186005806193702</v>
      </c>
      <c r="F104" s="150">
        <v>25.400425632007895</v>
      </c>
      <c r="G104" s="150">
        <f t="shared" si="23"/>
        <v>-0.78558017418580661</v>
      </c>
      <c r="H104" s="151">
        <v>28559.88</v>
      </c>
      <c r="I104" s="151">
        <v>28559.88</v>
      </c>
      <c r="J104" s="151">
        <f t="shared" si="24"/>
        <v>0</v>
      </c>
      <c r="K104" s="151">
        <v>0</v>
      </c>
      <c r="L104" s="151">
        <v>0</v>
      </c>
      <c r="M104" s="151">
        <f t="shared" si="25"/>
        <v>0</v>
      </c>
      <c r="N104" s="5">
        <f t="shared" si="17"/>
        <v>28559.88</v>
      </c>
      <c r="O104" s="154">
        <f t="shared" si="17"/>
        <v>28559.88</v>
      </c>
      <c r="P104" s="152">
        <f t="shared" si="26"/>
        <v>1124.3858828889377</v>
      </c>
      <c r="Q104" s="6">
        <f t="shared" si="18"/>
        <v>850.68169803401406</v>
      </c>
      <c r="R104" s="5">
        <f t="shared" si="27"/>
        <v>21607.67720742317</v>
      </c>
      <c r="S104" s="151">
        <v>0</v>
      </c>
      <c r="T104" s="195">
        <v>0.125</v>
      </c>
      <c r="U104" s="154">
        <f t="shared" si="28"/>
        <v>5110.7951537785648</v>
      </c>
      <c r="V104" s="154">
        <f t="shared" si="29"/>
        <v>1160.4875365582889</v>
      </c>
      <c r="W104" s="155">
        <f t="shared" si="19"/>
        <v>191.6548182666962</v>
      </c>
      <c r="X104" s="199">
        <f t="shared" si="20"/>
        <v>14.758513730000175</v>
      </c>
      <c r="Y104" s="199">
        <f t="shared" si="30"/>
        <v>6477.69602233355</v>
      </c>
      <c r="Z104" s="200">
        <f t="shared" si="21"/>
        <v>0.29978678226959915</v>
      </c>
      <c r="AA104" s="199">
        <f t="shared" si="22"/>
        <v>6478.3052496409873</v>
      </c>
      <c r="AC104" s="30">
        <v>6525.2031863466354</v>
      </c>
      <c r="AD104" s="30">
        <f t="shared" si="31"/>
        <v>-46.897936705648135</v>
      </c>
    </row>
    <row r="105" spans="2:30" x14ac:dyDescent="0.25">
      <c r="B105" s="10">
        <v>840</v>
      </c>
      <c r="C105" s="10">
        <v>6</v>
      </c>
      <c r="D105" s="9" t="s">
        <v>207</v>
      </c>
      <c r="E105" s="150">
        <v>148.03024558379849</v>
      </c>
      <c r="F105" s="150">
        <v>148.03024558379849</v>
      </c>
      <c r="G105" s="150">
        <f t="shared" si="23"/>
        <v>0</v>
      </c>
      <c r="H105" s="151">
        <v>73507.570000000007</v>
      </c>
      <c r="I105" s="151">
        <v>73507.570000000007</v>
      </c>
      <c r="J105" s="151">
        <f t="shared" si="24"/>
        <v>0</v>
      </c>
      <c r="K105" s="151">
        <v>0</v>
      </c>
      <c r="L105" s="151">
        <v>0</v>
      </c>
      <c r="M105" s="151">
        <f t="shared" si="25"/>
        <v>0</v>
      </c>
      <c r="N105" s="5">
        <f t="shared" si="17"/>
        <v>73507.570000000007</v>
      </c>
      <c r="O105" s="154">
        <f t="shared" si="17"/>
        <v>73507.570000000007</v>
      </c>
      <c r="P105" s="152">
        <f t="shared" si="26"/>
        <v>496.57128994214958</v>
      </c>
      <c r="Q105" s="6">
        <f t="shared" si="18"/>
        <v>496.57128994214958</v>
      </c>
      <c r="R105" s="5">
        <f t="shared" si="27"/>
        <v>73507.570000000007</v>
      </c>
      <c r="S105" s="151">
        <v>1107.8966183051123</v>
      </c>
      <c r="T105" s="195">
        <v>0.61388888888888893</v>
      </c>
      <c r="U105" s="154">
        <f t="shared" si="28"/>
        <v>17386.511697470916</v>
      </c>
      <c r="V105" s="154">
        <f t="shared" si="29"/>
        <v>6763.1644257640382</v>
      </c>
      <c r="W105" s="155">
        <f t="shared" si="19"/>
        <v>3202.015904284227</v>
      </c>
      <c r="X105" s="199">
        <f t="shared" si="20"/>
        <v>50.207269883282592</v>
      </c>
      <c r="Y105" s="199">
        <f t="shared" si="30"/>
        <v>27401.899297402462</v>
      </c>
      <c r="Z105" s="200">
        <f t="shared" si="21"/>
        <v>0.37277656297715267</v>
      </c>
      <c r="AA105" s="199">
        <f t="shared" si="22"/>
        <v>27404.476446016732</v>
      </c>
      <c r="AC105" s="30">
        <v>27227.461902770112</v>
      </c>
      <c r="AD105" s="30">
        <f t="shared" si="31"/>
        <v>177.01454324661972</v>
      </c>
    </row>
    <row r="106" spans="2:30" x14ac:dyDescent="0.25">
      <c r="B106" s="10">
        <v>843</v>
      </c>
      <c r="C106" s="10">
        <v>6</v>
      </c>
      <c r="D106" s="9" t="s">
        <v>208</v>
      </c>
      <c r="E106" s="150">
        <v>20.948804644954961</v>
      </c>
      <c r="F106" s="150">
        <v>20.948804644954965</v>
      </c>
      <c r="G106" s="150">
        <f t="shared" si="23"/>
        <v>0</v>
      </c>
      <c r="H106" s="151">
        <v>38204.959999999999</v>
      </c>
      <c r="I106" s="151">
        <v>38204.959999999999</v>
      </c>
      <c r="J106" s="151">
        <f t="shared" si="24"/>
        <v>0</v>
      </c>
      <c r="K106" s="151">
        <v>0</v>
      </c>
      <c r="L106" s="151">
        <v>0</v>
      </c>
      <c r="M106" s="151">
        <f t="shared" si="25"/>
        <v>0</v>
      </c>
      <c r="N106" s="5">
        <f t="shared" si="17"/>
        <v>38204.959999999999</v>
      </c>
      <c r="O106" s="154">
        <f t="shared" si="17"/>
        <v>38204.959999999999</v>
      </c>
      <c r="P106" s="152">
        <f t="shared" si="26"/>
        <v>1823.7298331578447</v>
      </c>
      <c r="Q106" s="6">
        <f t="shared" si="18"/>
        <v>850.68169803401406</v>
      </c>
      <c r="R106" s="5">
        <f t="shared" si="27"/>
        <v>17820.764707153132</v>
      </c>
      <c r="S106" s="151">
        <v>0</v>
      </c>
      <c r="T106" s="195">
        <v>0.125</v>
      </c>
      <c r="U106" s="154">
        <f t="shared" si="28"/>
        <v>4215.0887866214971</v>
      </c>
      <c r="V106" s="154">
        <f t="shared" si="29"/>
        <v>957.10312293467132</v>
      </c>
      <c r="W106" s="155">
        <f t="shared" si="19"/>
        <v>158.06582949830616</v>
      </c>
      <c r="X106" s="199">
        <f t="shared" si="20"/>
        <v>12.171970086598083</v>
      </c>
      <c r="Y106" s="199">
        <f t="shared" si="30"/>
        <v>5342.4297091410717</v>
      </c>
      <c r="Z106" s="200">
        <f t="shared" si="21"/>
        <v>0.29978678226959909</v>
      </c>
      <c r="AA106" s="199">
        <f t="shared" si="22"/>
        <v>5342.9321646523604</v>
      </c>
      <c r="AC106" s="30">
        <v>5220.1625490773094</v>
      </c>
      <c r="AD106" s="30">
        <f t="shared" si="31"/>
        <v>122.76961557505092</v>
      </c>
    </row>
    <row r="107" spans="2:30" x14ac:dyDescent="0.25">
      <c r="B107" s="10">
        <v>846</v>
      </c>
      <c r="C107" s="10">
        <v>6</v>
      </c>
      <c r="D107" s="9" t="s">
        <v>209</v>
      </c>
      <c r="E107" s="150">
        <v>21.559811447099481</v>
      </c>
      <c r="F107" s="150">
        <v>21.559811447099484</v>
      </c>
      <c r="G107" s="150">
        <f t="shared" si="23"/>
        <v>0</v>
      </c>
      <c r="H107" s="151">
        <v>37398.639999999999</v>
      </c>
      <c r="I107" s="151">
        <v>37398.639999999999</v>
      </c>
      <c r="J107" s="151">
        <f t="shared" si="24"/>
        <v>0</v>
      </c>
      <c r="K107" s="151">
        <v>0</v>
      </c>
      <c r="L107" s="151">
        <v>0</v>
      </c>
      <c r="M107" s="151">
        <f t="shared" si="25"/>
        <v>0</v>
      </c>
      <c r="N107" s="5">
        <f t="shared" si="17"/>
        <v>37398.639999999999</v>
      </c>
      <c r="O107" s="154">
        <f t="shared" si="17"/>
        <v>37398.639999999999</v>
      </c>
      <c r="P107" s="152">
        <f t="shared" si="26"/>
        <v>1734.6459681135739</v>
      </c>
      <c r="Q107" s="6">
        <f t="shared" si="18"/>
        <v>850.68169803401406</v>
      </c>
      <c r="R107" s="5">
        <f t="shared" si="27"/>
        <v>18340.537011111763</v>
      </c>
      <c r="S107" s="151">
        <v>0</v>
      </c>
      <c r="T107" s="195">
        <v>4.1666666666666664E-2</v>
      </c>
      <c r="U107" s="154">
        <f t="shared" si="28"/>
        <v>4338.0288762312903</v>
      </c>
      <c r="V107" s="154">
        <f t="shared" si="29"/>
        <v>985.01863068693251</v>
      </c>
      <c r="W107" s="155">
        <f t="shared" si="19"/>
        <v>54.225360952891123</v>
      </c>
      <c r="X107" s="199">
        <f t="shared" si="20"/>
        <v>12.526985880790527</v>
      </c>
      <c r="Y107" s="199">
        <f t="shared" si="30"/>
        <v>5389.7998537519043</v>
      </c>
      <c r="Z107" s="200">
        <f t="shared" si="21"/>
        <v>0.2938736117969965</v>
      </c>
      <c r="AA107" s="199">
        <f t="shared" si="22"/>
        <v>5390.3067644252678</v>
      </c>
      <c r="AC107" s="30">
        <v>5266.9118763625356</v>
      </c>
      <c r="AD107" s="30">
        <f t="shared" si="31"/>
        <v>123.39488806273221</v>
      </c>
    </row>
    <row r="108" spans="2:30" x14ac:dyDescent="0.25">
      <c r="B108" s="10">
        <v>888</v>
      </c>
      <c r="C108" s="10">
        <v>6</v>
      </c>
      <c r="D108" s="9" t="s">
        <v>210</v>
      </c>
      <c r="E108" s="150">
        <v>99.570878092604332</v>
      </c>
      <c r="F108" s="150">
        <v>99.570878092604332</v>
      </c>
      <c r="G108" s="150">
        <f t="shared" si="23"/>
        <v>0</v>
      </c>
      <c r="H108" s="151">
        <v>41003.18</v>
      </c>
      <c r="I108" s="151">
        <v>41003.18</v>
      </c>
      <c r="J108" s="151">
        <f t="shared" si="24"/>
        <v>0</v>
      </c>
      <c r="K108" s="151">
        <v>0</v>
      </c>
      <c r="L108" s="151">
        <v>0</v>
      </c>
      <c r="M108" s="151">
        <f t="shared" si="25"/>
        <v>0</v>
      </c>
      <c r="N108" s="5">
        <f t="shared" si="17"/>
        <v>41003.18</v>
      </c>
      <c r="O108" s="154">
        <f t="shared" si="17"/>
        <v>41003.18</v>
      </c>
      <c r="P108" s="152">
        <f t="shared" si="26"/>
        <v>411.79891937746731</v>
      </c>
      <c r="Q108" s="6">
        <f t="shared" si="18"/>
        <v>411.79891937746731</v>
      </c>
      <c r="R108" s="5">
        <f t="shared" si="27"/>
        <v>41003.18</v>
      </c>
      <c r="S108" s="151">
        <v>0</v>
      </c>
      <c r="T108" s="195">
        <v>0.44722222222222219</v>
      </c>
      <c r="U108" s="154">
        <f t="shared" si="28"/>
        <v>9698.3517303524732</v>
      </c>
      <c r="V108" s="154">
        <f t="shared" si="29"/>
        <v>4549.1664078661288</v>
      </c>
      <c r="W108" s="155">
        <f t="shared" si="19"/>
        <v>1301.1955238222902</v>
      </c>
      <c r="X108" s="199">
        <f t="shared" si="20"/>
        <v>28.006064196283663</v>
      </c>
      <c r="Y108" s="199">
        <f t="shared" si="30"/>
        <v>15576.719726237177</v>
      </c>
      <c r="Z108" s="200">
        <f t="shared" si="21"/>
        <v>0.37989052864283152</v>
      </c>
      <c r="AA108" s="199">
        <f t="shared" si="22"/>
        <v>15578.184716719103</v>
      </c>
      <c r="AC108" s="30">
        <v>15480.17577958539</v>
      </c>
      <c r="AD108" s="30">
        <f t="shared" si="31"/>
        <v>98.008937133712607</v>
      </c>
    </row>
    <row r="109" spans="2:30" x14ac:dyDescent="0.25">
      <c r="B109" s="10">
        <v>889</v>
      </c>
      <c r="C109" s="10">
        <v>6</v>
      </c>
      <c r="D109" s="9" t="s">
        <v>211</v>
      </c>
      <c r="E109" s="150">
        <v>104.42235939177995</v>
      </c>
      <c r="F109" s="150">
        <v>52.211179695889975</v>
      </c>
      <c r="G109" s="150">
        <f t="shared" si="23"/>
        <v>-52.211179695889975</v>
      </c>
      <c r="H109" s="151">
        <v>44546.79</v>
      </c>
      <c r="I109" s="151">
        <v>44546.79</v>
      </c>
      <c r="J109" s="151">
        <f t="shared" si="24"/>
        <v>0</v>
      </c>
      <c r="K109" s="151">
        <v>0</v>
      </c>
      <c r="L109" s="151">
        <v>0</v>
      </c>
      <c r="M109" s="151">
        <f t="shared" si="25"/>
        <v>0</v>
      </c>
      <c r="N109" s="5">
        <f t="shared" si="17"/>
        <v>44546.79</v>
      </c>
      <c r="O109" s="154">
        <f t="shared" si="17"/>
        <v>44546.79</v>
      </c>
      <c r="P109" s="152">
        <f t="shared" si="26"/>
        <v>853.20405053990169</v>
      </c>
      <c r="Q109" s="6">
        <f t="shared" si="18"/>
        <v>850.68169803401406</v>
      </c>
      <c r="R109" s="5">
        <f t="shared" si="27"/>
        <v>44415.095000058718</v>
      </c>
      <c r="S109" s="151">
        <v>0</v>
      </c>
      <c r="T109" s="195">
        <v>0.48055555555555557</v>
      </c>
      <c r="U109" s="154">
        <f t="shared" si="28"/>
        <v>10505.361131687563</v>
      </c>
      <c r="V109" s="154">
        <f t="shared" si="29"/>
        <v>2385.4097637534692</v>
      </c>
      <c r="W109" s="155">
        <f t="shared" si="19"/>
        <v>1514.5228964849571</v>
      </c>
      <c r="X109" s="199">
        <f t="shared" si="20"/>
        <v>30.336476386848091</v>
      </c>
      <c r="Y109" s="199">
        <f t="shared" si="30"/>
        <v>14435.630268312838</v>
      </c>
      <c r="Z109" s="200">
        <f t="shared" si="21"/>
        <v>0.3250163096193705</v>
      </c>
      <c r="AA109" s="199">
        <f t="shared" si="22"/>
        <v>14436.987939331855</v>
      </c>
      <c r="AC109" s="30">
        <v>16751.727573994427</v>
      </c>
      <c r="AD109" s="30">
        <f t="shared" si="31"/>
        <v>-2314.7396346625719</v>
      </c>
    </row>
    <row r="110" spans="2:30" x14ac:dyDescent="0.25">
      <c r="B110" s="10">
        <v>891</v>
      </c>
      <c r="C110" s="10">
        <v>6</v>
      </c>
      <c r="D110" s="9" t="s">
        <v>212</v>
      </c>
      <c r="E110" s="150">
        <v>365.91258095896558</v>
      </c>
      <c r="F110" s="150">
        <v>365.91258095896558</v>
      </c>
      <c r="G110" s="150">
        <f t="shared" si="23"/>
        <v>0</v>
      </c>
      <c r="H110" s="151">
        <v>81578.13</v>
      </c>
      <c r="I110" s="151">
        <v>81578.13</v>
      </c>
      <c r="J110" s="151">
        <f t="shared" si="24"/>
        <v>0</v>
      </c>
      <c r="K110" s="151">
        <v>0</v>
      </c>
      <c r="L110" s="151">
        <v>0</v>
      </c>
      <c r="M110" s="151">
        <f t="shared" si="25"/>
        <v>0</v>
      </c>
      <c r="N110" s="5">
        <f t="shared" si="17"/>
        <v>81578.13</v>
      </c>
      <c r="O110" s="154">
        <f t="shared" si="17"/>
        <v>81578.13</v>
      </c>
      <c r="P110" s="152">
        <f t="shared" si="26"/>
        <v>222.94431578767825</v>
      </c>
      <c r="Q110" s="6">
        <f t="shared" si="18"/>
        <v>222.94431578767825</v>
      </c>
      <c r="R110" s="5">
        <f t="shared" si="27"/>
        <v>81578.13</v>
      </c>
      <c r="S110" s="151">
        <v>0</v>
      </c>
      <c r="T110" s="195">
        <v>0.46666666666666662</v>
      </c>
      <c r="U110" s="154">
        <f t="shared" si="28"/>
        <v>19295.41558104564</v>
      </c>
      <c r="V110" s="154">
        <f t="shared" si="29"/>
        <v>16717.711577937367</v>
      </c>
      <c r="W110" s="155">
        <f t="shared" si="19"/>
        <v>2701.3581813463893</v>
      </c>
      <c r="X110" s="199">
        <f t="shared" si="20"/>
        <v>55.719637983999633</v>
      </c>
      <c r="Y110" s="199">
        <f t="shared" si="30"/>
        <v>38770.204978313399</v>
      </c>
      <c r="Z110" s="200">
        <f t="shared" si="21"/>
        <v>0.47525243565050335</v>
      </c>
      <c r="AA110" s="199">
        <f t="shared" si="22"/>
        <v>38773.851316070883</v>
      </c>
      <c r="AC110" s="30">
        <v>38549.708245871261</v>
      </c>
      <c r="AD110" s="30">
        <f t="shared" si="31"/>
        <v>224.14307019962143</v>
      </c>
    </row>
    <row r="111" spans="2:30" x14ac:dyDescent="0.25">
      <c r="B111" s="10">
        <v>904</v>
      </c>
      <c r="C111" s="10">
        <v>6</v>
      </c>
      <c r="D111" s="9" t="s">
        <v>213</v>
      </c>
      <c r="E111" s="150">
        <v>24.038753330085818</v>
      </c>
      <c r="F111" s="150">
        <v>24.038753330085822</v>
      </c>
      <c r="G111" s="150">
        <f t="shared" si="23"/>
        <v>0</v>
      </c>
      <c r="H111" s="151">
        <v>11671.18</v>
      </c>
      <c r="I111" s="151">
        <v>11671.18</v>
      </c>
      <c r="J111" s="151">
        <f t="shared" si="24"/>
        <v>0</v>
      </c>
      <c r="K111" s="151">
        <v>0</v>
      </c>
      <c r="L111" s="151">
        <v>0</v>
      </c>
      <c r="M111" s="151">
        <f t="shared" si="25"/>
        <v>0</v>
      </c>
      <c r="N111" s="5">
        <f t="shared" si="17"/>
        <v>11671.18</v>
      </c>
      <c r="O111" s="154">
        <f t="shared" si="17"/>
        <v>11671.18</v>
      </c>
      <c r="P111" s="152">
        <f t="shared" si="26"/>
        <v>485.51519455848307</v>
      </c>
      <c r="Q111" s="6">
        <f t="shared" si="18"/>
        <v>485.51519455848307</v>
      </c>
      <c r="R111" s="5">
        <f t="shared" si="27"/>
        <v>11671.18</v>
      </c>
      <c r="S111" s="151">
        <v>0</v>
      </c>
      <c r="T111" s="195">
        <v>8.3333333333333329E-2</v>
      </c>
      <c r="U111" s="154">
        <f t="shared" si="28"/>
        <v>2760.547078257227</v>
      </c>
      <c r="V111" s="154">
        <f t="shared" si="29"/>
        <v>1098.2758335675353</v>
      </c>
      <c r="W111" s="155">
        <f t="shared" si="19"/>
        <v>69.013676956430672</v>
      </c>
      <c r="X111" s="199">
        <f t="shared" si="20"/>
        <v>7.9716699125868269</v>
      </c>
      <c r="Y111" s="199">
        <f t="shared" si="30"/>
        <v>3935.8082586937799</v>
      </c>
      <c r="Z111" s="200">
        <f t="shared" si="21"/>
        <v>0.3372245358818714</v>
      </c>
      <c r="AA111" s="199">
        <f t="shared" si="22"/>
        <v>3936.1784214584059</v>
      </c>
      <c r="AC111" s="30">
        <v>3911.243981700512</v>
      </c>
      <c r="AD111" s="30">
        <f t="shared" si="31"/>
        <v>24.93443975789387</v>
      </c>
    </row>
    <row r="112" spans="2:30" x14ac:dyDescent="0.25">
      <c r="B112" s="10">
        <v>906</v>
      </c>
      <c r="C112" s="10">
        <v>6</v>
      </c>
      <c r="D112" s="9" t="s">
        <v>214</v>
      </c>
      <c r="E112" s="150">
        <v>240.19</v>
      </c>
      <c r="F112" s="150">
        <v>240.19</v>
      </c>
      <c r="G112" s="150">
        <f t="shared" si="23"/>
        <v>0</v>
      </c>
      <c r="H112" s="151">
        <v>125425.01</v>
      </c>
      <c r="I112" s="151">
        <v>125425.01</v>
      </c>
      <c r="J112" s="151">
        <f t="shared" si="24"/>
        <v>0</v>
      </c>
      <c r="K112" s="151">
        <v>88</v>
      </c>
      <c r="L112" s="151">
        <v>88</v>
      </c>
      <c r="M112" s="151">
        <f t="shared" si="25"/>
        <v>0</v>
      </c>
      <c r="N112" s="5">
        <f t="shared" si="17"/>
        <v>125337.01</v>
      </c>
      <c r="O112" s="154">
        <f t="shared" si="17"/>
        <v>125337.01</v>
      </c>
      <c r="P112" s="152">
        <f t="shared" si="26"/>
        <v>521.82443065906159</v>
      </c>
      <c r="Q112" s="6">
        <f t="shared" si="18"/>
        <v>521.82443065906159</v>
      </c>
      <c r="R112" s="5">
        <f t="shared" si="27"/>
        <v>125337.01000000001</v>
      </c>
      <c r="S112" s="151">
        <v>3186.4728806691505</v>
      </c>
      <c r="T112" s="195">
        <v>0.65</v>
      </c>
      <c r="U112" s="154">
        <f t="shared" si="28"/>
        <v>29645.56426625216</v>
      </c>
      <c r="V112" s="154">
        <f t="shared" si="29"/>
        <v>10973.733489516384</v>
      </c>
      <c r="W112" s="155">
        <f t="shared" si="19"/>
        <v>5780.8850319191715</v>
      </c>
      <c r="X112" s="199">
        <f t="shared" si="20"/>
        <v>85.607905246135729</v>
      </c>
      <c r="Y112" s="199">
        <f t="shared" si="30"/>
        <v>46485.79069293385</v>
      </c>
      <c r="Z112" s="200">
        <f t="shared" si="21"/>
        <v>0.3708863861754309</v>
      </c>
      <c r="AA112" s="199">
        <f t="shared" si="22"/>
        <v>46490.162681523667</v>
      </c>
      <c r="AC112" s="30">
        <v>46188.014060706322</v>
      </c>
      <c r="AD112" s="30">
        <f t="shared" si="31"/>
        <v>302.14862081734464</v>
      </c>
    </row>
    <row r="113" spans="2:30" x14ac:dyDescent="0.25">
      <c r="B113" s="10">
        <v>917</v>
      </c>
      <c r="C113" s="10">
        <v>6</v>
      </c>
      <c r="D113" s="9" t="s">
        <v>215</v>
      </c>
      <c r="E113" s="150">
        <v>124.65996709691252</v>
      </c>
      <c r="F113" s="150">
        <v>62.329983548456262</v>
      </c>
      <c r="G113" s="150">
        <f t="shared" si="23"/>
        <v>-62.329983548456262</v>
      </c>
      <c r="H113" s="151">
        <v>53270.83</v>
      </c>
      <c r="I113" s="151">
        <v>53270.83</v>
      </c>
      <c r="J113" s="151">
        <f t="shared" si="24"/>
        <v>0</v>
      </c>
      <c r="K113" s="151">
        <v>0</v>
      </c>
      <c r="L113" s="151">
        <v>0</v>
      </c>
      <c r="M113" s="151">
        <f t="shared" si="25"/>
        <v>0</v>
      </c>
      <c r="N113" s="5">
        <f t="shared" si="17"/>
        <v>53270.83</v>
      </c>
      <c r="O113" s="154">
        <f t="shared" si="17"/>
        <v>53270.83</v>
      </c>
      <c r="P113" s="152">
        <f t="shared" si="26"/>
        <v>854.65817520369569</v>
      </c>
      <c r="Q113" s="6">
        <f t="shared" si="18"/>
        <v>850.68169803401406</v>
      </c>
      <c r="R113" s="5">
        <f t="shared" si="27"/>
        <v>53022.976243432931</v>
      </c>
      <c r="S113" s="151">
        <v>0</v>
      </c>
      <c r="T113" s="195">
        <v>0.25</v>
      </c>
      <c r="U113" s="154">
        <f t="shared" si="28"/>
        <v>12541.355899687189</v>
      </c>
      <c r="V113" s="154">
        <f t="shared" si="29"/>
        <v>2847.7148418614424</v>
      </c>
      <c r="W113" s="155">
        <f t="shared" si="19"/>
        <v>940.60169247653926</v>
      </c>
      <c r="X113" s="199">
        <f t="shared" si="20"/>
        <v>36.215846589254937</v>
      </c>
      <c r="Y113" s="199">
        <f t="shared" si="30"/>
        <v>16365.888280614427</v>
      </c>
      <c r="Z113" s="200">
        <f t="shared" si="21"/>
        <v>0.30865653797850312</v>
      </c>
      <c r="AA113" s="199">
        <f t="shared" si="22"/>
        <v>16367.427492398469</v>
      </c>
      <c r="AC113" s="30">
        <v>19157.600982185679</v>
      </c>
      <c r="AD113" s="30">
        <f t="shared" si="31"/>
        <v>-2790.1734897872102</v>
      </c>
    </row>
    <row r="114" spans="2:30" x14ac:dyDescent="0.25">
      <c r="B114" s="10">
        <v>957</v>
      </c>
      <c r="C114" s="10">
        <v>6</v>
      </c>
      <c r="D114" s="9" t="s">
        <v>216</v>
      </c>
      <c r="E114" s="150">
        <v>99.062627670785943</v>
      </c>
      <c r="F114" s="150">
        <v>99.062627670785943</v>
      </c>
      <c r="G114" s="150">
        <f t="shared" si="23"/>
        <v>0</v>
      </c>
      <c r="H114" s="151">
        <v>34397.550000000003</v>
      </c>
      <c r="I114" s="151">
        <v>34397.550000000003</v>
      </c>
      <c r="J114" s="151">
        <f t="shared" si="24"/>
        <v>0</v>
      </c>
      <c r="K114" s="151">
        <v>70</v>
      </c>
      <c r="L114" s="151">
        <v>70</v>
      </c>
      <c r="M114" s="151">
        <f t="shared" si="25"/>
        <v>0</v>
      </c>
      <c r="N114" s="5">
        <f t="shared" si="17"/>
        <v>34327.550000000003</v>
      </c>
      <c r="O114" s="154">
        <f t="shared" si="17"/>
        <v>34327.550000000003</v>
      </c>
      <c r="P114" s="152">
        <f t="shared" si="26"/>
        <v>346.52371744146018</v>
      </c>
      <c r="Q114" s="6">
        <f t="shared" si="18"/>
        <v>346.52371744146018</v>
      </c>
      <c r="R114" s="5">
        <f t="shared" si="27"/>
        <v>34327.550000000003</v>
      </c>
      <c r="S114" s="151">
        <v>0</v>
      </c>
      <c r="T114" s="195">
        <v>0.32499999999999996</v>
      </c>
      <c r="U114" s="154">
        <f t="shared" si="28"/>
        <v>8119.386202271653</v>
      </c>
      <c r="V114" s="154">
        <f t="shared" si="29"/>
        <v>4525.9456048561397</v>
      </c>
      <c r="W114" s="155">
        <f t="shared" si="19"/>
        <v>791.64015472148606</v>
      </c>
      <c r="X114" s="199">
        <f t="shared" si="20"/>
        <v>23.446463640164914</v>
      </c>
      <c r="Y114" s="199">
        <f t="shared" si="30"/>
        <v>13460.418425489444</v>
      </c>
      <c r="Z114" s="200">
        <f t="shared" si="21"/>
        <v>0.39211707289012598</v>
      </c>
      <c r="AA114" s="199">
        <f t="shared" si="22"/>
        <v>13461.684377835165</v>
      </c>
      <c r="AC114" s="30">
        <v>13379.192445632345</v>
      </c>
      <c r="AD114" s="30">
        <f t="shared" si="31"/>
        <v>82.491932202819953</v>
      </c>
    </row>
    <row r="115" spans="2:30" x14ac:dyDescent="0.25">
      <c r="B115" s="10">
        <v>959</v>
      </c>
      <c r="C115" s="10">
        <v>6</v>
      </c>
      <c r="D115" s="9" t="s">
        <v>217</v>
      </c>
      <c r="E115" s="150">
        <v>353.69608900180333</v>
      </c>
      <c r="F115" s="150">
        <v>353.69608900180333</v>
      </c>
      <c r="G115" s="150">
        <f t="shared" si="23"/>
        <v>0</v>
      </c>
      <c r="H115" s="151">
        <v>99467.75</v>
      </c>
      <c r="I115" s="151">
        <v>99467.75</v>
      </c>
      <c r="J115" s="151">
        <f t="shared" si="24"/>
        <v>0</v>
      </c>
      <c r="K115" s="151">
        <v>439.68</v>
      </c>
      <c r="L115" s="151">
        <v>439.68</v>
      </c>
      <c r="M115" s="151">
        <f t="shared" si="25"/>
        <v>0</v>
      </c>
      <c r="N115" s="5">
        <f t="shared" si="17"/>
        <v>99028.07</v>
      </c>
      <c r="O115" s="154">
        <f t="shared" si="17"/>
        <v>99028.07</v>
      </c>
      <c r="P115" s="152">
        <f t="shared" si="26"/>
        <v>279.98067572495864</v>
      </c>
      <c r="Q115" s="6">
        <f t="shared" si="18"/>
        <v>279.98067572495864</v>
      </c>
      <c r="R115" s="5">
        <f t="shared" si="27"/>
        <v>99028.07</v>
      </c>
      <c r="S115" s="151">
        <v>703.86980334822545</v>
      </c>
      <c r="T115" s="195">
        <v>0.59166666666666667</v>
      </c>
      <c r="U115" s="154">
        <f t="shared" si="28"/>
        <v>23422.79437931316</v>
      </c>
      <c r="V115" s="154">
        <f t="shared" si="29"/>
        <v>16159.567912860888</v>
      </c>
      <c r="W115" s="155">
        <f t="shared" si="19"/>
        <v>4157.5460023280857</v>
      </c>
      <c r="X115" s="199">
        <f t="shared" si="20"/>
        <v>67.638326726221536</v>
      </c>
      <c r="Y115" s="199">
        <f t="shared" si="30"/>
        <v>43807.54662122835</v>
      </c>
      <c r="Z115" s="200">
        <f t="shared" si="21"/>
        <v>0.44237504195758182</v>
      </c>
      <c r="AA115" s="199">
        <f t="shared" si="22"/>
        <v>43811.666720964655</v>
      </c>
      <c r="AC115" s="30">
        <v>43548.325860769335</v>
      </c>
      <c r="AD115" s="30">
        <f t="shared" si="31"/>
        <v>263.34086019531969</v>
      </c>
    </row>
    <row r="116" spans="2:30" x14ac:dyDescent="0.25">
      <c r="B116" s="10">
        <v>969</v>
      </c>
      <c r="C116" s="10">
        <v>6</v>
      </c>
      <c r="D116" s="9" t="s">
        <v>218</v>
      </c>
      <c r="E116" s="150">
        <v>16.88997374499494</v>
      </c>
      <c r="F116" s="150">
        <v>16.889973744994943</v>
      </c>
      <c r="G116" s="150">
        <f t="shared" si="23"/>
        <v>0</v>
      </c>
      <c r="H116" s="151">
        <v>29287.439999999999</v>
      </c>
      <c r="I116" s="151">
        <v>29287.439999999999</v>
      </c>
      <c r="J116" s="151">
        <f t="shared" si="24"/>
        <v>0</v>
      </c>
      <c r="K116" s="151">
        <v>0</v>
      </c>
      <c r="L116" s="151">
        <v>0</v>
      </c>
      <c r="M116" s="151">
        <f t="shared" si="25"/>
        <v>0</v>
      </c>
      <c r="N116" s="5">
        <f t="shared" si="17"/>
        <v>29287.439999999999</v>
      </c>
      <c r="O116" s="154">
        <f t="shared" si="17"/>
        <v>29287.439999999999</v>
      </c>
      <c r="P116" s="152">
        <f t="shared" si="26"/>
        <v>1734.0133526660356</v>
      </c>
      <c r="Q116" s="6">
        <f t="shared" si="18"/>
        <v>850.68169803401406</v>
      </c>
      <c r="R116" s="5">
        <f t="shared" si="27"/>
        <v>14367.991545142215</v>
      </c>
      <c r="S116" s="151">
        <v>0</v>
      </c>
      <c r="T116" s="195">
        <v>0.39999999999999997</v>
      </c>
      <c r="U116" s="154">
        <f t="shared" si="28"/>
        <v>3398.4153342135828</v>
      </c>
      <c r="V116" s="154">
        <f t="shared" si="29"/>
        <v>771.66439286607886</v>
      </c>
      <c r="W116" s="155">
        <f t="shared" si="19"/>
        <v>407.80984010562992</v>
      </c>
      <c r="X116" s="199">
        <f t="shared" si="20"/>
        <v>9.8136508823197062</v>
      </c>
      <c r="Y116" s="199">
        <f t="shared" si="30"/>
        <v>4587.7032180676115</v>
      </c>
      <c r="Z116" s="200">
        <f t="shared" si="21"/>
        <v>0.31930024482918795</v>
      </c>
      <c r="AA116" s="199">
        <f t="shared" si="22"/>
        <v>4588.1346915528184</v>
      </c>
      <c r="AC116" s="30">
        <v>4481.5110427927293</v>
      </c>
      <c r="AD116" s="30">
        <f t="shared" si="31"/>
        <v>106.62364876008905</v>
      </c>
    </row>
    <row r="117" spans="2:30" x14ac:dyDescent="0.25">
      <c r="B117" s="10">
        <v>970</v>
      </c>
      <c r="C117" s="10">
        <v>6</v>
      </c>
      <c r="D117" s="9" t="s">
        <v>219</v>
      </c>
      <c r="E117" s="150">
        <v>187.40451488632627</v>
      </c>
      <c r="F117" s="150">
        <v>187.40451488632627</v>
      </c>
      <c r="G117" s="150">
        <f t="shared" si="23"/>
        <v>0</v>
      </c>
      <c r="H117" s="151">
        <v>47704.1</v>
      </c>
      <c r="I117" s="151">
        <v>47704.1</v>
      </c>
      <c r="J117" s="151">
        <f t="shared" si="24"/>
        <v>0</v>
      </c>
      <c r="K117" s="151">
        <v>112</v>
      </c>
      <c r="L117" s="151">
        <v>112</v>
      </c>
      <c r="M117" s="151">
        <f t="shared" si="25"/>
        <v>0</v>
      </c>
      <c r="N117" s="5">
        <f t="shared" si="17"/>
        <v>47592.1</v>
      </c>
      <c r="O117" s="154">
        <f t="shared" si="17"/>
        <v>47592.1</v>
      </c>
      <c r="P117" s="152">
        <f t="shared" si="26"/>
        <v>253.95386033718495</v>
      </c>
      <c r="Q117" s="6">
        <f t="shared" si="18"/>
        <v>253.95386033718495</v>
      </c>
      <c r="R117" s="5">
        <f t="shared" si="27"/>
        <v>47592.1</v>
      </c>
      <c r="S117" s="151">
        <v>1136.954059044069</v>
      </c>
      <c r="T117" s="195">
        <v>0.20833333333333331</v>
      </c>
      <c r="U117" s="154">
        <f t="shared" si="28"/>
        <v>11256.808017966116</v>
      </c>
      <c r="V117" s="154">
        <f t="shared" si="29"/>
        <v>8562.0850205864117</v>
      </c>
      <c r="W117" s="155">
        <f t="shared" si="19"/>
        <v>703.55050112288222</v>
      </c>
      <c r="X117" s="199">
        <f t="shared" si="20"/>
        <v>32.506439935535525</v>
      </c>
      <c r="Y117" s="199">
        <f t="shared" si="30"/>
        <v>20554.949979610945</v>
      </c>
      <c r="Z117" s="200">
        <f t="shared" si="21"/>
        <v>0.43189836085423727</v>
      </c>
      <c r="AA117" s="199">
        <f t="shared" si="22"/>
        <v>20556.883172645539</v>
      </c>
      <c r="AC117" s="30">
        <v>20436.99312776688</v>
      </c>
      <c r="AD117" s="30">
        <f t="shared" si="31"/>
        <v>119.89004487865895</v>
      </c>
    </row>
    <row r="118" spans="2:30" x14ac:dyDescent="0.25">
      <c r="B118" s="91">
        <v>980</v>
      </c>
      <c r="C118" s="91">
        <v>6</v>
      </c>
      <c r="D118" s="92" t="s">
        <v>220</v>
      </c>
      <c r="E118" s="150">
        <v>36.983368866947572</v>
      </c>
      <c r="F118" s="150">
        <v>36.983368866947572</v>
      </c>
      <c r="G118" s="150">
        <f t="shared" si="23"/>
        <v>0</v>
      </c>
      <c r="H118" s="151">
        <v>18658.919999999998</v>
      </c>
      <c r="I118" s="151">
        <v>18658.919999999998</v>
      </c>
      <c r="J118" s="151">
        <f t="shared" si="24"/>
        <v>0</v>
      </c>
      <c r="K118" s="151">
        <v>0</v>
      </c>
      <c r="L118" s="151">
        <v>0</v>
      </c>
      <c r="M118" s="151">
        <f t="shared" si="25"/>
        <v>0</v>
      </c>
      <c r="N118" s="5">
        <f t="shared" si="17"/>
        <v>18658.919999999998</v>
      </c>
      <c r="O118" s="154">
        <f t="shared" si="17"/>
        <v>18658.919999999998</v>
      </c>
      <c r="P118" s="152">
        <f t="shared" si="26"/>
        <v>504.52191273131075</v>
      </c>
      <c r="Q118" s="6">
        <f t="shared" si="18"/>
        <v>504.52191273131075</v>
      </c>
      <c r="R118" s="5">
        <f t="shared" si="27"/>
        <v>18658.919999999998</v>
      </c>
      <c r="S118" s="151">
        <v>0</v>
      </c>
      <c r="T118" s="195">
        <v>0.33333333333333331</v>
      </c>
      <c r="U118" s="154">
        <f t="shared" si="28"/>
        <v>4413.334991786206</v>
      </c>
      <c r="V118" s="154">
        <f t="shared" si="29"/>
        <v>1689.6858049475838</v>
      </c>
      <c r="W118" s="155">
        <f t="shared" si="19"/>
        <v>441.33349917862057</v>
      </c>
      <c r="X118" s="199">
        <f t="shared" si="20"/>
        <v>12.744448390425354</v>
      </c>
      <c r="Y118" s="199">
        <f t="shared" si="30"/>
        <v>6557.0987443028362</v>
      </c>
      <c r="Z118" s="200">
        <f t="shared" si="21"/>
        <v>0.35141898589536996</v>
      </c>
      <c r="AA118" s="199">
        <f t="shared" si="22"/>
        <v>6557.7154394362324</v>
      </c>
      <c r="AC118" s="30">
        <v>6515.6397158473601</v>
      </c>
      <c r="AD118" s="30">
        <f t="shared" si="31"/>
        <v>42.075723588872279</v>
      </c>
    </row>
    <row r="119" spans="2:30" x14ac:dyDescent="0.25">
      <c r="B119" s="91">
        <v>986</v>
      </c>
      <c r="C119" s="91">
        <v>6</v>
      </c>
      <c r="D119" s="92" t="s">
        <v>221</v>
      </c>
      <c r="E119" s="150">
        <v>15.519572774470802</v>
      </c>
      <c r="F119" s="150">
        <v>15.519572774470804</v>
      </c>
      <c r="G119" s="150">
        <f t="shared" si="23"/>
        <v>0</v>
      </c>
      <c r="H119" s="151">
        <v>23452.62</v>
      </c>
      <c r="I119" s="151">
        <v>23452.62</v>
      </c>
      <c r="J119" s="151">
        <f t="shared" si="24"/>
        <v>0</v>
      </c>
      <c r="K119" s="151">
        <v>0</v>
      </c>
      <c r="L119" s="151">
        <v>0</v>
      </c>
      <c r="M119" s="151">
        <f t="shared" si="25"/>
        <v>0</v>
      </c>
      <c r="N119" s="5">
        <f t="shared" si="17"/>
        <v>23452.62</v>
      </c>
      <c r="O119" s="154">
        <f t="shared" si="17"/>
        <v>23452.62</v>
      </c>
      <c r="P119" s="152">
        <f t="shared" si="26"/>
        <v>1511.164021124267</v>
      </c>
      <c r="Q119" s="6">
        <f t="shared" si="18"/>
        <v>850.68169803401406</v>
      </c>
      <c r="R119" s="5">
        <f t="shared" si="27"/>
        <v>13202.216520549278</v>
      </c>
      <c r="S119" s="151">
        <v>0</v>
      </c>
      <c r="T119" s="195">
        <v>1.6666666666666666E-2</v>
      </c>
      <c r="U119" s="154">
        <f t="shared" si="28"/>
        <v>3122.678276088759</v>
      </c>
      <c r="V119" s="154">
        <f t="shared" si="29"/>
        <v>709.05389690743561</v>
      </c>
      <c r="W119" s="155">
        <f t="shared" si="19"/>
        <v>15.613391380443794</v>
      </c>
      <c r="X119" s="199">
        <f t="shared" si="20"/>
        <v>9.0174011724880803</v>
      </c>
      <c r="Y119" s="199">
        <f t="shared" si="30"/>
        <v>3856.3629655491263</v>
      </c>
      <c r="Z119" s="200">
        <f t="shared" si="21"/>
        <v>0.29209966065521564</v>
      </c>
      <c r="AA119" s="199">
        <f t="shared" si="22"/>
        <v>3856.7256564839745</v>
      </c>
      <c r="AC119" s="30">
        <v>3768.5395661899834</v>
      </c>
      <c r="AD119" s="30">
        <f t="shared" si="31"/>
        <v>88.186090293991128</v>
      </c>
    </row>
    <row r="120" spans="2:30" x14ac:dyDescent="0.25">
      <c r="B120" s="91">
        <v>988</v>
      </c>
      <c r="C120" s="91">
        <v>6</v>
      </c>
      <c r="D120" s="92" t="s">
        <v>222</v>
      </c>
      <c r="E120" s="150">
        <v>112.31410230510562</v>
      </c>
      <c r="F120" s="150">
        <v>112.31410230510562</v>
      </c>
      <c r="G120" s="150">
        <f t="shared" si="23"/>
        <v>0</v>
      </c>
      <c r="H120" s="151">
        <v>57712.22</v>
      </c>
      <c r="I120" s="151">
        <v>57712.22</v>
      </c>
      <c r="J120" s="151">
        <f t="shared" si="24"/>
        <v>0</v>
      </c>
      <c r="K120" s="151">
        <v>0</v>
      </c>
      <c r="L120" s="151">
        <v>0</v>
      </c>
      <c r="M120" s="151">
        <f t="shared" si="25"/>
        <v>0</v>
      </c>
      <c r="N120" s="5">
        <f t="shared" si="17"/>
        <v>57712.22</v>
      </c>
      <c r="O120" s="154">
        <f t="shared" si="17"/>
        <v>57712.22</v>
      </c>
      <c r="P120" s="152">
        <f t="shared" si="26"/>
        <v>513.84660354781192</v>
      </c>
      <c r="Q120" s="6">
        <f t="shared" si="18"/>
        <v>513.84660354781192</v>
      </c>
      <c r="R120" s="5">
        <f t="shared" si="27"/>
        <v>57712.219999999994</v>
      </c>
      <c r="S120" s="151">
        <v>0</v>
      </c>
      <c r="T120" s="195">
        <v>0.40277777777777773</v>
      </c>
      <c r="U120" s="154">
        <f t="shared" si="28"/>
        <v>13650.487808493937</v>
      </c>
      <c r="V120" s="154">
        <f t="shared" si="29"/>
        <v>5131.3752687893202</v>
      </c>
      <c r="W120" s="155">
        <f t="shared" si="19"/>
        <v>1649.4339435263507</v>
      </c>
      <c r="X120" s="199">
        <f t="shared" si="20"/>
        <v>39.418702116032115</v>
      </c>
      <c r="Y120" s="199">
        <f t="shared" si="30"/>
        <v>20470.715722925641</v>
      </c>
      <c r="Z120" s="200">
        <f t="shared" si="21"/>
        <v>0.35470331453071191</v>
      </c>
      <c r="AA120" s="199">
        <f t="shared" si="22"/>
        <v>20472.640993728437</v>
      </c>
      <c r="AC120" s="30">
        <v>20340.739737818792</v>
      </c>
      <c r="AD120" s="30">
        <f t="shared" si="31"/>
        <v>131.90125590964453</v>
      </c>
    </row>
    <row r="121" spans="2:30" x14ac:dyDescent="0.25">
      <c r="B121" s="91">
        <v>989</v>
      </c>
      <c r="C121" s="91">
        <v>6</v>
      </c>
      <c r="D121" s="92" t="s">
        <v>223</v>
      </c>
      <c r="E121" s="150">
        <v>476.11395756821395</v>
      </c>
      <c r="F121" s="150">
        <v>476.113957568214</v>
      </c>
      <c r="G121" s="150">
        <f t="shared" si="23"/>
        <v>0</v>
      </c>
      <c r="H121" s="151">
        <v>260742.2</v>
      </c>
      <c r="I121" s="151">
        <v>260742.2</v>
      </c>
      <c r="J121" s="151">
        <f t="shared" si="24"/>
        <v>0</v>
      </c>
      <c r="K121" s="151">
        <v>23657.4</v>
      </c>
      <c r="L121" s="151">
        <v>11828.7</v>
      </c>
      <c r="M121" s="151">
        <f t="shared" si="25"/>
        <v>11828.7</v>
      </c>
      <c r="N121" s="5">
        <f t="shared" si="17"/>
        <v>237084.80000000002</v>
      </c>
      <c r="O121" s="154">
        <f t="shared" si="17"/>
        <v>248913.5</v>
      </c>
      <c r="P121" s="152">
        <f t="shared" si="26"/>
        <v>522.80235864401766</v>
      </c>
      <c r="Q121" s="6">
        <f t="shared" si="18"/>
        <v>522.80235864401766</v>
      </c>
      <c r="R121" s="5">
        <f t="shared" si="27"/>
        <v>248913.50000000003</v>
      </c>
      <c r="S121" s="151">
        <v>0</v>
      </c>
      <c r="T121" s="195">
        <v>0.65</v>
      </c>
      <c r="U121" s="154">
        <f t="shared" si="28"/>
        <v>58874.718337287261</v>
      </c>
      <c r="V121" s="154">
        <f t="shared" si="29"/>
        <v>21752.561226497743</v>
      </c>
      <c r="W121" s="155">
        <f t="shared" si="19"/>
        <v>11480.570075771016</v>
      </c>
      <c r="X121" s="199">
        <f t="shared" si="20"/>
        <v>170.01333702219327</v>
      </c>
      <c r="Y121" s="199">
        <f t="shared" si="30"/>
        <v>92277.86297657821</v>
      </c>
      <c r="Z121" s="200">
        <f t="shared" si="21"/>
        <v>0.37072261237971504</v>
      </c>
      <c r="AA121" s="199">
        <f t="shared" si="22"/>
        <v>92286.541709541823</v>
      </c>
      <c r="AC121" s="30">
        <v>88359.558643626224</v>
      </c>
      <c r="AD121" s="30">
        <f t="shared" si="31"/>
        <v>3926.9830659155996</v>
      </c>
    </row>
    <row r="122" spans="2:30" x14ac:dyDescent="0.25">
      <c r="B122" s="10">
        <v>39</v>
      </c>
      <c r="C122" s="10">
        <v>7</v>
      </c>
      <c r="D122" s="9" t="s">
        <v>224</v>
      </c>
      <c r="E122" s="150">
        <v>365.05037827554435</v>
      </c>
      <c r="F122" s="150">
        <v>365.05037827554435</v>
      </c>
      <c r="G122" s="150">
        <f t="shared" si="23"/>
        <v>0</v>
      </c>
      <c r="H122" s="151">
        <v>136572.35999999999</v>
      </c>
      <c r="I122" s="151">
        <v>136572.35999999999</v>
      </c>
      <c r="J122" s="151">
        <f t="shared" si="24"/>
        <v>0</v>
      </c>
      <c r="K122" s="151">
        <v>5552.09</v>
      </c>
      <c r="L122" s="151">
        <v>5552.09</v>
      </c>
      <c r="M122" s="151">
        <f t="shared" si="25"/>
        <v>0</v>
      </c>
      <c r="N122" s="5">
        <f t="shared" si="17"/>
        <v>131020.26999999999</v>
      </c>
      <c r="O122" s="154">
        <f t="shared" si="17"/>
        <v>131020.26999999999</v>
      </c>
      <c r="P122" s="152">
        <f t="shared" si="26"/>
        <v>358.91010610350429</v>
      </c>
      <c r="Q122" s="6">
        <f t="shared" si="18"/>
        <v>358.91010610350429</v>
      </c>
      <c r="R122" s="5">
        <f t="shared" si="27"/>
        <v>131020.27</v>
      </c>
      <c r="S122" s="151">
        <v>0</v>
      </c>
      <c r="T122" s="195">
        <v>0.26666666666666666</v>
      </c>
      <c r="U122" s="154">
        <f t="shared" si="28"/>
        <v>30989.807675057109</v>
      </c>
      <c r="V122" s="154">
        <f t="shared" si="29"/>
        <v>16678.319503072424</v>
      </c>
      <c r="W122" s="155">
        <f t="shared" si="19"/>
        <v>2479.1846140045686</v>
      </c>
      <c r="X122" s="199">
        <f t="shared" si="20"/>
        <v>89.489695497627707</v>
      </c>
      <c r="Y122" s="199">
        <f t="shared" si="30"/>
        <v>50236.801487631732</v>
      </c>
      <c r="Z122" s="200">
        <f t="shared" si="21"/>
        <v>0.38342770540490972</v>
      </c>
      <c r="AA122" s="199">
        <f t="shared" si="22"/>
        <v>50241.526258784783</v>
      </c>
      <c r="AC122" s="30">
        <v>49932.900761282741</v>
      </c>
      <c r="AD122" s="30">
        <f t="shared" si="31"/>
        <v>308.62549750204198</v>
      </c>
    </row>
    <row r="123" spans="2:30" x14ac:dyDescent="0.25">
      <c r="B123" s="10">
        <v>59</v>
      </c>
      <c r="C123" s="10">
        <v>7</v>
      </c>
      <c r="D123" s="9" t="s">
        <v>225</v>
      </c>
      <c r="E123" s="150">
        <v>248.59248178679888</v>
      </c>
      <c r="F123" s="150">
        <v>248.59248178679891</v>
      </c>
      <c r="G123" s="150">
        <f t="shared" si="23"/>
        <v>0</v>
      </c>
      <c r="H123" s="151">
        <v>153633.92000000001</v>
      </c>
      <c r="I123" s="151">
        <v>153633.92000000001</v>
      </c>
      <c r="J123" s="151">
        <f t="shared" si="24"/>
        <v>0</v>
      </c>
      <c r="K123" s="151">
        <v>0</v>
      </c>
      <c r="L123" s="151">
        <v>0</v>
      </c>
      <c r="M123" s="151">
        <f t="shared" si="25"/>
        <v>0</v>
      </c>
      <c r="N123" s="5">
        <f t="shared" si="17"/>
        <v>153633.92000000001</v>
      </c>
      <c r="O123" s="154">
        <f t="shared" si="17"/>
        <v>153633.92000000001</v>
      </c>
      <c r="P123" s="152">
        <f t="shared" si="26"/>
        <v>618.01515032044097</v>
      </c>
      <c r="Q123" s="6">
        <f t="shared" si="18"/>
        <v>618.01515032044097</v>
      </c>
      <c r="R123" s="5">
        <f t="shared" si="27"/>
        <v>153633.92000000001</v>
      </c>
      <c r="S123" s="151">
        <v>0</v>
      </c>
      <c r="T123" s="195">
        <v>0.10833333333333334</v>
      </c>
      <c r="U123" s="154">
        <f t="shared" si="28"/>
        <v>36338.542373367949</v>
      </c>
      <c r="V123" s="154">
        <f t="shared" si="29"/>
        <v>11357.623725491432</v>
      </c>
      <c r="W123" s="155">
        <f t="shared" si="19"/>
        <v>1181.0026271344584</v>
      </c>
      <c r="X123" s="199">
        <f t="shared" si="20"/>
        <v>104.93531053559038</v>
      </c>
      <c r="Y123" s="199">
        <f t="shared" si="30"/>
        <v>48982.104036529432</v>
      </c>
      <c r="Z123" s="200">
        <f t="shared" si="21"/>
        <v>0.31882349963165313</v>
      </c>
      <c r="AA123" s="199">
        <f t="shared" si="22"/>
        <v>48986.710803387883</v>
      </c>
      <c r="AC123" s="30">
        <v>48667.909114465954</v>
      </c>
      <c r="AD123" s="30">
        <f t="shared" si="31"/>
        <v>318.80168892192887</v>
      </c>
    </row>
    <row r="124" spans="2:30" x14ac:dyDescent="0.25">
      <c r="B124" s="10">
        <v>128</v>
      </c>
      <c r="C124" s="10">
        <v>7</v>
      </c>
      <c r="D124" s="9" t="s">
        <v>226</v>
      </c>
      <c r="E124" s="150">
        <v>166.98815902609724</v>
      </c>
      <c r="F124" s="150">
        <v>166.98815902609726</v>
      </c>
      <c r="G124" s="150">
        <f t="shared" si="23"/>
        <v>0</v>
      </c>
      <c r="H124" s="151">
        <v>78578.77</v>
      </c>
      <c r="I124" s="151">
        <v>78578.77</v>
      </c>
      <c r="J124" s="151">
        <f t="shared" si="24"/>
        <v>0</v>
      </c>
      <c r="K124" s="151">
        <v>70</v>
      </c>
      <c r="L124" s="151">
        <v>70</v>
      </c>
      <c r="M124" s="151">
        <f t="shared" si="25"/>
        <v>0</v>
      </c>
      <c r="N124" s="5">
        <f t="shared" si="17"/>
        <v>78508.77</v>
      </c>
      <c r="O124" s="154">
        <f t="shared" si="17"/>
        <v>78508.77</v>
      </c>
      <c r="P124" s="152">
        <f t="shared" si="26"/>
        <v>470.14573043906955</v>
      </c>
      <c r="Q124" s="6">
        <f t="shared" si="18"/>
        <v>470.14573043906955</v>
      </c>
      <c r="R124" s="5">
        <f t="shared" si="27"/>
        <v>78508.77</v>
      </c>
      <c r="S124" s="151">
        <v>2175.6258512985642</v>
      </c>
      <c r="T124" s="195">
        <v>0.22222222222222221</v>
      </c>
      <c r="U124" s="154">
        <f t="shared" si="28"/>
        <v>18569.429624174132</v>
      </c>
      <c r="V124" s="154">
        <f t="shared" si="29"/>
        <v>7629.3082686929984</v>
      </c>
      <c r="W124" s="155">
        <f t="shared" si="19"/>
        <v>1237.9619749449421</v>
      </c>
      <c r="X124" s="199">
        <f t="shared" si="20"/>
        <v>53.623198312698406</v>
      </c>
      <c r="Y124" s="199">
        <f t="shared" si="30"/>
        <v>27490.323066124773</v>
      </c>
      <c r="Z124" s="200">
        <f t="shared" si="21"/>
        <v>0.3501560789466549</v>
      </c>
      <c r="AA124" s="199">
        <f t="shared" si="22"/>
        <v>27492.908530994446</v>
      </c>
      <c r="AC124" s="30">
        <v>27318.546578229259</v>
      </c>
      <c r="AD124" s="30">
        <f t="shared" si="31"/>
        <v>174.36195276518629</v>
      </c>
    </row>
    <row r="125" spans="2:30" x14ac:dyDescent="0.25">
      <c r="B125" s="10">
        <v>152</v>
      </c>
      <c r="C125" s="10">
        <v>7</v>
      </c>
      <c r="D125" s="9" t="s">
        <v>227</v>
      </c>
      <c r="E125" s="150">
        <v>340.540276840947</v>
      </c>
      <c r="F125" s="150">
        <v>340.54027684094706</v>
      </c>
      <c r="G125" s="150">
        <f t="shared" si="23"/>
        <v>0</v>
      </c>
      <c r="H125" s="151">
        <v>154276.6</v>
      </c>
      <c r="I125" s="151">
        <v>154276.6</v>
      </c>
      <c r="J125" s="151">
        <f t="shared" si="24"/>
        <v>0</v>
      </c>
      <c r="K125" s="151">
        <v>0</v>
      </c>
      <c r="L125" s="151">
        <v>0</v>
      </c>
      <c r="M125" s="151">
        <f t="shared" si="25"/>
        <v>0</v>
      </c>
      <c r="N125" s="5">
        <f t="shared" si="17"/>
        <v>154276.6</v>
      </c>
      <c r="O125" s="154">
        <f t="shared" si="17"/>
        <v>154276.6</v>
      </c>
      <c r="P125" s="152">
        <f t="shared" si="26"/>
        <v>453.0348111276615</v>
      </c>
      <c r="Q125" s="6">
        <f t="shared" si="18"/>
        <v>453.0348111276615</v>
      </c>
      <c r="R125" s="5">
        <f t="shared" si="27"/>
        <v>154276.6</v>
      </c>
      <c r="S125" s="151">
        <v>0</v>
      </c>
      <c r="T125" s="195">
        <v>0.19166666666666665</v>
      </c>
      <c r="U125" s="154">
        <f t="shared" si="28"/>
        <v>36490.553429341242</v>
      </c>
      <c r="V125" s="154">
        <f t="shared" si="29"/>
        <v>15558.50884923886</v>
      </c>
      <c r="W125" s="155">
        <f t="shared" si="19"/>
        <v>2098.2068221871214</v>
      </c>
      <c r="X125" s="199">
        <f t="shared" si="20"/>
        <v>105.37427496073174</v>
      </c>
      <c r="Y125" s="199">
        <f t="shared" si="30"/>
        <v>54252.643375727959</v>
      </c>
      <c r="Z125" s="200">
        <f t="shared" si="21"/>
        <v>0.35165827724831866</v>
      </c>
      <c r="AA125" s="199">
        <f t="shared" si="22"/>
        <v>54257.745836808441</v>
      </c>
      <c r="AC125" s="30">
        <v>53915.501049658102</v>
      </c>
      <c r="AD125" s="30">
        <f t="shared" si="31"/>
        <v>342.24478715033911</v>
      </c>
    </row>
    <row r="126" spans="2:30" x14ac:dyDescent="0.25">
      <c r="B126" s="10">
        <v>162</v>
      </c>
      <c r="C126" s="10">
        <v>7</v>
      </c>
      <c r="D126" s="9" t="s">
        <v>228</v>
      </c>
      <c r="E126" s="150">
        <v>871.41</v>
      </c>
      <c r="F126" s="150">
        <v>871.41</v>
      </c>
      <c r="G126" s="150">
        <f t="shared" si="23"/>
        <v>0</v>
      </c>
      <c r="H126" s="151">
        <v>323649.53999999998</v>
      </c>
      <c r="I126" s="151">
        <v>323649.53999999998</v>
      </c>
      <c r="J126" s="151">
        <f t="shared" si="24"/>
        <v>0</v>
      </c>
      <c r="K126" s="151">
        <v>11624.09</v>
      </c>
      <c r="L126" s="151">
        <v>11624.09</v>
      </c>
      <c r="M126" s="151">
        <f t="shared" si="25"/>
        <v>0</v>
      </c>
      <c r="N126" s="5">
        <f t="shared" si="17"/>
        <v>312025.44999999995</v>
      </c>
      <c r="O126" s="154">
        <f t="shared" si="17"/>
        <v>312025.44999999995</v>
      </c>
      <c r="P126" s="152">
        <f t="shared" si="26"/>
        <v>358.06962279523987</v>
      </c>
      <c r="Q126" s="6">
        <f t="shared" si="18"/>
        <v>358.06962279523987</v>
      </c>
      <c r="R126" s="5">
        <f t="shared" si="27"/>
        <v>312025.44999999995</v>
      </c>
      <c r="S126" s="151">
        <v>0</v>
      </c>
      <c r="T126" s="195">
        <v>0.74444444444444446</v>
      </c>
      <c r="U126" s="154">
        <f t="shared" si="28"/>
        <v>73802.387105622256</v>
      </c>
      <c r="V126" s="154">
        <f t="shared" si="29"/>
        <v>39812.736167615105</v>
      </c>
      <c r="W126" s="155">
        <f t="shared" si="19"/>
        <v>16482.533120255637</v>
      </c>
      <c r="X126" s="199">
        <f t="shared" si="20"/>
        <v>213.12017222991719</v>
      </c>
      <c r="Y126" s="199">
        <f t="shared" si="30"/>
        <v>130310.77656572292</v>
      </c>
      <c r="Z126" s="200">
        <f t="shared" si="21"/>
        <v>0.4176286792174258</v>
      </c>
      <c r="AA126" s="199">
        <f t="shared" si="22"/>
        <v>130323.03229418925</v>
      </c>
      <c r="AC126" s="30">
        <v>129509.17620202787</v>
      </c>
      <c r="AD126" s="30">
        <f t="shared" si="31"/>
        <v>813.85609216138255</v>
      </c>
    </row>
    <row r="127" spans="2:30" x14ac:dyDescent="0.25">
      <c r="B127" s="10">
        <v>166</v>
      </c>
      <c r="C127" s="10">
        <v>7</v>
      </c>
      <c r="D127" s="9" t="s">
        <v>229</v>
      </c>
      <c r="E127" s="150">
        <v>1824.3972323258008</v>
      </c>
      <c r="F127" s="150">
        <v>885.7</v>
      </c>
      <c r="G127" s="150">
        <f t="shared" si="23"/>
        <v>-938.69723232580077</v>
      </c>
      <c r="H127" s="151">
        <v>436560.84</v>
      </c>
      <c r="I127" s="151">
        <v>430953.61</v>
      </c>
      <c r="J127" s="151">
        <f t="shared" si="24"/>
        <v>5607.2300000000396</v>
      </c>
      <c r="K127" s="151">
        <v>119641.05</v>
      </c>
      <c r="L127" s="151">
        <v>122479.67999999999</v>
      </c>
      <c r="M127" s="151">
        <f t="shared" si="25"/>
        <v>-2838.6299999999901</v>
      </c>
      <c r="N127" s="5">
        <f t="shared" si="17"/>
        <v>316919.79000000004</v>
      </c>
      <c r="O127" s="154">
        <f t="shared" si="17"/>
        <v>308473.93</v>
      </c>
      <c r="P127" s="152">
        <f t="shared" si="26"/>
        <v>348.28263520379357</v>
      </c>
      <c r="Q127" s="6">
        <f t="shared" si="18"/>
        <v>348.28263520379357</v>
      </c>
      <c r="R127" s="5">
        <f t="shared" si="27"/>
        <v>308473.93</v>
      </c>
      <c r="S127" s="151">
        <v>8782.4441512981575</v>
      </c>
      <c r="T127" s="195">
        <v>0.75555555555555554</v>
      </c>
      <c r="U127" s="154">
        <f t="shared" si="28"/>
        <v>72962.357377747947</v>
      </c>
      <c r="V127" s="154">
        <f t="shared" si="29"/>
        <v>40465.613687766607</v>
      </c>
      <c r="W127" s="155">
        <f t="shared" si="19"/>
        <v>16538.134338956203</v>
      </c>
      <c r="X127" s="199">
        <f t="shared" si="20"/>
        <v>210.69440678649588</v>
      </c>
      <c r="Y127" s="199">
        <f t="shared" si="30"/>
        <v>130176.79981125725</v>
      </c>
      <c r="Z127" s="200">
        <f t="shared" si="21"/>
        <v>0.42200259779248528</v>
      </c>
      <c r="AA127" s="199">
        <f t="shared" si="22"/>
        <v>130189.0429392099</v>
      </c>
      <c r="AC127" s="30">
        <v>174549.53056619165</v>
      </c>
      <c r="AD127" s="30">
        <f t="shared" si="31"/>
        <v>-44360.487626981747</v>
      </c>
    </row>
    <row r="128" spans="2:30" x14ac:dyDescent="0.25">
      <c r="B128" s="10">
        <v>192</v>
      </c>
      <c r="C128" s="10">
        <v>7</v>
      </c>
      <c r="D128" s="9" t="s">
        <v>230</v>
      </c>
      <c r="E128" s="150">
        <v>149.94106924626513</v>
      </c>
      <c r="F128" s="150">
        <v>149.94106924626516</v>
      </c>
      <c r="G128" s="150">
        <f t="shared" si="23"/>
        <v>0</v>
      </c>
      <c r="H128" s="151">
        <v>72701.149999999994</v>
      </c>
      <c r="I128" s="151">
        <v>72701.149999999994</v>
      </c>
      <c r="J128" s="151">
        <f t="shared" si="24"/>
        <v>0</v>
      </c>
      <c r="K128" s="151">
        <v>56</v>
      </c>
      <c r="L128" s="151">
        <v>1193.22</v>
      </c>
      <c r="M128" s="151">
        <f t="shared" si="25"/>
        <v>-1137.22</v>
      </c>
      <c r="N128" s="5">
        <f t="shared" si="17"/>
        <v>72645.149999999994</v>
      </c>
      <c r="O128" s="154">
        <f t="shared" si="17"/>
        <v>71507.929999999993</v>
      </c>
      <c r="P128" s="152">
        <f t="shared" si="26"/>
        <v>476.90689655250117</v>
      </c>
      <c r="Q128" s="6">
        <f t="shared" si="18"/>
        <v>476.90689655250117</v>
      </c>
      <c r="R128" s="5">
        <f t="shared" si="27"/>
        <v>71507.929999999993</v>
      </c>
      <c r="S128" s="151">
        <v>1419.7891713737599</v>
      </c>
      <c r="T128" s="195">
        <v>0.29722222222222222</v>
      </c>
      <c r="U128" s="154">
        <f t="shared" si="28"/>
        <v>16913.543209317504</v>
      </c>
      <c r="V128" s="154">
        <f t="shared" si="29"/>
        <v>6850.4656024049091</v>
      </c>
      <c r="W128" s="155">
        <f t="shared" si="19"/>
        <v>1508.1242694974776</v>
      </c>
      <c r="X128" s="199">
        <f t="shared" si="20"/>
        <v>48.84147224979521</v>
      </c>
      <c r="Y128" s="199">
        <f t="shared" si="30"/>
        <v>25320.974553469689</v>
      </c>
      <c r="Z128" s="200">
        <f t="shared" si="21"/>
        <v>0.35410023130958612</v>
      </c>
      <c r="AA128" s="199">
        <f t="shared" si="22"/>
        <v>25323.355991112905</v>
      </c>
      <c r="AC128" s="30">
        <v>25453.690721194966</v>
      </c>
      <c r="AD128" s="30">
        <f t="shared" si="31"/>
        <v>-130.33473008206056</v>
      </c>
    </row>
    <row r="129" spans="2:30" x14ac:dyDescent="0.25">
      <c r="B129" s="10">
        <v>205</v>
      </c>
      <c r="C129" s="10">
        <v>7</v>
      </c>
      <c r="D129" s="9" t="s">
        <v>231</v>
      </c>
      <c r="E129" s="150">
        <v>625.89653309421658</v>
      </c>
      <c r="F129" s="150">
        <v>630.75725531015246</v>
      </c>
      <c r="G129" s="150">
        <f t="shared" si="23"/>
        <v>4.8607222159358798</v>
      </c>
      <c r="H129" s="151">
        <v>401032.93</v>
      </c>
      <c r="I129" s="151">
        <v>398687.5</v>
      </c>
      <c r="J129" s="151">
        <f t="shared" si="24"/>
        <v>2345.429999999993</v>
      </c>
      <c r="K129" s="151">
        <v>18019.93</v>
      </c>
      <c r="L129" s="151">
        <v>18019.93</v>
      </c>
      <c r="M129" s="151">
        <f t="shared" si="25"/>
        <v>0</v>
      </c>
      <c r="N129" s="5">
        <f t="shared" si="17"/>
        <v>383013</v>
      </c>
      <c r="O129" s="154">
        <f t="shared" si="17"/>
        <v>380667.57</v>
      </c>
      <c r="P129" s="152">
        <f t="shared" si="26"/>
        <v>603.50882498025373</v>
      </c>
      <c r="Q129" s="6">
        <f t="shared" si="18"/>
        <v>603.50882498025373</v>
      </c>
      <c r="R129" s="5">
        <f t="shared" si="27"/>
        <v>380667.57</v>
      </c>
      <c r="S129" s="151">
        <v>2431.044815695886</v>
      </c>
      <c r="T129" s="195">
        <v>0.44999999999999996</v>
      </c>
      <c r="U129" s="154">
        <f t="shared" si="28"/>
        <v>90038.089392056194</v>
      </c>
      <c r="V129" s="154">
        <f t="shared" si="29"/>
        <v>28817.860928233717</v>
      </c>
      <c r="W129" s="155">
        <f t="shared" si="19"/>
        <v>12155.142067927587</v>
      </c>
      <c r="X129" s="199">
        <f t="shared" si="20"/>
        <v>260.0042338877937</v>
      </c>
      <c r="Y129" s="199">
        <f t="shared" si="30"/>
        <v>131271.09662210528</v>
      </c>
      <c r="Z129" s="200">
        <f t="shared" si="21"/>
        <v>0.34484444425382826</v>
      </c>
      <c r="AA129" s="199">
        <f t="shared" si="22"/>
        <v>131283.44266867242</v>
      </c>
      <c r="AC129" s="30">
        <v>130827.91505920763</v>
      </c>
      <c r="AD129" s="30">
        <f t="shared" si="31"/>
        <v>455.5276094647852</v>
      </c>
    </row>
    <row r="130" spans="2:30" x14ac:dyDescent="0.25">
      <c r="B130" s="10">
        <v>212</v>
      </c>
      <c r="C130" s="10">
        <v>7</v>
      </c>
      <c r="D130" s="9" t="s">
        <v>232</v>
      </c>
      <c r="E130" s="150">
        <v>599.50241692699865</v>
      </c>
      <c r="F130" s="150">
        <v>599.50241692699876</v>
      </c>
      <c r="G130" s="150">
        <f t="shared" si="23"/>
        <v>0</v>
      </c>
      <c r="H130" s="151">
        <v>225318.3</v>
      </c>
      <c r="I130" s="151">
        <v>225318.3</v>
      </c>
      <c r="J130" s="151">
        <f t="shared" si="24"/>
        <v>0</v>
      </c>
      <c r="K130" s="151">
        <v>609</v>
      </c>
      <c r="L130" s="151">
        <v>609</v>
      </c>
      <c r="M130" s="151">
        <f t="shared" si="25"/>
        <v>0</v>
      </c>
      <c r="N130" s="5">
        <f t="shared" si="17"/>
        <v>224709.3</v>
      </c>
      <c r="O130" s="154">
        <f t="shared" si="17"/>
        <v>224709.3</v>
      </c>
      <c r="P130" s="152">
        <f t="shared" si="26"/>
        <v>374.82634540798318</v>
      </c>
      <c r="Q130" s="6">
        <f t="shared" si="18"/>
        <v>374.82634540798318</v>
      </c>
      <c r="R130" s="5">
        <f t="shared" si="27"/>
        <v>224709.3</v>
      </c>
      <c r="S130" s="151">
        <v>2790.8074749805187</v>
      </c>
      <c r="T130" s="195">
        <v>0.19166666666666665</v>
      </c>
      <c r="U130" s="154">
        <f t="shared" si="28"/>
        <v>53149.775907168485</v>
      </c>
      <c r="V130" s="154">
        <f t="shared" si="29"/>
        <v>27389.898620582957</v>
      </c>
      <c r="W130" s="155">
        <f t="shared" si="19"/>
        <v>3056.1121146621877</v>
      </c>
      <c r="X130" s="199">
        <f t="shared" si="20"/>
        <v>153.48134172281183</v>
      </c>
      <c r="Y130" s="199">
        <f t="shared" si="30"/>
        <v>83749.267984136444</v>
      </c>
      <c r="Z130" s="200">
        <f t="shared" si="21"/>
        <v>0.3727004978616214</v>
      </c>
      <c r="AA130" s="199">
        <f t="shared" si="22"/>
        <v>83757.144602745582</v>
      </c>
      <c r="AC130" s="30">
        <v>83241.191410256928</v>
      </c>
      <c r="AD130" s="30">
        <f t="shared" si="31"/>
        <v>515.95319248865417</v>
      </c>
    </row>
    <row r="131" spans="2:30" x14ac:dyDescent="0.25">
      <c r="B131" s="10">
        <v>216</v>
      </c>
      <c r="C131" s="10">
        <v>7</v>
      </c>
      <c r="D131" s="9" t="s">
        <v>233</v>
      </c>
      <c r="E131" s="150">
        <v>837.96633182713322</v>
      </c>
      <c r="F131" s="150">
        <v>837.96633182713322</v>
      </c>
      <c r="G131" s="150">
        <f t="shared" si="23"/>
        <v>0</v>
      </c>
      <c r="H131" s="151">
        <v>313949.95</v>
      </c>
      <c r="I131" s="151">
        <v>313949.95</v>
      </c>
      <c r="J131" s="151">
        <f t="shared" si="24"/>
        <v>0</v>
      </c>
      <c r="K131" s="151">
        <v>240</v>
      </c>
      <c r="L131" s="151">
        <v>240</v>
      </c>
      <c r="M131" s="151">
        <f t="shared" si="25"/>
        <v>0</v>
      </c>
      <c r="N131" s="5">
        <f t="shared" si="17"/>
        <v>313709.95</v>
      </c>
      <c r="O131" s="154">
        <f t="shared" si="17"/>
        <v>313709.95</v>
      </c>
      <c r="P131" s="152">
        <f t="shared" si="26"/>
        <v>374.37058994479537</v>
      </c>
      <c r="Q131" s="6">
        <f t="shared" si="18"/>
        <v>374.37058994479537</v>
      </c>
      <c r="R131" s="5">
        <f t="shared" si="27"/>
        <v>313709.95</v>
      </c>
      <c r="S131" s="151">
        <v>0</v>
      </c>
      <c r="T131" s="195">
        <v>0.6333333333333333</v>
      </c>
      <c r="U131" s="154">
        <f t="shared" si="28"/>
        <v>74200.816532066237</v>
      </c>
      <c r="V131" s="154">
        <f t="shared" si="29"/>
        <v>38284.771217197267</v>
      </c>
      <c r="W131" s="155">
        <f t="shared" si="19"/>
        <v>14098.155141092584</v>
      </c>
      <c r="X131" s="199">
        <f t="shared" si="20"/>
        <v>214.27072238575002</v>
      </c>
      <c r="Y131" s="199">
        <f t="shared" si="30"/>
        <v>126798.01361274184</v>
      </c>
      <c r="Z131" s="200">
        <f t="shared" si="21"/>
        <v>0.4041886896247372</v>
      </c>
      <c r="AA131" s="199">
        <f t="shared" si="22"/>
        <v>126809.93896585432</v>
      </c>
      <c r="AC131" s="30">
        <v>126016.48431319813</v>
      </c>
      <c r="AD131" s="30">
        <f t="shared" si="31"/>
        <v>793.45465265618986</v>
      </c>
    </row>
    <row r="132" spans="2:30" x14ac:dyDescent="0.25">
      <c r="B132" s="10">
        <v>229</v>
      </c>
      <c r="C132" s="10">
        <v>7</v>
      </c>
      <c r="D132" s="9" t="s">
        <v>234</v>
      </c>
      <c r="E132" s="150">
        <v>869.47</v>
      </c>
      <c r="F132" s="150">
        <v>869.47</v>
      </c>
      <c r="G132" s="150">
        <f t="shared" si="23"/>
        <v>0</v>
      </c>
      <c r="H132" s="151">
        <v>370612.94</v>
      </c>
      <c r="I132" s="151">
        <v>370612.94</v>
      </c>
      <c r="J132" s="151">
        <f t="shared" si="24"/>
        <v>0</v>
      </c>
      <c r="K132" s="151">
        <v>111215.29000000001</v>
      </c>
      <c r="L132" s="151">
        <v>111474.16</v>
      </c>
      <c r="M132" s="151">
        <f t="shared" si="25"/>
        <v>-258.86999999999534</v>
      </c>
      <c r="N132" s="5">
        <f t="shared" si="17"/>
        <v>259397.65</v>
      </c>
      <c r="O132" s="154">
        <f t="shared" si="17"/>
        <v>259138.78</v>
      </c>
      <c r="P132" s="152">
        <f t="shared" si="26"/>
        <v>298.04223262447238</v>
      </c>
      <c r="Q132" s="6">
        <f t="shared" si="18"/>
        <v>298.04223262447238</v>
      </c>
      <c r="R132" s="5">
        <f t="shared" si="27"/>
        <v>259138.78</v>
      </c>
      <c r="S132" s="151">
        <v>7188.3973358148005</v>
      </c>
      <c r="T132" s="195">
        <v>0.58055555555555549</v>
      </c>
      <c r="U132" s="154">
        <f t="shared" si="28"/>
        <v>61293.271288091033</v>
      </c>
      <c r="V132" s="154">
        <f t="shared" si="29"/>
        <v>39724.101990631636</v>
      </c>
      <c r="W132" s="155">
        <f t="shared" si="19"/>
        <v>10675.244749342521</v>
      </c>
      <c r="X132" s="199">
        <f t="shared" si="20"/>
        <v>176.99742577104089</v>
      </c>
      <c r="Y132" s="199">
        <f t="shared" si="30"/>
        <v>111869.61545383623</v>
      </c>
      <c r="Z132" s="200">
        <f t="shared" si="21"/>
        <v>0.43169770056738027</v>
      </c>
      <c r="AA132" s="199">
        <f t="shared" si="22"/>
        <v>111880.13679110986</v>
      </c>
      <c r="AC132" s="30">
        <v>111273.54738657933</v>
      </c>
      <c r="AD132" s="30">
        <f t="shared" si="31"/>
        <v>606.58940453053219</v>
      </c>
    </row>
    <row r="133" spans="2:30" x14ac:dyDescent="0.25">
      <c r="B133" s="10">
        <v>236</v>
      </c>
      <c r="C133" s="10">
        <v>7</v>
      </c>
      <c r="D133" s="9" t="s">
        <v>235</v>
      </c>
      <c r="E133" s="150">
        <v>2379.4713793688134</v>
      </c>
      <c r="F133" s="150">
        <v>1196.8096114644429</v>
      </c>
      <c r="G133" s="150">
        <f t="shared" si="23"/>
        <v>-1182.6617679043704</v>
      </c>
      <c r="H133" s="151">
        <v>623754.34</v>
      </c>
      <c r="I133" s="151">
        <v>571209.78</v>
      </c>
      <c r="J133" s="151">
        <f t="shared" si="24"/>
        <v>52544.559999999939</v>
      </c>
      <c r="K133" s="151">
        <v>288651.96000000002</v>
      </c>
      <c r="L133" s="151">
        <v>141349.85999999999</v>
      </c>
      <c r="M133" s="151">
        <f t="shared" si="25"/>
        <v>147302.10000000003</v>
      </c>
      <c r="N133" s="5">
        <f t="shared" si="17"/>
        <v>335102.37999999995</v>
      </c>
      <c r="O133" s="154">
        <f t="shared" si="17"/>
        <v>429859.92000000004</v>
      </c>
      <c r="P133" s="152">
        <f t="shared" si="26"/>
        <v>359.17151390020496</v>
      </c>
      <c r="Q133" s="6">
        <f t="shared" si="18"/>
        <v>359.17151390020496</v>
      </c>
      <c r="R133" s="5">
        <f t="shared" si="27"/>
        <v>429859.92000000004</v>
      </c>
      <c r="S133" s="151">
        <v>3203.5173703556743</v>
      </c>
      <c r="T133" s="195">
        <v>0.54166666666666663</v>
      </c>
      <c r="U133" s="154">
        <f t="shared" si="28"/>
        <v>101673.39945197362</v>
      </c>
      <c r="V133" s="154">
        <f t="shared" si="29"/>
        <v>54679.502535086598</v>
      </c>
      <c r="W133" s="155">
        <f t="shared" si="19"/>
        <v>16521.927410945711</v>
      </c>
      <c r="X133" s="199">
        <f t="shared" si="20"/>
        <v>293.60367939582636</v>
      </c>
      <c r="Y133" s="199">
        <f t="shared" si="30"/>
        <v>173168.43307740174</v>
      </c>
      <c r="Z133" s="200">
        <f t="shared" si="21"/>
        <v>0.40284852115871078</v>
      </c>
      <c r="AA133" s="199">
        <f t="shared" si="22"/>
        <v>173184.71956844011</v>
      </c>
      <c r="AC133" s="30">
        <v>200019.15277704902</v>
      </c>
      <c r="AD133" s="30">
        <f t="shared" si="31"/>
        <v>-26834.433208608913</v>
      </c>
    </row>
    <row r="134" spans="2:30" x14ac:dyDescent="0.25">
      <c r="B134" s="10">
        <v>239</v>
      </c>
      <c r="C134" s="10">
        <v>7</v>
      </c>
      <c r="D134" s="9" t="s">
        <v>236</v>
      </c>
      <c r="E134" s="150">
        <v>3236.53</v>
      </c>
      <c r="F134" s="150">
        <v>3236.53</v>
      </c>
      <c r="G134" s="150">
        <f t="shared" si="23"/>
        <v>0</v>
      </c>
      <c r="H134" s="151">
        <v>1978264.39</v>
      </c>
      <c r="I134" s="151">
        <v>1978264.39</v>
      </c>
      <c r="J134" s="151">
        <f t="shared" si="24"/>
        <v>0</v>
      </c>
      <c r="K134" s="151">
        <v>522055.50000000006</v>
      </c>
      <c r="L134" s="151">
        <v>522055.5</v>
      </c>
      <c r="M134" s="151">
        <f t="shared" si="25"/>
        <v>0</v>
      </c>
      <c r="N134" s="5">
        <f t="shared" si="17"/>
        <v>1456208.89</v>
      </c>
      <c r="O134" s="154">
        <f t="shared" si="17"/>
        <v>1456208.89</v>
      </c>
      <c r="P134" s="152">
        <f t="shared" si="26"/>
        <v>449.92905673669014</v>
      </c>
      <c r="Q134" s="6">
        <f t="shared" si="18"/>
        <v>449.92905673669014</v>
      </c>
      <c r="R134" s="5">
        <f t="shared" si="27"/>
        <v>1456208.89</v>
      </c>
      <c r="S134" s="151">
        <v>31319.934557905719</v>
      </c>
      <c r="T134" s="195">
        <v>0.70555555555555549</v>
      </c>
      <c r="U134" s="154">
        <f t="shared" si="28"/>
        <v>344432.45641157957</v>
      </c>
      <c r="V134" s="154">
        <f t="shared" si="29"/>
        <v>147869.67671770044</v>
      </c>
      <c r="W134" s="155">
        <f t="shared" si="19"/>
        <v>72904.869940451012</v>
      </c>
      <c r="X134" s="199">
        <f t="shared" si="20"/>
        <v>994.62235993742354</v>
      </c>
      <c r="Y134" s="199">
        <f t="shared" si="30"/>
        <v>566201.62542966846</v>
      </c>
      <c r="Z134" s="200">
        <f t="shared" si="21"/>
        <v>0.38881895950358364</v>
      </c>
      <c r="AA134" s="199">
        <f t="shared" si="22"/>
        <v>566254.87669223745</v>
      </c>
      <c r="AC134" s="30">
        <v>562626.56323524204</v>
      </c>
      <c r="AD134" s="30">
        <f t="shared" si="31"/>
        <v>3628.3134569954127</v>
      </c>
    </row>
    <row r="135" spans="2:30" x14ac:dyDescent="0.25">
      <c r="B135" s="10">
        <v>249</v>
      </c>
      <c r="C135" s="10">
        <v>7</v>
      </c>
      <c r="D135" s="9" t="s">
        <v>237</v>
      </c>
      <c r="E135" s="150">
        <v>1371.2563800471394</v>
      </c>
      <c r="F135" s="150">
        <v>1371.2563800471396</v>
      </c>
      <c r="G135" s="150">
        <f t="shared" si="23"/>
        <v>0</v>
      </c>
      <c r="H135" s="151">
        <v>610038.64</v>
      </c>
      <c r="I135" s="151">
        <v>610038.64</v>
      </c>
      <c r="J135" s="151">
        <f t="shared" si="24"/>
        <v>0</v>
      </c>
      <c r="K135" s="151">
        <v>0</v>
      </c>
      <c r="L135" s="151">
        <v>0</v>
      </c>
      <c r="M135" s="151">
        <f t="shared" si="25"/>
        <v>0</v>
      </c>
      <c r="N135" s="5">
        <f t="shared" si="17"/>
        <v>610038.64</v>
      </c>
      <c r="O135" s="154">
        <f t="shared" si="17"/>
        <v>610038.64</v>
      </c>
      <c r="P135" s="152">
        <f t="shared" si="26"/>
        <v>444.87569857580445</v>
      </c>
      <c r="Q135" s="6">
        <f t="shared" si="18"/>
        <v>444.87569857580445</v>
      </c>
      <c r="R135" s="5">
        <f t="shared" si="27"/>
        <v>610038.64</v>
      </c>
      <c r="S135" s="151">
        <v>9738.0087795597574</v>
      </c>
      <c r="T135" s="195">
        <v>0.68055555555555558</v>
      </c>
      <c r="U135" s="154">
        <f t="shared" si="28"/>
        <v>144290.4989277873</v>
      </c>
      <c r="V135" s="154">
        <f t="shared" si="29"/>
        <v>62649.577669496241</v>
      </c>
      <c r="W135" s="155">
        <f t="shared" si="19"/>
        <v>29459.310197756571</v>
      </c>
      <c r="X135" s="199">
        <f t="shared" si="20"/>
        <v>416.66966596380036</v>
      </c>
      <c r="Y135" s="199">
        <f t="shared" si="30"/>
        <v>236816.0564610039</v>
      </c>
      <c r="Z135" s="200">
        <f t="shared" si="21"/>
        <v>0.38819845323405072</v>
      </c>
      <c r="AA135" s="199">
        <f t="shared" si="22"/>
        <v>236838.32901098745</v>
      </c>
      <c r="AC135" s="30">
        <v>235323.7809763565</v>
      </c>
      <c r="AD135" s="30">
        <f t="shared" si="31"/>
        <v>1514.5480346309487</v>
      </c>
    </row>
    <row r="136" spans="2:30" x14ac:dyDescent="0.25">
      <c r="B136" s="10">
        <v>271</v>
      </c>
      <c r="C136" s="10">
        <v>7</v>
      </c>
      <c r="D136" s="9" t="s">
        <v>238</v>
      </c>
      <c r="E136" s="150">
        <v>938.1</v>
      </c>
      <c r="F136" s="150">
        <v>938.1</v>
      </c>
      <c r="G136" s="150">
        <f t="shared" si="23"/>
        <v>0</v>
      </c>
      <c r="H136" s="151">
        <v>554039.35</v>
      </c>
      <c r="I136" s="151">
        <v>554039.35</v>
      </c>
      <c r="J136" s="151">
        <f t="shared" si="24"/>
        <v>0</v>
      </c>
      <c r="K136" s="151">
        <v>145141.21000000002</v>
      </c>
      <c r="L136" s="151">
        <v>145141.21</v>
      </c>
      <c r="M136" s="151">
        <f t="shared" si="25"/>
        <v>0</v>
      </c>
      <c r="N136" s="5">
        <f t="shared" si="17"/>
        <v>408898.13999999996</v>
      </c>
      <c r="O136" s="154">
        <f t="shared" si="17"/>
        <v>408898.14</v>
      </c>
      <c r="P136" s="152">
        <f t="shared" si="26"/>
        <v>435.87905340582029</v>
      </c>
      <c r="Q136" s="6">
        <f t="shared" si="18"/>
        <v>435.87905340582029</v>
      </c>
      <c r="R136" s="5">
        <f t="shared" si="27"/>
        <v>408898.14</v>
      </c>
      <c r="S136" s="151">
        <v>8624.2457002735828</v>
      </c>
      <c r="T136" s="195">
        <v>0.32499999999999996</v>
      </c>
      <c r="U136" s="154">
        <f t="shared" si="28"/>
        <v>96715.3763100059</v>
      </c>
      <c r="V136" s="154">
        <f t="shared" si="29"/>
        <v>42859.650220722433</v>
      </c>
      <c r="W136" s="155">
        <f t="shared" si="19"/>
        <v>9429.7491902255733</v>
      </c>
      <c r="X136" s="199">
        <f t="shared" si="20"/>
        <v>279.28632751364614</v>
      </c>
      <c r="Y136" s="199">
        <f t="shared" si="30"/>
        <v>149284.06204846755</v>
      </c>
      <c r="Z136" s="200">
        <f t="shared" si="21"/>
        <v>0.36508863074913361</v>
      </c>
      <c r="AA136" s="199">
        <f t="shared" si="22"/>
        <v>149298.10221442339</v>
      </c>
      <c r="AC136" s="30">
        <v>148356.3001520187</v>
      </c>
      <c r="AD136" s="30">
        <f t="shared" si="31"/>
        <v>941.80206240469124</v>
      </c>
    </row>
    <row r="137" spans="2:30" x14ac:dyDescent="0.25">
      <c r="B137" s="10">
        <v>275</v>
      </c>
      <c r="C137" s="10">
        <v>7</v>
      </c>
      <c r="D137" s="9" t="s">
        <v>239</v>
      </c>
      <c r="E137" s="150">
        <v>721.6514053442902</v>
      </c>
      <c r="F137" s="150">
        <v>721.65140534429031</v>
      </c>
      <c r="G137" s="150">
        <f t="shared" si="23"/>
        <v>0</v>
      </c>
      <c r="H137" s="151">
        <v>283220.88</v>
      </c>
      <c r="I137" s="151">
        <v>283220.88</v>
      </c>
      <c r="J137" s="151">
        <f t="shared" si="24"/>
        <v>0</v>
      </c>
      <c r="K137" s="151">
        <v>0</v>
      </c>
      <c r="L137" s="151">
        <v>115745.77</v>
      </c>
      <c r="M137" s="151">
        <f t="shared" si="25"/>
        <v>-115745.77</v>
      </c>
      <c r="N137" s="5">
        <f t="shared" si="17"/>
        <v>283220.88</v>
      </c>
      <c r="O137" s="154">
        <f t="shared" si="17"/>
        <v>167475.10999999999</v>
      </c>
      <c r="P137" s="152">
        <f t="shared" si="26"/>
        <v>232.07203472443851</v>
      </c>
      <c r="Q137" s="6">
        <f t="shared" si="18"/>
        <v>232.07203472443851</v>
      </c>
      <c r="R137" s="5">
        <f t="shared" si="27"/>
        <v>167475.10999999999</v>
      </c>
      <c r="S137" s="151">
        <v>3535.5303171381838</v>
      </c>
      <c r="T137" s="195">
        <v>0.38611111111111113</v>
      </c>
      <c r="U137" s="154">
        <f t="shared" si="28"/>
        <v>39612.355013915272</v>
      </c>
      <c r="V137" s="154">
        <f t="shared" si="29"/>
        <v>32970.607413227866</v>
      </c>
      <c r="W137" s="155">
        <f t="shared" si="19"/>
        <v>4588.4311224451867</v>
      </c>
      <c r="X137" s="199">
        <f t="shared" si="20"/>
        <v>114.3891444990283</v>
      </c>
      <c r="Y137" s="199">
        <f t="shared" si="30"/>
        <v>77285.782694087349</v>
      </c>
      <c r="Z137" s="200">
        <f t="shared" si="21"/>
        <v>0.46147623186566261</v>
      </c>
      <c r="AA137" s="199">
        <f t="shared" si="22"/>
        <v>77293.051421908414</v>
      </c>
      <c r="AC137" s="30">
        <v>107249.55664059073</v>
      </c>
      <c r="AD137" s="30">
        <f t="shared" si="31"/>
        <v>-29956.505218682316</v>
      </c>
    </row>
    <row r="138" spans="2:30" x14ac:dyDescent="0.25">
      <c r="B138" s="10">
        <v>282</v>
      </c>
      <c r="C138" s="10">
        <v>7</v>
      </c>
      <c r="D138" s="9" t="s">
        <v>240</v>
      </c>
      <c r="E138" s="150">
        <v>189.01371141588203</v>
      </c>
      <c r="F138" s="150">
        <v>189.01371141588206</v>
      </c>
      <c r="G138" s="150">
        <f t="shared" si="23"/>
        <v>0</v>
      </c>
      <c r="H138" s="151">
        <v>52164.47</v>
      </c>
      <c r="I138" s="151">
        <v>52164.47</v>
      </c>
      <c r="J138" s="151">
        <f t="shared" si="24"/>
        <v>0</v>
      </c>
      <c r="K138" s="151">
        <v>0</v>
      </c>
      <c r="L138" s="151">
        <v>0</v>
      </c>
      <c r="M138" s="151">
        <f t="shared" si="25"/>
        <v>0</v>
      </c>
      <c r="N138" s="5">
        <f t="shared" si="17"/>
        <v>52164.47</v>
      </c>
      <c r="O138" s="154">
        <f t="shared" si="17"/>
        <v>52164.47</v>
      </c>
      <c r="P138" s="152">
        <f t="shared" si="26"/>
        <v>275.98246502458147</v>
      </c>
      <c r="Q138" s="6">
        <f t="shared" si="18"/>
        <v>275.98246502458147</v>
      </c>
      <c r="R138" s="5">
        <f t="shared" si="27"/>
        <v>52164.470000000008</v>
      </c>
      <c r="S138" s="151">
        <v>0</v>
      </c>
      <c r="T138" s="195">
        <v>0.23333333333333334</v>
      </c>
      <c r="U138" s="154">
        <f t="shared" si="28"/>
        <v>12338.296148918686</v>
      </c>
      <c r="V138" s="154">
        <f t="shared" si="29"/>
        <v>8635.6055412059213</v>
      </c>
      <c r="W138" s="155">
        <f t="shared" si="19"/>
        <v>863.68073042430808</v>
      </c>
      <c r="X138" s="199">
        <f t="shared" si="20"/>
        <v>35.629468143327259</v>
      </c>
      <c r="Y138" s="199">
        <f t="shared" si="30"/>
        <v>21873.211888692244</v>
      </c>
      <c r="Z138" s="200">
        <f t="shared" si="21"/>
        <v>0.41931245325970418</v>
      </c>
      <c r="AA138" s="199">
        <f t="shared" si="22"/>
        <v>21875.269064258682</v>
      </c>
      <c r="AC138" s="30">
        <v>21745.940104926369</v>
      </c>
      <c r="AD138" s="30">
        <f t="shared" si="31"/>
        <v>129.32895933231339</v>
      </c>
    </row>
    <row r="139" spans="2:30" x14ac:dyDescent="0.25">
      <c r="B139" s="10">
        <v>287</v>
      </c>
      <c r="C139" s="10">
        <v>7</v>
      </c>
      <c r="D139" s="9" t="s">
        <v>241</v>
      </c>
      <c r="E139" s="150">
        <v>203.97475565086361</v>
      </c>
      <c r="F139" s="150">
        <v>203.97475565086364</v>
      </c>
      <c r="G139" s="150">
        <f t="shared" si="23"/>
        <v>0</v>
      </c>
      <c r="H139" s="151">
        <v>37956.800000000003</v>
      </c>
      <c r="I139" s="151">
        <v>37956.800000000003</v>
      </c>
      <c r="J139" s="151">
        <f t="shared" si="24"/>
        <v>0</v>
      </c>
      <c r="K139" s="151">
        <v>0</v>
      </c>
      <c r="L139" s="151">
        <v>0</v>
      </c>
      <c r="M139" s="151">
        <f t="shared" si="25"/>
        <v>0</v>
      </c>
      <c r="N139" s="5">
        <f t="shared" si="17"/>
        <v>37956.800000000003</v>
      </c>
      <c r="O139" s="154">
        <f t="shared" si="17"/>
        <v>37956.800000000003</v>
      </c>
      <c r="P139" s="152">
        <f t="shared" si="26"/>
        <v>186.08577261869263</v>
      </c>
      <c r="Q139" s="6">
        <f t="shared" si="18"/>
        <v>186.08577261869263</v>
      </c>
      <c r="R139" s="5">
        <f t="shared" si="27"/>
        <v>37956.800000000003</v>
      </c>
      <c r="S139" s="151">
        <v>0</v>
      </c>
      <c r="T139" s="195">
        <v>0.44999999999999996</v>
      </c>
      <c r="U139" s="154">
        <f t="shared" si="28"/>
        <v>8977.8011597793811</v>
      </c>
      <c r="V139" s="154">
        <f t="shared" si="29"/>
        <v>9319.1415425363411</v>
      </c>
      <c r="W139" s="155">
        <f t="shared" si="19"/>
        <v>1212.0031565702166</v>
      </c>
      <c r="X139" s="199">
        <f t="shared" si="20"/>
        <v>25.925320365042413</v>
      </c>
      <c r="Y139" s="199">
        <f t="shared" si="30"/>
        <v>19534.871179250982</v>
      </c>
      <c r="Z139" s="200">
        <f t="shared" si="21"/>
        <v>0.51466064524014088</v>
      </c>
      <c r="AA139" s="199">
        <f t="shared" si="22"/>
        <v>19536.708433874948</v>
      </c>
      <c r="AC139" s="30">
        <v>19427.062288104393</v>
      </c>
      <c r="AD139" s="30">
        <f t="shared" si="31"/>
        <v>109.64614577055545</v>
      </c>
    </row>
    <row r="140" spans="2:30" x14ac:dyDescent="0.25">
      <c r="B140" s="10">
        <v>290</v>
      </c>
      <c r="C140" s="10">
        <v>7</v>
      </c>
      <c r="D140" s="9" t="s">
        <v>242</v>
      </c>
      <c r="E140" s="150">
        <v>439.97</v>
      </c>
      <c r="F140" s="150">
        <v>439.97</v>
      </c>
      <c r="G140" s="150">
        <f t="shared" si="23"/>
        <v>0</v>
      </c>
      <c r="H140" s="151">
        <v>168243.17</v>
      </c>
      <c r="I140" s="151">
        <v>168243.17</v>
      </c>
      <c r="J140" s="151">
        <f t="shared" si="24"/>
        <v>0</v>
      </c>
      <c r="K140" s="151">
        <v>0</v>
      </c>
      <c r="L140" s="151">
        <v>0</v>
      </c>
      <c r="M140" s="151">
        <f t="shared" si="25"/>
        <v>0</v>
      </c>
      <c r="N140" s="5">
        <f t="shared" si="17"/>
        <v>168243.17</v>
      </c>
      <c r="O140" s="154">
        <f t="shared" si="17"/>
        <v>168243.17</v>
      </c>
      <c r="P140" s="152">
        <f t="shared" si="26"/>
        <v>382.39691342591539</v>
      </c>
      <c r="Q140" s="6">
        <f t="shared" si="18"/>
        <v>382.39691342591539</v>
      </c>
      <c r="R140" s="5">
        <f t="shared" si="27"/>
        <v>168243.17</v>
      </c>
      <c r="S140" s="151">
        <v>416.86760430320834</v>
      </c>
      <c r="T140" s="195">
        <v>0.70277777777777783</v>
      </c>
      <c r="U140" s="154">
        <f t="shared" si="28"/>
        <v>39794.021802442767</v>
      </c>
      <c r="V140" s="154">
        <f t="shared" si="29"/>
        <v>20101.226210010922</v>
      </c>
      <c r="W140" s="155">
        <f t="shared" si="19"/>
        <v>8389.90626334835</v>
      </c>
      <c r="X140" s="199">
        <f t="shared" si="20"/>
        <v>114.9137461925213</v>
      </c>
      <c r="Y140" s="199">
        <f t="shared" si="30"/>
        <v>68400.068021994564</v>
      </c>
      <c r="Z140" s="200">
        <f t="shared" si="21"/>
        <v>0.40655479816502837</v>
      </c>
      <c r="AA140" s="199">
        <f t="shared" si="22"/>
        <v>68406.501048355465</v>
      </c>
      <c r="AC140" s="30">
        <v>67976.407872198863</v>
      </c>
      <c r="AD140" s="30">
        <f t="shared" si="31"/>
        <v>430.09317615660257</v>
      </c>
    </row>
    <row r="141" spans="2:30" x14ac:dyDescent="0.25">
      <c r="B141" s="10">
        <v>294</v>
      </c>
      <c r="C141" s="10">
        <v>7</v>
      </c>
      <c r="D141" s="9" t="s">
        <v>243</v>
      </c>
      <c r="E141" s="150">
        <v>1210.186258333242</v>
      </c>
      <c r="F141" s="150">
        <v>1210.1862583332422</v>
      </c>
      <c r="G141" s="150">
        <f t="shared" si="23"/>
        <v>0</v>
      </c>
      <c r="H141" s="151">
        <v>541727.86</v>
      </c>
      <c r="I141" s="151">
        <v>541727.86</v>
      </c>
      <c r="J141" s="151">
        <f t="shared" si="24"/>
        <v>0</v>
      </c>
      <c r="K141" s="151">
        <v>924</v>
      </c>
      <c r="L141" s="151">
        <v>924</v>
      </c>
      <c r="M141" s="151">
        <f t="shared" si="25"/>
        <v>0</v>
      </c>
      <c r="N141" s="5">
        <f t="shared" si="17"/>
        <v>540803.86</v>
      </c>
      <c r="O141" s="154">
        <f t="shared" si="17"/>
        <v>540803.86</v>
      </c>
      <c r="P141" s="152">
        <f t="shared" si="26"/>
        <v>446.87655001539594</v>
      </c>
      <c r="Q141" s="6">
        <f t="shared" si="18"/>
        <v>446.87655001539594</v>
      </c>
      <c r="R141" s="5">
        <f t="shared" si="27"/>
        <v>540803.86</v>
      </c>
      <c r="S141" s="151">
        <v>0</v>
      </c>
      <c r="T141" s="195">
        <v>0.58333333333333326</v>
      </c>
      <c r="U141" s="154">
        <f t="shared" si="28"/>
        <v>127914.61665686163</v>
      </c>
      <c r="V141" s="154">
        <f t="shared" si="29"/>
        <v>55290.651033032293</v>
      </c>
      <c r="W141" s="155">
        <f t="shared" si="19"/>
        <v>22385.057914950783</v>
      </c>
      <c r="X141" s="199">
        <f t="shared" si="20"/>
        <v>369.38080462925075</v>
      </c>
      <c r="Y141" s="199">
        <f t="shared" si="30"/>
        <v>205959.70640947396</v>
      </c>
      <c r="Z141" s="200">
        <f t="shared" si="21"/>
        <v>0.380839934111184</v>
      </c>
      <c r="AA141" s="199">
        <f t="shared" si="22"/>
        <v>205979.07691975165</v>
      </c>
      <c r="AC141" s="30">
        <v>204665.02945913759</v>
      </c>
      <c r="AD141" s="30">
        <f t="shared" si="31"/>
        <v>1314.0474606140633</v>
      </c>
    </row>
    <row r="142" spans="2:30" x14ac:dyDescent="0.25">
      <c r="B142" s="10">
        <v>296</v>
      </c>
      <c r="C142" s="10">
        <v>7</v>
      </c>
      <c r="D142" s="9" t="s">
        <v>244</v>
      </c>
      <c r="E142" s="150">
        <v>934.22</v>
      </c>
      <c r="F142" s="150">
        <v>934.22</v>
      </c>
      <c r="G142" s="150">
        <f t="shared" si="23"/>
        <v>0</v>
      </c>
      <c r="H142" s="151">
        <v>753475.36</v>
      </c>
      <c r="I142" s="151">
        <v>753475.36</v>
      </c>
      <c r="J142" s="151">
        <f t="shared" si="24"/>
        <v>0</v>
      </c>
      <c r="K142" s="151">
        <v>176756.95</v>
      </c>
      <c r="L142" s="151">
        <v>176756.95</v>
      </c>
      <c r="M142" s="151">
        <f t="shared" si="25"/>
        <v>0</v>
      </c>
      <c r="N142" s="5">
        <f t="shared" si="17"/>
        <v>576718.40999999992</v>
      </c>
      <c r="O142" s="154">
        <f t="shared" si="17"/>
        <v>576718.40999999992</v>
      </c>
      <c r="P142" s="152">
        <f t="shared" si="26"/>
        <v>617.32612232664667</v>
      </c>
      <c r="Q142" s="6">
        <f t="shared" si="18"/>
        <v>617.32612232664667</v>
      </c>
      <c r="R142" s="5">
        <f t="shared" si="27"/>
        <v>576718.40999999992</v>
      </c>
      <c r="S142" s="151">
        <v>3409.9829636520344</v>
      </c>
      <c r="T142" s="195">
        <v>0.17499999999999999</v>
      </c>
      <c r="U142" s="154">
        <f t="shared" si="28"/>
        <v>136409.37092073407</v>
      </c>
      <c r="V142" s="154">
        <f t="shared" si="29"/>
        <v>42682.381866755473</v>
      </c>
      <c r="W142" s="155">
        <f t="shared" si="19"/>
        <v>7161.4919733385386</v>
      </c>
      <c r="X142" s="199">
        <f t="shared" si="20"/>
        <v>393.91122380358394</v>
      </c>
      <c r="Y142" s="199">
        <f t="shared" si="30"/>
        <v>186647.15598463168</v>
      </c>
      <c r="Z142" s="200">
        <f t="shared" si="21"/>
        <v>0.32363654904762224</v>
      </c>
      <c r="AA142" s="199">
        <f t="shared" si="22"/>
        <v>186664.71014955224</v>
      </c>
      <c r="AC142" s="30">
        <v>185447.55109163126</v>
      </c>
      <c r="AD142" s="30">
        <f t="shared" si="31"/>
        <v>1217.1590579209733</v>
      </c>
    </row>
    <row r="143" spans="2:30" x14ac:dyDescent="0.25">
      <c r="B143" s="10">
        <v>301</v>
      </c>
      <c r="C143" s="10">
        <v>7</v>
      </c>
      <c r="D143" s="9" t="s">
        <v>245</v>
      </c>
      <c r="E143" s="150">
        <v>616.62806472424938</v>
      </c>
      <c r="F143" s="150">
        <v>616.62806472424938</v>
      </c>
      <c r="G143" s="150">
        <f t="shared" si="23"/>
        <v>0</v>
      </c>
      <c r="H143" s="151">
        <v>272472.69</v>
      </c>
      <c r="I143" s="151">
        <v>272472.69</v>
      </c>
      <c r="J143" s="151">
        <f t="shared" si="24"/>
        <v>0</v>
      </c>
      <c r="K143" s="151">
        <v>115</v>
      </c>
      <c r="L143" s="151">
        <v>115</v>
      </c>
      <c r="M143" s="151">
        <f t="shared" si="25"/>
        <v>0</v>
      </c>
      <c r="N143" s="5">
        <f t="shared" si="17"/>
        <v>272357.69</v>
      </c>
      <c r="O143" s="154">
        <f t="shared" si="17"/>
        <v>272357.69</v>
      </c>
      <c r="P143" s="152">
        <f t="shared" si="26"/>
        <v>441.6887676395267</v>
      </c>
      <c r="Q143" s="6">
        <f t="shared" si="18"/>
        <v>441.6887676395267</v>
      </c>
      <c r="R143" s="5">
        <f t="shared" si="27"/>
        <v>272357.69</v>
      </c>
      <c r="S143" s="151">
        <v>2940.2607938102278</v>
      </c>
      <c r="T143" s="195">
        <v>0.25</v>
      </c>
      <c r="U143" s="154">
        <f t="shared" si="28"/>
        <v>64419.898019770706</v>
      </c>
      <c r="V143" s="154">
        <f t="shared" si="29"/>
        <v>28172.330423582051</v>
      </c>
      <c r="W143" s="155">
        <f t="shared" si="19"/>
        <v>4831.4923514828033</v>
      </c>
      <c r="X143" s="199">
        <f t="shared" si="20"/>
        <v>186.02622895325493</v>
      </c>
      <c r="Y143" s="199">
        <f t="shared" si="30"/>
        <v>97609.747023788805</v>
      </c>
      <c r="Z143" s="200">
        <f t="shared" si="21"/>
        <v>0.35838807056921657</v>
      </c>
      <c r="AA143" s="199">
        <f t="shared" si="22"/>
        <v>97618.92722044421</v>
      </c>
      <c r="AC143" s="30">
        <v>97003.759769270357</v>
      </c>
      <c r="AD143" s="30">
        <f t="shared" si="31"/>
        <v>615.1674511738529</v>
      </c>
    </row>
    <row r="144" spans="2:30" x14ac:dyDescent="0.25">
      <c r="B144" s="10">
        <v>321</v>
      </c>
      <c r="C144" s="10">
        <v>7</v>
      </c>
      <c r="D144" s="9" t="s">
        <v>246</v>
      </c>
      <c r="E144" s="150">
        <v>547.36</v>
      </c>
      <c r="F144" s="150">
        <v>547.36</v>
      </c>
      <c r="G144" s="150">
        <f t="shared" si="23"/>
        <v>0</v>
      </c>
      <c r="H144" s="151">
        <v>507634.43</v>
      </c>
      <c r="I144" s="151">
        <v>507634.43</v>
      </c>
      <c r="J144" s="151">
        <f t="shared" si="24"/>
        <v>0</v>
      </c>
      <c r="K144" s="151">
        <v>47313.46</v>
      </c>
      <c r="L144" s="151">
        <v>47313.46</v>
      </c>
      <c r="M144" s="151">
        <f t="shared" si="25"/>
        <v>0</v>
      </c>
      <c r="N144" s="5">
        <f t="shared" si="17"/>
        <v>460320.97</v>
      </c>
      <c r="O144" s="154">
        <f t="shared" si="17"/>
        <v>460320.97</v>
      </c>
      <c r="P144" s="152">
        <f t="shared" si="26"/>
        <v>840.98394109909373</v>
      </c>
      <c r="Q144" s="6">
        <f t="shared" si="18"/>
        <v>655.20137599530074</v>
      </c>
      <c r="R144" s="5">
        <f t="shared" si="27"/>
        <v>358631.02516478783</v>
      </c>
      <c r="S144" s="151">
        <v>0</v>
      </c>
      <c r="T144" s="195">
        <v>0.26944444444444443</v>
      </c>
      <c r="U144" s="154">
        <f t="shared" si="28"/>
        <v>84825.855542545745</v>
      </c>
      <c r="V144" s="154">
        <f t="shared" si="29"/>
        <v>25007.630470967521</v>
      </c>
      <c r="W144" s="155">
        <f t="shared" si="19"/>
        <v>6856.7566563557821</v>
      </c>
      <c r="X144" s="199">
        <f t="shared" si="20"/>
        <v>244.95279423557074</v>
      </c>
      <c r="Y144" s="199">
        <f t="shared" si="30"/>
        <v>116935.1954641046</v>
      </c>
      <c r="Z144" s="200">
        <f t="shared" si="21"/>
        <v>0.32605989794210888</v>
      </c>
      <c r="AA144" s="199">
        <f t="shared" si="22"/>
        <v>116946.19321917549</v>
      </c>
      <c r="AC144" s="30">
        <v>116259.73677321382</v>
      </c>
      <c r="AD144" s="30">
        <f t="shared" si="31"/>
        <v>686.45644596166676</v>
      </c>
    </row>
    <row r="145" spans="2:30" x14ac:dyDescent="0.25">
      <c r="B145" s="10">
        <v>325</v>
      </c>
      <c r="C145" s="10">
        <v>7</v>
      </c>
      <c r="D145" s="9" t="s">
        <v>247</v>
      </c>
      <c r="E145" s="150">
        <v>384.99507406905633</v>
      </c>
      <c r="F145" s="150">
        <v>384.99507406905633</v>
      </c>
      <c r="G145" s="150">
        <f t="shared" si="23"/>
        <v>0</v>
      </c>
      <c r="H145" s="151">
        <v>177387.63</v>
      </c>
      <c r="I145" s="151">
        <v>177387.63</v>
      </c>
      <c r="J145" s="151">
        <f t="shared" si="24"/>
        <v>0</v>
      </c>
      <c r="K145" s="151">
        <v>280</v>
      </c>
      <c r="L145" s="151">
        <v>280</v>
      </c>
      <c r="M145" s="151">
        <f t="shared" si="25"/>
        <v>0</v>
      </c>
      <c r="N145" s="5">
        <f t="shared" si="17"/>
        <v>177107.63</v>
      </c>
      <c r="O145" s="154">
        <f t="shared" si="17"/>
        <v>177107.63</v>
      </c>
      <c r="P145" s="152">
        <f t="shared" si="26"/>
        <v>460.02570403857248</v>
      </c>
      <c r="Q145" s="6">
        <f t="shared" si="18"/>
        <v>460.02570403857248</v>
      </c>
      <c r="R145" s="5">
        <f t="shared" si="27"/>
        <v>177107.63</v>
      </c>
      <c r="S145" s="151">
        <v>0</v>
      </c>
      <c r="T145" s="195">
        <v>0.19166666666666665</v>
      </c>
      <c r="U145" s="154">
        <f t="shared" si="28"/>
        <v>41890.704327545463</v>
      </c>
      <c r="V145" s="154">
        <f t="shared" si="29"/>
        <v>17589.547181857881</v>
      </c>
      <c r="W145" s="155">
        <f t="shared" si="19"/>
        <v>2408.7154988338639</v>
      </c>
      <c r="X145" s="199">
        <f t="shared" si="20"/>
        <v>120.9683652690268</v>
      </c>
      <c r="Y145" s="199">
        <f t="shared" si="30"/>
        <v>62009.93537350624</v>
      </c>
      <c r="Z145" s="200">
        <f t="shared" si="21"/>
        <v>0.35012571380186297</v>
      </c>
      <c r="AA145" s="199">
        <f t="shared" si="22"/>
        <v>62015.767407894964</v>
      </c>
      <c r="AC145" s="30">
        <v>61623.876990715144</v>
      </c>
      <c r="AD145" s="30">
        <f t="shared" si="31"/>
        <v>391.89041717982036</v>
      </c>
    </row>
    <row r="146" spans="2:30" x14ac:dyDescent="0.25">
      <c r="B146" s="10">
        <v>346</v>
      </c>
      <c r="C146" s="10">
        <v>7</v>
      </c>
      <c r="D146" s="9" t="s">
        <v>248</v>
      </c>
      <c r="E146" s="150">
        <v>200.28762986349014</v>
      </c>
      <c r="F146" s="150">
        <v>200.28762986349014</v>
      </c>
      <c r="G146" s="150">
        <f t="shared" si="23"/>
        <v>0</v>
      </c>
      <c r="H146" s="151">
        <v>74147.02</v>
      </c>
      <c r="I146" s="151">
        <v>74147.02</v>
      </c>
      <c r="J146" s="151">
        <f t="shared" si="24"/>
        <v>0</v>
      </c>
      <c r="K146" s="151">
        <v>0</v>
      </c>
      <c r="L146" s="151">
        <v>0</v>
      </c>
      <c r="M146" s="151">
        <f t="shared" si="25"/>
        <v>0</v>
      </c>
      <c r="N146" s="5">
        <f t="shared" si="17"/>
        <v>74147.02</v>
      </c>
      <c r="O146" s="154">
        <f t="shared" si="17"/>
        <v>74147.02</v>
      </c>
      <c r="P146" s="152">
        <f t="shared" si="26"/>
        <v>370.20269324938499</v>
      </c>
      <c r="Q146" s="6">
        <f t="shared" si="18"/>
        <v>370.20269324938499</v>
      </c>
      <c r="R146" s="5">
        <f t="shared" si="27"/>
        <v>74147.02</v>
      </c>
      <c r="S146" s="151">
        <v>0</v>
      </c>
      <c r="T146" s="195">
        <v>9.9999999999999992E-2</v>
      </c>
      <c r="U146" s="154">
        <f t="shared" si="28"/>
        <v>17537.758771819146</v>
      </c>
      <c r="V146" s="154">
        <f t="shared" si="29"/>
        <v>9150.6851716093242</v>
      </c>
      <c r="W146" s="155">
        <f t="shared" si="19"/>
        <v>526.13276315457438</v>
      </c>
      <c r="X146" s="199">
        <f t="shared" si="20"/>
        <v>50.644028148137011</v>
      </c>
      <c r="Y146" s="199">
        <f t="shared" si="30"/>
        <v>27265.220734731185</v>
      </c>
      <c r="Z146" s="200">
        <f t="shared" si="21"/>
        <v>0.3677183619076152</v>
      </c>
      <c r="AA146" s="199">
        <f t="shared" si="22"/>
        <v>27267.78502872671</v>
      </c>
      <c r="AC146" s="30">
        <v>27100.699633129909</v>
      </c>
      <c r="AD146" s="30">
        <f t="shared" si="31"/>
        <v>167.08539559680139</v>
      </c>
    </row>
    <row r="147" spans="2:30" x14ac:dyDescent="0.25">
      <c r="B147" s="10">
        <v>358</v>
      </c>
      <c r="C147" s="10">
        <v>7</v>
      </c>
      <c r="D147" s="9" t="s">
        <v>249</v>
      </c>
      <c r="E147" s="150">
        <v>410.73</v>
      </c>
      <c r="F147" s="150">
        <v>410.73</v>
      </c>
      <c r="G147" s="150">
        <f t="shared" si="23"/>
        <v>0</v>
      </c>
      <c r="H147" s="151">
        <v>203014.54</v>
      </c>
      <c r="I147" s="151">
        <v>203014.54</v>
      </c>
      <c r="J147" s="151">
        <f t="shared" si="24"/>
        <v>0</v>
      </c>
      <c r="K147" s="151">
        <v>51764.670000000006</v>
      </c>
      <c r="L147" s="151">
        <v>51764.67</v>
      </c>
      <c r="M147" s="151">
        <f t="shared" si="25"/>
        <v>0</v>
      </c>
      <c r="N147" s="5">
        <f t="shared" si="17"/>
        <v>151249.87</v>
      </c>
      <c r="O147" s="154">
        <f t="shared" si="17"/>
        <v>151249.87</v>
      </c>
      <c r="P147" s="152">
        <f t="shared" si="26"/>
        <v>368.24646361356605</v>
      </c>
      <c r="Q147" s="6">
        <f t="shared" si="18"/>
        <v>368.24646361356605</v>
      </c>
      <c r="R147" s="5">
        <f t="shared" si="27"/>
        <v>151249.87</v>
      </c>
      <c r="S147" s="151">
        <v>4191.418706184636</v>
      </c>
      <c r="T147" s="195">
        <v>0.59166666666666656</v>
      </c>
      <c r="U147" s="154">
        <f t="shared" si="28"/>
        <v>35774.650610759614</v>
      </c>
      <c r="V147" s="154">
        <f t="shared" si="29"/>
        <v>18765.317274445501</v>
      </c>
      <c r="W147" s="155">
        <f t="shared" si="19"/>
        <v>6350.0004834098308</v>
      </c>
      <c r="X147" s="199">
        <f t="shared" si="20"/>
        <v>103.30695250708744</v>
      </c>
      <c r="Y147" s="199">
        <f t="shared" si="30"/>
        <v>60993.275321122033</v>
      </c>
      <c r="Z147" s="200">
        <f t="shared" si="21"/>
        <v>0.40326167104224309</v>
      </c>
      <c r="AA147" s="199">
        <f t="shared" si="22"/>
        <v>60999.011738633373</v>
      </c>
      <c r="AC147" s="30">
        <v>60618.646816758672</v>
      </c>
      <c r="AD147" s="30">
        <f t="shared" si="31"/>
        <v>380.36492187470139</v>
      </c>
    </row>
    <row r="148" spans="2:30" x14ac:dyDescent="0.25">
      <c r="B148" s="10">
        <v>361</v>
      </c>
      <c r="C148" s="10">
        <v>7</v>
      </c>
      <c r="D148" s="9" t="s">
        <v>250</v>
      </c>
      <c r="E148" s="150">
        <v>1556.1241778565297</v>
      </c>
      <c r="F148" s="150">
        <v>1556.1241778565295</v>
      </c>
      <c r="G148" s="150">
        <f t="shared" si="23"/>
        <v>0</v>
      </c>
      <c r="H148" s="151">
        <v>369780.13</v>
      </c>
      <c r="I148" s="151">
        <v>369780.13</v>
      </c>
      <c r="J148" s="151">
        <f t="shared" si="24"/>
        <v>0</v>
      </c>
      <c r="K148" s="151">
        <v>6301</v>
      </c>
      <c r="L148" s="151">
        <v>6301</v>
      </c>
      <c r="M148" s="151">
        <f t="shared" si="25"/>
        <v>0</v>
      </c>
      <c r="N148" s="5">
        <f t="shared" si="17"/>
        <v>363479.13</v>
      </c>
      <c r="O148" s="154">
        <f t="shared" si="17"/>
        <v>363479.13</v>
      </c>
      <c r="P148" s="152">
        <f t="shared" si="26"/>
        <v>233.57977157110389</v>
      </c>
      <c r="Q148" s="6">
        <f t="shared" si="18"/>
        <v>233.57977157110389</v>
      </c>
      <c r="R148" s="5">
        <f t="shared" si="27"/>
        <v>363479.13</v>
      </c>
      <c r="S148" s="151">
        <v>0</v>
      </c>
      <c r="T148" s="195">
        <v>0.43055555555555552</v>
      </c>
      <c r="U148" s="154">
        <f t="shared" si="28"/>
        <v>85972.562356932103</v>
      </c>
      <c r="V148" s="154">
        <f t="shared" si="29"/>
        <v>71095.765870312447</v>
      </c>
      <c r="W148" s="155">
        <f t="shared" si="19"/>
        <v>11104.789304437063</v>
      </c>
      <c r="X148" s="199">
        <f t="shared" si="20"/>
        <v>248.26415533598455</v>
      </c>
      <c r="Y148" s="199">
        <f t="shared" si="30"/>
        <v>168421.38168701759</v>
      </c>
      <c r="Z148" s="200">
        <f t="shared" si="21"/>
        <v>0.46335915266171568</v>
      </c>
      <c r="AA148" s="199">
        <f t="shared" si="22"/>
        <v>168437.22171787522</v>
      </c>
      <c r="AC148" s="30">
        <v>167457.96900149947</v>
      </c>
      <c r="AD148" s="30">
        <f t="shared" si="31"/>
        <v>979.2527163757477</v>
      </c>
    </row>
    <row r="149" spans="2:30" x14ac:dyDescent="0.25">
      <c r="B149" s="10">
        <v>376</v>
      </c>
      <c r="C149" s="10">
        <v>7</v>
      </c>
      <c r="D149" s="9" t="s">
        <v>251</v>
      </c>
      <c r="E149" s="150">
        <v>731.46242885301081</v>
      </c>
      <c r="F149" s="150">
        <v>731.46242885301081</v>
      </c>
      <c r="G149" s="150">
        <f t="shared" si="23"/>
        <v>0</v>
      </c>
      <c r="H149" s="151">
        <v>304165.14</v>
      </c>
      <c r="I149" s="151">
        <v>304165.14</v>
      </c>
      <c r="J149" s="151">
        <f t="shared" si="24"/>
        <v>0</v>
      </c>
      <c r="K149" s="151">
        <v>200</v>
      </c>
      <c r="L149" s="151">
        <v>200</v>
      </c>
      <c r="M149" s="151">
        <f t="shared" si="25"/>
        <v>0</v>
      </c>
      <c r="N149" s="5">
        <f t="shared" si="17"/>
        <v>303965.14</v>
      </c>
      <c r="O149" s="154">
        <f t="shared" si="17"/>
        <v>303965.14</v>
      </c>
      <c r="P149" s="152">
        <f t="shared" si="26"/>
        <v>415.55810388872698</v>
      </c>
      <c r="Q149" s="6">
        <f t="shared" si="18"/>
        <v>415.55810388872698</v>
      </c>
      <c r="R149" s="5">
        <f t="shared" si="27"/>
        <v>303965.14</v>
      </c>
      <c r="S149" s="151">
        <v>0</v>
      </c>
      <c r="T149" s="195">
        <v>0.25</v>
      </c>
      <c r="U149" s="154">
        <f t="shared" si="28"/>
        <v>71895.907621941311</v>
      </c>
      <c r="V149" s="154">
        <f t="shared" si="29"/>
        <v>33418.8507091356</v>
      </c>
      <c r="W149" s="155">
        <f t="shared" si="19"/>
        <v>5392.193071645599</v>
      </c>
      <c r="X149" s="199">
        <f t="shared" si="20"/>
        <v>207.61480510224698</v>
      </c>
      <c r="Y149" s="199">
        <f t="shared" si="30"/>
        <v>110914.56620782476</v>
      </c>
      <c r="Z149" s="200">
        <f t="shared" si="21"/>
        <v>0.36489238933064744</v>
      </c>
      <c r="AA149" s="199">
        <f t="shared" si="22"/>
        <v>110924.99772271731</v>
      </c>
      <c r="AC149" s="30">
        <v>110231.13807015789</v>
      </c>
      <c r="AD149" s="30">
        <f t="shared" si="31"/>
        <v>693.85965255941846</v>
      </c>
    </row>
    <row r="150" spans="2:30" x14ac:dyDescent="0.25">
      <c r="B150" s="10">
        <v>382</v>
      </c>
      <c r="C150" s="10">
        <v>7</v>
      </c>
      <c r="D150" s="9" t="s">
        <v>252</v>
      </c>
      <c r="E150" s="150">
        <v>168.66</v>
      </c>
      <c r="F150" s="150">
        <v>168.66</v>
      </c>
      <c r="G150" s="150">
        <f t="shared" si="23"/>
        <v>0</v>
      </c>
      <c r="H150" s="151">
        <v>112439.91</v>
      </c>
      <c r="I150" s="151">
        <v>109115.45</v>
      </c>
      <c r="J150" s="151">
        <f t="shared" si="24"/>
        <v>3324.4600000000064</v>
      </c>
      <c r="K150" s="151">
        <v>21630.1</v>
      </c>
      <c r="L150" s="151">
        <v>23797.72</v>
      </c>
      <c r="M150" s="151">
        <f t="shared" si="25"/>
        <v>-2167.6200000000026</v>
      </c>
      <c r="N150" s="5">
        <f t="shared" si="17"/>
        <v>90809.81</v>
      </c>
      <c r="O150" s="154">
        <f t="shared" si="17"/>
        <v>85317.73</v>
      </c>
      <c r="P150" s="152">
        <f t="shared" si="26"/>
        <v>505.85633819518557</v>
      </c>
      <c r="Q150" s="6">
        <f t="shared" si="18"/>
        <v>505.85633819518557</v>
      </c>
      <c r="R150" s="5">
        <f t="shared" si="27"/>
        <v>85317.73</v>
      </c>
      <c r="S150" s="151">
        <v>0</v>
      </c>
      <c r="T150" s="195">
        <v>0.6972222222222223</v>
      </c>
      <c r="U150" s="154">
        <f t="shared" si="28"/>
        <v>20179.931273019432</v>
      </c>
      <c r="V150" s="154">
        <f t="shared" si="29"/>
        <v>7705.6908711513106</v>
      </c>
      <c r="W150" s="155">
        <f t="shared" si="19"/>
        <v>4220.9689579398982</v>
      </c>
      <c r="X150" s="199">
        <f t="shared" si="20"/>
        <v>58.273866160166023</v>
      </c>
      <c r="Y150" s="199">
        <f t="shared" si="30"/>
        <v>32164.864968270806</v>
      </c>
      <c r="Z150" s="200">
        <f t="shared" si="21"/>
        <v>0.3770009465590658</v>
      </c>
      <c r="AA150" s="199">
        <f t="shared" si="22"/>
        <v>32167.890073803876</v>
      </c>
      <c r="AC150" s="30">
        <v>33522.258269492282</v>
      </c>
      <c r="AD150" s="30">
        <f t="shared" si="31"/>
        <v>-1354.3681956884066</v>
      </c>
    </row>
    <row r="151" spans="2:30" x14ac:dyDescent="0.25">
      <c r="B151" s="10">
        <v>389</v>
      </c>
      <c r="C151" s="10">
        <v>7</v>
      </c>
      <c r="D151" s="9" t="s">
        <v>253</v>
      </c>
      <c r="E151" s="150">
        <v>1081.1965018758979</v>
      </c>
      <c r="F151" s="150">
        <v>1081.1965018758979</v>
      </c>
      <c r="G151" s="150">
        <f t="shared" si="23"/>
        <v>0</v>
      </c>
      <c r="H151" s="151">
        <v>130744.1</v>
      </c>
      <c r="I151" s="151">
        <v>130744.1</v>
      </c>
      <c r="J151" s="151">
        <f t="shared" si="24"/>
        <v>0</v>
      </c>
      <c r="K151" s="151">
        <v>840</v>
      </c>
      <c r="L151" s="151">
        <v>840</v>
      </c>
      <c r="M151" s="151">
        <f t="shared" si="25"/>
        <v>0</v>
      </c>
      <c r="N151" s="5">
        <f t="shared" si="17"/>
        <v>129904.1</v>
      </c>
      <c r="O151" s="154">
        <f t="shared" si="17"/>
        <v>129904.1</v>
      </c>
      <c r="P151" s="152">
        <f t="shared" si="26"/>
        <v>120.14846494102946</v>
      </c>
      <c r="Q151" s="6">
        <f t="shared" si="18"/>
        <v>120.14846494102946</v>
      </c>
      <c r="R151" s="5">
        <f t="shared" si="27"/>
        <v>129904.1</v>
      </c>
      <c r="S151" s="151">
        <v>0</v>
      </c>
      <c r="T151" s="195">
        <v>0.32999999999999996</v>
      </c>
      <c r="U151" s="154">
        <f t="shared" si="28"/>
        <v>30725.803535600913</v>
      </c>
      <c r="V151" s="154">
        <f t="shared" si="29"/>
        <v>49397.403144941527</v>
      </c>
      <c r="W151" s="155">
        <f t="shared" si="19"/>
        <v>3041.85455002449</v>
      </c>
      <c r="X151" s="199">
        <f t="shared" si="20"/>
        <v>88.727327099031172</v>
      </c>
      <c r="Y151" s="199">
        <f t="shared" si="30"/>
        <v>83253.788557665961</v>
      </c>
      <c r="Z151" s="200">
        <f t="shared" si="21"/>
        <v>0.64088653520301486</v>
      </c>
      <c r="AA151" s="199">
        <f t="shared" si="22"/>
        <v>83261.618576435299</v>
      </c>
      <c r="AC151" s="30">
        <v>82829.934897370476</v>
      </c>
      <c r="AD151" s="30">
        <f t="shared" si="31"/>
        <v>431.68367906482308</v>
      </c>
    </row>
    <row r="152" spans="2:30" x14ac:dyDescent="0.25">
      <c r="B152" s="10">
        <v>434</v>
      </c>
      <c r="C152" s="10">
        <v>7</v>
      </c>
      <c r="D152" s="9" t="s">
        <v>254</v>
      </c>
      <c r="E152" s="150">
        <v>398.26503053689669</v>
      </c>
      <c r="F152" s="150">
        <v>398.26503053689669</v>
      </c>
      <c r="G152" s="150">
        <f t="shared" si="23"/>
        <v>0</v>
      </c>
      <c r="H152" s="151">
        <v>155475.1</v>
      </c>
      <c r="I152" s="151">
        <v>155475.1</v>
      </c>
      <c r="J152" s="151">
        <f t="shared" si="24"/>
        <v>0</v>
      </c>
      <c r="K152" s="151">
        <v>0</v>
      </c>
      <c r="L152" s="151">
        <v>0</v>
      </c>
      <c r="M152" s="151">
        <f t="shared" si="25"/>
        <v>0</v>
      </c>
      <c r="N152" s="5">
        <f t="shared" si="17"/>
        <v>155475.1</v>
      </c>
      <c r="O152" s="154">
        <f t="shared" si="17"/>
        <v>155475.1</v>
      </c>
      <c r="P152" s="152">
        <f t="shared" si="26"/>
        <v>390.38099777528981</v>
      </c>
      <c r="Q152" s="6">
        <f t="shared" si="18"/>
        <v>390.38099777528981</v>
      </c>
      <c r="R152" s="5">
        <f t="shared" si="27"/>
        <v>155475.1</v>
      </c>
      <c r="S152" s="151">
        <v>0</v>
      </c>
      <c r="T152" s="195">
        <v>0.26666666666666666</v>
      </c>
      <c r="U152" s="154">
        <f t="shared" si="28"/>
        <v>36774.030821797816</v>
      </c>
      <c r="V152" s="154">
        <f t="shared" si="29"/>
        <v>18195.821238627788</v>
      </c>
      <c r="W152" s="155">
        <f t="shared" si="19"/>
        <v>2941.9224657438249</v>
      </c>
      <c r="X152" s="199">
        <f t="shared" si="20"/>
        <v>106.19287654088346</v>
      </c>
      <c r="Y152" s="199">
        <f t="shared" si="30"/>
        <v>58017.96740271031</v>
      </c>
      <c r="Z152" s="200">
        <f t="shared" si="21"/>
        <v>0.37316565419614012</v>
      </c>
      <c r="AA152" s="199">
        <f t="shared" si="22"/>
        <v>58023.423992513519</v>
      </c>
      <c r="AC152" s="30">
        <v>57663.085842908898</v>
      </c>
      <c r="AD152" s="30">
        <f t="shared" si="31"/>
        <v>360.33814960462041</v>
      </c>
    </row>
    <row r="153" spans="2:30" x14ac:dyDescent="0.25">
      <c r="B153" s="10">
        <v>437</v>
      </c>
      <c r="C153" s="10">
        <v>7</v>
      </c>
      <c r="D153" s="9" t="s">
        <v>255</v>
      </c>
      <c r="E153" s="150">
        <v>321.78236801511025</v>
      </c>
      <c r="F153" s="150">
        <v>321.78236801511031</v>
      </c>
      <c r="G153" s="150">
        <f t="shared" si="23"/>
        <v>0</v>
      </c>
      <c r="H153" s="151">
        <v>210304.34</v>
      </c>
      <c r="I153" s="151">
        <v>210304.34</v>
      </c>
      <c r="J153" s="151">
        <f t="shared" si="24"/>
        <v>0</v>
      </c>
      <c r="K153" s="151">
        <v>0</v>
      </c>
      <c r="L153" s="151">
        <v>0</v>
      </c>
      <c r="M153" s="151">
        <f t="shared" si="25"/>
        <v>0</v>
      </c>
      <c r="N153" s="5">
        <f t="shared" si="17"/>
        <v>210304.34</v>
      </c>
      <c r="O153" s="154">
        <f t="shared" si="17"/>
        <v>210304.34</v>
      </c>
      <c r="P153" s="152">
        <f t="shared" si="26"/>
        <v>653.56079420151605</v>
      </c>
      <c r="Q153" s="6">
        <f t="shared" si="18"/>
        <v>653.56079420151605</v>
      </c>
      <c r="R153" s="5">
        <f t="shared" si="27"/>
        <v>210304.34</v>
      </c>
      <c r="S153" s="151">
        <v>4086.9903996852445</v>
      </c>
      <c r="T153" s="195">
        <v>0.21944444444444444</v>
      </c>
      <c r="U153" s="154">
        <f t="shared" si="28"/>
        <v>49742.616541927593</v>
      </c>
      <c r="V153" s="154">
        <f t="shared" si="29"/>
        <v>14701.502761244439</v>
      </c>
      <c r="W153" s="155">
        <f t="shared" si="19"/>
        <v>3274.7222556768997</v>
      </c>
      <c r="X153" s="199">
        <f t="shared" si="20"/>
        <v>143.64244058136626</v>
      </c>
      <c r="Y153" s="199">
        <f t="shared" si="30"/>
        <v>67862.483999430289</v>
      </c>
      <c r="Z153" s="200">
        <f t="shared" si="21"/>
        <v>0.32268703536707938</v>
      </c>
      <c r="AA153" s="199">
        <f t="shared" si="22"/>
        <v>67868.866466014151</v>
      </c>
      <c r="AC153" s="30">
        <v>67423.284833908852</v>
      </c>
      <c r="AD153" s="30">
        <f t="shared" si="31"/>
        <v>445.58163210529892</v>
      </c>
    </row>
    <row r="154" spans="2:30" x14ac:dyDescent="0.25">
      <c r="B154" s="10">
        <v>502</v>
      </c>
      <c r="C154" s="10">
        <v>7</v>
      </c>
      <c r="D154" s="9" t="s">
        <v>256</v>
      </c>
      <c r="E154" s="150">
        <v>648.88922387747994</v>
      </c>
      <c r="F154" s="150">
        <v>648.88922387748005</v>
      </c>
      <c r="G154" s="150">
        <f t="shared" si="23"/>
        <v>0</v>
      </c>
      <c r="H154" s="151">
        <v>281936.53999999998</v>
      </c>
      <c r="I154" s="151">
        <v>281936.53999999998</v>
      </c>
      <c r="J154" s="151">
        <f t="shared" si="24"/>
        <v>0</v>
      </c>
      <c r="K154" s="151">
        <v>0</v>
      </c>
      <c r="L154" s="151">
        <v>0</v>
      </c>
      <c r="M154" s="151">
        <f t="shared" si="25"/>
        <v>0</v>
      </c>
      <c r="N154" s="5">
        <f t="shared" ref="N154:O217" si="32">H154-K154</f>
        <v>281936.53999999998</v>
      </c>
      <c r="O154" s="154">
        <f t="shared" si="32"/>
        <v>281936.53999999998</v>
      </c>
      <c r="P154" s="152">
        <f t="shared" si="26"/>
        <v>434.49101884489579</v>
      </c>
      <c r="Q154" s="6">
        <f t="shared" ref="Q154:Q217" si="33">MIN(P154,INDEX($U$3:$U$11,MATCH(C154,$R$3:$R$11,0)))</f>
        <v>434.49101884489579</v>
      </c>
      <c r="R154" s="5">
        <f t="shared" si="27"/>
        <v>281936.53999999998</v>
      </c>
      <c r="S154" s="151">
        <v>7055.8840324571365</v>
      </c>
      <c r="T154" s="195">
        <v>0.35222222222222221</v>
      </c>
      <c r="U154" s="154">
        <f t="shared" si="28"/>
        <v>66685.552939030313</v>
      </c>
      <c r="V154" s="154">
        <f t="shared" si="29"/>
        <v>29646.269232901443</v>
      </c>
      <c r="W154" s="155">
        <f t="shared" ref="W154:W217" si="34">T154*$E$16*(R154/$R$24)</f>
        <v>7046.4400938908693</v>
      </c>
      <c r="X154" s="199">
        <f t="shared" ref="X154:X217" si="35">($W$23+$E$9)*(R154/$R$24)</f>
        <v>192.56879194535875</v>
      </c>
      <c r="Y154" s="199">
        <f t="shared" si="30"/>
        <v>103570.83105776798</v>
      </c>
      <c r="Z154" s="200">
        <f t="shared" ref="Z154:Z217" si="36">IF(ISERROR(Y154/R154),0,Y154/R154)</f>
        <v>0.36735511848789798</v>
      </c>
      <c r="AA154" s="199">
        <f t="shared" ref="AA154:AA217" si="37">IF(Z154&gt;$Z$19,$Z$19*R154,--(Z154&lt;$Z$19)*$Z$23*Y154/$Z$22+Y153:Y154)</f>
        <v>103580.5718943736</v>
      </c>
      <c r="AC154" s="30">
        <v>102926.8054760166</v>
      </c>
      <c r="AD154" s="30">
        <f t="shared" si="31"/>
        <v>653.76641835700138</v>
      </c>
    </row>
    <row r="155" spans="2:30" x14ac:dyDescent="0.25">
      <c r="B155" s="10">
        <v>503</v>
      </c>
      <c r="C155" s="10">
        <v>7</v>
      </c>
      <c r="D155" s="9" t="s">
        <v>257</v>
      </c>
      <c r="E155" s="150">
        <v>376.66900806799492</v>
      </c>
      <c r="F155" s="150">
        <v>376.66900806799492</v>
      </c>
      <c r="G155" s="150">
        <f t="shared" ref="G155:G218" si="38">F155-E155</f>
        <v>0</v>
      </c>
      <c r="H155" s="151">
        <v>184487.59</v>
      </c>
      <c r="I155" s="151">
        <v>184487.59</v>
      </c>
      <c r="J155" s="151">
        <f t="shared" ref="J155:J218" si="39">H155-I155</f>
        <v>0</v>
      </c>
      <c r="K155" s="151">
        <v>0</v>
      </c>
      <c r="L155" s="151">
        <v>51873.13</v>
      </c>
      <c r="M155" s="151">
        <f t="shared" ref="M155:M218" si="40">K155-L155</f>
        <v>-51873.13</v>
      </c>
      <c r="N155" s="5">
        <f t="shared" si="32"/>
        <v>184487.59</v>
      </c>
      <c r="O155" s="154">
        <f t="shared" si="32"/>
        <v>132614.46</v>
      </c>
      <c r="P155" s="152">
        <f t="shared" ref="P155:P218" si="41">IF(ISERROR(O155/F155),"n.a.",O155/F155)</f>
        <v>352.07159909492981</v>
      </c>
      <c r="Q155" s="6">
        <f t="shared" si="33"/>
        <v>352.07159909492981</v>
      </c>
      <c r="R155" s="5">
        <f t="shared" ref="R155:R218" si="42">F155*Q155</f>
        <v>132614.46</v>
      </c>
      <c r="S155" s="151">
        <v>5112.4985151056435</v>
      </c>
      <c r="T155" s="195">
        <v>0.49722222222222223</v>
      </c>
      <c r="U155" s="154">
        <f t="shared" ref="U155:U218" si="43">$E$14*(R155/$R$24)</f>
        <v>31366.876364485841</v>
      </c>
      <c r="V155" s="154">
        <f t="shared" ref="V155:V218" si="44">$E$15*(F155/$F$24)</f>
        <v>17209.148208912415</v>
      </c>
      <c r="W155" s="155">
        <f t="shared" si="34"/>
        <v>4678.8923910358044</v>
      </c>
      <c r="X155" s="199">
        <f t="shared" si="35"/>
        <v>90.578561958255221</v>
      </c>
      <c r="Y155" s="199">
        <f t="shared" ref="Y155:Y218" si="45">U155+V155+W155+X155</f>
        <v>53345.495526392318</v>
      </c>
      <c r="Z155" s="200">
        <f t="shared" si="36"/>
        <v>0.40226002146668111</v>
      </c>
      <c r="AA155" s="199">
        <f t="shared" si="37"/>
        <v>53350.512670218057</v>
      </c>
      <c r="AC155" s="30">
        <v>67053.043469177617</v>
      </c>
      <c r="AD155" s="30">
        <f t="shared" ref="AD155:AD218" si="46">AA155-AC155</f>
        <v>-13702.53079895956</v>
      </c>
    </row>
    <row r="156" spans="2:30" x14ac:dyDescent="0.25">
      <c r="B156" s="10">
        <v>510</v>
      </c>
      <c r="C156" s="10">
        <v>7</v>
      </c>
      <c r="D156" s="9" t="s">
        <v>258</v>
      </c>
      <c r="E156" s="150">
        <v>473.80958905726891</v>
      </c>
      <c r="F156" s="150">
        <v>473.80958905726897</v>
      </c>
      <c r="G156" s="150">
        <f t="shared" si="38"/>
        <v>0</v>
      </c>
      <c r="H156" s="151">
        <v>244408.07</v>
      </c>
      <c r="I156" s="151">
        <v>244408.07</v>
      </c>
      <c r="J156" s="151">
        <f t="shared" si="39"/>
        <v>0</v>
      </c>
      <c r="K156" s="151">
        <v>378</v>
      </c>
      <c r="L156" s="151">
        <v>378</v>
      </c>
      <c r="M156" s="151">
        <f t="shared" si="40"/>
        <v>0</v>
      </c>
      <c r="N156" s="5">
        <f t="shared" si="32"/>
        <v>244030.07</v>
      </c>
      <c r="O156" s="154">
        <f t="shared" si="32"/>
        <v>244030.07</v>
      </c>
      <c r="P156" s="152">
        <f t="shared" si="41"/>
        <v>515.03826776816095</v>
      </c>
      <c r="Q156" s="6">
        <f t="shared" si="33"/>
        <v>515.03826776816095</v>
      </c>
      <c r="R156" s="5">
        <f t="shared" si="42"/>
        <v>244030.07</v>
      </c>
      <c r="S156" s="151">
        <v>5126.8716675395135</v>
      </c>
      <c r="T156" s="195">
        <v>4.1666666666666664E-2</v>
      </c>
      <c r="U156" s="154">
        <f t="shared" si="43"/>
        <v>57719.656174046373</v>
      </c>
      <c r="V156" s="154">
        <f t="shared" si="44"/>
        <v>21647.27988297493</v>
      </c>
      <c r="W156" s="155">
        <f t="shared" si="34"/>
        <v>721.49570217557959</v>
      </c>
      <c r="X156" s="199">
        <f t="shared" si="35"/>
        <v>166.67784806553041</v>
      </c>
      <c r="Y156" s="199">
        <f t="shared" si="45"/>
        <v>80255.10960726242</v>
      </c>
      <c r="Z156" s="200">
        <f t="shared" si="36"/>
        <v>0.32887385397734969</v>
      </c>
      <c r="AA156" s="199">
        <f t="shared" si="37"/>
        <v>80262.657600278078</v>
      </c>
      <c r="AC156" s="30">
        <v>79751.525472944399</v>
      </c>
      <c r="AD156" s="30">
        <f t="shared" si="46"/>
        <v>511.13212733367982</v>
      </c>
    </row>
    <row r="157" spans="2:30" x14ac:dyDescent="0.25">
      <c r="B157" s="10">
        <v>531</v>
      </c>
      <c r="C157" s="10">
        <v>7</v>
      </c>
      <c r="D157" s="9" t="s">
        <v>259</v>
      </c>
      <c r="E157" s="150">
        <v>1979.4</v>
      </c>
      <c r="F157" s="150">
        <v>1979.4</v>
      </c>
      <c r="G157" s="150">
        <f t="shared" si="38"/>
        <v>0</v>
      </c>
      <c r="H157" s="151">
        <v>881481.73</v>
      </c>
      <c r="I157" s="151">
        <v>881481.73</v>
      </c>
      <c r="J157" s="151">
        <f t="shared" si="39"/>
        <v>0</v>
      </c>
      <c r="K157" s="151">
        <v>3599.5</v>
      </c>
      <c r="L157" s="151">
        <v>3599.5</v>
      </c>
      <c r="M157" s="151">
        <f t="shared" si="40"/>
        <v>0</v>
      </c>
      <c r="N157" s="5">
        <f t="shared" si="32"/>
        <v>877882.23</v>
      </c>
      <c r="O157" s="154">
        <f t="shared" si="32"/>
        <v>877882.23</v>
      </c>
      <c r="P157" s="152">
        <f t="shared" si="41"/>
        <v>443.50926038193387</v>
      </c>
      <c r="Q157" s="6">
        <f t="shared" si="33"/>
        <v>443.50926038193387</v>
      </c>
      <c r="R157" s="5">
        <f t="shared" si="42"/>
        <v>877882.23</v>
      </c>
      <c r="S157" s="151">
        <v>24327.769674440602</v>
      </c>
      <c r="T157" s="195">
        <v>0.61388888888888882</v>
      </c>
      <c r="U157" s="154">
        <f t="shared" si="43"/>
        <v>207642.69123434296</v>
      </c>
      <c r="V157" s="154">
        <f t="shared" si="44"/>
        <v>90434.273155205185</v>
      </c>
      <c r="W157" s="155">
        <f t="shared" si="34"/>
        <v>38240.862302324822</v>
      </c>
      <c r="X157" s="199">
        <f t="shared" si="35"/>
        <v>599.61266638725715</v>
      </c>
      <c r="Y157" s="199">
        <f t="shared" si="45"/>
        <v>336917.43935826031</v>
      </c>
      <c r="Z157" s="200">
        <f t="shared" si="36"/>
        <v>0.38378432532830775</v>
      </c>
      <c r="AA157" s="199">
        <f t="shared" si="37"/>
        <v>336949.12644325185</v>
      </c>
      <c r="AC157" s="30">
        <v>334799.39998647734</v>
      </c>
      <c r="AD157" s="30">
        <f t="shared" si="46"/>
        <v>2149.7264567745151</v>
      </c>
    </row>
    <row r="158" spans="2:30" x14ac:dyDescent="0.25">
      <c r="B158" s="10">
        <v>550</v>
      </c>
      <c r="C158" s="10">
        <v>7</v>
      </c>
      <c r="D158" s="9" t="s">
        <v>260</v>
      </c>
      <c r="E158" s="150">
        <v>573</v>
      </c>
      <c r="F158" s="150">
        <v>482.98</v>
      </c>
      <c r="G158" s="150">
        <f t="shared" si="38"/>
        <v>-90.019999999999982</v>
      </c>
      <c r="H158" s="151">
        <v>265362.77</v>
      </c>
      <c r="I158" s="151">
        <v>265362.77</v>
      </c>
      <c r="J158" s="151">
        <f t="shared" si="39"/>
        <v>0</v>
      </c>
      <c r="K158" s="151">
        <v>0</v>
      </c>
      <c r="L158" s="151">
        <v>0</v>
      </c>
      <c r="M158" s="151">
        <f t="shared" si="40"/>
        <v>0</v>
      </c>
      <c r="N158" s="5">
        <f t="shared" si="32"/>
        <v>265362.77</v>
      </c>
      <c r="O158" s="154">
        <f t="shared" si="32"/>
        <v>265362.77</v>
      </c>
      <c r="P158" s="152">
        <f t="shared" si="41"/>
        <v>549.42807155575804</v>
      </c>
      <c r="Q158" s="6">
        <f t="shared" si="33"/>
        <v>549.42807155575804</v>
      </c>
      <c r="R158" s="5">
        <f t="shared" si="42"/>
        <v>265362.77</v>
      </c>
      <c r="S158" s="151">
        <v>7353.7020435321447</v>
      </c>
      <c r="T158" s="195">
        <v>0.51111111111111118</v>
      </c>
      <c r="U158" s="154">
        <f t="shared" si="43"/>
        <v>62765.411843682006</v>
      </c>
      <c r="V158" s="154">
        <f t="shared" si="44"/>
        <v>22066.255051278669</v>
      </c>
      <c r="W158" s="155">
        <f t="shared" si="34"/>
        <v>9624.0298160312432</v>
      </c>
      <c r="X158" s="199">
        <f t="shared" si="35"/>
        <v>181.24854637917491</v>
      </c>
      <c r="Y158" s="199">
        <f t="shared" si="45"/>
        <v>94636.945257371102</v>
      </c>
      <c r="Z158" s="200">
        <f t="shared" si="36"/>
        <v>0.35663233865613891</v>
      </c>
      <c r="AA158" s="199">
        <f t="shared" si="37"/>
        <v>94645.845862021961</v>
      </c>
      <c r="AC158" s="30">
        <v>98127.868003796597</v>
      </c>
      <c r="AD158" s="30">
        <f t="shared" si="46"/>
        <v>-3482.0221417746361</v>
      </c>
    </row>
    <row r="159" spans="2:30" x14ac:dyDescent="0.25">
      <c r="B159" s="10">
        <v>551</v>
      </c>
      <c r="C159" s="10">
        <v>7</v>
      </c>
      <c r="D159" s="9" t="s">
        <v>261</v>
      </c>
      <c r="E159" s="150">
        <v>209.17739178693196</v>
      </c>
      <c r="F159" s="150">
        <v>209.17739178693196</v>
      </c>
      <c r="G159" s="150">
        <f t="shared" si="38"/>
        <v>0</v>
      </c>
      <c r="H159" s="151">
        <v>95844.479999999996</v>
      </c>
      <c r="I159" s="151">
        <v>95844.479999999996</v>
      </c>
      <c r="J159" s="151">
        <f t="shared" si="39"/>
        <v>0</v>
      </c>
      <c r="K159" s="151">
        <v>288</v>
      </c>
      <c r="L159" s="151">
        <v>288</v>
      </c>
      <c r="M159" s="151">
        <f t="shared" si="40"/>
        <v>0</v>
      </c>
      <c r="N159" s="5">
        <f t="shared" si="32"/>
        <v>95556.479999999996</v>
      </c>
      <c r="O159" s="154">
        <f t="shared" si="32"/>
        <v>95556.479999999996</v>
      </c>
      <c r="P159" s="152">
        <f t="shared" si="41"/>
        <v>456.82030540534612</v>
      </c>
      <c r="Q159" s="6">
        <f t="shared" si="33"/>
        <v>456.82030540534612</v>
      </c>
      <c r="R159" s="5">
        <f t="shared" si="42"/>
        <v>95556.479999999996</v>
      </c>
      <c r="S159" s="151">
        <v>2092.8726181587631</v>
      </c>
      <c r="T159" s="195">
        <v>0.44722222222222219</v>
      </c>
      <c r="U159" s="154">
        <f t="shared" si="43"/>
        <v>22601.67024007385</v>
      </c>
      <c r="V159" s="154">
        <f t="shared" si="44"/>
        <v>9556.8381260749611</v>
      </c>
      <c r="W159" s="155">
        <f t="shared" si="34"/>
        <v>3032.3907572099083</v>
      </c>
      <c r="X159" s="199">
        <f t="shared" si="35"/>
        <v>65.267155212129779</v>
      </c>
      <c r="Y159" s="199">
        <f t="shared" si="45"/>
        <v>35256.166278570847</v>
      </c>
      <c r="Z159" s="200">
        <f t="shared" si="36"/>
        <v>0.36895631022167047</v>
      </c>
      <c r="AA159" s="199">
        <f t="shared" si="37"/>
        <v>35259.482120990499</v>
      </c>
      <c r="AC159" s="30">
        <v>35034.93422269835</v>
      </c>
      <c r="AD159" s="30">
        <f t="shared" si="46"/>
        <v>224.5478982921486</v>
      </c>
    </row>
    <row r="160" spans="2:30" x14ac:dyDescent="0.25">
      <c r="B160" s="10">
        <v>555</v>
      </c>
      <c r="C160" s="10">
        <v>7</v>
      </c>
      <c r="D160" s="9" t="s">
        <v>262</v>
      </c>
      <c r="E160" s="150">
        <v>692.92535697489575</v>
      </c>
      <c r="F160" s="150">
        <v>692.92535697489586</v>
      </c>
      <c r="G160" s="150">
        <f t="shared" si="38"/>
        <v>0</v>
      </c>
      <c r="H160" s="151">
        <v>338758.86</v>
      </c>
      <c r="I160" s="151">
        <v>338758.86</v>
      </c>
      <c r="J160" s="151">
        <f t="shared" si="39"/>
        <v>0</v>
      </c>
      <c r="K160" s="151">
        <v>340</v>
      </c>
      <c r="L160" s="151">
        <v>340</v>
      </c>
      <c r="M160" s="151">
        <f t="shared" si="40"/>
        <v>0</v>
      </c>
      <c r="N160" s="5">
        <f t="shared" si="32"/>
        <v>338418.86</v>
      </c>
      <c r="O160" s="154">
        <f t="shared" si="32"/>
        <v>338418.86</v>
      </c>
      <c r="P160" s="152">
        <f t="shared" si="41"/>
        <v>488.39150796477583</v>
      </c>
      <c r="Q160" s="6">
        <f t="shared" si="33"/>
        <v>488.39150796477583</v>
      </c>
      <c r="R160" s="5">
        <f t="shared" si="42"/>
        <v>338418.86</v>
      </c>
      <c r="S160" s="151">
        <v>7738.6296242065437</v>
      </c>
      <c r="T160" s="195">
        <v>0.62777777777777777</v>
      </c>
      <c r="U160" s="154">
        <f t="shared" si="43"/>
        <v>80045.136412954089</v>
      </c>
      <c r="V160" s="154">
        <f t="shared" si="44"/>
        <v>31658.1797559037</v>
      </c>
      <c r="W160" s="155">
        <f t="shared" si="34"/>
        <v>15075.167357773022</v>
      </c>
      <c r="X160" s="199">
        <f t="shared" si="35"/>
        <v>231.1474455979544</v>
      </c>
      <c r="Y160" s="199">
        <f t="shared" si="45"/>
        <v>127009.63097222877</v>
      </c>
      <c r="Z160" s="200">
        <f t="shared" si="36"/>
        <v>0.37530305188141339</v>
      </c>
      <c r="AA160" s="199">
        <f t="shared" si="37"/>
        <v>127021.5762279538</v>
      </c>
      <c r="AC160" s="30">
        <v>126202.2239156164</v>
      </c>
      <c r="AD160" s="30">
        <f t="shared" si="46"/>
        <v>819.35231233740342</v>
      </c>
    </row>
    <row r="161" spans="2:30" x14ac:dyDescent="0.25">
      <c r="B161" s="10">
        <v>556</v>
      </c>
      <c r="C161" s="10">
        <v>7</v>
      </c>
      <c r="D161" s="9" t="s">
        <v>263</v>
      </c>
      <c r="E161" s="150">
        <v>433.69470539601917</v>
      </c>
      <c r="F161" s="150">
        <v>433.69470539601917</v>
      </c>
      <c r="G161" s="150">
        <f t="shared" si="38"/>
        <v>0</v>
      </c>
      <c r="H161" s="151">
        <v>166567.62</v>
      </c>
      <c r="I161" s="151">
        <v>166567.62</v>
      </c>
      <c r="J161" s="151">
        <f t="shared" si="39"/>
        <v>0</v>
      </c>
      <c r="K161" s="151">
        <v>462</v>
      </c>
      <c r="L161" s="151">
        <v>462</v>
      </c>
      <c r="M161" s="151">
        <f t="shared" si="40"/>
        <v>0</v>
      </c>
      <c r="N161" s="5">
        <f t="shared" si="32"/>
        <v>166105.62</v>
      </c>
      <c r="O161" s="154">
        <f t="shared" si="32"/>
        <v>166105.62</v>
      </c>
      <c r="P161" s="152">
        <f t="shared" si="41"/>
        <v>383.00126317734072</v>
      </c>
      <c r="Q161" s="6">
        <f t="shared" si="33"/>
        <v>383.00126317734072</v>
      </c>
      <c r="R161" s="5">
        <f t="shared" si="42"/>
        <v>166105.62</v>
      </c>
      <c r="S161" s="151">
        <v>2328.8806596312543</v>
      </c>
      <c r="T161" s="195">
        <v>0.77499999999999991</v>
      </c>
      <c r="U161" s="154">
        <f t="shared" si="43"/>
        <v>39288.43390069429</v>
      </c>
      <c r="V161" s="154">
        <f t="shared" si="44"/>
        <v>19814.52230663324</v>
      </c>
      <c r="W161" s="155">
        <f t="shared" si="34"/>
        <v>9134.5608819114223</v>
      </c>
      <c r="X161" s="199">
        <f t="shared" si="35"/>
        <v>113.45375302802123</v>
      </c>
      <c r="Y161" s="199">
        <f t="shared" si="45"/>
        <v>68350.970842266979</v>
      </c>
      <c r="Z161" s="200">
        <f t="shared" si="36"/>
        <v>0.41149101904117985</v>
      </c>
      <c r="AA161" s="199">
        <f t="shared" si="37"/>
        <v>68357.39925103815</v>
      </c>
      <c r="AC161" s="30">
        <v>67926.56764127576</v>
      </c>
      <c r="AD161" s="30">
        <f t="shared" si="46"/>
        <v>430.83160976239014</v>
      </c>
    </row>
    <row r="162" spans="2:30" x14ac:dyDescent="0.25">
      <c r="B162" s="10">
        <v>558</v>
      </c>
      <c r="C162" s="10">
        <v>7</v>
      </c>
      <c r="D162" s="9" t="s">
        <v>264</v>
      </c>
      <c r="E162" s="150">
        <v>382.94414890977674</v>
      </c>
      <c r="F162" s="150">
        <v>382.9441489097768</v>
      </c>
      <c r="G162" s="150">
        <f t="shared" si="38"/>
        <v>0</v>
      </c>
      <c r="H162" s="151">
        <v>297411.59000000003</v>
      </c>
      <c r="I162" s="151">
        <v>297411.59000000003</v>
      </c>
      <c r="J162" s="151">
        <f t="shared" si="39"/>
        <v>0</v>
      </c>
      <c r="K162" s="151">
        <v>22210.3</v>
      </c>
      <c r="L162" s="151">
        <v>22210.3</v>
      </c>
      <c r="M162" s="151">
        <f t="shared" si="40"/>
        <v>0</v>
      </c>
      <c r="N162" s="5">
        <f t="shared" si="32"/>
        <v>275201.29000000004</v>
      </c>
      <c r="O162" s="154">
        <f t="shared" si="32"/>
        <v>275201.29000000004</v>
      </c>
      <c r="P162" s="152">
        <f t="shared" si="41"/>
        <v>718.64602392668644</v>
      </c>
      <c r="Q162" s="6">
        <f t="shared" si="33"/>
        <v>655.20137599530074</v>
      </c>
      <c r="R162" s="5">
        <f t="shared" si="42"/>
        <v>250905.5332950351</v>
      </c>
      <c r="S162" s="151">
        <v>7626.3459589892072</v>
      </c>
      <c r="T162" s="195">
        <v>0.25</v>
      </c>
      <c r="U162" s="154">
        <f t="shared" si="43"/>
        <v>59345.887635712963</v>
      </c>
      <c r="V162" s="154">
        <f t="shared" si="44"/>
        <v>17495.845087245794</v>
      </c>
      <c r="W162" s="155">
        <f t="shared" si="34"/>
        <v>4450.9415726784728</v>
      </c>
      <c r="X162" s="199">
        <f t="shared" si="35"/>
        <v>171.37393911066263</v>
      </c>
      <c r="Y162" s="199">
        <f t="shared" si="45"/>
        <v>81464.048234747897</v>
      </c>
      <c r="Z162" s="200">
        <f t="shared" si="36"/>
        <v>0.32468015816516832</v>
      </c>
      <c r="AA162" s="199">
        <f t="shared" si="37"/>
        <v>81471.709928440818</v>
      </c>
      <c r="AC162" s="30">
        <v>80993.709611680519</v>
      </c>
      <c r="AD162" s="30">
        <f t="shared" si="46"/>
        <v>478.00031676029903</v>
      </c>
    </row>
    <row r="163" spans="2:30" x14ac:dyDescent="0.25">
      <c r="B163" s="10">
        <v>600</v>
      </c>
      <c r="C163" s="10">
        <v>7</v>
      </c>
      <c r="D163" s="9" t="s">
        <v>265</v>
      </c>
      <c r="E163" s="150">
        <v>728.55</v>
      </c>
      <c r="F163" s="150">
        <v>728.55</v>
      </c>
      <c r="G163" s="150">
        <f t="shared" si="38"/>
        <v>0</v>
      </c>
      <c r="H163" s="151">
        <v>270525.11</v>
      </c>
      <c r="I163" s="151">
        <v>270525.11</v>
      </c>
      <c r="J163" s="151">
        <f t="shared" si="39"/>
        <v>0</v>
      </c>
      <c r="K163" s="151">
        <v>340</v>
      </c>
      <c r="L163" s="151">
        <v>340</v>
      </c>
      <c r="M163" s="151">
        <f t="shared" si="40"/>
        <v>0</v>
      </c>
      <c r="N163" s="5">
        <f t="shared" si="32"/>
        <v>270185.11</v>
      </c>
      <c r="O163" s="154">
        <f t="shared" si="32"/>
        <v>270185.11</v>
      </c>
      <c r="P163" s="152">
        <f t="shared" si="41"/>
        <v>370.85321529064584</v>
      </c>
      <c r="Q163" s="6">
        <f t="shared" si="33"/>
        <v>370.85321529064584</v>
      </c>
      <c r="R163" s="5">
        <f t="shared" si="42"/>
        <v>270185.11</v>
      </c>
      <c r="S163" s="151">
        <v>6363.8722047154797</v>
      </c>
      <c r="T163" s="195">
        <v>0.2472222222222222</v>
      </c>
      <c r="U163" s="154">
        <f t="shared" si="43"/>
        <v>63906.024583556027</v>
      </c>
      <c r="V163" s="154">
        <f t="shared" si="44"/>
        <v>33285.788474903871</v>
      </c>
      <c r="W163" s="155">
        <f t="shared" si="34"/>
        <v>4739.6968232804047</v>
      </c>
      <c r="X163" s="199">
        <f t="shared" si="35"/>
        <v>184.54230953647891</v>
      </c>
      <c r="Y163" s="199">
        <f t="shared" si="45"/>
        <v>102116.05219127679</v>
      </c>
      <c r="Z163" s="200">
        <f t="shared" si="36"/>
        <v>0.37794848202877201</v>
      </c>
      <c r="AA163" s="199">
        <f t="shared" si="37"/>
        <v>102125.65620593079</v>
      </c>
      <c r="AC163" s="30">
        <v>101496.07761898696</v>
      </c>
      <c r="AD163" s="30">
        <f t="shared" si="46"/>
        <v>629.57858694382594</v>
      </c>
    </row>
    <row r="164" spans="2:30" x14ac:dyDescent="0.25">
      <c r="B164" s="10">
        <v>604</v>
      </c>
      <c r="C164" s="10">
        <v>7</v>
      </c>
      <c r="D164" s="9" t="s">
        <v>266</v>
      </c>
      <c r="E164" s="150">
        <v>775.96118138633597</v>
      </c>
      <c r="F164" s="150">
        <v>775.96118138633608</v>
      </c>
      <c r="G164" s="150">
        <f t="shared" si="38"/>
        <v>0</v>
      </c>
      <c r="H164" s="151">
        <v>279897.56</v>
      </c>
      <c r="I164" s="151">
        <v>279897.56</v>
      </c>
      <c r="J164" s="151">
        <f t="shared" si="39"/>
        <v>0</v>
      </c>
      <c r="K164" s="151">
        <v>6910</v>
      </c>
      <c r="L164" s="151">
        <v>6910</v>
      </c>
      <c r="M164" s="151">
        <f t="shared" si="40"/>
        <v>0</v>
      </c>
      <c r="N164" s="5">
        <f t="shared" si="32"/>
        <v>272987.56</v>
      </c>
      <c r="O164" s="154">
        <f t="shared" si="32"/>
        <v>272987.56</v>
      </c>
      <c r="P164" s="152">
        <f t="shared" si="41"/>
        <v>351.80569150673114</v>
      </c>
      <c r="Q164" s="6">
        <f t="shared" si="33"/>
        <v>351.80569150673114</v>
      </c>
      <c r="R164" s="5">
        <f t="shared" si="42"/>
        <v>272987.56</v>
      </c>
      <c r="S164" s="151">
        <v>0</v>
      </c>
      <c r="T164" s="195">
        <v>0.46111111111111108</v>
      </c>
      <c r="U164" s="154">
        <f t="shared" si="43"/>
        <v>64568.879167193845</v>
      </c>
      <c r="V164" s="154">
        <f t="shared" si="44"/>
        <v>35451.897259436009</v>
      </c>
      <c r="W164" s="155">
        <f t="shared" si="34"/>
        <v>8932.0282847951476</v>
      </c>
      <c r="X164" s="199">
        <f t="shared" si="35"/>
        <v>186.45644386964224</v>
      </c>
      <c r="Y164" s="199">
        <f t="shared" si="45"/>
        <v>109139.26115529465</v>
      </c>
      <c r="Z164" s="200">
        <f t="shared" si="36"/>
        <v>0.39979573118751144</v>
      </c>
      <c r="AA164" s="199">
        <f t="shared" si="37"/>
        <v>109149.52570274795</v>
      </c>
      <c r="AC164" s="30">
        <v>108475.93960592848</v>
      </c>
      <c r="AD164" s="30">
        <f t="shared" si="46"/>
        <v>673.58609681947564</v>
      </c>
    </row>
    <row r="165" spans="2:30" x14ac:dyDescent="0.25">
      <c r="B165" s="10">
        <v>612</v>
      </c>
      <c r="C165" s="10">
        <v>7</v>
      </c>
      <c r="D165" s="9" t="s">
        <v>267</v>
      </c>
      <c r="E165" s="150">
        <v>624.66999999999996</v>
      </c>
      <c r="F165" s="150">
        <v>545.2537415651675</v>
      </c>
      <c r="G165" s="150">
        <f t="shared" si="38"/>
        <v>-79.416258434832457</v>
      </c>
      <c r="H165" s="151">
        <v>235444.72</v>
      </c>
      <c r="I165" s="151">
        <v>235444.72</v>
      </c>
      <c r="J165" s="151">
        <f t="shared" si="39"/>
        <v>0</v>
      </c>
      <c r="K165" s="151">
        <v>273.68</v>
      </c>
      <c r="L165" s="151">
        <v>273.68</v>
      </c>
      <c r="M165" s="151">
        <f t="shared" si="40"/>
        <v>0</v>
      </c>
      <c r="N165" s="5">
        <f t="shared" si="32"/>
        <v>235171.04</v>
      </c>
      <c r="O165" s="154">
        <f t="shared" si="32"/>
        <v>235171.04</v>
      </c>
      <c r="P165" s="152">
        <f t="shared" si="41"/>
        <v>431.30568774261752</v>
      </c>
      <c r="Q165" s="6">
        <f t="shared" si="33"/>
        <v>431.30568774261752</v>
      </c>
      <c r="R165" s="5">
        <f t="shared" si="42"/>
        <v>235171.04</v>
      </c>
      <c r="S165" s="151">
        <v>2411.5890646241814</v>
      </c>
      <c r="T165" s="195">
        <v>0.65277777777777768</v>
      </c>
      <c r="U165" s="154">
        <f t="shared" si="43"/>
        <v>55624.257989570331</v>
      </c>
      <c r="V165" s="154">
        <f t="shared" si="44"/>
        <v>24911.400325150051</v>
      </c>
      <c r="W165" s="155">
        <f t="shared" si="34"/>
        <v>10893.083856290856</v>
      </c>
      <c r="X165" s="199">
        <f t="shared" si="35"/>
        <v>160.62693779718529</v>
      </c>
      <c r="Y165" s="199">
        <f t="shared" si="45"/>
        <v>91589.369108808431</v>
      </c>
      <c r="Z165" s="200">
        <f t="shared" si="36"/>
        <v>0.38945853668380437</v>
      </c>
      <c r="AA165" s="199">
        <f t="shared" si="37"/>
        <v>91597.983088924142</v>
      </c>
      <c r="AC165" s="30">
        <v>94630.046236570939</v>
      </c>
      <c r="AD165" s="30">
        <f t="shared" si="46"/>
        <v>-3032.063147646797</v>
      </c>
    </row>
    <row r="166" spans="2:30" x14ac:dyDescent="0.25">
      <c r="B166" s="201">
        <v>693</v>
      </c>
      <c r="C166" s="201">
        <v>7</v>
      </c>
      <c r="D166" s="202" t="s">
        <v>392</v>
      </c>
      <c r="E166" s="203">
        <v>0</v>
      </c>
      <c r="F166" s="150">
        <v>84.799015469057295</v>
      </c>
      <c r="G166" s="150">
        <f t="shared" si="38"/>
        <v>84.799015469057295</v>
      </c>
      <c r="H166" s="204">
        <v>40353.75</v>
      </c>
      <c r="I166" s="151">
        <v>40353.75</v>
      </c>
      <c r="J166" s="151">
        <f t="shared" si="39"/>
        <v>0</v>
      </c>
      <c r="K166" s="204">
        <v>0</v>
      </c>
      <c r="L166" s="151">
        <v>0</v>
      </c>
      <c r="M166" s="151">
        <f t="shared" si="40"/>
        <v>0</v>
      </c>
      <c r="N166" s="205">
        <f t="shared" si="32"/>
        <v>40353.75</v>
      </c>
      <c r="O166" s="154">
        <f t="shared" si="32"/>
        <v>40353.75</v>
      </c>
      <c r="P166" s="152">
        <f t="shared" si="41"/>
        <v>475.87521832402484</v>
      </c>
      <c r="Q166" s="206">
        <f t="shared" si="33"/>
        <v>475.87521832402484</v>
      </c>
      <c r="R166" s="5">
        <f t="shared" si="42"/>
        <v>40353.75</v>
      </c>
      <c r="S166" s="151">
        <v>0</v>
      </c>
      <c r="T166" s="195">
        <v>0.125</v>
      </c>
      <c r="U166" s="154">
        <f t="shared" si="43"/>
        <v>9544.7441183515784</v>
      </c>
      <c r="V166" s="154">
        <f t="shared" si="44"/>
        <v>3874.2736830459721</v>
      </c>
      <c r="W166" s="155">
        <f t="shared" si="34"/>
        <v>357.92790443818421</v>
      </c>
      <c r="X166" s="199">
        <f t="shared" si="35"/>
        <v>27.562489374257847</v>
      </c>
      <c r="Y166" s="199">
        <f t="shared" si="45"/>
        <v>13804.508195209992</v>
      </c>
      <c r="Z166" s="200">
        <f t="shared" si="36"/>
        <v>0.34208736970442627</v>
      </c>
      <c r="AA166" s="199">
        <f t="shared" si="37"/>
        <v>13805.806509198372</v>
      </c>
      <c r="AC166" s="30">
        <v>0</v>
      </c>
      <c r="AD166" s="30">
        <f t="shared" si="46"/>
        <v>13805.806509198372</v>
      </c>
    </row>
    <row r="167" spans="2:30" x14ac:dyDescent="0.25">
      <c r="B167" s="10">
        <v>711</v>
      </c>
      <c r="C167" s="10">
        <v>7</v>
      </c>
      <c r="D167" s="9" t="s">
        <v>269</v>
      </c>
      <c r="E167" s="150">
        <v>409.18779414761207</v>
      </c>
      <c r="F167" s="150">
        <v>409.18779414761207</v>
      </c>
      <c r="G167" s="150">
        <f t="shared" si="38"/>
        <v>0</v>
      </c>
      <c r="H167" s="151">
        <v>231722.88</v>
      </c>
      <c r="I167" s="151">
        <v>169604.92</v>
      </c>
      <c r="J167" s="151">
        <f t="shared" si="39"/>
        <v>62117.959999999992</v>
      </c>
      <c r="K167" s="151">
        <v>2332.0499999999997</v>
      </c>
      <c r="L167" s="151">
        <v>2332.0499999999997</v>
      </c>
      <c r="M167" s="151">
        <f t="shared" si="40"/>
        <v>0</v>
      </c>
      <c r="N167" s="5">
        <f t="shared" si="32"/>
        <v>229390.83000000002</v>
      </c>
      <c r="O167" s="154">
        <f t="shared" si="32"/>
        <v>167272.87000000002</v>
      </c>
      <c r="P167" s="152">
        <f t="shared" si="41"/>
        <v>408.79242341147972</v>
      </c>
      <c r="Q167" s="6">
        <f t="shared" si="33"/>
        <v>408.79242341147972</v>
      </c>
      <c r="R167" s="5">
        <f t="shared" si="42"/>
        <v>167272.87000000002</v>
      </c>
      <c r="S167" s="151">
        <v>6356.8518497848618</v>
      </c>
      <c r="T167" s="195">
        <v>0.31944444444444442</v>
      </c>
      <c r="U167" s="154">
        <f t="shared" si="43"/>
        <v>39564.519830060111</v>
      </c>
      <c r="V167" s="154">
        <f t="shared" si="44"/>
        <v>18694.857405133382</v>
      </c>
      <c r="W167" s="155">
        <f t="shared" si="34"/>
        <v>3791.5998170474272</v>
      </c>
      <c r="X167" s="199">
        <f t="shared" si="35"/>
        <v>114.25101017815233</v>
      </c>
      <c r="Y167" s="199">
        <f t="shared" si="45"/>
        <v>62165.228062419068</v>
      </c>
      <c r="Z167" s="200">
        <f t="shared" si="36"/>
        <v>0.37163963326760074</v>
      </c>
      <c r="AA167" s="199">
        <f t="shared" si="37"/>
        <v>62171.074702085105</v>
      </c>
      <c r="AC167" s="30">
        <v>77807.698913143453</v>
      </c>
      <c r="AD167" s="30">
        <f t="shared" si="46"/>
        <v>-15636.624211058348</v>
      </c>
    </row>
    <row r="168" spans="2:30" x14ac:dyDescent="0.25">
      <c r="B168" s="10">
        <v>712</v>
      </c>
      <c r="C168" s="10">
        <v>7</v>
      </c>
      <c r="D168" s="9" t="s">
        <v>270</v>
      </c>
      <c r="E168" s="150">
        <v>496.19</v>
      </c>
      <c r="F168" s="150">
        <v>496.19</v>
      </c>
      <c r="G168" s="150">
        <f t="shared" si="38"/>
        <v>0</v>
      </c>
      <c r="H168" s="151">
        <v>243933.5</v>
      </c>
      <c r="I168" s="151">
        <v>243933.5</v>
      </c>
      <c r="J168" s="151">
        <f t="shared" si="39"/>
        <v>0</v>
      </c>
      <c r="K168" s="151">
        <v>0</v>
      </c>
      <c r="L168" s="151">
        <v>0</v>
      </c>
      <c r="M168" s="151">
        <f t="shared" si="40"/>
        <v>0</v>
      </c>
      <c r="N168" s="5">
        <f t="shared" si="32"/>
        <v>243933.5</v>
      </c>
      <c r="O168" s="154">
        <f t="shared" si="32"/>
        <v>243933.5</v>
      </c>
      <c r="P168" s="152">
        <f t="shared" si="41"/>
        <v>491.61309175920513</v>
      </c>
      <c r="Q168" s="6">
        <f t="shared" si="33"/>
        <v>491.61309175920513</v>
      </c>
      <c r="R168" s="5">
        <f t="shared" si="42"/>
        <v>243933.5</v>
      </c>
      <c r="S168" s="151">
        <v>6759.856619811243</v>
      </c>
      <c r="T168" s="195">
        <v>0.29166666666666669</v>
      </c>
      <c r="U168" s="154">
        <f t="shared" si="43"/>
        <v>57696.814779144799</v>
      </c>
      <c r="V168" s="154">
        <f t="shared" si="44"/>
        <v>22669.789833728024</v>
      </c>
      <c r="W168" s="155">
        <f t="shared" si="34"/>
        <v>5048.4712931751701</v>
      </c>
      <c r="X168" s="199">
        <f t="shared" si="35"/>
        <v>166.61188865410341</v>
      </c>
      <c r="Y168" s="199">
        <f t="shared" si="45"/>
        <v>85581.687794702098</v>
      </c>
      <c r="Z168" s="200">
        <f t="shared" si="36"/>
        <v>0.3508402404536568</v>
      </c>
      <c r="AA168" s="199">
        <f t="shared" si="37"/>
        <v>85589.736752393437</v>
      </c>
      <c r="AC168" s="30">
        <v>85042.879761875694</v>
      </c>
      <c r="AD168" s="30">
        <f t="shared" si="46"/>
        <v>546.85699051774282</v>
      </c>
    </row>
    <row r="169" spans="2:30" x14ac:dyDescent="0.25">
      <c r="B169" s="10">
        <v>718</v>
      </c>
      <c r="C169" s="10">
        <v>7</v>
      </c>
      <c r="D169" s="9" t="s">
        <v>271</v>
      </c>
      <c r="E169" s="150">
        <v>13.842893306981095</v>
      </c>
      <c r="F169" s="150">
        <v>13.842893306981095</v>
      </c>
      <c r="G169" s="150">
        <f t="shared" si="38"/>
        <v>0</v>
      </c>
      <c r="H169" s="151">
        <v>12985.04</v>
      </c>
      <c r="I169" s="151">
        <v>12985.04</v>
      </c>
      <c r="J169" s="151">
        <f t="shared" si="39"/>
        <v>0</v>
      </c>
      <c r="K169" s="151">
        <v>0</v>
      </c>
      <c r="L169" s="151">
        <v>0</v>
      </c>
      <c r="M169" s="151">
        <f t="shared" si="40"/>
        <v>0</v>
      </c>
      <c r="N169" s="5">
        <f t="shared" si="32"/>
        <v>12985.04</v>
      </c>
      <c r="O169" s="154">
        <f t="shared" si="32"/>
        <v>12985.04</v>
      </c>
      <c r="P169" s="152">
        <f t="shared" si="41"/>
        <v>938.02933476714213</v>
      </c>
      <c r="Q169" s="6">
        <f t="shared" si="33"/>
        <v>655.20137599530074</v>
      </c>
      <c r="R169" s="5">
        <f t="shared" si="42"/>
        <v>9069.8827424901519</v>
      </c>
      <c r="S169" s="151">
        <v>0</v>
      </c>
      <c r="T169" s="195">
        <v>0</v>
      </c>
      <c r="U169" s="154">
        <f t="shared" si="43"/>
        <v>2145.2705129144465</v>
      </c>
      <c r="V169" s="154">
        <f t="shared" si="44"/>
        <v>632.45023470844183</v>
      </c>
      <c r="W169" s="155">
        <f t="shared" si="34"/>
        <v>0</v>
      </c>
      <c r="X169" s="199">
        <f t="shared" si="35"/>
        <v>6.1949272797608499</v>
      </c>
      <c r="Y169" s="199">
        <f t="shared" si="45"/>
        <v>2783.9156749026492</v>
      </c>
      <c r="Z169" s="200">
        <f t="shared" si="36"/>
        <v>0.30694064674736032</v>
      </c>
      <c r="AA169" s="199">
        <f t="shared" si="37"/>
        <v>2784.1775021703857</v>
      </c>
      <c r="AC169" s="30">
        <v>2767.9481511052791</v>
      </c>
      <c r="AD169" s="30">
        <f t="shared" si="46"/>
        <v>16.229351065106584</v>
      </c>
    </row>
    <row r="170" spans="2:30" x14ac:dyDescent="0.25">
      <c r="B170" s="10">
        <v>736</v>
      </c>
      <c r="C170" s="10">
        <v>7</v>
      </c>
      <c r="D170" s="9" t="s">
        <v>272</v>
      </c>
      <c r="E170" s="150">
        <v>165.56026467815306</v>
      </c>
      <c r="F170" s="150">
        <v>165.56026467815306</v>
      </c>
      <c r="G170" s="150">
        <f t="shared" si="38"/>
        <v>0</v>
      </c>
      <c r="H170" s="151">
        <v>77022.490000000005</v>
      </c>
      <c r="I170" s="151">
        <v>77022.490000000005</v>
      </c>
      <c r="J170" s="151">
        <f t="shared" si="39"/>
        <v>0</v>
      </c>
      <c r="K170" s="151">
        <v>0</v>
      </c>
      <c r="L170" s="151">
        <v>0</v>
      </c>
      <c r="M170" s="151">
        <f t="shared" si="40"/>
        <v>0</v>
      </c>
      <c r="N170" s="5">
        <f t="shared" si="32"/>
        <v>77022.490000000005</v>
      </c>
      <c r="O170" s="154">
        <f t="shared" si="32"/>
        <v>77022.490000000005</v>
      </c>
      <c r="P170" s="152">
        <f t="shared" si="41"/>
        <v>465.2232837977802</v>
      </c>
      <c r="Q170" s="6">
        <f t="shared" si="33"/>
        <v>465.2232837977802</v>
      </c>
      <c r="R170" s="5">
        <f t="shared" si="42"/>
        <v>77022.490000000005</v>
      </c>
      <c r="S170" s="151">
        <v>2134.4382337843931</v>
      </c>
      <c r="T170" s="195">
        <v>0.24444444444444441</v>
      </c>
      <c r="U170" s="154">
        <f t="shared" si="43"/>
        <v>18217.884543773336</v>
      </c>
      <c r="V170" s="154">
        <f t="shared" si="44"/>
        <v>7564.071031399495</v>
      </c>
      <c r="W170" s="155">
        <f t="shared" si="34"/>
        <v>1335.9781998767114</v>
      </c>
      <c r="X170" s="199">
        <f t="shared" si="35"/>
        <v>52.608036730263763</v>
      </c>
      <c r="Y170" s="199">
        <f t="shared" si="45"/>
        <v>27170.541811779807</v>
      </c>
      <c r="Z170" s="200">
        <f t="shared" si="36"/>
        <v>0.35276114563135785</v>
      </c>
      <c r="AA170" s="199">
        <f t="shared" si="37"/>
        <v>27173.097201222678</v>
      </c>
      <c r="AC170" s="30">
        <v>27000.842204817363</v>
      </c>
      <c r="AD170" s="30">
        <f t="shared" si="46"/>
        <v>172.25499640531416</v>
      </c>
    </row>
    <row r="171" spans="2:30" x14ac:dyDescent="0.25">
      <c r="B171" s="10">
        <v>757</v>
      </c>
      <c r="C171" s="10">
        <v>7</v>
      </c>
      <c r="D171" s="9" t="s">
        <v>273</v>
      </c>
      <c r="E171" s="150">
        <v>503.72</v>
      </c>
      <c r="F171" s="150">
        <v>503.72</v>
      </c>
      <c r="G171" s="150">
        <f t="shared" si="38"/>
        <v>0</v>
      </c>
      <c r="H171" s="151">
        <v>299016.71000000002</v>
      </c>
      <c r="I171" s="151">
        <v>299016.71000000002</v>
      </c>
      <c r="J171" s="151">
        <f t="shared" si="39"/>
        <v>0</v>
      </c>
      <c r="K171" s="151">
        <v>203</v>
      </c>
      <c r="L171" s="151">
        <v>203</v>
      </c>
      <c r="M171" s="151">
        <f t="shared" si="40"/>
        <v>0</v>
      </c>
      <c r="N171" s="5">
        <f t="shared" si="32"/>
        <v>298813.71000000002</v>
      </c>
      <c r="O171" s="154">
        <f t="shared" si="32"/>
        <v>298813.71000000002</v>
      </c>
      <c r="P171" s="152">
        <f t="shared" si="41"/>
        <v>593.21390852060665</v>
      </c>
      <c r="Q171" s="6">
        <f t="shared" si="33"/>
        <v>593.21390852060665</v>
      </c>
      <c r="R171" s="5">
        <f t="shared" si="42"/>
        <v>298813.71000000002</v>
      </c>
      <c r="S171" s="151">
        <v>8280.6905801534322</v>
      </c>
      <c r="T171" s="195">
        <v>0.67222222222222217</v>
      </c>
      <c r="U171" s="154">
        <f t="shared" si="43"/>
        <v>70677.456271234129</v>
      </c>
      <c r="V171" s="154">
        <f t="shared" si="44"/>
        <v>23013.818366040192</v>
      </c>
      <c r="W171" s="155">
        <f t="shared" si="34"/>
        <v>14253.287014698883</v>
      </c>
      <c r="X171" s="199">
        <f t="shared" si="35"/>
        <v>204.09626631372714</v>
      </c>
      <c r="Y171" s="199">
        <f t="shared" si="45"/>
        <v>108148.65791828695</v>
      </c>
      <c r="Z171" s="200">
        <f t="shared" si="36"/>
        <v>0.36192669311688186</v>
      </c>
      <c r="AA171" s="199">
        <f t="shared" si="37"/>
        <v>108158.82929950634</v>
      </c>
      <c r="AC171" s="30">
        <v>107446.61188282032</v>
      </c>
      <c r="AD171" s="30">
        <f t="shared" si="46"/>
        <v>712.21741668602044</v>
      </c>
    </row>
    <row r="172" spans="2:30" x14ac:dyDescent="0.25">
      <c r="B172" s="10">
        <v>786</v>
      </c>
      <c r="C172" s="10">
        <v>7</v>
      </c>
      <c r="D172" s="9" t="s">
        <v>274</v>
      </c>
      <c r="E172" s="150">
        <v>3287.19</v>
      </c>
      <c r="F172" s="150">
        <v>3287.19</v>
      </c>
      <c r="G172" s="150">
        <f t="shared" si="38"/>
        <v>0</v>
      </c>
      <c r="H172" s="151">
        <v>2059401.44</v>
      </c>
      <c r="I172" s="151">
        <v>2059401.44</v>
      </c>
      <c r="J172" s="151">
        <f t="shared" si="39"/>
        <v>0</v>
      </c>
      <c r="K172" s="151">
        <v>336948.49</v>
      </c>
      <c r="L172" s="151">
        <v>336948.49</v>
      </c>
      <c r="M172" s="151">
        <f t="shared" si="40"/>
        <v>0</v>
      </c>
      <c r="N172" s="5">
        <f t="shared" si="32"/>
        <v>1722452.95</v>
      </c>
      <c r="O172" s="154">
        <f t="shared" si="32"/>
        <v>1722452.95</v>
      </c>
      <c r="P172" s="152">
        <f t="shared" si="41"/>
        <v>523.98947125052098</v>
      </c>
      <c r="Q172" s="6">
        <f t="shared" si="33"/>
        <v>523.98947125052098</v>
      </c>
      <c r="R172" s="5">
        <f t="shared" si="42"/>
        <v>1722452.9500000002</v>
      </c>
      <c r="S172" s="151">
        <v>46174.586419712912</v>
      </c>
      <c r="T172" s="195">
        <v>0.79166666666666663</v>
      </c>
      <c r="U172" s="154">
        <f t="shared" si="43"/>
        <v>407406.31697549368</v>
      </c>
      <c r="V172" s="154">
        <f t="shared" si="44"/>
        <v>150184.21661769168</v>
      </c>
      <c r="W172" s="155">
        <f t="shared" si="34"/>
        <v>96759.00028167975</v>
      </c>
      <c r="X172" s="199">
        <f t="shared" si="35"/>
        <v>1176.4728465640512</v>
      </c>
      <c r="Y172" s="199">
        <f t="shared" si="45"/>
        <v>655526.00672142918</v>
      </c>
      <c r="Z172" s="200">
        <f t="shared" si="36"/>
        <v>0.38057701763141288</v>
      </c>
      <c r="AA172" s="199">
        <f t="shared" si="37"/>
        <v>655587.65894201084</v>
      </c>
      <c r="AC172" s="30">
        <v>651309.14048983145</v>
      </c>
      <c r="AD172" s="30">
        <f t="shared" si="46"/>
        <v>4278.5184521793853</v>
      </c>
    </row>
    <row r="173" spans="2:30" x14ac:dyDescent="0.25">
      <c r="B173" s="10">
        <v>854</v>
      </c>
      <c r="C173" s="10">
        <v>7</v>
      </c>
      <c r="D173" s="9" t="s">
        <v>275</v>
      </c>
      <c r="E173" s="150">
        <v>694.07</v>
      </c>
      <c r="F173" s="150">
        <v>694.07</v>
      </c>
      <c r="G173" s="150">
        <f t="shared" si="38"/>
        <v>0</v>
      </c>
      <c r="H173" s="151">
        <v>352725.22</v>
      </c>
      <c r="I173" s="151">
        <v>352725.22</v>
      </c>
      <c r="J173" s="151">
        <f t="shared" si="39"/>
        <v>0</v>
      </c>
      <c r="K173" s="151">
        <v>0</v>
      </c>
      <c r="L173" s="151">
        <v>0</v>
      </c>
      <c r="M173" s="151">
        <f t="shared" si="40"/>
        <v>0</v>
      </c>
      <c r="N173" s="5">
        <f t="shared" si="32"/>
        <v>352725.22</v>
      </c>
      <c r="O173" s="154">
        <f t="shared" si="32"/>
        <v>352725.22</v>
      </c>
      <c r="P173" s="152">
        <f t="shared" si="41"/>
        <v>508.19833734349555</v>
      </c>
      <c r="Q173" s="6">
        <f t="shared" si="33"/>
        <v>508.19833734349555</v>
      </c>
      <c r="R173" s="5">
        <f t="shared" si="42"/>
        <v>352725.22</v>
      </c>
      <c r="S173" s="151">
        <v>9774.6800394016282</v>
      </c>
      <c r="T173" s="195">
        <v>0.74999999999999989</v>
      </c>
      <c r="U173" s="154">
        <f t="shared" si="43"/>
        <v>83428.974233851026</v>
      </c>
      <c r="V173" s="154">
        <f t="shared" si="44"/>
        <v>31710.47588604287</v>
      </c>
      <c r="W173" s="155">
        <f t="shared" si="34"/>
        <v>18771.519202616477</v>
      </c>
      <c r="X173" s="199">
        <f t="shared" si="35"/>
        <v>240.91900079379883</v>
      </c>
      <c r="Y173" s="199">
        <f t="shared" si="45"/>
        <v>134151.88832330419</v>
      </c>
      <c r="Z173" s="200">
        <f t="shared" si="36"/>
        <v>0.38032973180455937</v>
      </c>
      <c r="AA173" s="199">
        <f t="shared" si="37"/>
        <v>134164.50530832927</v>
      </c>
      <c r="AC173" s="30">
        <v>133292.5586749494</v>
      </c>
      <c r="AD173" s="30">
        <f t="shared" si="46"/>
        <v>871.94663337987731</v>
      </c>
    </row>
    <row r="174" spans="2:30" x14ac:dyDescent="0.25">
      <c r="B174" s="10">
        <v>855</v>
      </c>
      <c r="C174" s="10">
        <v>7</v>
      </c>
      <c r="D174" s="9" t="s">
        <v>276</v>
      </c>
      <c r="E174" s="150">
        <v>213.62227274865282</v>
      </c>
      <c r="F174" s="150">
        <v>213.62227274865282</v>
      </c>
      <c r="G174" s="150">
        <f t="shared" si="38"/>
        <v>0</v>
      </c>
      <c r="H174" s="151">
        <v>117515.44</v>
      </c>
      <c r="I174" s="151">
        <v>117515.44</v>
      </c>
      <c r="J174" s="151">
        <f t="shared" si="39"/>
        <v>0</v>
      </c>
      <c r="K174" s="151">
        <v>280</v>
      </c>
      <c r="L174" s="151">
        <v>280</v>
      </c>
      <c r="M174" s="151">
        <f t="shared" si="40"/>
        <v>0</v>
      </c>
      <c r="N174" s="5">
        <f t="shared" si="32"/>
        <v>117235.44</v>
      </c>
      <c r="O174" s="154">
        <f t="shared" si="32"/>
        <v>117235.44</v>
      </c>
      <c r="P174" s="152">
        <f t="shared" si="41"/>
        <v>548.79783129139719</v>
      </c>
      <c r="Q174" s="6">
        <f t="shared" si="33"/>
        <v>548.79783129139719</v>
      </c>
      <c r="R174" s="5">
        <f t="shared" si="42"/>
        <v>117235.44</v>
      </c>
      <c r="S174" s="151">
        <v>3248.814800593128</v>
      </c>
      <c r="T174" s="195">
        <v>0.14166666666666666</v>
      </c>
      <c r="U174" s="154">
        <f t="shared" si="43"/>
        <v>27729.325686023218</v>
      </c>
      <c r="V174" s="154">
        <f t="shared" si="44"/>
        <v>9759.9146033077759</v>
      </c>
      <c r="W174" s="155">
        <f t="shared" si="34"/>
        <v>1178.4963416559867</v>
      </c>
      <c r="X174" s="199">
        <f t="shared" si="35"/>
        <v>80.074356640620593</v>
      </c>
      <c r="Y174" s="199">
        <f t="shared" si="45"/>
        <v>38747.810987627599</v>
      </c>
      <c r="Z174" s="200">
        <f t="shared" si="36"/>
        <v>0.33051277828297992</v>
      </c>
      <c r="AA174" s="199">
        <f t="shared" si="37"/>
        <v>38751.455219230273</v>
      </c>
      <c r="AC174" s="30">
        <v>38502.08805998756</v>
      </c>
      <c r="AD174" s="30">
        <f t="shared" si="46"/>
        <v>249.36715924271266</v>
      </c>
    </row>
    <row r="175" spans="2:30" x14ac:dyDescent="0.25">
      <c r="B175" s="10">
        <v>862</v>
      </c>
      <c r="C175" s="10">
        <v>7</v>
      </c>
      <c r="D175" s="9" t="s">
        <v>277</v>
      </c>
      <c r="E175" s="150">
        <v>9.4811805961032061</v>
      </c>
      <c r="F175" s="150">
        <v>9.4811805961032061</v>
      </c>
      <c r="G175" s="150">
        <f t="shared" si="38"/>
        <v>0</v>
      </c>
      <c r="H175" s="151">
        <v>10431.540000000001</v>
      </c>
      <c r="I175" s="151">
        <v>10431.540000000001</v>
      </c>
      <c r="J175" s="151">
        <f t="shared" si="39"/>
        <v>0</v>
      </c>
      <c r="K175" s="151">
        <v>9850</v>
      </c>
      <c r="L175" s="151">
        <v>9850</v>
      </c>
      <c r="M175" s="151">
        <f t="shared" si="40"/>
        <v>0</v>
      </c>
      <c r="N175" s="5">
        <f t="shared" si="32"/>
        <v>581.54000000000087</v>
      </c>
      <c r="O175" s="154">
        <f t="shared" si="32"/>
        <v>581.54000000000087</v>
      </c>
      <c r="P175" s="152">
        <f t="shared" si="41"/>
        <v>61.336243319636331</v>
      </c>
      <c r="Q175" s="6">
        <f t="shared" si="33"/>
        <v>61.336243319636331</v>
      </c>
      <c r="R175" s="5">
        <f t="shared" si="42"/>
        <v>581.54000000000087</v>
      </c>
      <c r="S175" s="151">
        <v>0</v>
      </c>
      <c r="T175" s="195">
        <v>0.16666666666666666</v>
      </c>
      <c r="U175" s="154">
        <f t="shared" si="43"/>
        <v>137.54980626549417</v>
      </c>
      <c r="V175" s="154">
        <f t="shared" si="44"/>
        <v>433.17352524089546</v>
      </c>
      <c r="W175" s="155">
        <f t="shared" si="34"/>
        <v>6.8774903132747083</v>
      </c>
      <c r="X175" s="199">
        <f t="shared" si="35"/>
        <v>0.39720447469456821</v>
      </c>
      <c r="Y175" s="199">
        <f t="shared" si="45"/>
        <v>577.99802629435897</v>
      </c>
      <c r="Z175" s="200">
        <f t="shared" si="36"/>
        <v>0.99390932058733383</v>
      </c>
      <c r="AA175" s="199">
        <f t="shared" si="37"/>
        <v>436.15500000000065</v>
      </c>
      <c r="AC175" s="30">
        <v>436.15500000000065</v>
      </c>
      <c r="AD175" s="30">
        <f t="shared" si="46"/>
        <v>0</v>
      </c>
    </row>
    <row r="176" spans="2:30" x14ac:dyDescent="0.25">
      <c r="B176" s="10">
        <v>958</v>
      </c>
      <c r="C176" s="10">
        <v>7</v>
      </c>
      <c r="D176" s="9" t="s">
        <v>278</v>
      </c>
      <c r="E176" s="150">
        <v>1200.2102688322459</v>
      </c>
      <c r="F176" s="150">
        <v>1008.1747776357346</v>
      </c>
      <c r="G176" s="150">
        <f t="shared" si="38"/>
        <v>-192.03549119651132</v>
      </c>
      <c r="H176" s="151">
        <v>170879.07</v>
      </c>
      <c r="I176" s="151">
        <v>170879.07</v>
      </c>
      <c r="J176" s="151">
        <f t="shared" si="39"/>
        <v>0</v>
      </c>
      <c r="K176" s="151">
        <v>149.80000000000001</v>
      </c>
      <c r="L176" s="151">
        <v>149.80000000000001</v>
      </c>
      <c r="M176" s="151">
        <f t="shared" si="40"/>
        <v>0</v>
      </c>
      <c r="N176" s="5">
        <f t="shared" si="32"/>
        <v>170729.27000000002</v>
      </c>
      <c r="O176" s="154">
        <f t="shared" si="32"/>
        <v>170729.27000000002</v>
      </c>
      <c r="P176" s="152">
        <f t="shared" si="41"/>
        <v>169.34491299254316</v>
      </c>
      <c r="Q176" s="6">
        <f t="shared" si="33"/>
        <v>169.34491299254316</v>
      </c>
      <c r="R176" s="5">
        <f t="shared" si="42"/>
        <v>170729.27000000002</v>
      </c>
      <c r="S176" s="151">
        <v>4731.2295605361351</v>
      </c>
      <c r="T176" s="195">
        <v>0.48888888888888882</v>
      </c>
      <c r="U176" s="154">
        <f t="shared" si="43"/>
        <v>40382.051126920269</v>
      </c>
      <c r="V176" s="154">
        <f t="shared" si="44"/>
        <v>46061.207047033575</v>
      </c>
      <c r="W176" s="155">
        <f t="shared" si="34"/>
        <v>5922.7008319483057</v>
      </c>
      <c r="X176" s="199">
        <f t="shared" si="35"/>
        <v>116.61180659169965</v>
      </c>
      <c r="Y176" s="199">
        <f t="shared" si="45"/>
        <v>92482.570812493839</v>
      </c>
      <c r="Z176" s="200">
        <f t="shared" si="36"/>
        <v>0.54169136207572277</v>
      </c>
      <c r="AA176" s="199">
        <f t="shared" si="37"/>
        <v>92491.268798229314</v>
      </c>
      <c r="AC176" s="30">
        <v>100721.37022370502</v>
      </c>
      <c r="AD176" s="30">
        <f t="shared" si="46"/>
        <v>-8230.1014254757029</v>
      </c>
    </row>
    <row r="177" spans="2:30" x14ac:dyDescent="0.25">
      <c r="B177" s="10">
        <v>967</v>
      </c>
      <c r="C177" s="10">
        <v>7</v>
      </c>
      <c r="D177" s="9" t="s">
        <v>279</v>
      </c>
      <c r="E177" s="150">
        <v>159.22099578056358</v>
      </c>
      <c r="F177" s="150">
        <v>159.22099578056358</v>
      </c>
      <c r="G177" s="150">
        <f t="shared" si="38"/>
        <v>0</v>
      </c>
      <c r="H177" s="151">
        <v>138748.74</v>
      </c>
      <c r="I177" s="151">
        <v>80329.45</v>
      </c>
      <c r="J177" s="151">
        <f t="shared" si="39"/>
        <v>58419.289999999994</v>
      </c>
      <c r="K177" s="151">
        <v>0</v>
      </c>
      <c r="L177" s="151">
        <v>0</v>
      </c>
      <c r="M177" s="151">
        <f t="shared" si="40"/>
        <v>0</v>
      </c>
      <c r="N177" s="5">
        <f t="shared" si="32"/>
        <v>138748.74</v>
      </c>
      <c r="O177" s="154">
        <f t="shared" si="32"/>
        <v>80329.45</v>
      </c>
      <c r="P177" s="152">
        <f t="shared" si="41"/>
        <v>504.51543533058327</v>
      </c>
      <c r="Q177" s="6">
        <f t="shared" si="33"/>
        <v>504.51543533058327</v>
      </c>
      <c r="R177" s="5">
        <f t="shared" si="42"/>
        <v>80329.45</v>
      </c>
      <c r="S177" s="151">
        <v>0</v>
      </c>
      <c r="T177" s="195">
        <v>0.27499999999999997</v>
      </c>
      <c r="U177" s="154">
        <f t="shared" si="43"/>
        <v>19000.069272816458</v>
      </c>
      <c r="V177" s="154">
        <f t="shared" si="44"/>
        <v>7274.4442884021719</v>
      </c>
      <c r="W177" s="155">
        <f t="shared" si="34"/>
        <v>1567.5057150073578</v>
      </c>
      <c r="X177" s="199">
        <f t="shared" si="35"/>
        <v>54.866762371897948</v>
      </c>
      <c r="Y177" s="199">
        <f t="shared" si="45"/>
        <v>27896.886038597884</v>
      </c>
      <c r="Z177" s="200">
        <f t="shared" si="36"/>
        <v>0.34728092920588755</v>
      </c>
      <c r="AA177" s="199">
        <f t="shared" si="37"/>
        <v>27899.509740714901</v>
      </c>
      <c r="AC177" s="30">
        <v>33859.537440750973</v>
      </c>
      <c r="AD177" s="30">
        <f t="shared" si="46"/>
        <v>-5960.0277000360729</v>
      </c>
    </row>
    <row r="178" spans="2:30" x14ac:dyDescent="0.25">
      <c r="B178" s="10">
        <v>971</v>
      </c>
      <c r="C178" s="10">
        <v>7</v>
      </c>
      <c r="D178" s="9" t="s">
        <v>280</v>
      </c>
      <c r="E178" s="150">
        <v>1086.1199999999999</v>
      </c>
      <c r="F178" s="150">
        <v>1086.1199999999999</v>
      </c>
      <c r="G178" s="150">
        <f t="shared" si="38"/>
        <v>0</v>
      </c>
      <c r="H178" s="151">
        <v>545139.75</v>
      </c>
      <c r="I178" s="151">
        <v>545139.75</v>
      </c>
      <c r="J178" s="151">
        <f t="shared" si="39"/>
        <v>0</v>
      </c>
      <c r="K178" s="151">
        <v>148002.6</v>
      </c>
      <c r="L178" s="151">
        <v>148002.6</v>
      </c>
      <c r="M178" s="151">
        <f t="shared" si="40"/>
        <v>0</v>
      </c>
      <c r="N178" s="5">
        <f t="shared" si="32"/>
        <v>397137.15</v>
      </c>
      <c r="O178" s="154">
        <f t="shared" si="32"/>
        <v>397137.15</v>
      </c>
      <c r="P178" s="152">
        <f t="shared" si="41"/>
        <v>365.64758037785884</v>
      </c>
      <c r="Q178" s="6">
        <f t="shared" si="33"/>
        <v>365.64758037785884</v>
      </c>
      <c r="R178" s="5">
        <f t="shared" si="42"/>
        <v>397137.15</v>
      </c>
      <c r="S178" s="151">
        <v>0</v>
      </c>
      <c r="T178" s="195">
        <v>0.66</v>
      </c>
      <c r="U178" s="154">
        <f t="shared" si="43"/>
        <v>93933.58675814289</v>
      </c>
      <c r="V178" s="154">
        <f t="shared" si="44"/>
        <v>49622.346549121678</v>
      </c>
      <c r="W178" s="155">
        <f t="shared" si="34"/>
        <v>18598.850178112294</v>
      </c>
      <c r="X178" s="199">
        <f t="shared" si="35"/>
        <v>271.25331541673438</v>
      </c>
      <c r="Y178" s="199">
        <f t="shared" si="45"/>
        <v>162426.03680079363</v>
      </c>
      <c r="Z178" s="200">
        <f t="shared" si="36"/>
        <v>0.40899230102445372</v>
      </c>
      <c r="AA178" s="199">
        <f t="shared" si="37"/>
        <v>162441.31296946792</v>
      </c>
      <c r="AC178" s="30">
        <v>161427.0013760436</v>
      </c>
      <c r="AD178" s="30">
        <f t="shared" si="46"/>
        <v>1014.3115934243251</v>
      </c>
    </row>
    <row r="179" spans="2:30" x14ac:dyDescent="0.25">
      <c r="B179" s="10">
        <v>975</v>
      </c>
      <c r="C179" s="10">
        <v>7</v>
      </c>
      <c r="D179" s="9" t="s">
        <v>281</v>
      </c>
      <c r="E179" s="150">
        <v>27.963014116772225</v>
      </c>
      <c r="F179" s="150">
        <v>27.963014116772225</v>
      </c>
      <c r="G179" s="150">
        <f t="shared" si="38"/>
        <v>0</v>
      </c>
      <c r="H179" s="151">
        <v>25533.27</v>
      </c>
      <c r="I179" s="151">
        <v>25533.27</v>
      </c>
      <c r="J179" s="151">
        <f t="shared" si="39"/>
        <v>0</v>
      </c>
      <c r="K179" s="151">
        <v>0</v>
      </c>
      <c r="L179" s="151">
        <v>0</v>
      </c>
      <c r="M179" s="151">
        <f t="shared" si="40"/>
        <v>0</v>
      </c>
      <c r="N179" s="5">
        <f t="shared" si="32"/>
        <v>25533.27</v>
      </c>
      <c r="O179" s="154">
        <f t="shared" si="32"/>
        <v>25533.27</v>
      </c>
      <c r="P179" s="152">
        <f t="shared" si="41"/>
        <v>913.10864749323059</v>
      </c>
      <c r="Q179" s="6">
        <f t="shared" si="33"/>
        <v>655.20137599530074</v>
      </c>
      <c r="R179" s="5">
        <f t="shared" si="42"/>
        <v>18321.405326285181</v>
      </c>
      <c r="S179" s="151">
        <v>707.57499168801257</v>
      </c>
      <c r="T179" s="195">
        <v>0.15</v>
      </c>
      <c r="U179" s="154">
        <f t="shared" si="43"/>
        <v>4333.5037196789835</v>
      </c>
      <c r="V179" s="154">
        <f t="shared" si="44"/>
        <v>1277.5663619677873</v>
      </c>
      <c r="W179" s="155">
        <f t="shared" si="34"/>
        <v>195.00766738555424</v>
      </c>
      <c r="X179" s="199">
        <f t="shared" si="35"/>
        <v>12.513918523735871</v>
      </c>
      <c r="Y179" s="199">
        <f t="shared" si="45"/>
        <v>5818.5916675560611</v>
      </c>
      <c r="Z179" s="200">
        <f t="shared" si="36"/>
        <v>0.31758435359804515</v>
      </c>
      <c r="AA179" s="199">
        <f t="shared" si="37"/>
        <v>5819.1389060992842</v>
      </c>
      <c r="AC179" s="30">
        <v>5785.0829434046</v>
      </c>
      <c r="AD179" s="30">
        <f t="shared" si="46"/>
        <v>34.05596269468424</v>
      </c>
    </row>
    <row r="180" spans="2:30" x14ac:dyDescent="0.25">
      <c r="B180" s="10">
        <v>977</v>
      </c>
      <c r="C180" s="10">
        <v>7</v>
      </c>
      <c r="D180" s="9" t="s">
        <v>39</v>
      </c>
      <c r="E180" s="150">
        <v>37.550732326081771</v>
      </c>
      <c r="F180" s="150">
        <v>37.550732326081778</v>
      </c>
      <c r="G180" s="150">
        <f t="shared" si="38"/>
        <v>0</v>
      </c>
      <c r="H180" s="151">
        <v>1817.87</v>
      </c>
      <c r="I180" s="151">
        <v>1817.87</v>
      </c>
      <c r="J180" s="151">
        <f t="shared" si="39"/>
        <v>0</v>
      </c>
      <c r="K180" s="151">
        <v>0</v>
      </c>
      <c r="L180" s="151">
        <v>0</v>
      </c>
      <c r="M180" s="151">
        <f t="shared" si="40"/>
        <v>0</v>
      </c>
      <c r="N180" s="5">
        <f t="shared" si="32"/>
        <v>1817.87</v>
      </c>
      <c r="O180" s="154">
        <f t="shared" si="32"/>
        <v>1817.87</v>
      </c>
      <c r="P180" s="152">
        <f t="shared" si="41"/>
        <v>48.411039875708468</v>
      </c>
      <c r="Q180" s="6">
        <f t="shared" si="33"/>
        <v>48.411039875708468</v>
      </c>
      <c r="R180" s="5">
        <f t="shared" si="42"/>
        <v>1817.87</v>
      </c>
      <c r="S180" s="151">
        <v>0</v>
      </c>
      <c r="T180" s="195">
        <v>0.25</v>
      </c>
      <c r="U180" s="154">
        <f t="shared" si="43"/>
        <v>429.97500828120764</v>
      </c>
      <c r="V180" s="154">
        <f t="shared" si="44"/>
        <v>1715.6073478603985</v>
      </c>
      <c r="W180" s="155">
        <f t="shared" si="34"/>
        <v>32.248125621090573</v>
      </c>
      <c r="X180" s="199">
        <f t="shared" si="35"/>
        <v>1.2416447680520919</v>
      </c>
      <c r="Y180" s="199">
        <f t="shared" si="45"/>
        <v>2179.0721265307484</v>
      </c>
      <c r="Z180" s="200">
        <f t="shared" si="36"/>
        <v>1.1986952458265709</v>
      </c>
      <c r="AA180" s="199">
        <f t="shared" si="37"/>
        <v>1363.4024999999999</v>
      </c>
      <c r="AC180" s="30">
        <v>1363.4024999999999</v>
      </c>
      <c r="AD180" s="30">
        <f t="shared" si="46"/>
        <v>0</v>
      </c>
    </row>
    <row r="181" spans="2:30" x14ac:dyDescent="0.25">
      <c r="B181" s="91">
        <v>979</v>
      </c>
      <c r="C181" s="91">
        <v>7</v>
      </c>
      <c r="D181" s="92" t="s">
        <v>283</v>
      </c>
      <c r="E181" s="150">
        <v>20.39470329005826</v>
      </c>
      <c r="F181" s="150">
        <v>20.39470329005826</v>
      </c>
      <c r="G181" s="150">
        <f t="shared" si="38"/>
        <v>0</v>
      </c>
      <c r="H181" s="151">
        <v>106758.52</v>
      </c>
      <c r="I181" s="151">
        <v>106758.52</v>
      </c>
      <c r="J181" s="151">
        <f t="shared" si="39"/>
        <v>0</v>
      </c>
      <c r="K181" s="151">
        <v>0</v>
      </c>
      <c r="L181" s="151">
        <v>0</v>
      </c>
      <c r="M181" s="151">
        <f t="shared" si="40"/>
        <v>0</v>
      </c>
      <c r="N181" s="5">
        <f t="shared" si="32"/>
        <v>106758.52</v>
      </c>
      <c r="O181" s="154">
        <f t="shared" si="32"/>
        <v>106758.52</v>
      </c>
      <c r="P181" s="152">
        <f t="shared" si="41"/>
        <v>5234.6199148698197</v>
      </c>
      <c r="Q181" s="6">
        <f t="shared" si="33"/>
        <v>655.20137599530074</v>
      </c>
      <c r="R181" s="5">
        <f t="shared" si="42"/>
        <v>13362.637658662059</v>
      </c>
      <c r="S181" s="151">
        <v>0</v>
      </c>
      <c r="T181" s="195">
        <v>0.38888888888888884</v>
      </c>
      <c r="U181" s="154">
        <f t="shared" si="43"/>
        <v>3160.6221775715512</v>
      </c>
      <c r="V181" s="154">
        <f t="shared" si="44"/>
        <v>931.78749532812481</v>
      </c>
      <c r="W181" s="155">
        <f t="shared" si="34"/>
        <v>368.73925405001432</v>
      </c>
      <c r="X181" s="199">
        <f t="shared" si="35"/>
        <v>9.1269723006890491</v>
      </c>
      <c r="Y181" s="199">
        <f t="shared" si="45"/>
        <v>4470.2758992503796</v>
      </c>
      <c r="Z181" s="200">
        <f t="shared" si="36"/>
        <v>0.33453544228617271</v>
      </c>
      <c r="AA181" s="199">
        <f t="shared" si="37"/>
        <v>4470.6963286963146</v>
      </c>
      <c r="AC181" s="30">
        <v>4444.3799885016069</v>
      </c>
      <c r="AD181" s="30">
        <f t="shared" si="46"/>
        <v>26.316340194707664</v>
      </c>
    </row>
    <row r="182" spans="2:30" x14ac:dyDescent="0.25">
      <c r="B182" s="91">
        <v>981</v>
      </c>
      <c r="C182" s="91">
        <v>7</v>
      </c>
      <c r="D182" s="92" t="s">
        <v>284</v>
      </c>
      <c r="E182" s="150">
        <v>106.76031133214458</v>
      </c>
      <c r="F182" s="150">
        <v>106.76031133214458</v>
      </c>
      <c r="G182" s="150">
        <f t="shared" si="38"/>
        <v>0</v>
      </c>
      <c r="H182" s="151">
        <v>154737.71</v>
      </c>
      <c r="I182" s="151">
        <v>154737.71</v>
      </c>
      <c r="J182" s="151">
        <f t="shared" si="39"/>
        <v>0</v>
      </c>
      <c r="K182" s="151">
        <v>0</v>
      </c>
      <c r="L182" s="151">
        <v>0</v>
      </c>
      <c r="M182" s="151">
        <f t="shared" si="40"/>
        <v>0</v>
      </c>
      <c r="N182" s="5">
        <f t="shared" si="32"/>
        <v>154737.71</v>
      </c>
      <c r="O182" s="154">
        <f t="shared" si="32"/>
        <v>154737.71</v>
      </c>
      <c r="P182" s="152">
        <f t="shared" si="41"/>
        <v>1449.3935814648551</v>
      </c>
      <c r="Q182" s="6">
        <f t="shared" si="33"/>
        <v>655.20137599530074</v>
      </c>
      <c r="R182" s="5">
        <f t="shared" si="42"/>
        <v>69949.502886507835</v>
      </c>
      <c r="S182" s="151">
        <v>0</v>
      </c>
      <c r="T182" s="195">
        <v>0.34166666666666667</v>
      </c>
      <c r="U182" s="154">
        <f t="shared" si="43"/>
        <v>16544.933401669296</v>
      </c>
      <c r="V182" s="154">
        <f t="shared" si="44"/>
        <v>4877.6352213528899</v>
      </c>
      <c r="W182" s="155">
        <f t="shared" si="34"/>
        <v>1695.855673671103</v>
      </c>
      <c r="X182" s="199">
        <f t="shared" si="35"/>
        <v>47.777032618876575</v>
      </c>
      <c r="Y182" s="199">
        <f t="shared" si="45"/>
        <v>23166.201329312164</v>
      </c>
      <c r="Z182" s="200">
        <f t="shared" si="36"/>
        <v>0.3311846456850312</v>
      </c>
      <c r="AA182" s="199">
        <f t="shared" si="37"/>
        <v>23168.380110534799</v>
      </c>
      <c r="AC182" s="30">
        <v>23032.150910723791</v>
      </c>
      <c r="AD182" s="30">
        <f t="shared" si="46"/>
        <v>136.22919981100858</v>
      </c>
    </row>
    <row r="183" spans="2:30" x14ac:dyDescent="0.25">
      <c r="B183" s="91">
        <v>983</v>
      </c>
      <c r="C183" s="91">
        <v>7</v>
      </c>
      <c r="D183" s="92" t="s">
        <v>285</v>
      </c>
      <c r="E183" s="150">
        <v>82.706205004993848</v>
      </c>
      <c r="F183" s="150">
        <v>82.706205004993848</v>
      </c>
      <c r="G183" s="150">
        <f t="shared" si="38"/>
        <v>0</v>
      </c>
      <c r="H183" s="151">
        <v>32907.75</v>
      </c>
      <c r="I183" s="151">
        <v>32907.75</v>
      </c>
      <c r="J183" s="151">
        <f t="shared" si="39"/>
        <v>0</v>
      </c>
      <c r="K183" s="151">
        <v>0</v>
      </c>
      <c r="L183" s="151">
        <v>0</v>
      </c>
      <c r="M183" s="151">
        <f t="shared" si="40"/>
        <v>0</v>
      </c>
      <c r="N183" s="5">
        <f t="shared" si="32"/>
        <v>32907.75</v>
      </c>
      <c r="O183" s="154">
        <f t="shared" si="32"/>
        <v>32907.75</v>
      </c>
      <c r="P183" s="152">
        <f t="shared" si="41"/>
        <v>397.8873168949417</v>
      </c>
      <c r="Q183" s="6">
        <f t="shared" si="33"/>
        <v>397.8873168949417</v>
      </c>
      <c r="R183" s="5">
        <f t="shared" si="42"/>
        <v>32907.75</v>
      </c>
      <c r="S183" s="151">
        <v>0</v>
      </c>
      <c r="T183" s="195">
        <v>0.16666666666666666</v>
      </c>
      <c r="U183" s="154">
        <f t="shared" si="43"/>
        <v>7783.5654247916036</v>
      </c>
      <c r="V183" s="154">
        <f t="shared" si="44"/>
        <v>3778.6579443528399</v>
      </c>
      <c r="W183" s="155">
        <f t="shared" si="34"/>
        <v>389.17827123958017</v>
      </c>
      <c r="X183" s="199">
        <f t="shared" si="35"/>
        <v>22.476709344378989</v>
      </c>
      <c r="Y183" s="199">
        <f t="shared" si="45"/>
        <v>11973.878349728402</v>
      </c>
      <c r="Z183" s="200">
        <f t="shared" si="36"/>
        <v>0.36386195804114235</v>
      </c>
      <c r="AA183" s="199">
        <f t="shared" si="37"/>
        <v>11975.004492980792</v>
      </c>
      <c r="AC183" s="30">
        <v>11900.737114796524</v>
      </c>
      <c r="AD183" s="30">
        <f t="shared" si="46"/>
        <v>74.267378184267727</v>
      </c>
    </row>
    <row r="184" spans="2:30" x14ac:dyDescent="0.25">
      <c r="B184" s="10">
        <v>188</v>
      </c>
      <c r="C184" s="10">
        <v>8</v>
      </c>
      <c r="D184" s="9" t="s">
        <v>286</v>
      </c>
      <c r="E184" s="150">
        <v>214.13</v>
      </c>
      <c r="F184" s="150">
        <v>214.13</v>
      </c>
      <c r="G184" s="150">
        <f t="shared" si="38"/>
        <v>0</v>
      </c>
      <c r="H184" s="151">
        <v>210897.25</v>
      </c>
      <c r="I184" s="151">
        <v>210897.25</v>
      </c>
      <c r="J184" s="151">
        <f t="shared" si="39"/>
        <v>0</v>
      </c>
      <c r="K184" s="151">
        <v>21860.129999999997</v>
      </c>
      <c r="L184" s="151">
        <v>21860.13</v>
      </c>
      <c r="M184" s="151">
        <f t="shared" si="40"/>
        <v>0</v>
      </c>
      <c r="N184" s="5">
        <f t="shared" si="32"/>
        <v>189037.12</v>
      </c>
      <c r="O184" s="154">
        <f t="shared" si="32"/>
        <v>189037.12</v>
      </c>
      <c r="P184" s="152">
        <f t="shared" si="41"/>
        <v>882.8147387101294</v>
      </c>
      <c r="Q184" s="6">
        <f t="shared" si="33"/>
        <v>882.8147387101294</v>
      </c>
      <c r="R184" s="5">
        <f t="shared" si="42"/>
        <v>189037.12</v>
      </c>
      <c r="S184" s="151">
        <v>2748.9107110640389</v>
      </c>
      <c r="T184" s="195">
        <v>0.5083333333333333</v>
      </c>
      <c r="U184" s="154">
        <f t="shared" si="43"/>
        <v>44712.348648393803</v>
      </c>
      <c r="V184" s="154">
        <f t="shared" si="44"/>
        <v>9783.1115038517146</v>
      </c>
      <c r="W184" s="155">
        <f t="shared" si="34"/>
        <v>6818.6331688800556</v>
      </c>
      <c r="X184" s="199">
        <f t="shared" si="35"/>
        <v>129.11646653260985</v>
      </c>
      <c r="Y184" s="199">
        <f t="shared" si="45"/>
        <v>61443.209787658183</v>
      </c>
      <c r="Z184" s="200">
        <f t="shared" si="36"/>
        <v>0.3250325110097857</v>
      </c>
      <c r="AA184" s="199">
        <f t="shared" si="37"/>
        <v>61448.98852150586</v>
      </c>
      <c r="AC184" s="30">
        <v>61032.376730707605</v>
      </c>
      <c r="AD184" s="30">
        <f t="shared" si="46"/>
        <v>416.61179079825524</v>
      </c>
    </row>
    <row r="185" spans="2:30" x14ac:dyDescent="0.25">
      <c r="B185" s="10">
        <v>232</v>
      </c>
      <c r="C185" s="10">
        <v>8</v>
      </c>
      <c r="D185" s="9" t="s">
        <v>287</v>
      </c>
      <c r="E185" s="150">
        <v>89.174846737228009</v>
      </c>
      <c r="F185" s="150">
        <v>89.174846737228009</v>
      </c>
      <c r="G185" s="150">
        <f t="shared" si="38"/>
        <v>0</v>
      </c>
      <c r="H185" s="151">
        <v>77330.080000000002</v>
      </c>
      <c r="I185" s="151">
        <v>77330.080000000002</v>
      </c>
      <c r="J185" s="151">
        <f t="shared" si="39"/>
        <v>0</v>
      </c>
      <c r="K185" s="151">
        <v>0</v>
      </c>
      <c r="L185" s="151">
        <v>0</v>
      </c>
      <c r="M185" s="151">
        <f t="shared" si="40"/>
        <v>0</v>
      </c>
      <c r="N185" s="5">
        <f t="shared" si="32"/>
        <v>77330.080000000002</v>
      </c>
      <c r="O185" s="154">
        <f t="shared" si="32"/>
        <v>77330.080000000002</v>
      </c>
      <c r="P185" s="152">
        <f t="shared" si="41"/>
        <v>867.17367990403125</v>
      </c>
      <c r="Q185" s="6">
        <f t="shared" si="33"/>
        <v>867.17367990403125</v>
      </c>
      <c r="R185" s="5">
        <f t="shared" si="42"/>
        <v>77330.080000000002</v>
      </c>
      <c r="S185" s="151">
        <v>0</v>
      </c>
      <c r="T185" s="195">
        <v>0.15833333333333333</v>
      </c>
      <c r="U185" s="154">
        <f t="shared" si="43"/>
        <v>18290.63782800005</v>
      </c>
      <c r="V185" s="154">
        <f t="shared" si="44"/>
        <v>4074.1954372072523</v>
      </c>
      <c r="W185" s="155">
        <f t="shared" si="34"/>
        <v>868.80529683000236</v>
      </c>
      <c r="X185" s="199">
        <f t="shared" si="35"/>
        <v>52.818127393625353</v>
      </c>
      <c r="Y185" s="199">
        <f t="shared" si="45"/>
        <v>23286.456689430928</v>
      </c>
      <c r="Z185" s="200">
        <f t="shared" si="36"/>
        <v>0.30113064268691986</v>
      </c>
      <c r="AA185" s="199">
        <f t="shared" si="37"/>
        <v>23288.646780670118</v>
      </c>
      <c r="AC185" s="30">
        <v>23132.210547858893</v>
      </c>
      <c r="AD185" s="30">
        <f t="shared" si="46"/>
        <v>156.43623281122564</v>
      </c>
    </row>
    <row r="186" spans="2:30" x14ac:dyDescent="0.25">
      <c r="B186" s="10">
        <v>245</v>
      </c>
      <c r="C186" s="10">
        <v>8</v>
      </c>
      <c r="D186" s="9" t="s">
        <v>288</v>
      </c>
      <c r="E186" s="150">
        <v>202.24325150983603</v>
      </c>
      <c r="F186" s="150">
        <v>183.2845833061518</v>
      </c>
      <c r="G186" s="150">
        <f t="shared" si="38"/>
        <v>-18.958668203684226</v>
      </c>
      <c r="H186" s="151">
        <v>604382.56999999995</v>
      </c>
      <c r="I186" s="151">
        <v>651321.06000000006</v>
      </c>
      <c r="J186" s="151">
        <f t="shared" si="39"/>
        <v>-46938.490000000107</v>
      </c>
      <c r="K186" s="151">
        <v>0</v>
      </c>
      <c r="L186" s="151">
        <v>0</v>
      </c>
      <c r="M186" s="151">
        <f t="shared" si="40"/>
        <v>0</v>
      </c>
      <c r="N186" s="5">
        <f t="shared" si="32"/>
        <v>604382.56999999995</v>
      </c>
      <c r="O186" s="154">
        <f t="shared" si="32"/>
        <v>651321.06000000006</v>
      </c>
      <c r="P186" s="152">
        <f t="shared" si="41"/>
        <v>3553.6052637447274</v>
      </c>
      <c r="Q186" s="6">
        <f t="shared" si="33"/>
        <v>1535.2875763339728</v>
      </c>
      <c r="R186" s="5">
        <f t="shared" si="42"/>
        <v>281394.54368348391</v>
      </c>
      <c r="S186" s="151">
        <v>0</v>
      </c>
      <c r="T186" s="195">
        <v>0.50555555555555554</v>
      </c>
      <c r="U186" s="154">
        <f t="shared" si="43"/>
        <v>66557.356274427017</v>
      </c>
      <c r="V186" s="154">
        <f t="shared" si="44"/>
        <v>8373.8547397425955</v>
      </c>
      <c r="W186" s="155">
        <f t="shared" si="34"/>
        <v>10094.532368288097</v>
      </c>
      <c r="X186" s="199">
        <f t="shared" si="35"/>
        <v>192.19859666698039</v>
      </c>
      <c r="Y186" s="199">
        <f t="shared" si="45"/>
        <v>85217.941979124691</v>
      </c>
      <c r="Z186" s="200">
        <f t="shared" si="36"/>
        <v>0.30284148677374106</v>
      </c>
      <c r="AA186" s="199">
        <f t="shared" si="37"/>
        <v>85225.956726522272</v>
      </c>
      <c r="AC186" s="30">
        <v>88085.645900600182</v>
      </c>
      <c r="AD186" s="30">
        <f t="shared" si="46"/>
        <v>-2859.6891740779101</v>
      </c>
    </row>
    <row r="187" spans="2:30" x14ac:dyDescent="0.25">
      <c r="B187" s="10">
        <v>338</v>
      </c>
      <c r="C187" s="10">
        <v>8</v>
      </c>
      <c r="D187" s="9" t="s">
        <v>391</v>
      </c>
      <c r="E187" s="150">
        <v>1368.06</v>
      </c>
      <c r="F187" s="150">
        <v>1368.06</v>
      </c>
      <c r="G187" s="150">
        <f t="shared" si="38"/>
        <v>0</v>
      </c>
      <c r="H187" s="151">
        <v>799375.38</v>
      </c>
      <c r="I187" s="151">
        <v>799375.38</v>
      </c>
      <c r="J187" s="151">
        <f t="shared" si="39"/>
        <v>0</v>
      </c>
      <c r="K187" s="151">
        <v>129933.57999999999</v>
      </c>
      <c r="L187" s="151">
        <v>129933.58</v>
      </c>
      <c r="M187" s="151">
        <f t="shared" si="40"/>
        <v>0</v>
      </c>
      <c r="N187" s="5">
        <f t="shared" si="32"/>
        <v>669441.80000000005</v>
      </c>
      <c r="O187" s="154">
        <f t="shared" si="32"/>
        <v>669441.80000000005</v>
      </c>
      <c r="P187" s="152">
        <f t="shared" si="41"/>
        <v>489.33657880502324</v>
      </c>
      <c r="Q187" s="6">
        <f t="shared" si="33"/>
        <v>489.33657880502324</v>
      </c>
      <c r="R187" s="5">
        <f t="shared" si="42"/>
        <v>669441.80000000005</v>
      </c>
      <c r="S187" s="151">
        <v>0</v>
      </c>
      <c r="T187" s="195">
        <v>0.14166666666666666</v>
      </c>
      <c r="U187" s="154">
        <f t="shared" si="43"/>
        <v>158340.93939543894</v>
      </c>
      <c r="V187" s="154">
        <f t="shared" si="44"/>
        <v>62503.542352586643</v>
      </c>
      <c r="W187" s="155">
        <f t="shared" si="34"/>
        <v>6729.4899243061554</v>
      </c>
      <c r="X187" s="199">
        <f t="shared" si="35"/>
        <v>457.24331689580396</v>
      </c>
      <c r="Y187" s="199">
        <f t="shared" si="45"/>
        <v>228031.21498922753</v>
      </c>
      <c r="Z187" s="200">
        <f t="shared" si="36"/>
        <v>0.34062888661751856</v>
      </c>
      <c r="AA187" s="199">
        <f t="shared" si="37"/>
        <v>228052.66132487537</v>
      </c>
      <c r="AC187" s="30">
        <v>226603.70739040209</v>
      </c>
      <c r="AD187" s="30">
        <f t="shared" si="46"/>
        <v>1448.9539344732766</v>
      </c>
    </row>
    <row r="188" spans="2:30" x14ac:dyDescent="0.25">
      <c r="B188" s="10">
        <v>372</v>
      </c>
      <c r="C188" s="10">
        <v>8</v>
      </c>
      <c r="D188" s="9" t="s">
        <v>289</v>
      </c>
      <c r="E188" s="150">
        <v>174.74573593792556</v>
      </c>
      <c r="F188" s="150">
        <v>174.74573593792556</v>
      </c>
      <c r="G188" s="150">
        <f t="shared" si="38"/>
        <v>0</v>
      </c>
      <c r="H188" s="151">
        <v>96296.58</v>
      </c>
      <c r="I188" s="151">
        <v>96296.58</v>
      </c>
      <c r="J188" s="151">
        <f t="shared" si="39"/>
        <v>0</v>
      </c>
      <c r="K188" s="151">
        <v>0</v>
      </c>
      <c r="L188" s="151">
        <v>0</v>
      </c>
      <c r="M188" s="151">
        <f t="shared" si="40"/>
        <v>0</v>
      </c>
      <c r="N188" s="5">
        <f t="shared" si="32"/>
        <v>96296.58</v>
      </c>
      <c r="O188" s="154">
        <f t="shared" si="32"/>
        <v>96296.58</v>
      </c>
      <c r="P188" s="152">
        <f t="shared" si="41"/>
        <v>551.06683709986009</v>
      </c>
      <c r="Q188" s="6">
        <f t="shared" si="33"/>
        <v>551.06683709986009</v>
      </c>
      <c r="R188" s="5">
        <f t="shared" si="42"/>
        <v>96296.579999999987</v>
      </c>
      <c r="S188" s="151">
        <v>0</v>
      </c>
      <c r="T188" s="195">
        <v>0.35</v>
      </c>
      <c r="U188" s="154">
        <f t="shared" si="43"/>
        <v>22776.723738744775</v>
      </c>
      <c r="V188" s="154">
        <f t="shared" si="44"/>
        <v>7983.7342712527598</v>
      </c>
      <c r="W188" s="155">
        <f t="shared" si="34"/>
        <v>2391.5559925682014</v>
      </c>
      <c r="X188" s="199">
        <f t="shared" si="35"/>
        <v>65.772659617194691</v>
      </c>
      <c r="Y188" s="199">
        <f t="shared" si="45"/>
        <v>33217.786662182931</v>
      </c>
      <c r="Z188" s="200">
        <f t="shared" si="36"/>
        <v>0.34495292213059836</v>
      </c>
      <c r="AA188" s="199">
        <f t="shared" si="37"/>
        <v>33220.910795000753</v>
      </c>
      <c r="AC188" s="30">
        <v>33005.637431761628</v>
      </c>
      <c r="AD188" s="30">
        <f t="shared" si="46"/>
        <v>215.27336323912459</v>
      </c>
    </row>
    <row r="189" spans="2:30" x14ac:dyDescent="0.25">
      <c r="B189" s="10">
        <v>375</v>
      </c>
      <c r="C189" s="10">
        <v>8</v>
      </c>
      <c r="D189" s="9" t="s">
        <v>290</v>
      </c>
      <c r="E189" s="150">
        <v>175.69</v>
      </c>
      <c r="F189" s="150">
        <v>175.69</v>
      </c>
      <c r="G189" s="150">
        <f t="shared" si="38"/>
        <v>0</v>
      </c>
      <c r="H189" s="151">
        <v>139859.93</v>
      </c>
      <c r="I189" s="151">
        <v>139859.93</v>
      </c>
      <c r="J189" s="151">
        <f t="shared" si="39"/>
        <v>0</v>
      </c>
      <c r="K189" s="151">
        <v>0</v>
      </c>
      <c r="L189" s="151">
        <v>0</v>
      </c>
      <c r="M189" s="151">
        <f t="shared" si="40"/>
        <v>0</v>
      </c>
      <c r="N189" s="5">
        <f t="shared" si="32"/>
        <v>139859.93</v>
      </c>
      <c r="O189" s="154">
        <f t="shared" si="32"/>
        <v>139859.93</v>
      </c>
      <c r="P189" s="152">
        <f t="shared" si="41"/>
        <v>796.06084580795721</v>
      </c>
      <c r="Q189" s="6">
        <f t="shared" si="33"/>
        <v>796.06084580795721</v>
      </c>
      <c r="R189" s="5">
        <f t="shared" si="42"/>
        <v>139859.93</v>
      </c>
      <c r="S189" s="151">
        <v>0</v>
      </c>
      <c r="T189" s="195">
        <v>0.29166666666666663</v>
      </c>
      <c r="U189" s="154">
        <f t="shared" si="43"/>
        <v>33080.624335050976</v>
      </c>
      <c r="V189" s="154">
        <f t="shared" si="44"/>
        <v>8026.8755434161858</v>
      </c>
      <c r="W189" s="155">
        <f t="shared" si="34"/>
        <v>2894.55462931696</v>
      </c>
      <c r="X189" s="199">
        <f t="shared" si="35"/>
        <v>95.527375634468811</v>
      </c>
      <c r="Y189" s="199">
        <f t="shared" si="45"/>
        <v>44097.581883418592</v>
      </c>
      <c r="Z189" s="200">
        <f t="shared" si="36"/>
        <v>0.31529818357136741</v>
      </c>
      <c r="AA189" s="199">
        <f t="shared" si="37"/>
        <v>44101.729260971151</v>
      </c>
      <c r="AC189" s="30">
        <v>43806.544576504821</v>
      </c>
      <c r="AD189" s="30">
        <f t="shared" si="46"/>
        <v>295.18468446633051</v>
      </c>
    </row>
    <row r="190" spans="2:30" x14ac:dyDescent="0.25">
      <c r="B190" s="10">
        <v>404</v>
      </c>
      <c r="C190" s="10">
        <v>8</v>
      </c>
      <c r="D190" s="9" t="s">
        <v>291</v>
      </c>
      <c r="E190" s="150">
        <v>516.19000000000005</v>
      </c>
      <c r="F190" s="150">
        <v>477.00688225170705</v>
      </c>
      <c r="G190" s="150">
        <f t="shared" si="38"/>
        <v>-39.183117748293</v>
      </c>
      <c r="H190" s="151">
        <v>292494.40000000002</v>
      </c>
      <c r="I190" s="151">
        <v>292494.40000000002</v>
      </c>
      <c r="J190" s="151">
        <f t="shared" si="39"/>
        <v>0</v>
      </c>
      <c r="K190" s="151">
        <v>0</v>
      </c>
      <c r="L190" s="151">
        <v>0</v>
      </c>
      <c r="M190" s="151">
        <f t="shared" si="40"/>
        <v>0</v>
      </c>
      <c r="N190" s="5">
        <f t="shared" si="32"/>
        <v>292494.40000000002</v>
      </c>
      <c r="O190" s="154">
        <f t="shared" si="32"/>
        <v>292494.40000000002</v>
      </c>
      <c r="P190" s="152">
        <f t="shared" si="41"/>
        <v>613.18695994339248</v>
      </c>
      <c r="Q190" s="6">
        <f t="shared" si="33"/>
        <v>613.18695994339248</v>
      </c>
      <c r="R190" s="5">
        <f t="shared" si="42"/>
        <v>292494.40000000002</v>
      </c>
      <c r="S190" s="151">
        <v>0</v>
      </c>
      <c r="T190" s="195">
        <v>0.69444444444444442</v>
      </c>
      <c r="U190" s="154">
        <f t="shared" si="43"/>
        <v>69182.769979265227</v>
      </c>
      <c r="V190" s="154">
        <f t="shared" si="44"/>
        <v>21793.356919502708</v>
      </c>
      <c r="W190" s="155">
        <f t="shared" si="34"/>
        <v>14413.07707901359</v>
      </c>
      <c r="X190" s="199">
        <f t="shared" si="35"/>
        <v>199.78004007136698</v>
      </c>
      <c r="Y190" s="199">
        <f t="shared" si="45"/>
        <v>105588.98401785288</v>
      </c>
      <c r="Z190" s="200">
        <f t="shared" si="36"/>
        <v>0.36099489090339121</v>
      </c>
      <c r="AA190" s="199">
        <f t="shared" si="37"/>
        <v>105598.91466174331</v>
      </c>
      <c r="AC190" s="30">
        <v>106684.79016895256</v>
      </c>
      <c r="AD190" s="30">
        <f t="shared" si="46"/>
        <v>-1085.8755072092463</v>
      </c>
    </row>
    <row r="191" spans="2:30" x14ac:dyDescent="0.25">
      <c r="B191" s="10">
        <v>413</v>
      </c>
      <c r="C191" s="10">
        <v>8</v>
      </c>
      <c r="D191" s="9" t="s">
        <v>292</v>
      </c>
      <c r="E191" s="150">
        <v>83.87</v>
      </c>
      <c r="F191" s="150">
        <v>83.87</v>
      </c>
      <c r="G191" s="150">
        <f t="shared" si="38"/>
        <v>0</v>
      </c>
      <c r="H191" s="151">
        <v>65415.57</v>
      </c>
      <c r="I191" s="151">
        <v>65415.57</v>
      </c>
      <c r="J191" s="151">
        <f t="shared" si="39"/>
        <v>0</v>
      </c>
      <c r="K191" s="151">
        <v>40</v>
      </c>
      <c r="L191" s="151">
        <v>40</v>
      </c>
      <c r="M191" s="151">
        <f t="shared" si="40"/>
        <v>0</v>
      </c>
      <c r="N191" s="5">
        <f t="shared" si="32"/>
        <v>65375.57</v>
      </c>
      <c r="O191" s="154">
        <f t="shared" si="32"/>
        <v>65375.57</v>
      </c>
      <c r="P191" s="152">
        <f t="shared" si="41"/>
        <v>779.48694408012398</v>
      </c>
      <c r="Q191" s="6">
        <f t="shared" si="33"/>
        <v>779.48694408012398</v>
      </c>
      <c r="R191" s="5">
        <f t="shared" si="42"/>
        <v>65375.57</v>
      </c>
      <c r="S191" s="151">
        <v>785.24836181759542</v>
      </c>
      <c r="T191" s="195">
        <v>0.64166666666666661</v>
      </c>
      <c r="U191" s="154">
        <f t="shared" si="43"/>
        <v>15463.075606142722</v>
      </c>
      <c r="V191" s="154">
        <f t="shared" si="44"/>
        <v>3831.8290843321506</v>
      </c>
      <c r="W191" s="155">
        <f t="shared" si="34"/>
        <v>2976.6420541824737</v>
      </c>
      <c r="X191" s="199">
        <f t="shared" si="35"/>
        <v>44.652936925590552</v>
      </c>
      <c r="Y191" s="199">
        <f t="shared" si="45"/>
        <v>22316.199681582937</v>
      </c>
      <c r="Z191" s="200">
        <f t="shared" si="36"/>
        <v>0.34135380665259113</v>
      </c>
      <c r="AA191" s="199">
        <f t="shared" si="37"/>
        <v>22318.29852015106</v>
      </c>
      <c r="AC191" s="30">
        <v>22167.972479348413</v>
      </c>
      <c r="AD191" s="30">
        <f t="shared" si="46"/>
        <v>150.32604080264719</v>
      </c>
    </row>
    <row r="192" spans="2:30" x14ac:dyDescent="0.25">
      <c r="B192" s="10">
        <v>537</v>
      </c>
      <c r="C192" s="10">
        <v>8</v>
      </c>
      <c r="D192" s="9" t="s">
        <v>293</v>
      </c>
      <c r="E192" s="150">
        <v>4.0064588883476366</v>
      </c>
      <c r="F192" s="150">
        <v>4.0064588883476366</v>
      </c>
      <c r="G192" s="150">
        <f t="shared" si="38"/>
        <v>0</v>
      </c>
      <c r="H192" s="151">
        <v>2697.34</v>
      </c>
      <c r="I192" s="151">
        <v>2697.34</v>
      </c>
      <c r="J192" s="151">
        <f t="shared" si="39"/>
        <v>0</v>
      </c>
      <c r="K192" s="151">
        <v>0</v>
      </c>
      <c r="L192" s="151">
        <v>0</v>
      </c>
      <c r="M192" s="151">
        <f t="shared" si="40"/>
        <v>0</v>
      </c>
      <c r="N192" s="5">
        <f t="shared" si="32"/>
        <v>2697.34</v>
      </c>
      <c r="O192" s="154">
        <f t="shared" si="32"/>
        <v>2697.34</v>
      </c>
      <c r="P192" s="152">
        <f t="shared" si="41"/>
        <v>673.24789175921137</v>
      </c>
      <c r="Q192" s="6">
        <f t="shared" si="33"/>
        <v>673.24789175921137</v>
      </c>
      <c r="R192" s="5">
        <f t="shared" si="42"/>
        <v>2697.34</v>
      </c>
      <c r="S192" s="151">
        <v>0</v>
      </c>
      <c r="T192" s="195">
        <v>0.10833333333333334</v>
      </c>
      <c r="U192" s="154">
        <f t="shared" si="43"/>
        <v>637.99324970280202</v>
      </c>
      <c r="V192" s="154">
        <f t="shared" si="44"/>
        <v>183.04597226125586</v>
      </c>
      <c r="W192" s="155">
        <f t="shared" si="34"/>
        <v>20.734780615341066</v>
      </c>
      <c r="X192" s="199">
        <f t="shared" si="35"/>
        <v>1.8423419159002734</v>
      </c>
      <c r="Y192" s="199">
        <f t="shared" si="45"/>
        <v>843.61634449529924</v>
      </c>
      <c r="Z192" s="200">
        <f t="shared" si="36"/>
        <v>0.31275862312326186</v>
      </c>
      <c r="AA192" s="199">
        <f t="shared" si="37"/>
        <v>843.69568661204801</v>
      </c>
      <c r="AC192" s="30">
        <v>838.15892048045862</v>
      </c>
      <c r="AD192" s="30">
        <f t="shared" si="46"/>
        <v>5.5367661315893884</v>
      </c>
    </row>
    <row r="193" spans="2:30" x14ac:dyDescent="0.25">
      <c r="B193" s="10">
        <v>545</v>
      </c>
      <c r="C193" s="10">
        <v>8</v>
      </c>
      <c r="D193" s="9" t="s">
        <v>294</v>
      </c>
      <c r="E193" s="150">
        <v>19.877211951479531</v>
      </c>
      <c r="F193" s="150">
        <v>19.877211951479531</v>
      </c>
      <c r="G193" s="150">
        <f t="shared" si="38"/>
        <v>0</v>
      </c>
      <c r="H193" s="151">
        <v>4833.6099999999997</v>
      </c>
      <c r="I193" s="151">
        <v>4833.6099999999997</v>
      </c>
      <c r="J193" s="151">
        <f t="shared" si="39"/>
        <v>0</v>
      </c>
      <c r="K193" s="151">
        <v>0</v>
      </c>
      <c r="L193" s="151">
        <v>0</v>
      </c>
      <c r="M193" s="151">
        <f t="shared" si="40"/>
        <v>0</v>
      </c>
      <c r="N193" s="5">
        <f t="shared" si="32"/>
        <v>4833.6099999999997</v>
      </c>
      <c r="O193" s="154">
        <f t="shared" si="32"/>
        <v>4833.6099999999997</v>
      </c>
      <c r="P193" s="152">
        <f t="shared" si="41"/>
        <v>243.17343960505573</v>
      </c>
      <c r="Q193" s="6">
        <f t="shared" si="33"/>
        <v>243.17343960505573</v>
      </c>
      <c r="R193" s="5">
        <f t="shared" si="42"/>
        <v>4833.6099999999997</v>
      </c>
      <c r="S193" s="151">
        <v>133.94843494676138</v>
      </c>
      <c r="T193" s="195">
        <v>0.27499999999999997</v>
      </c>
      <c r="U193" s="154">
        <f t="shared" si="43"/>
        <v>1143.278397123077</v>
      </c>
      <c r="V193" s="154">
        <f t="shared" si="44"/>
        <v>908.1444958997721</v>
      </c>
      <c r="W193" s="155">
        <f t="shared" si="34"/>
        <v>94.320467762653848</v>
      </c>
      <c r="X193" s="199">
        <f t="shared" si="35"/>
        <v>3.3014608125467015</v>
      </c>
      <c r="Y193" s="199">
        <f t="shared" si="45"/>
        <v>2149.04482159805</v>
      </c>
      <c r="Z193" s="200">
        <f t="shared" si="36"/>
        <v>0.44460451331366208</v>
      </c>
      <c r="AA193" s="199">
        <f t="shared" si="37"/>
        <v>2149.2469392623725</v>
      </c>
      <c r="AC193" s="30">
        <v>2136.7584246331594</v>
      </c>
      <c r="AD193" s="30">
        <f t="shared" si="46"/>
        <v>12.488514629213114</v>
      </c>
    </row>
    <row r="194" spans="2:30" x14ac:dyDescent="0.25">
      <c r="B194" s="10">
        <v>605</v>
      </c>
      <c r="C194" s="10">
        <v>8</v>
      </c>
      <c r="D194" s="9" t="s">
        <v>295</v>
      </c>
      <c r="E194" s="150">
        <v>2.2694538365367878</v>
      </c>
      <c r="F194" s="150">
        <v>2.2694538365367878</v>
      </c>
      <c r="G194" s="150">
        <f t="shared" si="38"/>
        <v>0</v>
      </c>
      <c r="H194" s="151">
        <v>1689.86</v>
      </c>
      <c r="I194" s="151">
        <v>1689.86</v>
      </c>
      <c r="J194" s="151">
        <f t="shared" si="39"/>
        <v>0</v>
      </c>
      <c r="K194" s="151">
        <v>0</v>
      </c>
      <c r="L194" s="151">
        <v>0</v>
      </c>
      <c r="M194" s="151">
        <f t="shared" si="40"/>
        <v>0</v>
      </c>
      <c r="N194" s="5">
        <f t="shared" si="32"/>
        <v>1689.86</v>
      </c>
      <c r="O194" s="154">
        <f t="shared" si="32"/>
        <v>1689.86</v>
      </c>
      <c r="P194" s="152">
        <f t="shared" si="41"/>
        <v>744.61087191742365</v>
      </c>
      <c r="Q194" s="6">
        <f t="shared" si="33"/>
        <v>744.61087191742365</v>
      </c>
      <c r="R194" s="5">
        <f t="shared" si="42"/>
        <v>1689.86</v>
      </c>
      <c r="S194" s="151">
        <v>0</v>
      </c>
      <c r="T194" s="195">
        <v>6.6666666666666666E-2</v>
      </c>
      <c r="U194" s="154">
        <f t="shared" si="43"/>
        <v>399.69721019329296</v>
      </c>
      <c r="V194" s="154">
        <f t="shared" si="44"/>
        <v>103.68617165125606</v>
      </c>
      <c r="W194" s="155">
        <f t="shared" si="34"/>
        <v>7.9939442038658584</v>
      </c>
      <c r="X194" s="199">
        <f t="shared" si="35"/>
        <v>1.1542111524699279</v>
      </c>
      <c r="Y194" s="199">
        <f t="shared" si="45"/>
        <v>512.53153720088483</v>
      </c>
      <c r="Z194" s="200">
        <f t="shared" si="36"/>
        <v>0.30329822423211678</v>
      </c>
      <c r="AA194" s="199">
        <f t="shared" si="37"/>
        <v>512.57974079168457</v>
      </c>
      <c r="AC194" s="30">
        <v>509.18867719664036</v>
      </c>
      <c r="AD194" s="30">
        <f t="shared" si="46"/>
        <v>3.3910635950442156</v>
      </c>
    </row>
    <row r="195" spans="2:30" x14ac:dyDescent="0.25">
      <c r="B195" s="10">
        <v>607</v>
      </c>
      <c r="C195" s="10">
        <v>8</v>
      </c>
      <c r="D195" s="9" t="s">
        <v>296</v>
      </c>
      <c r="E195" s="150">
        <v>3.4914674408258271</v>
      </c>
      <c r="F195" s="150">
        <v>3.4914674408258275</v>
      </c>
      <c r="G195" s="150">
        <f t="shared" si="38"/>
        <v>0</v>
      </c>
      <c r="H195" s="151">
        <v>2638.61</v>
      </c>
      <c r="I195" s="151">
        <v>2638.61</v>
      </c>
      <c r="J195" s="151">
        <f t="shared" si="39"/>
        <v>0</v>
      </c>
      <c r="K195" s="151">
        <v>0</v>
      </c>
      <c r="L195" s="151">
        <v>0</v>
      </c>
      <c r="M195" s="151">
        <f t="shared" si="40"/>
        <v>0</v>
      </c>
      <c r="N195" s="5">
        <f t="shared" si="32"/>
        <v>2638.61</v>
      </c>
      <c r="O195" s="154">
        <f t="shared" si="32"/>
        <v>2638.61</v>
      </c>
      <c r="P195" s="152">
        <f t="shared" si="41"/>
        <v>755.73094829602553</v>
      </c>
      <c r="Q195" s="6">
        <f t="shared" si="33"/>
        <v>755.73094829602553</v>
      </c>
      <c r="R195" s="5">
        <f t="shared" si="42"/>
        <v>2638.61</v>
      </c>
      <c r="S195" s="151">
        <v>0</v>
      </c>
      <c r="T195" s="195">
        <v>6.6666666666666666E-2</v>
      </c>
      <c r="U195" s="154">
        <f t="shared" si="43"/>
        <v>624.10202962856386</v>
      </c>
      <c r="V195" s="154">
        <f t="shared" si="44"/>
        <v>159.51718715577857</v>
      </c>
      <c r="W195" s="155">
        <f t="shared" si="34"/>
        <v>12.482040592571275</v>
      </c>
      <c r="X195" s="199">
        <f t="shared" si="35"/>
        <v>1.8022280478966761</v>
      </c>
      <c r="Y195" s="199">
        <f t="shared" si="45"/>
        <v>797.90348542481024</v>
      </c>
      <c r="Z195" s="200">
        <f t="shared" si="36"/>
        <v>0.30239538447319242</v>
      </c>
      <c r="AA195" s="199">
        <f t="shared" si="37"/>
        <v>797.97852824718791</v>
      </c>
      <c r="AC195" s="30">
        <v>792.69239340245622</v>
      </c>
      <c r="AD195" s="30">
        <f t="shared" si="46"/>
        <v>5.2861348447316914</v>
      </c>
    </row>
    <row r="196" spans="2:30" x14ac:dyDescent="0.25">
      <c r="B196" s="10">
        <v>610</v>
      </c>
      <c r="C196" s="10">
        <v>8</v>
      </c>
      <c r="D196" s="9" t="s">
        <v>297</v>
      </c>
      <c r="E196" s="150">
        <v>71.312154639501401</v>
      </c>
      <c r="F196" s="150">
        <v>71.312154639501401</v>
      </c>
      <c r="G196" s="150">
        <f t="shared" si="38"/>
        <v>0</v>
      </c>
      <c r="H196" s="151">
        <v>33523.33</v>
      </c>
      <c r="I196" s="151">
        <v>33523.33</v>
      </c>
      <c r="J196" s="151">
        <f t="shared" si="39"/>
        <v>0</v>
      </c>
      <c r="K196" s="151">
        <v>0</v>
      </c>
      <c r="L196" s="151">
        <v>0</v>
      </c>
      <c r="M196" s="151">
        <f t="shared" si="40"/>
        <v>0</v>
      </c>
      <c r="N196" s="5">
        <f t="shared" si="32"/>
        <v>33523.33</v>
      </c>
      <c r="O196" s="154">
        <f t="shared" si="32"/>
        <v>33523.33</v>
      </c>
      <c r="P196" s="152">
        <f t="shared" si="41"/>
        <v>470.09279371052236</v>
      </c>
      <c r="Q196" s="6">
        <f t="shared" si="33"/>
        <v>470.09279371052236</v>
      </c>
      <c r="R196" s="5">
        <f t="shared" si="42"/>
        <v>33523.33</v>
      </c>
      <c r="S196" s="151">
        <v>928.99459983404017</v>
      </c>
      <c r="T196" s="195">
        <v>0.19166666666666665</v>
      </c>
      <c r="U196" s="154">
        <f t="shared" si="43"/>
        <v>7929.1666039725933</v>
      </c>
      <c r="V196" s="154">
        <f t="shared" si="44"/>
        <v>3258.0897605107116</v>
      </c>
      <c r="W196" s="155">
        <f t="shared" si="34"/>
        <v>455.92707972842413</v>
      </c>
      <c r="X196" s="199">
        <f t="shared" si="35"/>
        <v>22.897163879806445</v>
      </c>
      <c r="Y196" s="199">
        <f t="shared" si="45"/>
        <v>11666.080608091535</v>
      </c>
      <c r="Z196" s="200">
        <f t="shared" si="36"/>
        <v>0.34799885954323556</v>
      </c>
      <c r="AA196" s="199">
        <f t="shared" si="37"/>
        <v>11667.177802966489</v>
      </c>
      <c r="AC196" s="30">
        <v>11593.263208038657</v>
      </c>
      <c r="AD196" s="30">
        <f t="shared" si="46"/>
        <v>73.914594927831786</v>
      </c>
    </row>
    <row r="197" spans="2:30" x14ac:dyDescent="0.25">
      <c r="B197" s="10">
        <v>611</v>
      </c>
      <c r="C197" s="10">
        <v>8</v>
      </c>
      <c r="D197" s="9" t="s">
        <v>298</v>
      </c>
      <c r="E197" s="150">
        <v>17.4660658727312</v>
      </c>
      <c r="F197" s="150">
        <v>17.466065872731203</v>
      </c>
      <c r="G197" s="150">
        <f t="shared" si="38"/>
        <v>0</v>
      </c>
      <c r="H197" s="151">
        <v>23430.66</v>
      </c>
      <c r="I197" s="151">
        <v>23430.66</v>
      </c>
      <c r="J197" s="151">
        <f t="shared" si="39"/>
        <v>0</v>
      </c>
      <c r="K197" s="151">
        <v>0</v>
      </c>
      <c r="L197" s="151">
        <v>0</v>
      </c>
      <c r="M197" s="151">
        <f t="shared" si="40"/>
        <v>0</v>
      </c>
      <c r="N197" s="5">
        <f t="shared" si="32"/>
        <v>23430.66</v>
      </c>
      <c r="O197" s="154">
        <f t="shared" si="32"/>
        <v>23430.66</v>
      </c>
      <c r="P197" s="152">
        <f t="shared" si="41"/>
        <v>1341.4961429053685</v>
      </c>
      <c r="Q197" s="6">
        <f t="shared" si="33"/>
        <v>1341.4961429053685</v>
      </c>
      <c r="R197" s="5">
        <f t="shared" si="42"/>
        <v>23430.66</v>
      </c>
      <c r="S197" s="151">
        <v>649.30770930416077</v>
      </c>
      <c r="T197" s="195">
        <v>0.37222222222222218</v>
      </c>
      <c r="U197" s="154">
        <f t="shared" si="43"/>
        <v>5541.9794746236857</v>
      </c>
      <c r="V197" s="154">
        <f t="shared" si="44"/>
        <v>797.98472874678225</v>
      </c>
      <c r="W197" s="155">
        <f t="shared" si="34"/>
        <v>618.85437466631151</v>
      </c>
      <c r="X197" s="199">
        <f t="shared" si="35"/>
        <v>16.003650646639983</v>
      </c>
      <c r="Y197" s="199">
        <f t="shared" si="45"/>
        <v>6974.8222286834198</v>
      </c>
      <c r="Z197" s="200">
        <f t="shared" si="36"/>
        <v>0.29767928981443204</v>
      </c>
      <c r="AA197" s="199">
        <f t="shared" si="37"/>
        <v>6975.4782107102983</v>
      </c>
      <c r="AC197" s="30">
        <v>6927.0510872546829</v>
      </c>
      <c r="AD197" s="30">
        <f t="shared" si="46"/>
        <v>48.427123455615401</v>
      </c>
    </row>
    <row r="198" spans="2:30" x14ac:dyDescent="0.25">
      <c r="B198" s="10">
        <v>616</v>
      </c>
      <c r="C198" s="10">
        <v>8</v>
      </c>
      <c r="D198" s="9" t="s">
        <v>299</v>
      </c>
      <c r="E198" s="150">
        <v>177.83</v>
      </c>
      <c r="F198" s="150">
        <v>177.83</v>
      </c>
      <c r="G198" s="150">
        <f t="shared" si="38"/>
        <v>0</v>
      </c>
      <c r="H198" s="151">
        <v>212989.99</v>
      </c>
      <c r="I198" s="151">
        <v>212989.99</v>
      </c>
      <c r="J198" s="151">
        <f t="shared" si="39"/>
        <v>0</v>
      </c>
      <c r="K198" s="151">
        <v>0</v>
      </c>
      <c r="L198" s="151">
        <v>0</v>
      </c>
      <c r="M198" s="151">
        <f t="shared" si="40"/>
        <v>0</v>
      </c>
      <c r="N198" s="5">
        <f t="shared" si="32"/>
        <v>212989.99</v>
      </c>
      <c r="O198" s="154">
        <f t="shared" si="32"/>
        <v>212989.99</v>
      </c>
      <c r="P198" s="152">
        <f t="shared" si="41"/>
        <v>1197.7168644210763</v>
      </c>
      <c r="Q198" s="6">
        <f t="shared" si="33"/>
        <v>1197.7168644210763</v>
      </c>
      <c r="R198" s="5">
        <f t="shared" si="42"/>
        <v>212989.99</v>
      </c>
      <c r="S198" s="151">
        <v>3095.8040546556617</v>
      </c>
      <c r="T198" s="195">
        <v>0.34444444444444444</v>
      </c>
      <c r="U198" s="154">
        <f t="shared" si="43"/>
        <v>50377.844793117401</v>
      </c>
      <c r="V198" s="154">
        <f t="shared" si="44"/>
        <v>8124.6472644185806</v>
      </c>
      <c r="W198" s="155">
        <f t="shared" si="34"/>
        <v>5205.7106286221324</v>
      </c>
      <c r="X198" s="199">
        <f t="shared" si="35"/>
        <v>145.47679797288441</v>
      </c>
      <c r="Y198" s="199">
        <f t="shared" si="45"/>
        <v>63853.679484130997</v>
      </c>
      <c r="Z198" s="200">
        <f t="shared" si="36"/>
        <v>0.2997966218230772</v>
      </c>
      <c r="AA198" s="199">
        <f t="shared" si="37"/>
        <v>63859.684922652341</v>
      </c>
      <c r="AC198" s="30">
        <v>63419.371792595484</v>
      </c>
      <c r="AD198" s="30">
        <f t="shared" si="46"/>
        <v>440.31313005685661</v>
      </c>
    </row>
    <row r="199" spans="2:30" x14ac:dyDescent="0.25">
      <c r="B199" s="10">
        <v>706</v>
      </c>
      <c r="C199" s="10">
        <v>8</v>
      </c>
      <c r="D199" s="9" t="s">
        <v>301</v>
      </c>
      <c r="E199" s="150">
        <v>21.297951389037543</v>
      </c>
      <c r="F199" s="150">
        <v>21.297951389037546</v>
      </c>
      <c r="G199" s="150">
        <f t="shared" si="38"/>
        <v>0</v>
      </c>
      <c r="H199" s="151">
        <v>29136.15</v>
      </c>
      <c r="I199" s="151">
        <v>29136.15</v>
      </c>
      <c r="J199" s="151">
        <f t="shared" si="39"/>
        <v>0</v>
      </c>
      <c r="K199" s="151">
        <v>0</v>
      </c>
      <c r="L199" s="151">
        <v>0</v>
      </c>
      <c r="M199" s="151">
        <f t="shared" si="40"/>
        <v>0</v>
      </c>
      <c r="N199" s="5">
        <f t="shared" si="32"/>
        <v>29136.15</v>
      </c>
      <c r="O199" s="154">
        <f t="shared" si="32"/>
        <v>29136.15</v>
      </c>
      <c r="P199" s="152">
        <f t="shared" si="41"/>
        <v>1368.0259414526095</v>
      </c>
      <c r="Q199" s="6">
        <f t="shared" si="33"/>
        <v>1368.0259414526095</v>
      </c>
      <c r="R199" s="5">
        <f t="shared" si="42"/>
        <v>29136.15</v>
      </c>
      <c r="S199" s="151">
        <v>0</v>
      </c>
      <c r="T199" s="195">
        <v>0</v>
      </c>
      <c r="U199" s="154">
        <f t="shared" si="43"/>
        <v>6891.4808746128765</v>
      </c>
      <c r="V199" s="154">
        <f t="shared" si="44"/>
        <v>973.05484165024916</v>
      </c>
      <c r="W199" s="155">
        <f t="shared" si="34"/>
        <v>0</v>
      </c>
      <c r="X199" s="199">
        <f t="shared" si="35"/>
        <v>19.900624471871456</v>
      </c>
      <c r="Y199" s="199">
        <f t="shared" si="45"/>
        <v>7884.4363407349965</v>
      </c>
      <c r="Z199" s="200">
        <f t="shared" si="36"/>
        <v>0.27060666356862512</v>
      </c>
      <c r="AA199" s="199">
        <f t="shared" si="37"/>
        <v>7885.1778719686272</v>
      </c>
      <c r="AC199" s="30">
        <v>7830.741587319766</v>
      </c>
      <c r="AD199" s="30">
        <f t="shared" si="46"/>
        <v>54.436284648861147</v>
      </c>
    </row>
    <row r="200" spans="2:30" x14ac:dyDescent="0.25">
      <c r="B200" s="10">
        <v>709</v>
      </c>
      <c r="C200" s="10">
        <v>8</v>
      </c>
      <c r="D200" s="9" t="s">
        <v>302</v>
      </c>
      <c r="E200" s="150">
        <v>72.098802653053326</v>
      </c>
      <c r="F200" s="150">
        <v>72.098802653053326</v>
      </c>
      <c r="G200" s="150">
        <f t="shared" si="38"/>
        <v>0</v>
      </c>
      <c r="H200" s="151">
        <v>41436.15</v>
      </c>
      <c r="I200" s="151">
        <v>41436.15</v>
      </c>
      <c r="J200" s="151">
        <f t="shared" si="39"/>
        <v>0</v>
      </c>
      <c r="K200" s="151">
        <v>0</v>
      </c>
      <c r="L200" s="151">
        <v>0</v>
      </c>
      <c r="M200" s="151">
        <f t="shared" si="40"/>
        <v>0</v>
      </c>
      <c r="N200" s="5">
        <f t="shared" si="32"/>
        <v>41436.15</v>
      </c>
      <c r="O200" s="154">
        <f t="shared" si="32"/>
        <v>41436.15</v>
      </c>
      <c r="P200" s="152">
        <f t="shared" si="41"/>
        <v>574.71342761952531</v>
      </c>
      <c r="Q200" s="6">
        <f t="shared" si="33"/>
        <v>574.71342761952531</v>
      </c>
      <c r="R200" s="5">
        <f t="shared" si="42"/>
        <v>41436.15</v>
      </c>
      <c r="S200" s="151">
        <v>978.4450206088145</v>
      </c>
      <c r="T200" s="195">
        <v>0.27499999999999997</v>
      </c>
      <c r="U200" s="154">
        <f t="shared" si="43"/>
        <v>9800.7607471333831</v>
      </c>
      <c r="V200" s="154">
        <f t="shared" si="44"/>
        <v>3294.0299147668266</v>
      </c>
      <c r="W200" s="155">
        <f t="shared" si="34"/>
        <v>808.56276163850407</v>
      </c>
      <c r="X200" s="199">
        <f t="shared" si="35"/>
        <v>28.301792127996883</v>
      </c>
      <c r="Y200" s="199">
        <f t="shared" si="45"/>
        <v>13931.655215666711</v>
      </c>
      <c r="Z200" s="200">
        <f t="shared" si="36"/>
        <v>0.33621982775105097</v>
      </c>
      <c r="AA200" s="199">
        <f t="shared" si="37"/>
        <v>13932.965487832296</v>
      </c>
      <c r="AC200" s="30">
        <v>13842.492756721047</v>
      </c>
      <c r="AD200" s="30">
        <f t="shared" si="46"/>
        <v>90.472731111249232</v>
      </c>
    </row>
    <row r="201" spans="2:30" x14ac:dyDescent="0.25">
      <c r="B201" s="10">
        <v>714</v>
      </c>
      <c r="C201" s="10">
        <v>8</v>
      </c>
      <c r="D201" s="9" t="s">
        <v>303</v>
      </c>
      <c r="E201" s="150">
        <v>44.069932030035268</v>
      </c>
      <c r="F201" s="150">
        <v>44.069932030035268</v>
      </c>
      <c r="G201" s="150">
        <f t="shared" si="38"/>
        <v>0</v>
      </c>
      <c r="H201" s="151">
        <v>28225.43</v>
      </c>
      <c r="I201" s="151">
        <v>28225.43</v>
      </c>
      <c r="J201" s="151">
        <f t="shared" si="39"/>
        <v>0</v>
      </c>
      <c r="K201" s="151">
        <v>0</v>
      </c>
      <c r="L201" s="151">
        <v>0</v>
      </c>
      <c r="M201" s="151">
        <f t="shared" si="40"/>
        <v>0</v>
      </c>
      <c r="N201" s="5">
        <f t="shared" si="32"/>
        <v>28225.43</v>
      </c>
      <c r="O201" s="154">
        <f t="shared" si="32"/>
        <v>28225.43</v>
      </c>
      <c r="P201" s="152">
        <f t="shared" si="41"/>
        <v>640.46910670893112</v>
      </c>
      <c r="Q201" s="6">
        <f t="shared" si="33"/>
        <v>640.46910670893112</v>
      </c>
      <c r="R201" s="5">
        <f t="shared" si="42"/>
        <v>28225.43</v>
      </c>
      <c r="S201" s="151">
        <v>0</v>
      </c>
      <c r="T201" s="195">
        <v>0.16666666666666666</v>
      </c>
      <c r="U201" s="154">
        <f t="shared" si="43"/>
        <v>6676.0711701005275</v>
      </c>
      <c r="V201" s="154">
        <f t="shared" si="44"/>
        <v>2013.4547191752731</v>
      </c>
      <c r="W201" s="155">
        <f t="shared" si="34"/>
        <v>333.80355850502639</v>
      </c>
      <c r="X201" s="199">
        <f t="shared" si="35"/>
        <v>19.278582894002628</v>
      </c>
      <c r="Y201" s="199">
        <f t="shared" si="45"/>
        <v>9042.6080306748299</v>
      </c>
      <c r="Z201" s="200">
        <f t="shared" si="36"/>
        <v>0.32037095734856225</v>
      </c>
      <c r="AA201" s="199">
        <f t="shared" si="37"/>
        <v>9043.4584879552804</v>
      </c>
      <c r="AC201" s="30">
        <v>8984.2916061207652</v>
      </c>
      <c r="AD201" s="30">
        <f t="shared" si="46"/>
        <v>59.166881834515152</v>
      </c>
    </row>
    <row r="202" spans="2:30" x14ac:dyDescent="0.25">
      <c r="B202" s="10">
        <v>749</v>
      </c>
      <c r="C202" s="10">
        <v>8</v>
      </c>
      <c r="D202" s="9" t="s">
        <v>304</v>
      </c>
      <c r="E202" s="150">
        <v>15.108898903146923</v>
      </c>
      <c r="F202" s="150">
        <v>15.108898903146923</v>
      </c>
      <c r="G202" s="150">
        <f t="shared" si="38"/>
        <v>0</v>
      </c>
      <c r="H202" s="151">
        <v>5448.89</v>
      </c>
      <c r="I202" s="151">
        <v>5448.89</v>
      </c>
      <c r="J202" s="151">
        <f t="shared" si="39"/>
        <v>0</v>
      </c>
      <c r="K202" s="151">
        <v>0</v>
      </c>
      <c r="L202" s="151">
        <v>0</v>
      </c>
      <c r="M202" s="151">
        <f t="shared" si="40"/>
        <v>0</v>
      </c>
      <c r="N202" s="5">
        <f t="shared" si="32"/>
        <v>5448.89</v>
      </c>
      <c r="O202" s="154">
        <f t="shared" si="32"/>
        <v>5448.89</v>
      </c>
      <c r="P202" s="152">
        <f t="shared" si="41"/>
        <v>360.64110528035172</v>
      </c>
      <c r="Q202" s="6">
        <f t="shared" si="33"/>
        <v>360.64110528035172</v>
      </c>
      <c r="R202" s="5">
        <f t="shared" si="42"/>
        <v>5448.89</v>
      </c>
      <c r="S202" s="151">
        <v>103.08997043558378</v>
      </c>
      <c r="T202" s="195">
        <v>0.48055555555555546</v>
      </c>
      <c r="U202" s="154">
        <f t="shared" si="43"/>
        <v>1288.8086182583957</v>
      </c>
      <c r="V202" s="154">
        <f t="shared" si="44"/>
        <v>690.29114402423397</v>
      </c>
      <c r="W202" s="155">
        <f t="shared" si="34"/>
        <v>185.80324246558536</v>
      </c>
      <c r="X202" s="199">
        <f t="shared" si="35"/>
        <v>3.7217104414459583</v>
      </c>
      <c r="Y202" s="199">
        <f t="shared" si="45"/>
        <v>2168.6247151896609</v>
      </c>
      <c r="Z202" s="200">
        <f t="shared" si="36"/>
        <v>0.39799385107602847</v>
      </c>
      <c r="AA202" s="199">
        <f t="shared" si="37"/>
        <v>2168.8286743429653</v>
      </c>
      <c r="AC202" s="30">
        <v>2155.3919704892223</v>
      </c>
      <c r="AD202" s="30">
        <f t="shared" si="46"/>
        <v>13.436703853742983</v>
      </c>
    </row>
    <row r="203" spans="2:30" x14ac:dyDescent="0.25">
      <c r="B203" s="10">
        <v>764</v>
      </c>
      <c r="C203" s="10">
        <v>8</v>
      </c>
      <c r="D203" s="9" t="s">
        <v>305</v>
      </c>
      <c r="E203" s="150">
        <v>48.145176321342795</v>
      </c>
      <c r="F203" s="150">
        <v>48.145176321342795</v>
      </c>
      <c r="G203" s="150">
        <f t="shared" si="38"/>
        <v>0</v>
      </c>
      <c r="H203" s="151">
        <v>12185.62</v>
      </c>
      <c r="I203" s="151">
        <v>12185.62</v>
      </c>
      <c r="J203" s="151">
        <f t="shared" si="39"/>
        <v>0</v>
      </c>
      <c r="K203" s="151">
        <v>0</v>
      </c>
      <c r="L203" s="151">
        <v>0</v>
      </c>
      <c r="M203" s="151">
        <f t="shared" si="40"/>
        <v>0</v>
      </c>
      <c r="N203" s="5">
        <f t="shared" si="32"/>
        <v>12185.62</v>
      </c>
      <c r="O203" s="154">
        <f t="shared" si="32"/>
        <v>12185.62</v>
      </c>
      <c r="P203" s="152">
        <f t="shared" si="41"/>
        <v>253.10157592253131</v>
      </c>
      <c r="Q203" s="6">
        <f t="shared" si="33"/>
        <v>253.10157592253131</v>
      </c>
      <c r="R203" s="5">
        <f t="shared" si="42"/>
        <v>12185.62</v>
      </c>
      <c r="S203" s="151">
        <v>337.68647612363321</v>
      </c>
      <c r="T203" s="195">
        <v>0.34166666666666667</v>
      </c>
      <c r="U203" s="154">
        <f t="shared" si="43"/>
        <v>2882.2259349742558</v>
      </c>
      <c r="V203" s="154">
        <f t="shared" si="44"/>
        <v>2199.6433396735529</v>
      </c>
      <c r="W203" s="155">
        <f t="shared" si="34"/>
        <v>295.42815833486122</v>
      </c>
      <c r="X203" s="199">
        <f t="shared" si="35"/>
        <v>8.3230436271410682</v>
      </c>
      <c r="Y203" s="199">
        <f t="shared" si="45"/>
        <v>5385.6204766098108</v>
      </c>
      <c r="Z203" s="200">
        <f t="shared" si="36"/>
        <v>0.44196524071896304</v>
      </c>
      <c r="AA203" s="199">
        <f t="shared" si="37"/>
        <v>5386.1269942127565</v>
      </c>
      <c r="AC203" s="30">
        <v>5354.5469940039866</v>
      </c>
      <c r="AD203" s="30">
        <f t="shared" si="46"/>
        <v>31.580000208769889</v>
      </c>
    </row>
    <row r="204" spans="2:30" x14ac:dyDescent="0.25">
      <c r="B204" s="10">
        <v>775</v>
      </c>
      <c r="C204" s="10">
        <v>8</v>
      </c>
      <c r="D204" s="9" t="s">
        <v>306</v>
      </c>
      <c r="E204" s="150">
        <v>202.00757745758028</v>
      </c>
      <c r="F204" s="150">
        <v>202.00757745758031</v>
      </c>
      <c r="G204" s="150">
        <f t="shared" si="38"/>
        <v>0</v>
      </c>
      <c r="H204" s="151">
        <v>76582.7</v>
      </c>
      <c r="I204" s="151">
        <v>76582.7</v>
      </c>
      <c r="J204" s="151">
        <f t="shared" si="39"/>
        <v>0</v>
      </c>
      <c r="K204" s="151">
        <v>0</v>
      </c>
      <c r="L204" s="151">
        <v>0</v>
      </c>
      <c r="M204" s="151">
        <f t="shared" si="40"/>
        <v>0</v>
      </c>
      <c r="N204" s="5">
        <f t="shared" si="32"/>
        <v>76582.7</v>
      </c>
      <c r="O204" s="154">
        <f t="shared" si="32"/>
        <v>76582.7</v>
      </c>
      <c r="P204" s="152">
        <f t="shared" si="41"/>
        <v>379.10805606330109</v>
      </c>
      <c r="Q204" s="6">
        <f t="shared" si="33"/>
        <v>379.10805606330109</v>
      </c>
      <c r="R204" s="5">
        <f t="shared" si="42"/>
        <v>76582.7</v>
      </c>
      <c r="S204" s="151">
        <v>0</v>
      </c>
      <c r="T204" s="195">
        <v>0.20833333333333331</v>
      </c>
      <c r="U204" s="154">
        <f t="shared" si="43"/>
        <v>18113.8624140875</v>
      </c>
      <c r="V204" s="154">
        <f t="shared" si="44"/>
        <v>9229.265655865458</v>
      </c>
      <c r="W204" s="155">
        <f t="shared" si="34"/>
        <v>1132.1164008804687</v>
      </c>
      <c r="X204" s="199">
        <f t="shared" si="35"/>
        <v>52.307650590142828</v>
      </c>
      <c r="Y204" s="199">
        <f t="shared" si="45"/>
        <v>28527.552121423574</v>
      </c>
      <c r="Z204" s="200">
        <f t="shared" si="36"/>
        <v>0.3725064815085336</v>
      </c>
      <c r="AA204" s="199">
        <f t="shared" si="37"/>
        <v>28530.235137685344</v>
      </c>
      <c r="AC204" s="30">
        <v>28354.111303784895</v>
      </c>
      <c r="AD204" s="30">
        <f t="shared" si="46"/>
        <v>176.12383390044852</v>
      </c>
    </row>
    <row r="205" spans="2:30" x14ac:dyDescent="0.25">
      <c r="B205" s="10">
        <v>790</v>
      </c>
      <c r="C205" s="10">
        <v>8</v>
      </c>
      <c r="D205" s="9" t="s">
        <v>307</v>
      </c>
      <c r="E205" s="150">
        <v>3.9890015511435077</v>
      </c>
      <c r="F205" s="150">
        <v>3.9890015511435082</v>
      </c>
      <c r="G205" s="150">
        <f t="shared" si="38"/>
        <v>0</v>
      </c>
      <c r="H205" s="151">
        <v>2795.51</v>
      </c>
      <c r="I205" s="151">
        <v>2795.51</v>
      </c>
      <c r="J205" s="151">
        <f t="shared" si="39"/>
        <v>0</v>
      </c>
      <c r="K205" s="151">
        <v>0</v>
      </c>
      <c r="L205" s="151">
        <v>0</v>
      </c>
      <c r="M205" s="151">
        <f t="shared" si="40"/>
        <v>0</v>
      </c>
      <c r="N205" s="5">
        <f t="shared" si="32"/>
        <v>2795.51</v>
      </c>
      <c r="O205" s="154">
        <f t="shared" si="32"/>
        <v>2795.51</v>
      </c>
      <c r="P205" s="152">
        <f t="shared" si="41"/>
        <v>700.80444044917067</v>
      </c>
      <c r="Q205" s="6">
        <f t="shared" si="33"/>
        <v>700.80444044917067</v>
      </c>
      <c r="R205" s="5">
        <f t="shared" si="42"/>
        <v>2795.51</v>
      </c>
      <c r="S205" s="151">
        <v>0</v>
      </c>
      <c r="T205" s="195">
        <v>0.10833333333333334</v>
      </c>
      <c r="U205" s="154">
        <f t="shared" si="43"/>
        <v>661.21308751461811</v>
      </c>
      <c r="V205" s="154">
        <f t="shared" si="44"/>
        <v>182.24838632547701</v>
      </c>
      <c r="W205" s="155">
        <f t="shared" si="34"/>
        <v>21.48942534422509</v>
      </c>
      <c r="X205" s="199">
        <f t="shared" si="35"/>
        <v>1.9093941621443251</v>
      </c>
      <c r="Y205" s="199">
        <f t="shared" si="45"/>
        <v>866.86029334646446</v>
      </c>
      <c r="Z205" s="200">
        <f t="shared" si="36"/>
        <v>0.31009021371644685</v>
      </c>
      <c r="AA205" s="199">
        <f t="shared" si="37"/>
        <v>866.9418215565903</v>
      </c>
      <c r="AC205" s="30">
        <v>861.23109187271757</v>
      </c>
      <c r="AD205" s="30">
        <f t="shared" si="46"/>
        <v>5.7107296838727279</v>
      </c>
    </row>
    <row r="206" spans="2:30" x14ac:dyDescent="0.25">
      <c r="B206" s="10">
        <v>796</v>
      </c>
      <c r="C206" s="10">
        <v>8</v>
      </c>
      <c r="D206" s="9" t="s">
        <v>308</v>
      </c>
      <c r="E206" s="150">
        <v>5.0270587176219728</v>
      </c>
      <c r="F206" s="150">
        <v>5.0270587176219728</v>
      </c>
      <c r="G206" s="150">
        <f t="shared" si="38"/>
        <v>0</v>
      </c>
      <c r="H206" s="151">
        <v>18516.27</v>
      </c>
      <c r="I206" s="151">
        <v>18516.27</v>
      </c>
      <c r="J206" s="151">
        <f t="shared" si="39"/>
        <v>0</v>
      </c>
      <c r="K206" s="151">
        <v>0</v>
      </c>
      <c r="L206" s="151">
        <v>0</v>
      </c>
      <c r="M206" s="151">
        <f t="shared" si="40"/>
        <v>0</v>
      </c>
      <c r="N206" s="5">
        <f t="shared" si="32"/>
        <v>18516.27</v>
      </c>
      <c r="O206" s="154">
        <f t="shared" si="32"/>
        <v>18516.27</v>
      </c>
      <c r="P206" s="152">
        <f t="shared" si="41"/>
        <v>3683.3208124449834</v>
      </c>
      <c r="Q206" s="6">
        <f t="shared" si="33"/>
        <v>1535.2875763339728</v>
      </c>
      <c r="R206" s="5">
        <f t="shared" si="42"/>
        <v>7717.9807946664077</v>
      </c>
      <c r="S206" s="151">
        <v>0</v>
      </c>
      <c r="T206" s="195">
        <v>6.6666666666666666E-2</v>
      </c>
      <c r="U206" s="154">
        <f t="shared" si="43"/>
        <v>1825.5094457254315</v>
      </c>
      <c r="V206" s="154">
        <f t="shared" si="44"/>
        <v>229.67485158971451</v>
      </c>
      <c r="W206" s="155">
        <f t="shared" si="34"/>
        <v>36.510188914508632</v>
      </c>
      <c r="X206" s="199">
        <f t="shared" si="35"/>
        <v>5.2715488311177765</v>
      </c>
      <c r="Y206" s="199">
        <f t="shared" si="45"/>
        <v>2096.9660350607724</v>
      </c>
      <c r="Z206" s="200">
        <f t="shared" si="36"/>
        <v>0.27169878895136701</v>
      </c>
      <c r="AA206" s="199">
        <f t="shared" si="37"/>
        <v>2097.163254715249</v>
      </c>
      <c r="AC206" s="30">
        <v>1965.9185471652368</v>
      </c>
      <c r="AD206" s="30">
        <f t="shared" si="46"/>
        <v>131.24470755001221</v>
      </c>
    </row>
    <row r="207" spans="2:30" x14ac:dyDescent="0.25">
      <c r="B207" s="10">
        <v>797</v>
      </c>
      <c r="C207" s="10">
        <v>8</v>
      </c>
      <c r="D207" s="9" t="s">
        <v>309</v>
      </c>
      <c r="E207" s="150">
        <v>18.971602108966749</v>
      </c>
      <c r="F207" s="150">
        <v>18.971602108966749</v>
      </c>
      <c r="G207" s="150">
        <f t="shared" si="38"/>
        <v>0</v>
      </c>
      <c r="H207" s="151">
        <v>26074</v>
      </c>
      <c r="I207" s="151">
        <v>26074</v>
      </c>
      <c r="J207" s="151">
        <f t="shared" si="39"/>
        <v>0</v>
      </c>
      <c r="K207" s="151">
        <v>0</v>
      </c>
      <c r="L207" s="151">
        <v>1372.3</v>
      </c>
      <c r="M207" s="151">
        <f t="shared" si="40"/>
        <v>-1372.3</v>
      </c>
      <c r="N207" s="5">
        <f t="shared" si="32"/>
        <v>26074</v>
      </c>
      <c r="O207" s="154">
        <f t="shared" si="32"/>
        <v>24701.7</v>
      </c>
      <c r="P207" s="152">
        <f t="shared" si="41"/>
        <v>1302.035529636423</v>
      </c>
      <c r="Q207" s="6">
        <f t="shared" si="33"/>
        <v>1302.035529636423</v>
      </c>
      <c r="R207" s="5">
        <f t="shared" si="42"/>
        <v>24701.7</v>
      </c>
      <c r="S207" s="151">
        <v>0</v>
      </c>
      <c r="T207" s="195">
        <v>0.36666666666666664</v>
      </c>
      <c r="U207" s="154">
        <f t="shared" si="43"/>
        <v>5842.6145225235623</v>
      </c>
      <c r="V207" s="154">
        <f t="shared" si="44"/>
        <v>866.76924690015449</v>
      </c>
      <c r="W207" s="155">
        <f t="shared" si="34"/>
        <v>642.68759747759179</v>
      </c>
      <c r="X207" s="199">
        <f t="shared" si="35"/>
        <v>16.871798625310042</v>
      </c>
      <c r="Y207" s="199">
        <f t="shared" si="45"/>
        <v>7368.9431655266199</v>
      </c>
      <c r="Z207" s="200">
        <f t="shared" si="36"/>
        <v>0.29831724802449305</v>
      </c>
      <c r="AA207" s="199">
        <f t="shared" si="37"/>
        <v>7369.6362146273977</v>
      </c>
      <c r="AC207" s="30">
        <v>7677.1619689621721</v>
      </c>
      <c r="AD207" s="30">
        <f t="shared" si="46"/>
        <v>-307.52575433477432</v>
      </c>
    </row>
    <row r="208" spans="2:30" x14ac:dyDescent="0.25">
      <c r="B208" s="10">
        <v>801</v>
      </c>
      <c r="C208" s="10">
        <v>8</v>
      </c>
      <c r="D208" s="9" t="s">
        <v>310</v>
      </c>
      <c r="E208" s="150">
        <v>100.44876518483612</v>
      </c>
      <c r="F208" s="150">
        <v>100.44876518483612</v>
      </c>
      <c r="G208" s="150">
        <f t="shared" si="38"/>
        <v>0</v>
      </c>
      <c r="H208" s="151">
        <v>46573.14</v>
      </c>
      <c r="I208" s="151">
        <v>46573.14</v>
      </c>
      <c r="J208" s="151">
        <f t="shared" si="39"/>
        <v>0</v>
      </c>
      <c r="K208" s="151">
        <v>0</v>
      </c>
      <c r="L208" s="151">
        <v>0</v>
      </c>
      <c r="M208" s="151">
        <f t="shared" si="40"/>
        <v>0</v>
      </c>
      <c r="N208" s="5">
        <f t="shared" si="32"/>
        <v>46573.14</v>
      </c>
      <c r="O208" s="154">
        <f t="shared" si="32"/>
        <v>46573.14</v>
      </c>
      <c r="P208" s="152">
        <f t="shared" si="41"/>
        <v>463.65069709220023</v>
      </c>
      <c r="Q208" s="6">
        <f t="shared" si="33"/>
        <v>463.65069709220023</v>
      </c>
      <c r="R208" s="5">
        <f t="shared" si="42"/>
        <v>46573.14</v>
      </c>
      <c r="S208" s="151">
        <v>891.70759108952677</v>
      </c>
      <c r="T208" s="195">
        <v>0.35555555555555551</v>
      </c>
      <c r="U208" s="154">
        <f t="shared" si="43"/>
        <v>11015.796650575587</v>
      </c>
      <c r="V208" s="154">
        <f t="shared" si="44"/>
        <v>4589.2750676106562</v>
      </c>
      <c r="W208" s="155">
        <f t="shared" si="34"/>
        <v>1175.0183093947292</v>
      </c>
      <c r="X208" s="199">
        <f t="shared" si="35"/>
        <v>31.810468082292797</v>
      </c>
      <c r="Y208" s="199">
        <f t="shared" si="45"/>
        <v>16811.900495663267</v>
      </c>
      <c r="Z208" s="200">
        <f t="shared" si="36"/>
        <v>0.36097846302961895</v>
      </c>
      <c r="AA208" s="199">
        <f t="shared" si="37"/>
        <v>16813.481654895895</v>
      </c>
      <c r="AC208" s="30">
        <v>16706.541526660512</v>
      </c>
      <c r="AD208" s="30">
        <f t="shared" si="46"/>
        <v>106.94012823538287</v>
      </c>
    </row>
    <row r="209" spans="2:30" x14ac:dyDescent="0.25">
      <c r="B209" s="10">
        <v>810</v>
      </c>
      <c r="C209" s="10">
        <v>8</v>
      </c>
      <c r="D209" s="9" t="s">
        <v>311</v>
      </c>
      <c r="E209" s="150">
        <v>128.08000000000001</v>
      </c>
      <c r="F209" s="150">
        <v>128.08000000000001</v>
      </c>
      <c r="G209" s="150">
        <f t="shared" si="38"/>
        <v>0</v>
      </c>
      <c r="H209" s="151">
        <v>111641.38</v>
      </c>
      <c r="I209" s="151">
        <v>111641.38</v>
      </c>
      <c r="J209" s="151">
        <f t="shared" si="39"/>
        <v>0</v>
      </c>
      <c r="K209" s="151">
        <v>0</v>
      </c>
      <c r="L209" s="151">
        <v>0</v>
      </c>
      <c r="M209" s="151">
        <f t="shared" si="40"/>
        <v>0</v>
      </c>
      <c r="N209" s="5">
        <f t="shared" si="32"/>
        <v>111641.38</v>
      </c>
      <c r="O209" s="154">
        <f t="shared" si="32"/>
        <v>111641.38</v>
      </c>
      <c r="P209" s="152">
        <f t="shared" si="41"/>
        <v>871.65349781386624</v>
      </c>
      <c r="Q209" s="6">
        <f t="shared" si="33"/>
        <v>871.65349781386624</v>
      </c>
      <c r="R209" s="5">
        <f t="shared" si="42"/>
        <v>111641.38</v>
      </c>
      <c r="S209" s="151">
        <v>0</v>
      </c>
      <c r="T209" s="195">
        <v>0.34722222222222215</v>
      </c>
      <c r="U209" s="154">
        <f t="shared" si="43"/>
        <v>26406.180469464511</v>
      </c>
      <c r="V209" s="154">
        <f t="shared" si="44"/>
        <v>5851.6831897133889</v>
      </c>
      <c r="W209" s="155">
        <f t="shared" si="34"/>
        <v>2750.643798902553</v>
      </c>
      <c r="X209" s="199">
        <f t="shared" si="35"/>
        <v>76.253491930179536</v>
      </c>
      <c r="Y209" s="199">
        <f t="shared" si="45"/>
        <v>35084.760950010626</v>
      </c>
      <c r="Z209" s="200">
        <f t="shared" si="36"/>
        <v>0.31426305326941162</v>
      </c>
      <c r="AA209" s="199">
        <f t="shared" si="37"/>
        <v>35088.060671759216</v>
      </c>
      <c r="AC209" s="30">
        <v>34851.218656340679</v>
      </c>
      <c r="AD209" s="30">
        <f t="shared" si="46"/>
        <v>236.8420154185369</v>
      </c>
    </row>
    <row r="210" spans="2:30" x14ac:dyDescent="0.25">
      <c r="B210" s="10">
        <v>812</v>
      </c>
      <c r="C210" s="10">
        <v>8</v>
      </c>
      <c r="D210" s="9" t="s">
        <v>312</v>
      </c>
      <c r="E210" s="150">
        <v>69.541302752648406</v>
      </c>
      <c r="F210" s="150">
        <v>69.54130275264842</v>
      </c>
      <c r="G210" s="150">
        <f t="shared" si="38"/>
        <v>0</v>
      </c>
      <c r="H210" s="151">
        <v>65537.22</v>
      </c>
      <c r="I210" s="151">
        <v>65537.22</v>
      </c>
      <c r="J210" s="151">
        <f t="shared" si="39"/>
        <v>0</v>
      </c>
      <c r="K210" s="151">
        <v>430.5</v>
      </c>
      <c r="L210" s="151">
        <v>430.5</v>
      </c>
      <c r="M210" s="151">
        <f t="shared" si="40"/>
        <v>0</v>
      </c>
      <c r="N210" s="5">
        <f t="shared" si="32"/>
        <v>65106.720000000001</v>
      </c>
      <c r="O210" s="154">
        <f t="shared" si="32"/>
        <v>65106.720000000001</v>
      </c>
      <c r="P210" s="152">
        <f t="shared" si="41"/>
        <v>936.23095085776879</v>
      </c>
      <c r="Q210" s="6">
        <f t="shared" si="33"/>
        <v>936.23095085776879</v>
      </c>
      <c r="R210" s="5">
        <f t="shared" si="42"/>
        <v>65106.720000000001</v>
      </c>
      <c r="S210" s="151">
        <v>0</v>
      </c>
      <c r="T210" s="195">
        <v>0.31944444444444442</v>
      </c>
      <c r="U210" s="154">
        <f t="shared" si="43"/>
        <v>15399.485370880355</v>
      </c>
      <c r="V210" s="154">
        <f t="shared" si="44"/>
        <v>3177.1835751752192</v>
      </c>
      <c r="W210" s="155">
        <f t="shared" si="34"/>
        <v>1475.7840147093673</v>
      </c>
      <c r="X210" s="199">
        <f t="shared" si="35"/>
        <v>44.469306525236959</v>
      </c>
      <c r="Y210" s="199">
        <f t="shared" si="45"/>
        <v>20096.922267290178</v>
      </c>
      <c r="Z210" s="200">
        <f t="shared" si="36"/>
        <v>0.30867661997548296</v>
      </c>
      <c r="AA210" s="199">
        <f t="shared" si="37"/>
        <v>20098.812382818673</v>
      </c>
      <c r="AC210" s="30">
        <v>19962.513287698061</v>
      </c>
      <c r="AD210" s="30">
        <f t="shared" si="46"/>
        <v>136.29909512061204</v>
      </c>
    </row>
    <row r="211" spans="2:30" x14ac:dyDescent="0.25">
      <c r="B211" s="10">
        <v>818</v>
      </c>
      <c r="C211" s="10">
        <v>8</v>
      </c>
      <c r="D211" s="9" t="s">
        <v>313</v>
      </c>
      <c r="E211" s="150">
        <v>41.676534589108634</v>
      </c>
      <c r="F211" s="150">
        <v>41.676534589108634</v>
      </c>
      <c r="G211" s="150">
        <f t="shared" si="38"/>
        <v>0</v>
      </c>
      <c r="H211" s="151">
        <v>16555.04</v>
      </c>
      <c r="I211" s="151">
        <v>16555.04</v>
      </c>
      <c r="J211" s="151">
        <f t="shared" si="39"/>
        <v>0</v>
      </c>
      <c r="K211" s="151">
        <v>0</v>
      </c>
      <c r="L211" s="151">
        <v>0</v>
      </c>
      <c r="M211" s="151">
        <f t="shared" si="40"/>
        <v>0</v>
      </c>
      <c r="N211" s="5">
        <f t="shared" si="32"/>
        <v>16555.04</v>
      </c>
      <c r="O211" s="154">
        <f t="shared" si="32"/>
        <v>16555.04</v>
      </c>
      <c r="P211" s="152">
        <f t="shared" si="41"/>
        <v>397.22688470183755</v>
      </c>
      <c r="Q211" s="6">
        <f t="shared" si="33"/>
        <v>397.22688470183755</v>
      </c>
      <c r="R211" s="5">
        <f t="shared" si="42"/>
        <v>16555.04</v>
      </c>
      <c r="S211" s="151">
        <v>0</v>
      </c>
      <c r="T211" s="195">
        <v>0.19166666666666665</v>
      </c>
      <c r="U211" s="154">
        <f t="shared" si="43"/>
        <v>3915.7109480302352</v>
      </c>
      <c r="V211" s="154">
        <f t="shared" si="44"/>
        <v>1904.1058468191407</v>
      </c>
      <c r="W211" s="155">
        <f t="shared" si="34"/>
        <v>225.15337951173854</v>
      </c>
      <c r="X211" s="199">
        <f t="shared" si="35"/>
        <v>11.307452568606724</v>
      </c>
      <c r="Y211" s="199">
        <f t="shared" si="45"/>
        <v>6056.277626929721</v>
      </c>
      <c r="Z211" s="200">
        <f t="shared" si="36"/>
        <v>0.36582681932086669</v>
      </c>
      <c r="AA211" s="199">
        <f t="shared" si="37"/>
        <v>6056.8472198372956</v>
      </c>
      <c r="AC211" s="30">
        <v>6019.2555613300183</v>
      </c>
      <c r="AD211" s="30">
        <f t="shared" si="46"/>
        <v>37.591658507277316</v>
      </c>
    </row>
    <row r="212" spans="2:30" x14ac:dyDescent="0.25">
      <c r="B212" s="10">
        <v>833</v>
      </c>
      <c r="C212" s="10">
        <v>8</v>
      </c>
      <c r="D212" s="9" t="s">
        <v>314</v>
      </c>
      <c r="E212" s="150">
        <v>55.879823649742775</v>
      </c>
      <c r="F212" s="150">
        <v>55.879823649742775</v>
      </c>
      <c r="G212" s="150">
        <f t="shared" si="38"/>
        <v>0</v>
      </c>
      <c r="H212" s="151">
        <v>29424.22</v>
      </c>
      <c r="I212" s="151">
        <v>29424.22</v>
      </c>
      <c r="J212" s="151">
        <f t="shared" si="39"/>
        <v>0</v>
      </c>
      <c r="K212" s="151">
        <v>0</v>
      </c>
      <c r="L212" s="151">
        <v>0</v>
      </c>
      <c r="M212" s="151">
        <f t="shared" si="40"/>
        <v>0</v>
      </c>
      <c r="N212" s="5">
        <f t="shared" si="32"/>
        <v>29424.22</v>
      </c>
      <c r="O212" s="154">
        <f t="shared" si="32"/>
        <v>29424.22</v>
      </c>
      <c r="P212" s="152">
        <f t="shared" si="41"/>
        <v>526.56250643223791</v>
      </c>
      <c r="Q212" s="6">
        <f t="shared" si="33"/>
        <v>526.56250643223791</v>
      </c>
      <c r="R212" s="5">
        <f t="shared" si="42"/>
        <v>29424.22</v>
      </c>
      <c r="S212" s="151">
        <v>0</v>
      </c>
      <c r="T212" s="195">
        <v>0.19166666666666665</v>
      </c>
      <c r="U212" s="154">
        <f t="shared" si="43"/>
        <v>6959.6171553345821</v>
      </c>
      <c r="V212" s="154">
        <f t="shared" si="44"/>
        <v>2553.0217418437574</v>
      </c>
      <c r="W212" s="155">
        <f t="shared" si="34"/>
        <v>400.17798643173847</v>
      </c>
      <c r="X212" s="199">
        <f t="shared" si="35"/>
        <v>20.097382550464957</v>
      </c>
      <c r="Y212" s="199">
        <f t="shared" si="45"/>
        <v>9932.914266160542</v>
      </c>
      <c r="Z212" s="200">
        <f t="shared" si="36"/>
        <v>0.33757612831064143</v>
      </c>
      <c r="AA212" s="199">
        <f t="shared" si="37"/>
        <v>9933.8484567419637</v>
      </c>
      <c r="AC212" s="30">
        <v>9870.1044197467963</v>
      </c>
      <c r="AD212" s="30">
        <f t="shared" si="46"/>
        <v>63.744036995167335</v>
      </c>
    </row>
    <row r="213" spans="2:30" x14ac:dyDescent="0.25">
      <c r="B213" s="10">
        <v>834</v>
      </c>
      <c r="C213" s="10">
        <v>8</v>
      </c>
      <c r="D213" s="9" t="s">
        <v>315</v>
      </c>
      <c r="E213" s="150">
        <v>105.1</v>
      </c>
      <c r="F213" s="150">
        <v>105.1</v>
      </c>
      <c r="G213" s="150">
        <f t="shared" si="38"/>
        <v>0</v>
      </c>
      <c r="H213" s="151">
        <v>46402.99</v>
      </c>
      <c r="I213" s="151">
        <v>46402.99</v>
      </c>
      <c r="J213" s="151">
        <f t="shared" si="39"/>
        <v>0</v>
      </c>
      <c r="K213" s="151">
        <v>4914.82</v>
      </c>
      <c r="L213" s="151">
        <v>6902.12</v>
      </c>
      <c r="M213" s="151">
        <f t="shared" si="40"/>
        <v>-1987.3000000000002</v>
      </c>
      <c r="N213" s="5">
        <f t="shared" si="32"/>
        <v>41488.17</v>
      </c>
      <c r="O213" s="154">
        <f t="shared" si="32"/>
        <v>39500.869999999995</v>
      </c>
      <c r="P213" s="152">
        <f t="shared" si="41"/>
        <v>375.84081826831584</v>
      </c>
      <c r="Q213" s="6">
        <f t="shared" si="33"/>
        <v>375.84081826831584</v>
      </c>
      <c r="R213" s="5">
        <f t="shared" si="42"/>
        <v>39500.869999999995</v>
      </c>
      <c r="S213" s="151">
        <v>574.85765714498871</v>
      </c>
      <c r="T213" s="195">
        <v>0.36388888888888882</v>
      </c>
      <c r="U213" s="154">
        <f t="shared" si="43"/>
        <v>9343.0151250446415</v>
      </c>
      <c r="V213" s="154">
        <f t="shared" si="44"/>
        <v>4801.779381940014</v>
      </c>
      <c r="W213" s="155">
        <f t="shared" si="34"/>
        <v>1019.9458178173733</v>
      </c>
      <c r="X213" s="199">
        <f t="shared" si="35"/>
        <v>26.979953775025624</v>
      </c>
      <c r="Y213" s="199">
        <f t="shared" si="45"/>
        <v>15191.720278577055</v>
      </c>
      <c r="Z213" s="200">
        <f t="shared" si="36"/>
        <v>0.38459204262025259</v>
      </c>
      <c r="AA213" s="199">
        <f t="shared" si="37"/>
        <v>15193.149059861133</v>
      </c>
      <c r="AC213" s="30">
        <v>15617.837687231375</v>
      </c>
      <c r="AD213" s="30">
        <f t="shared" si="46"/>
        <v>-424.6886273702421</v>
      </c>
    </row>
    <row r="214" spans="2:30" x14ac:dyDescent="0.25">
      <c r="B214" s="10">
        <v>837</v>
      </c>
      <c r="C214" s="10">
        <v>8</v>
      </c>
      <c r="D214" s="9" t="s">
        <v>316</v>
      </c>
      <c r="E214" s="150">
        <v>159.76</v>
      </c>
      <c r="F214" s="150">
        <v>159.76</v>
      </c>
      <c r="G214" s="150">
        <f t="shared" si="38"/>
        <v>0</v>
      </c>
      <c r="H214" s="151">
        <v>74798.12</v>
      </c>
      <c r="I214" s="151">
        <v>74798.12</v>
      </c>
      <c r="J214" s="151">
        <f t="shared" si="39"/>
        <v>0</v>
      </c>
      <c r="K214" s="151">
        <v>0</v>
      </c>
      <c r="L214" s="151">
        <v>0</v>
      </c>
      <c r="M214" s="151">
        <f t="shared" si="40"/>
        <v>0</v>
      </c>
      <c r="N214" s="5">
        <f t="shared" si="32"/>
        <v>74798.12</v>
      </c>
      <c r="O214" s="154">
        <f t="shared" si="32"/>
        <v>74798.12</v>
      </c>
      <c r="P214" s="152">
        <f t="shared" si="41"/>
        <v>468.19053580370553</v>
      </c>
      <c r="Q214" s="6">
        <f t="shared" si="33"/>
        <v>468.19053580370553</v>
      </c>
      <c r="R214" s="5">
        <f t="shared" si="42"/>
        <v>74798.12</v>
      </c>
      <c r="S214" s="151">
        <v>0</v>
      </c>
      <c r="T214" s="195">
        <v>0.43055555555555552</v>
      </c>
      <c r="U214" s="154">
        <f t="shared" si="43"/>
        <v>17691.761383607609</v>
      </c>
      <c r="V214" s="154">
        <f t="shared" si="44"/>
        <v>7299.0701623095783</v>
      </c>
      <c r="W214" s="155">
        <f t="shared" si="34"/>
        <v>2285.1858453826494</v>
      </c>
      <c r="X214" s="199">
        <f t="shared" si="35"/>
        <v>51.08874361650313</v>
      </c>
      <c r="Y214" s="199">
        <f t="shared" si="45"/>
        <v>27327.106134916339</v>
      </c>
      <c r="Z214" s="200">
        <f t="shared" si="36"/>
        <v>0.36534482597846496</v>
      </c>
      <c r="AA214" s="199">
        <f t="shared" si="37"/>
        <v>27329.676249233718</v>
      </c>
      <c r="AC214" s="30">
        <v>27155.235862146023</v>
      </c>
      <c r="AD214" s="30">
        <f t="shared" si="46"/>
        <v>174.44038708769585</v>
      </c>
    </row>
    <row r="215" spans="2:30" x14ac:dyDescent="0.25">
      <c r="B215" s="10">
        <v>847</v>
      </c>
      <c r="C215" s="10">
        <v>8</v>
      </c>
      <c r="D215" s="9" t="s">
        <v>317</v>
      </c>
      <c r="E215" s="150">
        <v>78.455383295239983</v>
      </c>
      <c r="F215" s="150">
        <v>78.455383295239983</v>
      </c>
      <c r="G215" s="150">
        <f t="shared" si="38"/>
        <v>0</v>
      </c>
      <c r="H215" s="151">
        <v>61967.7</v>
      </c>
      <c r="I215" s="151">
        <v>61967.7</v>
      </c>
      <c r="J215" s="151">
        <f t="shared" si="39"/>
        <v>0</v>
      </c>
      <c r="K215" s="151">
        <v>0</v>
      </c>
      <c r="L215" s="151">
        <v>0</v>
      </c>
      <c r="M215" s="151">
        <f t="shared" si="40"/>
        <v>0</v>
      </c>
      <c r="N215" s="5">
        <f t="shared" si="32"/>
        <v>61967.7</v>
      </c>
      <c r="O215" s="154">
        <f t="shared" si="32"/>
        <v>61967.7</v>
      </c>
      <c r="P215" s="152">
        <f t="shared" si="41"/>
        <v>789.84637378936463</v>
      </c>
      <c r="Q215" s="6">
        <f t="shared" si="33"/>
        <v>789.84637378936463</v>
      </c>
      <c r="R215" s="5">
        <f t="shared" si="42"/>
        <v>61967.7</v>
      </c>
      <c r="S215" s="151">
        <v>1569.7485060040462</v>
      </c>
      <c r="T215" s="195">
        <v>0.34166666666666667</v>
      </c>
      <c r="U215" s="154">
        <f t="shared" si="43"/>
        <v>14657.022955803986</v>
      </c>
      <c r="V215" s="154">
        <f t="shared" si="44"/>
        <v>3584.4475919056554</v>
      </c>
      <c r="W215" s="155">
        <f t="shared" si="34"/>
        <v>1502.3448529699087</v>
      </c>
      <c r="X215" s="199">
        <f t="shared" si="35"/>
        <v>42.325287558088107</v>
      </c>
      <c r="Y215" s="199">
        <f t="shared" si="45"/>
        <v>19786.14068823764</v>
      </c>
      <c r="Z215" s="200">
        <f t="shared" si="36"/>
        <v>0.31929764519641102</v>
      </c>
      <c r="AA215" s="199">
        <f t="shared" si="37"/>
        <v>19788.00157475879</v>
      </c>
      <c r="AC215" s="30">
        <v>19655.478949709795</v>
      </c>
      <c r="AD215" s="30">
        <f t="shared" si="46"/>
        <v>132.52262504899409</v>
      </c>
    </row>
    <row r="216" spans="2:30" x14ac:dyDescent="0.25">
      <c r="B216" s="10">
        <v>866</v>
      </c>
      <c r="C216" s="10">
        <v>8</v>
      </c>
      <c r="D216" s="9" t="s">
        <v>318</v>
      </c>
      <c r="E216" s="150">
        <v>425.26698931059411</v>
      </c>
      <c r="F216" s="150">
        <v>425.26698931059411</v>
      </c>
      <c r="G216" s="150">
        <f t="shared" si="38"/>
        <v>0</v>
      </c>
      <c r="H216" s="151">
        <v>52619.4</v>
      </c>
      <c r="I216" s="151">
        <v>52619.4</v>
      </c>
      <c r="J216" s="151">
        <f t="shared" si="39"/>
        <v>0</v>
      </c>
      <c r="K216" s="151">
        <v>0</v>
      </c>
      <c r="L216" s="151">
        <v>0</v>
      </c>
      <c r="M216" s="151">
        <f t="shared" si="40"/>
        <v>0</v>
      </c>
      <c r="N216" s="5">
        <f t="shared" si="32"/>
        <v>52619.4</v>
      </c>
      <c r="O216" s="154">
        <f t="shared" si="32"/>
        <v>52619.4</v>
      </c>
      <c r="P216" s="152">
        <f t="shared" si="41"/>
        <v>123.73262285253318</v>
      </c>
      <c r="Q216" s="6">
        <f t="shared" si="33"/>
        <v>123.73262285253318</v>
      </c>
      <c r="R216" s="5">
        <f t="shared" si="42"/>
        <v>52619.4</v>
      </c>
      <c r="S216" s="151">
        <v>0</v>
      </c>
      <c r="T216" s="195">
        <v>0.35833333333333328</v>
      </c>
      <c r="U216" s="154">
        <f t="shared" si="43"/>
        <v>12445.89929464273</v>
      </c>
      <c r="V216" s="154">
        <f t="shared" si="44"/>
        <v>19429.47917308578</v>
      </c>
      <c r="W216" s="155">
        <f t="shared" si="34"/>
        <v>1337.9341741740934</v>
      </c>
      <c r="X216" s="199">
        <f t="shared" si="35"/>
        <v>35.940195232904586</v>
      </c>
      <c r="Y216" s="199">
        <f t="shared" si="45"/>
        <v>33249.252837135507</v>
      </c>
      <c r="Z216" s="200">
        <f t="shared" si="36"/>
        <v>0.63188202140532779</v>
      </c>
      <c r="AA216" s="199">
        <f t="shared" si="37"/>
        <v>33252.379929347066</v>
      </c>
      <c r="AC216" s="30">
        <v>33078.875856457817</v>
      </c>
      <c r="AD216" s="30">
        <f t="shared" si="46"/>
        <v>173.50407288924907</v>
      </c>
    </row>
    <row r="217" spans="2:30" x14ac:dyDescent="0.25">
      <c r="B217" s="10">
        <v>871</v>
      </c>
      <c r="C217" s="10">
        <v>8</v>
      </c>
      <c r="D217" s="9" t="s">
        <v>319</v>
      </c>
      <c r="E217" s="150">
        <v>18.980843025727079</v>
      </c>
      <c r="F217" s="150">
        <v>18.980843025727079</v>
      </c>
      <c r="G217" s="150">
        <f t="shared" si="38"/>
        <v>0</v>
      </c>
      <c r="H217" s="151">
        <v>9954.75</v>
      </c>
      <c r="I217" s="151">
        <v>9954.75</v>
      </c>
      <c r="J217" s="151">
        <f t="shared" si="39"/>
        <v>0</v>
      </c>
      <c r="K217" s="151">
        <v>0</v>
      </c>
      <c r="L217" s="151">
        <v>0</v>
      </c>
      <c r="M217" s="151">
        <f t="shared" si="40"/>
        <v>0</v>
      </c>
      <c r="N217" s="5">
        <f t="shared" si="32"/>
        <v>9954.75</v>
      </c>
      <c r="O217" s="154">
        <f t="shared" si="32"/>
        <v>9954.75</v>
      </c>
      <c r="P217" s="152">
        <f t="shared" si="41"/>
        <v>524.46300654333947</v>
      </c>
      <c r="Q217" s="6">
        <f t="shared" si="33"/>
        <v>524.46300654333947</v>
      </c>
      <c r="R217" s="5">
        <f t="shared" si="42"/>
        <v>9954.75</v>
      </c>
      <c r="S217" s="151">
        <v>275.86486762197882</v>
      </c>
      <c r="T217" s="195">
        <v>0.15833333333333333</v>
      </c>
      <c r="U217" s="154">
        <f t="shared" si="43"/>
        <v>2354.5653504856518</v>
      </c>
      <c r="V217" s="154">
        <f t="shared" si="44"/>
        <v>867.1914433185176</v>
      </c>
      <c r="W217" s="155">
        <f t="shared" si="34"/>
        <v>111.84185414806846</v>
      </c>
      <c r="X217" s="199">
        <f t="shared" si="35"/>
        <v>6.7993108719361475</v>
      </c>
      <c r="Y217" s="199">
        <f t="shared" si="45"/>
        <v>3340.3979588241737</v>
      </c>
      <c r="Z217" s="200">
        <f t="shared" si="36"/>
        <v>0.33555819672258708</v>
      </c>
      <c r="AA217" s="199">
        <f t="shared" si="37"/>
        <v>3340.7121232504151</v>
      </c>
      <c r="AC217" s="30">
        <v>3319.3083541339156</v>
      </c>
      <c r="AD217" s="30">
        <f t="shared" si="46"/>
        <v>21.403769116499461</v>
      </c>
    </row>
    <row r="218" spans="2:30" x14ac:dyDescent="0.25">
      <c r="B218" s="10">
        <v>873</v>
      </c>
      <c r="C218" s="10">
        <v>8</v>
      </c>
      <c r="D218" s="9" t="s">
        <v>320</v>
      </c>
      <c r="E218" s="150">
        <v>154.14773247913993</v>
      </c>
      <c r="F218" s="150">
        <v>154.14773247913993</v>
      </c>
      <c r="G218" s="150">
        <f t="shared" si="38"/>
        <v>0</v>
      </c>
      <c r="H218" s="151">
        <v>56548.31</v>
      </c>
      <c r="I218" s="151">
        <v>56548.31</v>
      </c>
      <c r="J218" s="151">
        <f t="shared" si="39"/>
        <v>0</v>
      </c>
      <c r="K218" s="151">
        <v>0</v>
      </c>
      <c r="L218" s="151">
        <v>0</v>
      </c>
      <c r="M218" s="151">
        <f t="shared" si="40"/>
        <v>0</v>
      </c>
      <c r="N218" s="5">
        <f t="shared" ref="N218:O262" si="47">H218-K218</f>
        <v>56548.31</v>
      </c>
      <c r="O218" s="154">
        <f t="shared" si="47"/>
        <v>56548.31</v>
      </c>
      <c r="P218" s="152">
        <f t="shared" si="41"/>
        <v>366.84490320123524</v>
      </c>
      <c r="Q218" s="6">
        <f t="shared" ref="Q218:Q262" si="48">MIN(P218,INDEX($U$3:$U$11,MATCH(C218,$R$3:$R$11,0)))</f>
        <v>366.84490320123524</v>
      </c>
      <c r="R218" s="5">
        <f t="shared" si="42"/>
        <v>56548.31</v>
      </c>
      <c r="S218" s="151">
        <v>1567.060152429405</v>
      </c>
      <c r="T218" s="195">
        <v>0.23055555555555557</v>
      </c>
      <c r="U218" s="154">
        <f t="shared" si="43"/>
        <v>13375.191878703259</v>
      </c>
      <c r="V218" s="154">
        <f t="shared" si="44"/>
        <v>7042.6584547206385</v>
      </c>
      <c r="W218" s="155">
        <f t="shared" ref="W218:W262" si="49">T218*$E$16*(R218/$R$24)</f>
        <v>925.11743827697558</v>
      </c>
      <c r="X218" s="199">
        <f t="shared" ref="X218:X262" si="50">($W$23+$E$9)*(R218/$R$24)</f>
        <v>38.623726258581634</v>
      </c>
      <c r="Y218" s="199">
        <f t="shared" si="45"/>
        <v>21381.591497959456</v>
      </c>
      <c r="Z218" s="200">
        <f t="shared" ref="Z218:Z262" si="51">IF(ISERROR(Y218/R218),0,Y218/R218)</f>
        <v>0.37811194530763975</v>
      </c>
      <c r="AA218" s="199">
        <f t="shared" ref="AA218:AA262" si="52">IF(Z218&gt;$Z$19,$Z$19*R218,--(Z218&lt;$Z$19)*$Z$23*Y218/$Z$22+Y217:Y218)</f>
        <v>21383.602436628407</v>
      </c>
      <c r="AC218" s="30">
        <v>21252.050266322247</v>
      </c>
      <c r="AD218" s="30">
        <f t="shared" si="46"/>
        <v>131.55217030616041</v>
      </c>
    </row>
    <row r="219" spans="2:30" x14ac:dyDescent="0.25">
      <c r="B219" s="10">
        <v>895</v>
      </c>
      <c r="C219" s="10">
        <v>8</v>
      </c>
      <c r="D219" s="9" t="s">
        <v>321</v>
      </c>
      <c r="E219" s="150">
        <v>30.026619991102113</v>
      </c>
      <c r="F219" s="150">
        <v>30.026619991102116</v>
      </c>
      <c r="G219" s="150">
        <f t="shared" ref="G219:G262" si="53">F219-E219</f>
        <v>0</v>
      </c>
      <c r="H219" s="151">
        <v>13075.54</v>
      </c>
      <c r="I219" s="151">
        <v>13075.54</v>
      </c>
      <c r="J219" s="151">
        <f t="shared" ref="J219:J262" si="54">H219-I219</f>
        <v>0</v>
      </c>
      <c r="K219" s="151">
        <v>0</v>
      </c>
      <c r="L219" s="151">
        <v>0</v>
      </c>
      <c r="M219" s="151">
        <f t="shared" ref="M219:M262" si="55">K219-L219</f>
        <v>0</v>
      </c>
      <c r="N219" s="5">
        <f t="shared" si="47"/>
        <v>13075.54</v>
      </c>
      <c r="O219" s="154">
        <f t="shared" si="47"/>
        <v>13075.54</v>
      </c>
      <c r="P219" s="152">
        <f t="shared" ref="P219:P262" si="56">IF(ISERROR(O219/F219),"n.a.",O219/F219)</f>
        <v>435.46493091379307</v>
      </c>
      <c r="Q219" s="6">
        <f t="shared" si="48"/>
        <v>435.46493091379307</v>
      </c>
      <c r="R219" s="5">
        <f t="shared" ref="R219:R262" si="57">F219*Q219</f>
        <v>13075.54</v>
      </c>
      <c r="S219" s="151">
        <v>0</v>
      </c>
      <c r="T219" s="195">
        <v>0.125</v>
      </c>
      <c r="U219" s="154">
        <f t="shared" ref="U219:U262" si="58">$E$14*(R219/$R$24)</f>
        <v>3092.7158816533979</v>
      </c>
      <c r="V219" s="154">
        <f t="shared" ref="V219:V262" si="59">$E$15*(F219/$F$24)</f>
        <v>1371.8478095396954</v>
      </c>
      <c r="W219" s="155">
        <f t="shared" si="49"/>
        <v>115.97684556200242</v>
      </c>
      <c r="X219" s="199">
        <f t="shared" si="50"/>
        <v>8.9308783523881541</v>
      </c>
      <c r="Y219" s="199">
        <f t="shared" ref="Y219:Y262" si="60">U219+V219+W219+X219</f>
        <v>4589.4714151074841</v>
      </c>
      <c r="Z219" s="200">
        <f t="shared" si="51"/>
        <v>0.35099670186527543</v>
      </c>
      <c r="AA219" s="199">
        <f t="shared" si="52"/>
        <v>4589.9030548916217</v>
      </c>
      <c r="AC219" s="30">
        <v>4561.1591223812957</v>
      </c>
      <c r="AD219" s="30">
        <f t="shared" ref="AD219:AD262" si="61">AA219-AC219</f>
        <v>28.743932510325976</v>
      </c>
    </row>
    <row r="220" spans="2:30" x14ac:dyDescent="0.25">
      <c r="B220" s="10">
        <v>897</v>
      </c>
      <c r="C220" s="10">
        <v>8</v>
      </c>
      <c r="D220" s="9" t="s">
        <v>322</v>
      </c>
      <c r="E220" s="150">
        <v>192.15291060584937</v>
      </c>
      <c r="F220" s="150">
        <v>192.1529106058494</v>
      </c>
      <c r="G220" s="150">
        <f t="shared" si="53"/>
        <v>0</v>
      </c>
      <c r="H220" s="151">
        <v>312807.77</v>
      </c>
      <c r="I220" s="151">
        <v>312807.77</v>
      </c>
      <c r="J220" s="151">
        <f t="shared" si="54"/>
        <v>0</v>
      </c>
      <c r="K220" s="151">
        <v>0</v>
      </c>
      <c r="L220" s="151">
        <v>0</v>
      </c>
      <c r="M220" s="151">
        <f t="shared" si="55"/>
        <v>0</v>
      </c>
      <c r="N220" s="5">
        <f t="shared" si="47"/>
        <v>312807.77</v>
      </c>
      <c r="O220" s="154">
        <f t="shared" si="47"/>
        <v>312807.77</v>
      </c>
      <c r="P220" s="152">
        <f t="shared" si="56"/>
        <v>1627.9106520621069</v>
      </c>
      <c r="Q220" s="6">
        <f t="shared" si="48"/>
        <v>1535.2875763339728</v>
      </c>
      <c r="R220" s="5">
        <f t="shared" si="57"/>
        <v>295009.97640957305</v>
      </c>
      <c r="S220" s="151">
        <v>0</v>
      </c>
      <c r="T220" s="195">
        <v>0.34444444444444444</v>
      </c>
      <c r="U220" s="154">
        <f t="shared" si="58"/>
        <v>69777.771265131742</v>
      </c>
      <c r="V220" s="154">
        <f t="shared" si="59"/>
        <v>8779.0283951182719</v>
      </c>
      <c r="W220" s="155">
        <f t="shared" si="49"/>
        <v>7210.3696973969472</v>
      </c>
      <c r="X220" s="199">
        <f t="shared" si="50"/>
        <v>201.49823349970978</v>
      </c>
      <c r="Y220" s="199">
        <f t="shared" si="60"/>
        <v>85968.667591146674</v>
      </c>
      <c r="Z220" s="200">
        <f t="shared" si="51"/>
        <v>0.29140935719337591</v>
      </c>
      <c r="AA220" s="199">
        <f t="shared" si="52"/>
        <v>85976.752944287655</v>
      </c>
      <c r="AC220" s="30">
        <v>80553.678087420878</v>
      </c>
      <c r="AD220" s="30">
        <f t="shared" si="61"/>
        <v>5423.0748568667768</v>
      </c>
    </row>
    <row r="221" spans="2:30" x14ac:dyDescent="0.25">
      <c r="B221" s="10">
        <v>905</v>
      </c>
      <c r="C221" s="10">
        <v>8</v>
      </c>
      <c r="D221" s="9" t="s">
        <v>323</v>
      </c>
      <c r="E221" s="150">
        <v>96.983421399710679</v>
      </c>
      <c r="F221" s="150">
        <v>96.983421399710679</v>
      </c>
      <c r="G221" s="150">
        <f t="shared" si="53"/>
        <v>0</v>
      </c>
      <c r="H221" s="151">
        <v>50616.33</v>
      </c>
      <c r="I221" s="151">
        <v>50616.33</v>
      </c>
      <c r="J221" s="151">
        <f t="shared" si="54"/>
        <v>0</v>
      </c>
      <c r="K221" s="151">
        <v>0</v>
      </c>
      <c r="L221" s="151">
        <v>0</v>
      </c>
      <c r="M221" s="151">
        <f t="shared" si="55"/>
        <v>0</v>
      </c>
      <c r="N221" s="5">
        <f t="shared" si="47"/>
        <v>50616.33</v>
      </c>
      <c r="O221" s="154">
        <f t="shared" si="47"/>
        <v>50616.33</v>
      </c>
      <c r="P221" s="152">
        <f t="shared" si="56"/>
        <v>521.90703596017909</v>
      </c>
      <c r="Q221" s="6">
        <f t="shared" si="48"/>
        <v>521.90703596017909</v>
      </c>
      <c r="R221" s="5">
        <f t="shared" si="57"/>
        <v>50616.33</v>
      </c>
      <c r="S221" s="151">
        <v>1402.6738165157733</v>
      </c>
      <c r="T221" s="195">
        <v>0.2</v>
      </c>
      <c r="U221" s="154">
        <f t="shared" si="58"/>
        <v>11972.119519500482</v>
      </c>
      <c r="V221" s="154">
        <f t="shared" si="59"/>
        <v>4430.9514107243649</v>
      </c>
      <c r="W221" s="155">
        <f t="shared" si="49"/>
        <v>718.32717117002892</v>
      </c>
      <c r="X221" s="199">
        <f t="shared" si="50"/>
        <v>34.57205483477815</v>
      </c>
      <c r="Y221" s="199">
        <f t="shared" si="60"/>
        <v>17155.970156229654</v>
      </c>
      <c r="Z221" s="200">
        <f t="shared" si="51"/>
        <v>0.33894140796516958</v>
      </c>
      <c r="AA221" s="199">
        <f t="shared" si="52"/>
        <v>17157.583675213675</v>
      </c>
      <c r="AC221" s="30">
        <v>17047.562647101742</v>
      </c>
      <c r="AD221" s="30">
        <f t="shared" si="61"/>
        <v>110.02102811193254</v>
      </c>
    </row>
    <row r="222" spans="2:30" x14ac:dyDescent="0.25">
      <c r="B222" s="10">
        <v>907</v>
      </c>
      <c r="C222" s="10">
        <v>8</v>
      </c>
      <c r="D222" s="9" t="s">
        <v>324</v>
      </c>
      <c r="E222" s="150">
        <v>15.256753571312275</v>
      </c>
      <c r="F222" s="150">
        <v>15.256753571312275</v>
      </c>
      <c r="G222" s="150">
        <f t="shared" si="53"/>
        <v>0</v>
      </c>
      <c r="H222" s="151">
        <v>46128.6</v>
      </c>
      <c r="I222" s="151">
        <v>46128.6</v>
      </c>
      <c r="J222" s="151">
        <f t="shared" si="54"/>
        <v>0</v>
      </c>
      <c r="K222" s="151">
        <v>4805.87</v>
      </c>
      <c r="L222" s="151">
        <v>4805.87</v>
      </c>
      <c r="M222" s="151">
        <f t="shared" si="55"/>
        <v>0</v>
      </c>
      <c r="N222" s="5">
        <f t="shared" si="47"/>
        <v>41322.729999999996</v>
      </c>
      <c r="O222" s="154">
        <f t="shared" si="47"/>
        <v>41322.729999999996</v>
      </c>
      <c r="P222" s="152">
        <f t="shared" si="56"/>
        <v>2708.4877399934117</v>
      </c>
      <c r="Q222" s="6">
        <f t="shared" si="48"/>
        <v>1535.2875763339728</v>
      </c>
      <c r="R222" s="5">
        <f t="shared" si="57"/>
        <v>23423.504213224707</v>
      </c>
      <c r="S222" s="151">
        <v>0</v>
      </c>
      <c r="T222" s="195">
        <v>0.2</v>
      </c>
      <c r="U222" s="154">
        <f t="shared" si="58"/>
        <v>5540.2869391409704</v>
      </c>
      <c r="V222" s="154">
        <f t="shared" si="59"/>
        <v>697.04628671804915</v>
      </c>
      <c r="W222" s="155">
        <f t="shared" si="49"/>
        <v>332.41721634845823</v>
      </c>
      <c r="X222" s="199">
        <f t="shared" si="50"/>
        <v>15.998763088557814</v>
      </c>
      <c r="Y222" s="199">
        <f t="shared" si="60"/>
        <v>6585.7492052960361</v>
      </c>
      <c r="Z222" s="200">
        <f t="shared" si="51"/>
        <v>0.28115986170753132</v>
      </c>
      <c r="AA222" s="199">
        <f t="shared" si="52"/>
        <v>6586.3685950052732</v>
      </c>
      <c r="AC222" s="30">
        <v>6172.5615272454943</v>
      </c>
      <c r="AD222" s="30">
        <f t="shared" si="61"/>
        <v>413.80706775977887</v>
      </c>
    </row>
    <row r="223" spans="2:30" x14ac:dyDescent="0.25">
      <c r="B223" s="10">
        <v>918</v>
      </c>
      <c r="C223" s="10">
        <v>8</v>
      </c>
      <c r="D223" s="9" t="s">
        <v>325</v>
      </c>
      <c r="E223" s="150">
        <v>74.50951183857714</v>
      </c>
      <c r="F223" s="150">
        <v>74.50951183857714</v>
      </c>
      <c r="G223" s="150">
        <f t="shared" si="53"/>
        <v>0</v>
      </c>
      <c r="H223" s="151">
        <v>46026.35</v>
      </c>
      <c r="I223" s="151">
        <v>46026.35</v>
      </c>
      <c r="J223" s="151">
        <f t="shared" si="54"/>
        <v>0</v>
      </c>
      <c r="K223" s="151">
        <v>0</v>
      </c>
      <c r="L223" s="151">
        <v>0</v>
      </c>
      <c r="M223" s="151">
        <f t="shared" si="55"/>
        <v>0</v>
      </c>
      <c r="N223" s="5">
        <f t="shared" si="47"/>
        <v>46026.35</v>
      </c>
      <c r="O223" s="154">
        <f t="shared" si="47"/>
        <v>46026.35</v>
      </c>
      <c r="P223" s="152">
        <f t="shared" si="56"/>
        <v>617.72448730726956</v>
      </c>
      <c r="Q223" s="6">
        <f t="shared" si="48"/>
        <v>617.72448730726956</v>
      </c>
      <c r="R223" s="5">
        <f t="shared" si="57"/>
        <v>46026.35</v>
      </c>
      <c r="S223" s="151">
        <v>1023.9743545780619</v>
      </c>
      <c r="T223" s="195">
        <v>0.23333333333333334</v>
      </c>
      <c r="U223" s="154">
        <f t="shared" si="58"/>
        <v>10886.466151267012</v>
      </c>
      <c r="V223" s="154">
        <f t="shared" si="59"/>
        <v>3404.1697212644635</v>
      </c>
      <c r="W223" s="155">
        <f t="shared" si="49"/>
        <v>762.05263058869082</v>
      </c>
      <c r="X223" s="199">
        <f t="shared" si="50"/>
        <v>31.436998613781189</v>
      </c>
      <c r="Y223" s="199">
        <f t="shared" si="60"/>
        <v>15084.125501733946</v>
      </c>
      <c r="Z223" s="200">
        <f t="shared" si="51"/>
        <v>0.32772804060573879</v>
      </c>
      <c r="AA223" s="199">
        <f t="shared" si="52"/>
        <v>15085.544163729321</v>
      </c>
      <c r="AC223" s="30">
        <v>14986.999976303972</v>
      </c>
      <c r="AD223" s="30">
        <f t="shared" si="61"/>
        <v>98.544187425348355</v>
      </c>
    </row>
    <row r="224" spans="2:30" x14ac:dyDescent="0.25">
      <c r="B224" s="10">
        <v>922</v>
      </c>
      <c r="C224" s="10">
        <v>8</v>
      </c>
      <c r="D224" s="9" t="s">
        <v>326</v>
      </c>
      <c r="E224" s="150">
        <v>102.08</v>
      </c>
      <c r="F224" s="150">
        <v>102.08</v>
      </c>
      <c r="G224" s="150">
        <f t="shared" si="53"/>
        <v>0</v>
      </c>
      <c r="H224" s="151">
        <v>117989.75</v>
      </c>
      <c r="I224" s="151">
        <v>117989.75</v>
      </c>
      <c r="J224" s="151">
        <f t="shared" si="54"/>
        <v>0</v>
      </c>
      <c r="K224" s="151">
        <v>7422.11</v>
      </c>
      <c r="L224" s="151">
        <v>7422.11</v>
      </c>
      <c r="M224" s="151">
        <f t="shared" si="55"/>
        <v>0</v>
      </c>
      <c r="N224" s="5">
        <f t="shared" si="47"/>
        <v>110567.64</v>
      </c>
      <c r="O224" s="154">
        <f t="shared" si="47"/>
        <v>110567.64</v>
      </c>
      <c r="P224" s="152">
        <f t="shared" si="56"/>
        <v>1083.1469435736676</v>
      </c>
      <c r="Q224" s="6">
        <f t="shared" si="48"/>
        <v>1083.1469435736676</v>
      </c>
      <c r="R224" s="5">
        <f t="shared" si="57"/>
        <v>110567.63999999998</v>
      </c>
      <c r="S224" s="151">
        <v>3064.0375069062115</v>
      </c>
      <c r="T224" s="195">
        <v>0.4055555555555555</v>
      </c>
      <c r="U224" s="154">
        <f t="shared" si="58"/>
        <v>26152.212162934411</v>
      </c>
      <c r="V224" s="154">
        <f t="shared" si="59"/>
        <v>4663.8024672543925</v>
      </c>
      <c r="W224" s="155">
        <f t="shared" si="49"/>
        <v>3181.8524798236863</v>
      </c>
      <c r="X224" s="199">
        <f t="shared" si="50"/>
        <v>75.520104144887796</v>
      </c>
      <c r="Y224" s="199">
        <f t="shared" si="60"/>
        <v>34073.387214157374</v>
      </c>
      <c r="Z224" s="200">
        <f t="shared" si="51"/>
        <v>0.3081678076348322</v>
      </c>
      <c r="AA224" s="199">
        <f t="shared" si="52"/>
        <v>34076.591816206652</v>
      </c>
      <c r="AC224" s="30">
        <v>33842.809573139588</v>
      </c>
      <c r="AD224" s="30">
        <f t="shared" si="61"/>
        <v>233.78224306706397</v>
      </c>
    </row>
    <row r="225" spans="2:30" x14ac:dyDescent="0.25">
      <c r="B225" s="10">
        <v>924</v>
      </c>
      <c r="C225" s="10">
        <v>8</v>
      </c>
      <c r="D225" s="9" t="s">
        <v>327</v>
      </c>
      <c r="E225" s="150">
        <v>179.63418090414251</v>
      </c>
      <c r="F225" s="150">
        <v>179.63418090414251</v>
      </c>
      <c r="G225" s="150">
        <f t="shared" si="53"/>
        <v>0</v>
      </c>
      <c r="H225" s="151">
        <v>41892.31</v>
      </c>
      <c r="I225" s="151">
        <v>41892.31</v>
      </c>
      <c r="J225" s="151">
        <f t="shared" si="54"/>
        <v>0</v>
      </c>
      <c r="K225" s="151">
        <v>0</v>
      </c>
      <c r="L225" s="151">
        <v>0</v>
      </c>
      <c r="M225" s="151">
        <f t="shared" si="55"/>
        <v>0</v>
      </c>
      <c r="N225" s="5">
        <f t="shared" si="47"/>
        <v>41892.31</v>
      </c>
      <c r="O225" s="154">
        <f t="shared" si="47"/>
        <v>41892.31</v>
      </c>
      <c r="P225" s="152">
        <f t="shared" si="56"/>
        <v>233.20901283456087</v>
      </c>
      <c r="Q225" s="6">
        <f t="shared" si="48"/>
        <v>233.20901283456087</v>
      </c>
      <c r="R225" s="5">
        <f t="shared" si="57"/>
        <v>41892.31</v>
      </c>
      <c r="S225" s="151">
        <v>0</v>
      </c>
      <c r="T225" s="195">
        <v>0.27499999999999997</v>
      </c>
      <c r="U225" s="154">
        <f t="shared" si="58"/>
        <v>9908.6548208446784</v>
      </c>
      <c r="V225" s="154">
        <f t="shared" si="59"/>
        <v>8207.0761765670231</v>
      </c>
      <c r="W225" s="155">
        <f t="shared" si="49"/>
        <v>817.464022719686</v>
      </c>
      <c r="X225" s="199">
        <f t="shared" si="50"/>
        <v>28.613359334339822</v>
      </c>
      <c r="Y225" s="199">
        <f t="shared" si="60"/>
        <v>18961.808379465729</v>
      </c>
      <c r="Z225" s="200">
        <f t="shared" si="51"/>
        <v>0.45263219859362563</v>
      </c>
      <c r="AA225" s="199">
        <f t="shared" si="52"/>
        <v>18963.591737533679</v>
      </c>
      <c r="AC225" s="30">
        <v>18854.11337244447</v>
      </c>
      <c r="AD225" s="30">
        <f t="shared" si="61"/>
        <v>109.47836508920955</v>
      </c>
    </row>
    <row r="226" spans="2:30" x14ac:dyDescent="0.25">
      <c r="B226" s="10">
        <v>929</v>
      </c>
      <c r="C226" s="10">
        <v>8</v>
      </c>
      <c r="D226" s="9" t="s">
        <v>328</v>
      </c>
      <c r="E226" s="150">
        <v>17.160382423941183</v>
      </c>
      <c r="F226" s="150">
        <v>17.160382423941183</v>
      </c>
      <c r="G226" s="150">
        <f t="shared" si="53"/>
        <v>0</v>
      </c>
      <c r="H226" s="151">
        <v>20476.349999999999</v>
      </c>
      <c r="I226" s="151">
        <v>20476.349999999999</v>
      </c>
      <c r="J226" s="151">
        <f t="shared" si="54"/>
        <v>0</v>
      </c>
      <c r="K226" s="151">
        <v>0</v>
      </c>
      <c r="L226" s="151">
        <v>0</v>
      </c>
      <c r="M226" s="151">
        <f t="shared" si="55"/>
        <v>0</v>
      </c>
      <c r="N226" s="5">
        <f t="shared" si="47"/>
        <v>20476.349999999999</v>
      </c>
      <c r="O226" s="154">
        <f t="shared" si="47"/>
        <v>20476.349999999999</v>
      </c>
      <c r="P226" s="152">
        <f t="shared" si="56"/>
        <v>1193.2338973653971</v>
      </c>
      <c r="Q226" s="6">
        <f t="shared" si="48"/>
        <v>1193.2338973653971</v>
      </c>
      <c r="R226" s="5">
        <f t="shared" si="57"/>
        <v>20476.349999999999</v>
      </c>
      <c r="S226" s="151">
        <v>0</v>
      </c>
      <c r="T226" s="195">
        <v>0.2</v>
      </c>
      <c r="U226" s="154">
        <f t="shared" si="58"/>
        <v>4843.2059282670953</v>
      </c>
      <c r="V226" s="154">
        <f t="shared" si="59"/>
        <v>784.01874890091892</v>
      </c>
      <c r="W226" s="155">
        <f t="shared" si="49"/>
        <v>290.59235569602578</v>
      </c>
      <c r="X226" s="199">
        <f t="shared" si="50"/>
        <v>13.985792628902756</v>
      </c>
      <c r="Y226" s="199">
        <f t="shared" si="60"/>
        <v>5931.8028254929422</v>
      </c>
      <c r="Z226" s="200">
        <f t="shared" si="51"/>
        <v>0.28969043923809384</v>
      </c>
      <c r="AA226" s="199">
        <f t="shared" si="52"/>
        <v>5932.3607115455088</v>
      </c>
      <c r="AC226" s="30">
        <v>5891.5770129537377</v>
      </c>
      <c r="AD226" s="30">
        <f t="shared" si="61"/>
        <v>40.783698591771099</v>
      </c>
    </row>
    <row r="227" spans="2:30" x14ac:dyDescent="0.25">
      <c r="B227" s="10">
        <v>955</v>
      </c>
      <c r="C227" s="10">
        <v>8</v>
      </c>
      <c r="D227" s="9" t="s">
        <v>329</v>
      </c>
      <c r="E227" s="150">
        <v>39.610698116169011</v>
      </c>
      <c r="F227" s="150">
        <v>39.610698116169019</v>
      </c>
      <c r="G227" s="150">
        <f t="shared" si="53"/>
        <v>0</v>
      </c>
      <c r="H227" s="151">
        <v>21265.72</v>
      </c>
      <c r="I227" s="151">
        <v>21265.72</v>
      </c>
      <c r="J227" s="151">
        <f t="shared" si="54"/>
        <v>0</v>
      </c>
      <c r="K227" s="151">
        <v>0</v>
      </c>
      <c r="L227" s="151">
        <v>0</v>
      </c>
      <c r="M227" s="151">
        <f t="shared" si="55"/>
        <v>0</v>
      </c>
      <c r="N227" s="5">
        <f t="shared" si="47"/>
        <v>21265.72</v>
      </c>
      <c r="O227" s="154">
        <f t="shared" si="47"/>
        <v>21265.72</v>
      </c>
      <c r="P227" s="152">
        <f t="shared" si="56"/>
        <v>536.86809400916297</v>
      </c>
      <c r="Q227" s="6">
        <f t="shared" si="48"/>
        <v>536.86809400916297</v>
      </c>
      <c r="R227" s="5">
        <f t="shared" si="57"/>
        <v>21265.720000000005</v>
      </c>
      <c r="S227" s="151">
        <v>0</v>
      </c>
      <c r="T227" s="195">
        <v>0.20833333333333331</v>
      </c>
      <c r="U227" s="154">
        <f t="shared" si="58"/>
        <v>5029.9131033054318</v>
      </c>
      <c r="V227" s="154">
        <f t="shared" si="59"/>
        <v>1809.7224882823079</v>
      </c>
      <c r="W227" s="155">
        <f t="shared" si="49"/>
        <v>314.36956895658949</v>
      </c>
      <c r="X227" s="199">
        <f t="shared" si="50"/>
        <v>14.524949516115422</v>
      </c>
      <c r="Y227" s="199">
        <f t="shared" si="60"/>
        <v>7168.5301100604438</v>
      </c>
      <c r="Z227" s="200">
        <f t="shared" si="51"/>
        <v>0.33709322374509032</v>
      </c>
      <c r="AA227" s="199">
        <f t="shared" si="52"/>
        <v>7169.2043103134629</v>
      </c>
      <c r="AC227" s="30">
        <v>7123.0788082275276</v>
      </c>
      <c r="AD227" s="30">
        <f t="shared" si="61"/>
        <v>46.125502085935295</v>
      </c>
    </row>
    <row r="228" spans="2:30" x14ac:dyDescent="0.25">
      <c r="B228" s="10">
        <v>974</v>
      </c>
      <c r="C228" s="10">
        <v>8</v>
      </c>
      <c r="D228" s="9" t="s">
        <v>331</v>
      </c>
      <c r="E228" s="150">
        <v>13.963025224865442</v>
      </c>
      <c r="F228" s="150">
        <v>13.963025224865442</v>
      </c>
      <c r="G228" s="150">
        <f t="shared" si="53"/>
        <v>0</v>
      </c>
      <c r="H228" s="151">
        <v>21268.400000000001</v>
      </c>
      <c r="I228" s="151">
        <v>13591.91</v>
      </c>
      <c r="J228" s="151">
        <f t="shared" si="54"/>
        <v>7676.4900000000016</v>
      </c>
      <c r="K228" s="151">
        <v>0</v>
      </c>
      <c r="L228" s="151">
        <v>0</v>
      </c>
      <c r="M228" s="151">
        <f t="shared" si="55"/>
        <v>0</v>
      </c>
      <c r="N228" s="5">
        <f t="shared" si="47"/>
        <v>21268.400000000001</v>
      </c>
      <c r="O228" s="154">
        <f t="shared" si="47"/>
        <v>13591.91</v>
      </c>
      <c r="P228" s="152">
        <f t="shared" si="56"/>
        <v>973.4215745593184</v>
      </c>
      <c r="Q228" s="6">
        <f t="shared" si="48"/>
        <v>973.4215745593184</v>
      </c>
      <c r="R228" s="5">
        <f t="shared" si="57"/>
        <v>13591.91</v>
      </c>
      <c r="S228" s="151">
        <v>0</v>
      </c>
      <c r="T228" s="195">
        <v>0.27777777777777779</v>
      </c>
      <c r="U228" s="154">
        <f t="shared" si="58"/>
        <v>3214.8512351309109</v>
      </c>
      <c r="V228" s="154">
        <f t="shared" si="59"/>
        <v>637.93878814716663</v>
      </c>
      <c r="W228" s="155">
        <f t="shared" si="49"/>
        <v>267.90426959424258</v>
      </c>
      <c r="X228" s="199">
        <f t="shared" si="50"/>
        <v>9.283570298940468</v>
      </c>
      <c r="Y228" s="199">
        <f t="shared" si="60"/>
        <v>4129.9778631712607</v>
      </c>
      <c r="Z228" s="200">
        <f t="shared" si="51"/>
        <v>0.30385559227299624</v>
      </c>
      <c r="AA228" s="199">
        <f t="shared" si="52"/>
        <v>4130.3662875870841</v>
      </c>
      <c r="AC228" s="30">
        <v>5759.1996357940561</v>
      </c>
      <c r="AD228" s="30">
        <f t="shared" si="61"/>
        <v>-1628.833348206972</v>
      </c>
    </row>
    <row r="229" spans="2:30" x14ac:dyDescent="0.25">
      <c r="B229" s="10">
        <v>978</v>
      </c>
      <c r="C229" s="10">
        <v>8</v>
      </c>
      <c r="D229" s="9" t="s">
        <v>332</v>
      </c>
      <c r="E229" s="150">
        <v>32.990072834394198</v>
      </c>
      <c r="F229" s="150">
        <v>32.990072834394198</v>
      </c>
      <c r="G229" s="150">
        <f t="shared" si="53"/>
        <v>0</v>
      </c>
      <c r="H229" s="151">
        <v>55594.11</v>
      </c>
      <c r="I229" s="151">
        <v>55594.11</v>
      </c>
      <c r="J229" s="151">
        <f t="shared" si="54"/>
        <v>0</v>
      </c>
      <c r="K229" s="151">
        <v>0</v>
      </c>
      <c r="L229" s="151">
        <v>0</v>
      </c>
      <c r="M229" s="151">
        <f t="shared" si="55"/>
        <v>0</v>
      </c>
      <c r="N229" s="5">
        <f t="shared" si="47"/>
        <v>55594.11</v>
      </c>
      <c r="O229" s="154">
        <f t="shared" si="47"/>
        <v>55594.11</v>
      </c>
      <c r="P229" s="152">
        <f t="shared" si="56"/>
        <v>1685.1769403200497</v>
      </c>
      <c r="Q229" s="6">
        <f t="shared" si="48"/>
        <v>1535.2875763339728</v>
      </c>
      <c r="R229" s="5">
        <f t="shared" si="57"/>
        <v>50649.248964998304</v>
      </c>
      <c r="S229" s="151">
        <v>0</v>
      </c>
      <c r="T229" s="195">
        <v>6.6666666666666666E-2</v>
      </c>
      <c r="U229" s="154">
        <f t="shared" si="58"/>
        <v>11979.905737573146</v>
      </c>
      <c r="V229" s="154">
        <f t="shared" si="59"/>
        <v>1507.2412135575016</v>
      </c>
      <c r="W229" s="155">
        <f t="shared" si="49"/>
        <v>239.5981147514629</v>
      </c>
      <c r="X229" s="199">
        <f t="shared" si="50"/>
        <v>34.594539204210413</v>
      </c>
      <c r="Y229" s="199">
        <f t="shared" si="60"/>
        <v>13761.339605086321</v>
      </c>
      <c r="Z229" s="200">
        <f t="shared" si="51"/>
        <v>0.27169878895136707</v>
      </c>
      <c r="AA229" s="199">
        <f t="shared" si="52"/>
        <v>13762.633859068823</v>
      </c>
      <c r="AC229" s="30">
        <v>12901.340465771867</v>
      </c>
      <c r="AD229" s="30">
        <f t="shared" si="61"/>
        <v>861.2933932969554</v>
      </c>
    </row>
    <row r="230" spans="2:30" x14ac:dyDescent="0.25">
      <c r="B230" s="91">
        <v>985</v>
      </c>
      <c r="C230" s="91">
        <v>8</v>
      </c>
      <c r="D230" s="92" t="s">
        <v>333</v>
      </c>
      <c r="E230" s="150">
        <v>28.092386951416906</v>
      </c>
      <c r="F230" s="150">
        <v>28.092386951416906</v>
      </c>
      <c r="G230" s="150">
        <f t="shared" si="53"/>
        <v>0</v>
      </c>
      <c r="H230" s="151">
        <v>44543.53</v>
      </c>
      <c r="I230" s="151">
        <v>44543.53</v>
      </c>
      <c r="J230" s="151">
        <f t="shared" si="54"/>
        <v>0</v>
      </c>
      <c r="K230" s="151">
        <v>0</v>
      </c>
      <c r="L230" s="151">
        <v>0</v>
      </c>
      <c r="M230" s="151">
        <f t="shared" si="55"/>
        <v>0</v>
      </c>
      <c r="N230" s="5">
        <f t="shared" si="47"/>
        <v>44543.53</v>
      </c>
      <c r="O230" s="154">
        <f t="shared" si="47"/>
        <v>44543.53</v>
      </c>
      <c r="P230" s="152">
        <f t="shared" si="56"/>
        <v>1585.6085877299702</v>
      </c>
      <c r="Q230" s="6">
        <f t="shared" si="48"/>
        <v>1535.2875763339728</v>
      </c>
      <c r="R230" s="5">
        <f t="shared" si="57"/>
        <v>43129.892676076983</v>
      </c>
      <c r="S230" s="151">
        <v>0</v>
      </c>
      <c r="T230" s="195">
        <v>8.3333333333333329E-2</v>
      </c>
      <c r="U230" s="154">
        <f t="shared" si="58"/>
        <v>10201.376314347999</v>
      </c>
      <c r="V230" s="154">
        <f t="shared" si="59"/>
        <v>1283.4771118248752</v>
      </c>
      <c r="W230" s="155">
        <f t="shared" si="49"/>
        <v>255.03440785869998</v>
      </c>
      <c r="X230" s="199">
        <f t="shared" si="50"/>
        <v>29.458655232716989</v>
      </c>
      <c r="Y230" s="199">
        <f t="shared" si="60"/>
        <v>11769.346489264291</v>
      </c>
      <c r="Z230" s="200">
        <f t="shared" si="51"/>
        <v>0.27288142304588758</v>
      </c>
      <c r="AA230" s="199">
        <f t="shared" si="52"/>
        <v>11770.453396295316</v>
      </c>
      <c r="AC230" s="30">
        <v>11033.462079305626</v>
      </c>
      <c r="AD230" s="30">
        <f t="shared" si="61"/>
        <v>736.99131698968995</v>
      </c>
    </row>
    <row r="231" spans="2:30" x14ac:dyDescent="0.25">
      <c r="B231" s="91">
        <v>990</v>
      </c>
      <c r="C231" s="91">
        <v>8</v>
      </c>
      <c r="D231" s="92" t="s">
        <v>0</v>
      </c>
      <c r="E231" s="150">
        <v>4.9993359673409694</v>
      </c>
      <c r="F231" s="150">
        <v>4.9993359673409694</v>
      </c>
      <c r="G231" s="150">
        <f t="shared" si="53"/>
        <v>0</v>
      </c>
      <c r="H231" s="151">
        <v>5540.96</v>
      </c>
      <c r="I231" s="151">
        <v>5540.96</v>
      </c>
      <c r="J231" s="151">
        <f t="shared" si="54"/>
        <v>0</v>
      </c>
      <c r="K231" s="151">
        <v>0</v>
      </c>
      <c r="L231" s="151">
        <v>0</v>
      </c>
      <c r="M231" s="151">
        <f t="shared" si="55"/>
        <v>0</v>
      </c>
      <c r="N231" s="5">
        <f t="shared" si="47"/>
        <v>5540.96</v>
      </c>
      <c r="O231" s="154">
        <f t="shared" si="47"/>
        <v>5540.96</v>
      </c>
      <c r="P231" s="152">
        <f t="shared" si="56"/>
        <v>1108.3391946845109</v>
      </c>
      <c r="Q231" s="6">
        <f t="shared" si="48"/>
        <v>1108.3391946845109</v>
      </c>
      <c r="R231" s="5">
        <f t="shared" si="57"/>
        <v>5540.96</v>
      </c>
      <c r="S231" s="151">
        <v>0</v>
      </c>
      <c r="T231" s="195">
        <v>0.1</v>
      </c>
      <c r="U231" s="154">
        <f t="shared" si="58"/>
        <v>1310.5856424748965</v>
      </c>
      <c r="V231" s="154">
        <f t="shared" si="59"/>
        <v>228.4082623346242</v>
      </c>
      <c r="W231" s="155">
        <f t="shared" si="49"/>
        <v>39.3175692742469</v>
      </c>
      <c r="X231" s="199">
        <f t="shared" si="50"/>
        <v>3.7845962549499799</v>
      </c>
      <c r="Y231" s="199">
        <f t="shared" si="60"/>
        <v>1582.0960703387175</v>
      </c>
      <c r="Z231" s="200">
        <f t="shared" si="51"/>
        <v>0.28552743032592143</v>
      </c>
      <c r="AA231" s="199">
        <f t="shared" si="52"/>
        <v>1582.2448664732869</v>
      </c>
      <c r="AC231" s="30">
        <v>1571.4405044399678</v>
      </c>
      <c r="AD231" s="30">
        <f t="shared" si="61"/>
        <v>10.804362033319194</v>
      </c>
    </row>
    <row r="232" spans="2:30" x14ac:dyDescent="0.25">
      <c r="B232" s="10">
        <v>100</v>
      </c>
      <c r="C232" s="10">
        <v>9</v>
      </c>
      <c r="D232" s="9" t="s">
        <v>334</v>
      </c>
      <c r="E232" s="150">
        <v>43.119622894198962</v>
      </c>
      <c r="F232" s="150">
        <v>43.119622894198969</v>
      </c>
      <c r="G232" s="150">
        <f t="shared" si="53"/>
        <v>0</v>
      </c>
      <c r="H232" s="151">
        <v>28918.84</v>
      </c>
      <c r="I232" s="151">
        <v>28918.84</v>
      </c>
      <c r="J232" s="151">
        <f t="shared" si="54"/>
        <v>0</v>
      </c>
      <c r="K232" s="151">
        <v>0</v>
      </c>
      <c r="L232" s="151">
        <v>0</v>
      </c>
      <c r="M232" s="151">
        <f t="shared" si="55"/>
        <v>0</v>
      </c>
      <c r="N232" s="5">
        <f t="shared" si="47"/>
        <v>28918.84</v>
      </c>
      <c r="O232" s="154">
        <f t="shared" si="47"/>
        <v>28918.84</v>
      </c>
      <c r="P232" s="152">
        <f t="shared" si="56"/>
        <v>670.66542003294171</v>
      </c>
      <c r="Q232" s="6">
        <f t="shared" si="48"/>
        <v>670.66542003294171</v>
      </c>
      <c r="R232" s="5">
        <f t="shared" si="57"/>
        <v>28918.84</v>
      </c>
      <c r="S232" s="151">
        <v>0</v>
      </c>
      <c r="T232" s="195">
        <v>4.1666666666666664E-2</v>
      </c>
      <c r="U232" s="154">
        <f t="shared" si="58"/>
        <v>6840.0812315968242</v>
      </c>
      <c r="V232" s="154">
        <f t="shared" si="59"/>
        <v>1970.037261373865</v>
      </c>
      <c r="W232" s="155">
        <f t="shared" si="49"/>
        <v>85.501015394960291</v>
      </c>
      <c r="X232" s="199">
        <f t="shared" si="50"/>
        <v>19.752197013062297</v>
      </c>
      <c r="Y232" s="199">
        <f t="shared" si="60"/>
        <v>8915.3717053787113</v>
      </c>
      <c r="Z232" s="200">
        <f t="shared" si="51"/>
        <v>0.30828939561125934</v>
      </c>
      <c r="AA232" s="199">
        <f t="shared" si="52"/>
        <v>8916.2101960828368</v>
      </c>
      <c r="AC232" s="30">
        <v>8857.8366902278467</v>
      </c>
      <c r="AD232" s="30">
        <f t="shared" si="61"/>
        <v>58.373505854990071</v>
      </c>
    </row>
    <row r="233" spans="2:30" x14ac:dyDescent="0.25">
      <c r="B233" s="10">
        <v>159</v>
      </c>
      <c r="C233" s="10">
        <v>9</v>
      </c>
      <c r="D233" s="9" t="s">
        <v>335</v>
      </c>
      <c r="E233" s="150">
        <v>992.27115989119886</v>
      </c>
      <c r="F233" s="150">
        <v>992.27115989119886</v>
      </c>
      <c r="G233" s="150">
        <f t="shared" si="53"/>
        <v>0</v>
      </c>
      <c r="H233" s="151">
        <v>258358.16</v>
      </c>
      <c r="I233" s="151">
        <v>258358.16</v>
      </c>
      <c r="J233" s="151">
        <f t="shared" si="54"/>
        <v>0</v>
      </c>
      <c r="K233" s="151">
        <v>0</v>
      </c>
      <c r="L233" s="151">
        <v>0</v>
      </c>
      <c r="M233" s="151">
        <f t="shared" si="55"/>
        <v>0</v>
      </c>
      <c r="N233" s="5">
        <f t="shared" si="47"/>
        <v>258358.16</v>
      </c>
      <c r="O233" s="154">
        <f t="shared" si="47"/>
        <v>258358.16</v>
      </c>
      <c r="P233" s="152">
        <f t="shared" si="56"/>
        <v>260.37052213462357</v>
      </c>
      <c r="Q233" s="6">
        <f t="shared" si="48"/>
        <v>260.37052213462357</v>
      </c>
      <c r="R233" s="5">
        <f t="shared" si="57"/>
        <v>258358.16</v>
      </c>
      <c r="S233" s="151">
        <v>7159.5911105209098</v>
      </c>
      <c r="T233" s="195">
        <v>0.40833333333333327</v>
      </c>
      <c r="U233" s="154">
        <f t="shared" si="58"/>
        <v>61108.633722718114</v>
      </c>
      <c r="V233" s="154">
        <f t="shared" si="59"/>
        <v>45334.607011030086</v>
      </c>
      <c r="W233" s="155">
        <f t="shared" si="49"/>
        <v>7485.8076310329679</v>
      </c>
      <c r="X233" s="199">
        <f t="shared" si="50"/>
        <v>176.46424532423401</v>
      </c>
      <c r="Y233" s="199">
        <f t="shared" si="60"/>
        <v>114105.51261010539</v>
      </c>
      <c r="Z233" s="200">
        <f t="shared" si="51"/>
        <v>0.44165631389426752</v>
      </c>
      <c r="AA233" s="199">
        <f t="shared" si="52"/>
        <v>114116.24423350536</v>
      </c>
      <c r="AC233" s="30">
        <v>113442.42505987248</v>
      </c>
      <c r="AD233" s="30">
        <f t="shared" si="61"/>
        <v>673.81917363288812</v>
      </c>
    </row>
    <row r="234" spans="2:30" x14ac:dyDescent="0.25">
      <c r="B234" s="10">
        <v>173</v>
      </c>
      <c r="C234" s="10">
        <v>9</v>
      </c>
      <c r="D234" s="9" t="s">
        <v>336</v>
      </c>
      <c r="E234" s="150">
        <v>338.07</v>
      </c>
      <c r="F234" s="150">
        <v>338.07</v>
      </c>
      <c r="G234" s="150">
        <f t="shared" si="53"/>
        <v>0</v>
      </c>
      <c r="H234" s="151">
        <v>141461.51999999999</v>
      </c>
      <c r="I234" s="151">
        <v>141461.51999999999</v>
      </c>
      <c r="J234" s="151">
        <f t="shared" si="54"/>
        <v>0</v>
      </c>
      <c r="K234" s="151">
        <v>80</v>
      </c>
      <c r="L234" s="151">
        <v>80</v>
      </c>
      <c r="M234" s="151">
        <f t="shared" si="55"/>
        <v>0</v>
      </c>
      <c r="N234" s="5">
        <f t="shared" si="47"/>
        <v>141381.51999999999</v>
      </c>
      <c r="O234" s="154">
        <f t="shared" si="47"/>
        <v>141381.51999999999</v>
      </c>
      <c r="P234" s="152">
        <f t="shared" si="56"/>
        <v>418.20191084686599</v>
      </c>
      <c r="Q234" s="6">
        <f t="shared" si="48"/>
        <v>418.20191084686599</v>
      </c>
      <c r="R234" s="5">
        <f t="shared" si="57"/>
        <v>141381.51999999999</v>
      </c>
      <c r="S234" s="151">
        <v>3443.6360149022416</v>
      </c>
      <c r="T234" s="195">
        <v>0.74999999999999989</v>
      </c>
      <c r="U234" s="154">
        <f t="shared" si="58"/>
        <v>33440.521177427276</v>
      </c>
      <c r="V234" s="154">
        <f t="shared" si="59"/>
        <v>15445.647532373554</v>
      </c>
      <c r="W234" s="155">
        <f t="shared" si="49"/>
        <v>7524.1172649211348</v>
      </c>
      <c r="X234" s="199">
        <f t="shared" si="50"/>
        <v>96.566654715272364</v>
      </c>
      <c r="Y234" s="199">
        <f t="shared" si="60"/>
        <v>56506.852629437235</v>
      </c>
      <c r="Z234" s="200">
        <f t="shared" si="51"/>
        <v>0.39967636951022478</v>
      </c>
      <c r="AA234" s="199">
        <f t="shared" si="52"/>
        <v>56512.167098896825</v>
      </c>
      <c r="AC234" s="30">
        <v>56152.566891174632</v>
      </c>
      <c r="AD234" s="30">
        <f t="shared" si="61"/>
        <v>359.60020772219286</v>
      </c>
    </row>
    <row r="235" spans="2:30" x14ac:dyDescent="0.25">
      <c r="B235" s="10">
        <v>204</v>
      </c>
      <c r="C235" s="10">
        <v>9</v>
      </c>
      <c r="D235" s="9" t="s">
        <v>337</v>
      </c>
      <c r="E235" s="150">
        <v>627.73547552952311</v>
      </c>
      <c r="F235" s="150">
        <v>627.73547552952311</v>
      </c>
      <c r="G235" s="150">
        <f t="shared" si="53"/>
        <v>0</v>
      </c>
      <c r="H235" s="151">
        <v>318579.27</v>
      </c>
      <c r="I235" s="151">
        <v>318579.27</v>
      </c>
      <c r="J235" s="151">
        <f t="shared" si="54"/>
        <v>0</v>
      </c>
      <c r="K235" s="151">
        <v>0</v>
      </c>
      <c r="L235" s="151">
        <v>2655</v>
      </c>
      <c r="M235" s="151">
        <f t="shared" si="55"/>
        <v>-2655</v>
      </c>
      <c r="N235" s="5">
        <f t="shared" si="47"/>
        <v>318579.27</v>
      </c>
      <c r="O235" s="154">
        <f t="shared" si="47"/>
        <v>315924.27</v>
      </c>
      <c r="P235" s="152">
        <f t="shared" si="56"/>
        <v>503.27611281408571</v>
      </c>
      <c r="Q235" s="6">
        <f t="shared" si="48"/>
        <v>503.27611281408571</v>
      </c>
      <c r="R235" s="5">
        <f t="shared" si="57"/>
        <v>315924.27</v>
      </c>
      <c r="S235" s="151">
        <v>0</v>
      </c>
      <c r="T235" s="195">
        <v>0.55833333333333335</v>
      </c>
      <c r="U235" s="154">
        <f t="shared" si="58"/>
        <v>74724.562597701966</v>
      </c>
      <c r="V235" s="154">
        <f t="shared" si="59"/>
        <v>28679.80269942887</v>
      </c>
      <c r="W235" s="155">
        <f t="shared" si="49"/>
        <v>12516.364235115081</v>
      </c>
      <c r="X235" s="199">
        <f t="shared" si="50"/>
        <v>215.78315113081601</v>
      </c>
      <c r="Y235" s="199">
        <f t="shared" si="60"/>
        <v>116136.51268337673</v>
      </c>
      <c r="Z235" s="200">
        <f t="shared" si="51"/>
        <v>0.3676087078823565</v>
      </c>
      <c r="AA235" s="199">
        <f t="shared" si="52"/>
        <v>116147.43532233252</v>
      </c>
      <c r="AC235" s="30">
        <v>116126.96208141833</v>
      </c>
      <c r="AD235" s="30">
        <f t="shared" si="61"/>
        <v>20.473240914187045</v>
      </c>
    </row>
    <row r="236" spans="2:30" x14ac:dyDescent="0.25">
      <c r="B236" s="10">
        <v>218</v>
      </c>
      <c r="C236" s="10">
        <v>9</v>
      </c>
      <c r="D236" s="9" t="s">
        <v>338</v>
      </c>
      <c r="E236" s="150">
        <v>379.93105168439297</v>
      </c>
      <c r="F236" s="150">
        <v>319.21822856899524</v>
      </c>
      <c r="G236" s="150">
        <f t="shared" si="53"/>
        <v>-60.712823115397725</v>
      </c>
      <c r="H236" s="151">
        <v>209180.21</v>
      </c>
      <c r="I236" s="151">
        <v>209180.21</v>
      </c>
      <c r="J236" s="151">
        <f t="shared" si="54"/>
        <v>0</v>
      </c>
      <c r="K236" s="151">
        <v>1997.36</v>
      </c>
      <c r="L236" s="151">
        <v>1997.36</v>
      </c>
      <c r="M236" s="151">
        <f t="shared" si="55"/>
        <v>0</v>
      </c>
      <c r="N236" s="5">
        <f t="shared" si="47"/>
        <v>207182.85</v>
      </c>
      <c r="O236" s="154">
        <f t="shared" si="47"/>
        <v>207182.85</v>
      </c>
      <c r="P236" s="152">
        <f t="shared" si="56"/>
        <v>649.03201464643143</v>
      </c>
      <c r="Q236" s="6">
        <f t="shared" si="48"/>
        <v>649.03201464643143</v>
      </c>
      <c r="R236" s="5">
        <f t="shared" si="57"/>
        <v>207182.85</v>
      </c>
      <c r="S236" s="151">
        <v>5168.6879869242202</v>
      </c>
      <c r="T236" s="195">
        <v>0.58888888888888891</v>
      </c>
      <c r="U236" s="154">
        <f t="shared" si="58"/>
        <v>49004.300441986612</v>
      </c>
      <c r="V236" s="154">
        <f t="shared" si="59"/>
        <v>14584.353075946872</v>
      </c>
      <c r="W236" s="155">
        <f t="shared" si="49"/>
        <v>8657.4264114176349</v>
      </c>
      <c r="X236" s="199">
        <f t="shared" si="50"/>
        <v>141.51039498568178</v>
      </c>
      <c r="Y236" s="199">
        <f t="shared" si="60"/>
        <v>72387.590324336808</v>
      </c>
      <c r="Z236" s="200">
        <f t="shared" si="51"/>
        <v>0.34938987625827528</v>
      </c>
      <c r="AA236" s="199">
        <f t="shared" si="52"/>
        <v>72394.398377168109</v>
      </c>
      <c r="AC236" s="30">
        <v>74678.590628488542</v>
      </c>
      <c r="AD236" s="30">
        <f t="shared" si="61"/>
        <v>-2284.1922513204336</v>
      </c>
    </row>
    <row r="237" spans="2:30" x14ac:dyDescent="0.25">
      <c r="B237" s="10">
        <v>230</v>
      </c>
      <c r="C237" s="10">
        <v>9</v>
      </c>
      <c r="D237" s="9" t="s">
        <v>339</v>
      </c>
      <c r="E237" s="150">
        <v>163.25927640482976</v>
      </c>
      <c r="F237" s="150">
        <v>163.25927640482976</v>
      </c>
      <c r="G237" s="150">
        <f t="shared" si="53"/>
        <v>0</v>
      </c>
      <c r="H237" s="151">
        <v>70365.97</v>
      </c>
      <c r="I237" s="151">
        <v>70365.97</v>
      </c>
      <c r="J237" s="151">
        <f t="shared" si="54"/>
        <v>0</v>
      </c>
      <c r="K237" s="151">
        <v>2725.04</v>
      </c>
      <c r="L237" s="151">
        <v>2725.04</v>
      </c>
      <c r="M237" s="151">
        <f t="shared" si="55"/>
        <v>0</v>
      </c>
      <c r="N237" s="5">
        <f t="shared" si="47"/>
        <v>67640.930000000008</v>
      </c>
      <c r="O237" s="154">
        <f t="shared" si="47"/>
        <v>67640.930000000008</v>
      </c>
      <c r="P237" s="152">
        <f t="shared" si="56"/>
        <v>414.31599777688933</v>
      </c>
      <c r="Q237" s="6">
        <f t="shared" si="48"/>
        <v>414.31599777688933</v>
      </c>
      <c r="R237" s="5">
        <f t="shared" si="57"/>
        <v>67640.930000000008</v>
      </c>
      <c r="S237" s="151">
        <v>1094.4413381033805</v>
      </c>
      <c r="T237" s="195">
        <v>0.19444444444444442</v>
      </c>
      <c r="U237" s="154">
        <f t="shared" si="58"/>
        <v>15998.89400061533</v>
      </c>
      <c r="V237" s="154">
        <f t="shared" si="59"/>
        <v>7458.9441232269974</v>
      </c>
      <c r="W237" s="155">
        <f t="shared" si="49"/>
        <v>933.2688167025608</v>
      </c>
      <c r="X237" s="199">
        <f t="shared" si="50"/>
        <v>46.200227101320664</v>
      </c>
      <c r="Y237" s="199">
        <f t="shared" si="60"/>
        <v>24437.307167646206</v>
      </c>
      <c r="Z237" s="200">
        <f t="shared" si="51"/>
        <v>0.3612798813920241</v>
      </c>
      <c r="AA237" s="199">
        <f t="shared" si="52"/>
        <v>24439.60549637226</v>
      </c>
      <c r="AC237" s="30">
        <v>24287.09877945625</v>
      </c>
      <c r="AD237" s="30">
        <f t="shared" si="61"/>
        <v>152.50671691601019</v>
      </c>
    </row>
    <row r="238" spans="2:30" x14ac:dyDescent="0.25">
      <c r="B238" s="10">
        <v>277</v>
      </c>
      <c r="C238" s="10">
        <v>9</v>
      </c>
      <c r="D238" s="9" t="s">
        <v>340</v>
      </c>
      <c r="E238" s="150">
        <v>125.81508169195435</v>
      </c>
      <c r="F238" s="150">
        <v>125.81508169195435</v>
      </c>
      <c r="G238" s="150">
        <f t="shared" si="53"/>
        <v>0</v>
      </c>
      <c r="H238" s="151">
        <v>55785.74</v>
      </c>
      <c r="I238" s="151">
        <v>55785.74</v>
      </c>
      <c r="J238" s="151">
        <f t="shared" si="54"/>
        <v>0</v>
      </c>
      <c r="K238" s="151">
        <v>0</v>
      </c>
      <c r="L238" s="151">
        <v>0</v>
      </c>
      <c r="M238" s="151">
        <f t="shared" si="55"/>
        <v>0</v>
      </c>
      <c r="N238" s="5">
        <f t="shared" si="47"/>
        <v>55785.74</v>
      </c>
      <c r="O238" s="154">
        <f t="shared" si="47"/>
        <v>55785.74</v>
      </c>
      <c r="P238" s="152">
        <f t="shared" si="56"/>
        <v>443.39469680261232</v>
      </c>
      <c r="Q238" s="6">
        <f t="shared" si="48"/>
        <v>443.39469680261232</v>
      </c>
      <c r="R238" s="5">
        <f t="shared" si="57"/>
        <v>55785.74</v>
      </c>
      <c r="S238" s="151">
        <v>0</v>
      </c>
      <c r="T238" s="195">
        <v>0.48055555555555551</v>
      </c>
      <c r="U238" s="154">
        <f t="shared" si="58"/>
        <v>13194.823622411555</v>
      </c>
      <c r="V238" s="154">
        <f t="shared" si="59"/>
        <v>5748.2042360183159</v>
      </c>
      <c r="W238" s="155">
        <f t="shared" si="49"/>
        <v>1902.2537388976657</v>
      </c>
      <c r="X238" s="199">
        <f t="shared" si="50"/>
        <v>38.102874354554672</v>
      </c>
      <c r="Y238" s="199">
        <f t="shared" si="60"/>
        <v>20883.384471682093</v>
      </c>
      <c r="Z238" s="200">
        <f t="shared" si="51"/>
        <v>0.37434986919026431</v>
      </c>
      <c r="AA238" s="199">
        <f t="shared" si="52"/>
        <v>20885.34855398049</v>
      </c>
      <c r="AC238" s="30">
        <v>20752.654539812364</v>
      </c>
      <c r="AD238" s="30">
        <f t="shared" si="61"/>
        <v>132.69401416812616</v>
      </c>
    </row>
    <row r="239" spans="2:30" x14ac:dyDescent="0.25">
      <c r="B239" s="10">
        <v>279</v>
      </c>
      <c r="C239" s="10">
        <v>9</v>
      </c>
      <c r="D239" s="9" t="s">
        <v>341</v>
      </c>
      <c r="E239" s="150">
        <v>503.99960010864407</v>
      </c>
      <c r="F239" s="150">
        <v>503.99960010864407</v>
      </c>
      <c r="G239" s="150">
        <f t="shared" si="53"/>
        <v>0</v>
      </c>
      <c r="H239" s="151">
        <v>115030.22</v>
      </c>
      <c r="I239" s="151">
        <v>115030.22</v>
      </c>
      <c r="J239" s="151">
        <f t="shared" si="54"/>
        <v>0</v>
      </c>
      <c r="K239" s="151">
        <v>16</v>
      </c>
      <c r="L239" s="151">
        <v>16</v>
      </c>
      <c r="M239" s="151">
        <f t="shared" si="55"/>
        <v>0</v>
      </c>
      <c r="N239" s="5">
        <f t="shared" si="47"/>
        <v>115014.22</v>
      </c>
      <c r="O239" s="154">
        <f t="shared" si="47"/>
        <v>115014.22</v>
      </c>
      <c r="P239" s="152">
        <f t="shared" si="56"/>
        <v>228.20299852461608</v>
      </c>
      <c r="Q239" s="6">
        <f t="shared" si="48"/>
        <v>228.20299852461608</v>
      </c>
      <c r="R239" s="5">
        <f t="shared" si="57"/>
        <v>115014.22</v>
      </c>
      <c r="S239" s="151">
        <v>3187.2606117627415</v>
      </c>
      <c r="T239" s="195">
        <v>0.23333333333333334</v>
      </c>
      <c r="U239" s="154">
        <f t="shared" si="58"/>
        <v>27203.947585337039</v>
      </c>
      <c r="V239" s="154">
        <f t="shared" si="59"/>
        <v>23026.592657542336</v>
      </c>
      <c r="W239" s="155">
        <f t="shared" si="49"/>
        <v>1904.2763309735928</v>
      </c>
      <c r="X239" s="199">
        <f t="shared" si="50"/>
        <v>78.557215045406053</v>
      </c>
      <c r="Y239" s="199">
        <f t="shared" si="60"/>
        <v>52213.373788898367</v>
      </c>
      <c r="Z239" s="200">
        <f t="shared" si="51"/>
        <v>0.45397320252137835</v>
      </c>
      <c r="AA239" s="199">
        <f t="shared" si="52"/>
        <v>52218.284456675297</v>
      </c>
      <c r="AC239" s="30">
        <v>51918.413209489656</v>
      </c>
      <c r="AD239" s="30">
        <f t="shared" si="61"/>
        <v>299.87124718564155</v>
      </c>
    </row>
    <row r="240" spans="2:30" x14ac:dyDescent="0.25">
      <c r="B240" s="10">
        <v>331</v>
      </c>
      <c r="C240" s="10">
        <v>9</v>
      </c>
      <c r="D240" s="9" t="s">
        <v>342</v>
      </c>
      <c r="E240" s="150">
        <v>479.56</v>
      </c>
      <c r="F240" s="150">
        <v>418.59203148060845</v>
      </c>
      <c r="G240" s="150">
        <f t="shared" si="53"/>
        <v>-60.967968519391547</v>
      </c>
      <c r="H240" s="151">
        <v>181246.07</v>
      </c>
      <c r="I240" s="151">
        <v>199865.29</v>
      </c>
      <c r="J240" s="151">
        <f t="shared" si="54"/>
        <v>-18619.22</v>
      </c>
      <c r="K240" s="151">
        <v>0</v>
      </c>
      <c r="L240" s="151">
        <v>9301.82</v>
      </c>
      <c r="M240" s="151">
        <f t="shared" si="55"/>
        <v>-9301.82</v>
      </c>
      <c r="N240" s="5">
        <f t="shared" si="47"/>
        <v>181246.07</v>
      </c>
      <c r="O240" s="154">
        <f t="shared" si="47"/>
        <v>190563.47</v>
      </c>
      <c r="P240" s="152">
        <f t="shared" si="56"/>
        <v>455.24868050152543</v>
      </c>
      <c r="Q240" s="6">
        <f t="shared" si="48"/>
        <v>455.24868050152543</v>
      </c>
      <c r="R240" s="5">
        <f t="shared" si="57"/>
        <v>190563.47</v>
      </c>
      <c r="S240" s="151">
        <v>0</v>
      </c>
      <c r="T240" s="195">
        <v>0.46944444444444439</v>
      </c>
      <c r="U240" s="154">
        <f t="shared" si="58"/>
        <v>45073.371358428092</v>
      </c>
      <c r="V240" s="154">
        <f t="shared" si="59"/>
        <v>19124.51556810629</v>
      </c>
      <c r="W240" s="155">
        <f t="shared" si="49"/>
        <v>6347.8331329786215</v>
      </c>
      <c r="X240" s="199">
        <f t="shared" si="50"/>
        <v>130.15899679699419</v>
      </c>
      <c r="Y240" s="199">
        <f t="shared" si="60"/>
        <v>70675.87905630999</v>
      </c>
      <c r="Z240" s="200">
        <f t="shared" si="51"/>
        <v>0.37087842206226612</v>
      </c>
      <c r="AA240" s="199">
        <f t="shared" si="52"/>
        <v>70682.526122697454</v>
      </c>
      <c r="AC240" s="30">
        <v>70505.487085050816</v>
      </c>
      <c r="AD240" s="30">
        <f t="shared" si="61"/>
        <v>177.03903764663846</v>
      </c>
    </row>
    <row r="241" spans="2:30" x14ac:dyDescent="0.25">
      <c r="B241" s="10">
        <v>369</v>
      </c>
      <c r="C241" s="10">
        <v>9</v>
      </c>
      <c r="D241" s="9" t="s">
        <v>343</v>
      </c>
      <c r="E241" s="150">
        <v>352.96</v>
      </c>
      <c r="F241" s="150">
        <v>352.96</v>
      </c>
      <c r="G241" s="150">
        <f t="shared" si="53"/>
        <v>0</v>
      </c>
      <c r="H241" s="151">
        <v>361616.1</v>
      </c>
      <c r="I241" s="151">
        <v>361616.1</v>
      </c>
      <c r="J241" s="151">
        <f t="shared" si="54"/>
        <v>0</v>
      </c>
      <c r="K241" s="151">
        <v>0</v>
      </c>
      <c r="L241" s="151">
        <v>0</v>
      </c>
      <c r="M241" s="151">
        <f t="shared" si="55"/>
        <v>0</v>
      </c>
      <c r="N241" s="5">
        <f t="shared" si="47"/>
        <v>361616.1</v>
      </c>
      <c r="O241" s="154">
        <f t="shared" si="47"/>
        <v>361616.1</v>
      </c>
      <c r="P241" s="152">
        <f t="shared" si="56"/>
        <v>1024.5243087035358</v>
      </c>
      <c r="Q241" s="6">
        <f t="shared" si="48"/>
        <v>947.90197900063697</v>
      </c>
      <c r="R241" s="5">
        <f t="shared" si="57"/>
        <v>334571.48250806483</v>
      </c>
      <c r="S241" s="151">
        <v>0</v>
      </c>
      <c r="T241" s="195">
        <v>0.6</v>
      </c>
      <c r="U241" s="154">
        <f t="shared" si="58"/>
        <v>79135.128453663405</v>
      </c>
      <c r="V241" s="154">
        <f t="shared" si="59"/>
        <v>16125.937684581802</v>
      </c>
      <c r="W241" s="155">
        <f t="shared" si="49"/>
        <v>14244.323121659412</v>
      </c>
      <c r="X241" s="199">
        <f t="shared" si="50"/>
        <v>228.5196030494869</v>
      </c>
      <c r="Y241" s="199">
        <f t="shared" si="60"/>
        <v>109733.90886295411</v>
      </c>
      <c r="Z241" s="200">
        <f t="shared" si="51"/>
        <v>0.32798344927771594</v>
      </c>
      <c r="AA241" s="199">
        <f t="shared" si="52"/>
        <v>109744.22933702401</v>
      </c>
      <c r="AC241" s="30">
        <v>107897.63040253654</v>
      </c>
      <c r="AD241" s="30">
        <f t="shared" si="61"/>
        <v>1846.5989344874688</v>
      </c>
    </row>
    <row r="242" spans="2:30" x14ac:dyDescent="0.25">
      <c r="B242" s="10">
        <v>416</v>
      </c>
      <c r="C242" s="10">
        <v>9</v>
      </c>
      <c r="D242" s="9" t="s">
        <v>344</v>
      </c>
      <c r="E242" s="150">
        <v>75.193339678841909</v>
      </c>
      <c r="F242" s="150">
        <v>75.193339678841909</v>
      </c>
      <c r="G242" s="150">
        <f t="shared" si="53"/>
        <v>0</v>
      </c>
      <c r="H242" s="151">
        <v>45775.71</v>
      </c>
      <c r="I242" s="151">
        <v>45775.71</v>
      </c>
      <c r="J242" s="151">
        <f t="shared" si="54"/>
        <v>0</v>
      </c>
      <c r="K242" s="151">
        <v>82.5</v>
      </c>
      <c r="L242" s="151">
        <v>82.5</v>
      </c>
      <c r="M242" s="151">
        <f t="shared" si="55"/>
        <v>0</v>
      </c>
      <c r="N242" s="5">
        <f t="shared" si="47"/>
        <v>45693.21</v>
      </c>
      <c r="O242" s="154">
        <f t="shared" si="47"/>
        <v>45693.21</v>
      </c>
      <c r="P242" s="152">
        <f t="shared" si="56"/>
        <v>607.67629413935003</v>
      </c>
      <c r="Q242" s="6">
        <f t="shared" si="48"/>
        <v>607.67629413935003</v>
      </c>
      <c r="R242" s="5">
        <f t="shared" si="57"/>
        <v>45693.21</v>
      </c>
      <c r="S242" s="151">
        <v>0</v>
      </c>
      <c r="T242" s="195">
        <v>0.46111111111111108</v>
      </c>
      <c r="U242" s="154">
        <f t="shared" si="58"/>
        <v>10807.669606817297</v>
      </c>
      <c r="V242" s="154">
        <f t="shared" si="59"/>
        <v>3435.4122562233592</v>
      </c>
      <c r="W242" s="155">
        <f t="shared" si="49"/>
        <v>1495.0609622763927</v>
      </c>
      <c r="X242" s="199">
        <f t="shared" si="50"/>
        <v>31.209456744434714</v>
      </c>
      <c r="Y242" s="199">
        <f t="shared" si="60"/>
        <v>15769.352282061483</v>
      </c>
      <c r="Z242" s="200">
        <f t="shared" si="51"/>
        <v>0.34511368936569531</v>
      </c>
      <c r="AA242" s="199">
        <f t="shared" si="52"/>
        <v>15770.83538963518</v>
      </c>
      <c r="AC242" s="30">
        <v>15667.31634611256</v>
      </c>
      <c r="AD242" s="30">
        <f t="shared" si="61"/>
        <v>103.51904352261954</v>
      </c>
    </row>
    <row r="243" spans="2:30" x14ac:dyDescent="0.25">
      <c r="B243" s="10">
        <v>420</v>
      </c>
      <c r="C243" s="10">
        <v>9</v>
      </c>
      <c r="D243" s="9" t="s">
        <v>345</v>
      </c>
      <c r="E243" s="150">
        <v>360.38651273628551</v>
      </c>
      <c r="F243" s="150">
        <v>360.38651273628551</v>
      </c>
      <c r="G243" s="150">
        <f t="shared" si="53"/>
        <v>0</v>
      </c>
      <c r="H243" s="151">
        <v>104159.16</v>
      </c>
      <c r="I243" s="151">
        <v>104159.16</v>
      </c>
      <c r="J243" s="151">
        <f t="shared" si="54"/>
        <v>0</v>
      </c>
      <c r="K243" s="151">
        <v>286.74</v>
      </c>
      <c r="L243" s="151">
        <v>286.74</v>
      </c>
      <c r="M243" s="151">
        <f t="shared" si="55"/>
        <v>0</v>
      </c>
      <c r="N243" s="5">
        <f t="shared" si="47"/>
        <v>103872.42</v>
      </c>
      <c r="O243" s="154">
        <f t="shared" si="47"/>
        <v>103872.42</v>
      </c>
      <c r="P243" s="152">
        <f t="shared" si="56"/>
        <v>288.22504818877371</v>
      </c>
      <c r="Q243" s="6">
        <f t="shared" si="48"/>
        <v>288.22504818877371</v>
      </c>
      <c r="R243" s="5">
        <f t="shared" si="57"/>
        <v>103872.42</v>
      </c>
      <c r="S243" s="151">
        <v>0</v>
      </c>
      <c r="T243" s="195">
        <v>0.34722222222222221</v>
      </c>
      <c r="U243" s="154">
        <f t="shared" si="58"/>
        <v>24568.613074471265</v>
      </c>
      <c r="V243" s="154">
        <f t="shared" si="59"/>
        <v>16465.238119756024</v>
      </c>
      <c r="W243" s="155">
        <f t="shared" si="49"/>
        <v>2559.2305285907569</v>
      </c>
      <c r="X243" s="199">
        <f t="shared" si="50"/>
        <v>70.947123192477719</v>
      </c>
      <c r="Y243" s="199">
        <f t="shared" si="60"/>
        <v>43664.028846010522</v>
      </c>
      <c r="Z243" s="200">
        <f t="shared" si="51"/>
        <v>0.42036210233679472</v>
      </c>
      <c r="AA243" s="199">
        <f t="shared" si="52"/>
        <v>43668.135447900146</v>
      </c>
      <c r="AC243" s="30">
        <v>43407.075953184365</v>
      </c>
      <c r="AD243" s="30">
        <f t="shared" si="61"/>
        <v>261.0594947157806</v>
      </c>
    </row>
    <row r="244" spans="2:30" x14ac:dyDescent="0.25">
      <c r="B244" s="10">
        <v>508</v>
      </c>
      <c r="C244" s="10">
        <v>9</v>
      </c>
      <c r="D244" s="9" t="s">
        <v>346</v>
      </c>
      <c r="E244" s="150">
        <v>69.861330708128875</v>
      </c>
      <c r="F244" s="150">
        <v>69.861330708128875</v>
      </c>
      <c r="G244" s="150">
        <f t="shared" si="53"/>
        <v>0</v>
      </c>
      <c r="H244" s="151">
        <v>47806.74</v>
      </c>
      <c r="I244" s="151">
        <v>47806.74</v>
      </c>
      <c r="J244" s="151">
        <f t="shared" si="54"/>
        <v>0</v>
      </c>
      <c r="K244" s="151">
        <v>0</v>
      </c>
      <c r="L244" s="151">
        <v>0</v>
      </c>
      <c r="M244" s="151">
        <f t="shared" si="55"/>
        <v>0</v>
      </c>
      <c r="N244" s="5">
        <f t="shared" si="47"/>
        <v>47806.74</v>
      </c>
      <c r="O244" s="154">
        <f t="shared" si="47"/>
        <v>47806.74</v>
      </c>
      <c r="P244" s="152">
        <f t="shared" si="56"/>
        <v>684.30903785285807</v>
      </c>
      <c r="Q244" s="6">
        <f t="shared" si="48"/>
        <v>684.30903785285807</v>
      </c>
      <c r="R244" s="5">
        <f t="shared" si="57"/>
        <v>47806.74</v>
      </c>
      <c r="S244" s="151">
        <v>1324.8147870653065</v>
      </c>
      <c r="T244" s="195">
        <v>0.39444444444444443</v>
      </c>
      <c r="U244" s="154">
        <f t="shared" si="58"/>
        <v>11307.576134375691</v>
      </c>
      <c r="V244" s="154">
        <f t="shared" si="59"/>
        <v>3191.8049228276495</v>
      </c>
      <c r="W244" s="155">
        <f t="shared" si="49"/>
        <v>1338.0631759011235</v>
      </c>
      <c r="X244" s="199">
        <f t="shared" si="50"/>
        <v>32.653043726243716</v>
      </c>
      <c r="Y244" s="199">
        <f t="shared" si="60"/>
        <v>15870.097276830707</v>
      </c>
      <c r="Z244" s="200">
        <f t="shared" si="51"/>
        <v>0.33196359502510958</v>
      </c>
      <c r="AA244" s="199">
        <f t="shared" si="52"/>
        <v>15871.589859471109</v>
      </c>
      <c r="AC244" s="30">
        <v>15766.447640599567</v>
      </c>
      <c r="AD244" s="30">
        <f t="shared" si="61"/>
        <v>105.14221887154235</v>
      </c>
    </row>
    <row r="245" spans="2:30" x14ac:dyDescent="0.25">
      <c r="B245" s="10">
        <v>512</v>
      </c>
      <c r="C245" s="10">
        <v>9</v>
      </c>
      <c r="D245" s="9" t="s">
        <v>347</v>
      </c>
      <c r="E245" s="150">
        <v>262.22949490801233</v>
      </c>
      <c r="F245" s="150">
        <v>262.22949490801233</v>
      </c>
      <c r="G245" s="150">
        <f t="shared" si="53"/>
        <v>0</v>
      </c>
      <c r="H245" s="151">
        <v>252155.35</v>
      </c>
      <c r="I245" s="151">
        <v>252155.35</v>
      </c>
      <c r="J245" s="151">
        <f t="shared" si="54"/>
        <v>0</v>
      </c>
      <c r="K245" s="151">
        <v>7488</v>
      </c>
      <c r="L245" s="151">
        <v>7488</v>
      </c>
      <c r="M245" s="151">
        <f t="shared" si="55"/>
        <v>0</v>
      </c>
      <c r="N245" s="5">
        <f t="shared" si="47"/>
        <v>244667.35</v>
      </c>
      <c r="O245" s="154">
        <f t="shared" si="47"/>
        <v>244667.35</v>
      </c>
      <c r="P245" s="152">
        <f t="shared" si="56"/>
        <v>933.0275760391753</v>
      </c>
      <c r="Q245" s="6">
        <f t="shared" si="48"/>
        <v>933.0275760391753</v>
      </c>
      <c r="R245" s="5">
        <f t="shared" si="57"/>
        <v>244667.35</v>
      </c>
      <c r="S245" s="151">
        <v>3563.72012603962</v>
      </c>
      <c r="T245" s="195">
        <v>0.42777777777777776</v>
      </c>
      <c r="U245" s="154">
        <f t="shared" si="58"/>
        <v>57870.38998519758</v>
      </c>
      <c r="V245" s="154">
        <f t="shared" si="59"/>
        <v>11980.667763899502</v>
      </c>
      <c r="W245" s="155">
        <f t="shared" si="49"/>
        <v>7426.7000481003561</v>
      </c>
      <c r="X245" s="199">
        <f t="shared" si="50"/>
        <v>167.11312417316421</v>
      </c>
      <c r="Y245" s="199">
        <f t="shared" si="60"/>
        <v>77444.870921370602</v>
      </c>
      <c r="Z245" s="200">
        <f t="shared" si="51"/>
        <v>0.31653128593320934</v>
      </c>
      <c r="AA245" s="199">
        <f t="shared" si="52"/>
        <v>77452.154611439357</v>
      </c>
      <c r="AC245" s="30">
        <v>76925.838688405158</v>
      </c>
      <c r="AD245" s="30">
        <f t="shared" si="61"/>
        <v>526.31592303419893</v>
      </c>
    </row>
    <row r="246" spans="2:30" x14ac:dyDescent="0.25">
      <c r="B246" s="10">
        <v>516</v>
      </c>
      <c r="C246" s="10">
        <v>9</v>
      </c>
      <c r="D246" s="9" t="s">
        <v>348</v>
      </c>
      <c r="E246" s="150">
        <v>310.39999999999998</v>
      </c>
      <c r="F246" s="150">
        <v>310.39999999999998</v>
      </c>
      <c r="G246" s="150">
        <f t="shared" si="53"/>
        <v>0</v>
      </c>
      <c r="H246" s="151">
        <v>226131.67</v>
      </c>
      <c r="I246" s="151">
        <v>226131.67</v>
      </c>
      <c r="J246" s="151">
        <f t="shared" si="54"/>
        <v>0</v>
      </c>
      <c r="K246" s="151">
        <v>5086</v>
      </c>
      <c r="L246" s="151">
        <v>5086</v>
      </c>
      <c r="M246" s="151">
        <f t="shared" si="55"/>
        <v>0</v>
      </c>
      <c r="N246" s="5">
        <f t="shared" si="47"/>
        <v>221045.67</v>
      </c>
      <c r="O246" s="154">
        <f t="shared" si="47"/>
        <v>221045.67</v>
      </c>
      <c r="P246" s="152">
        <f t="shared" si="56"/>
        <v>712.13166881443306</v>
      </c>
      <c r="Q246" s="6">
        <f t="shared" si="48"/>
        <v>712.13166881443306</v>
      </c>
      <c r="R246" s="5">
        <f t="shared" si="57"/>
        <v>221045.67</v>
      </c>
      <c r="S246" s="151">
        <v>4095.6830029314888</v>
      </c>
      <c r="T246" s="195">
        <v>0.65833333333333321</v>
      </c>
      <c r="U246" s="154">
        <f t="shared" si="58"/>
        <v>52283.22915762684</v>
      </c>
      <c r="V246" s="154">
        <f t="shared" si="59"/>
        <v>14181.468317356615</v>
      </c>
      <c r="W246" s="155">
        <f t="shared" si="49"/>
        <v>10325.9377586313</v>
      </c>
      <c r="X246" s="199">
        <f t="shared" si="50"/>
        <v>150.97900270980284</v>
      </c>
      <c r="Y246" s="199">
        <f t="shared" si="60"/>
        <v>76941.614236324574</v>
      </c>
      <c r="Z246" s="200">
        <f t="shared" si="51"/>
        <v>0.34808016929860952</v>
      </c>
      <c r="AA246" s="199">
        <f t="shared" si="52"/>
        <v>76948.850595102369</v>
      </c>
      <c r="AC246" s="30">
        <v>76434.107493597068</v>
      </c>
      <c r="AD246" s="30">
        <f t="shared" si="61"/>
        <v>514.74310150530073</v>
      </c>
    </row>
    <row r="247" spans="2:30" x14ac:dyDescent="0.25">
      <c r="B247" s="10">
        <v>521</v>
      </c>
      <c r="C247" s="10">
        <v>9</v>
      </c>
      <c r="D247" s="9" t="s">
        <v>349</v>
      </c>
      <c r="E247" s="150">
        <v>145.10087497077248</v>
      </c>
      <c r="F247" s="150">
        <v>145.10087497077248</v>
      </c>
      <c r="G247" s="150">
        <f t="shared" si="53"/>
        <v>0</v>
      </c>
      <c r="H247" s="151">
        <v>329659.02</v>
      </c>
      <c r="I247" s="151">
        <v>329659.02</v>
      </c>
      <c r="J247" s="151">
        <f t="shared" si="54"/>
        <v>0</v>
      </c>
      <c r="K247" s="151">
        <v>26.55</v>
      </c>
      <c r="L247" s="151">
        <v>26.55</v>
      </c>
      <c r="M247" s="151">
        <f t="shared" si="55"/>
        <v>0</v>
      </c>
      <c r="N247" s="5">
        <f t="shared" si="47"/>
        <v>329632.47000000003</v>
      </c>
      <c r="O247" s="154">
        <f t="shared" si="47"/>
        <v>329632.47000000003</v>
      </c>
      <c r="P247" s="152">
        <f t="shared" si="56"/>
        <v>2271.7469489167283</v>
      </c>
      <c r="Q247" s="6">
        <f t="shared" si="48"/>
        <v>947.90197900063697</v>
      </c>
      <c r="R247" s="5">
        <f t="shared" si="57"/>
        <v>137541.40653951923</v>
      </c>
      <c r="S247" s="151">
        <v>6329.0673992273787</v>
      </c>
      <c r="T247" s="195">
        <v>0.44999999999999996</v>
      </c>
      <c r="U247" s="154">
        <f t="shared" si="58"/>
        <v>32532.231356388922</v>
      </c>
      <c r="V247" s="154">
        <f t="shared" si="59"/>
        <v>6629.3281611428274</v>
      </c>
      <c r="W247" s="155">
        <f t="shared" si="49"/>
        <v>4391.8512331125048</v>
      </c>
      <c r="X247" s="199">
        <f t="shared" si="50"/>
        <v>93.943773658358324</v>
      </c>
      <c r="Y247" s="199">
        <f t="shared" si="60"/>
        <v>43647.354524302609</v>
      </c>
      <c r="Z247" s="200">
        <f t="shared" si="51"/>
        <v>0.31733974242703117</v>
      </c>
      <c r="AA247" s="199">
        <f t="shared" si="52"/>
        <v>43651.459557972288</v>
      </c>
      <c r="AC247" s="30">
        <v>42920.356962780737</v>
      </c>
      <c r="AD247" s="30">
        <f t="shared" si="61"/>
        <v>731.10259519155079</v>
      </c>
    </row>
    <row r="248" spans="2:30" x14ac:dyDescent="0.25">
      <c r="B248" s="10">
        <v>522</v>
      </c>
      <c r="C248" s="10">
        <v>9</v>
      </c>
      <c r="D248" s="9" t="s">
        <v>350</v>
      </c>
      <c r="E248" s="150">
        <v>102.38011678774603</v>
      </c>
      <c r="F248" s="150">
        <v>102.38011678774603</v>
      </c>
      <c r="G248" s="150">
        <f t="shared" si="53"/>
        <v>0</v>
      </c>
      <c r="H248" s="151">
        <v>92161.55</v>
      </c>
      <c r="I248" s="151">
        <v>92161.55</v>
      </c>
      <c r="J248" s="151">
        <f t="shared" si="54"/>
        <v>0</v>
      </c>
      <c r="K248" s="151">
        <v>12</v>
      </c>
      <c r="L248" s="151">
        <v>12</v>
      </c>
      <c r="M248" s="151">
        <f t="shared" si="55"/>
        <v>0</v>
      </c>
      <c r="N248" s="5">
        <f t="shared" si="47"/>
        <v>92149.55</v>
      </c>
      <c r="O248" s="154">
        <f t="shared" si="47"/>
        <v>92149.55</v>
      </c>
      <c r="P248" s="152">
        <f t="shared" si="56"/>
        <v>900.07271813377599</v>
      </c>
      <c r="Q248" s="6">
        <f t="shared" si="48"/>
        <v>900.07271813377599</v>
      </c>
      <c r="R248" s="5">
        <f t="shared" si="57"/>
        <v>92149.55</v>
      </c>
      <c r="S248" s="151">
        <v>2553.637551136384</v>
      </c>
      <c r="T248" s="195">
        <v>0.52500000000000002</v>
      </c>
      <c r="U248" s="154">
        <f t="shared" si="58"/>
        <v>21795.839924944888</v>
      </c>
      <c r="V248" s="154">
        <f t="shared" si="59"/>
        <v>4677.5141190486165</v>
      </c>
      <c r="W248" s="155">
        <f t="shared" si="49"/>
        <v>3432.8447881788202</v>
      </c>
      <c r="X248" s="199">
        <f t="shared" si="50"/>
        <v>62.940147885082361</v>
      </c>
      <c r="Y248" s="199">
        <f t="shared" si="60"/>
        <v>29969.138980057407</v>
      </c>
      <c r="Z248" s="200">
        <f t="shared" si="51"/>
        <v>0.32522284677524099</v>
      </c>
      <c r="AA248" s="199">
        <f t="shared" si="52"/>
        <v>29971.957577562458</v>
      </c>
      <c r="AC248" s="30">
        <v>29768.401428831054</v>
      </c>
      <c r="AD248" s="30">
        <f t="shared" si="61"/>
        <v>203.55614873140439</v>
      </c>
    </row>
    <row r="249" spans="2:30" x14ac:dyDescent="0.25">
      <c r="B249" s="10">
        <v>523</v>
      </c>
      <c r="C249" s="10">
        <v>9</v>
      </c>
      <c r="D249" s="9" t="s">
        <v>351</v>
      </c>
      <c r="E249" s="150">
        <v>993.57561830440761</v>
      </c>
      <c r="F249" s="150">
        <v>993.57561830440773</v>
      </c>
      <c r="G249" s="150">
        <f t="shared" si="53"/>
        <v>0</v>
      </c>
      <c r="H249" s="151">
        <v>216084.48000000001</v>
      </c>
      <c r="I249" s="151">
        <v>216084.48000000001</v>
      </c>
      <c r="J249" s="151">
        <f t="shared" si="54"/>
        <v>0</v>
      </c>
      <c r="K249" s="151">
        <v>250</v>
      </c>
      <c r="L249" s="151">
        <v>250</v>
      </c>
      <c r="M249" s="151">
        <f t="shared" si="55"/>
        <v>0</v>
      </c>
      <c r="N249" s="5">
        <f t="shared" si="47"/>
        <v>215834.48</v>
      </c>
      <c r="O249" s="154">
        <f t="shared" si="47"/>
        <v>215834.48</v>
      </c>
      <c r="P249" s="152">
        <f t="shared" si="56"/>
        <v>217.23004874891515</v>
      </c>
      <c r="Q249" s="6">
        <f t="shared" si="48"/>
        <v>217.23004874891515</v>
      </c>
      <c r="R249" s="5">
        <f t="shared" si="57"/>
        <v>215834.48</v>
      </c>
      <c r="S249" s="151">
        <v>5981.1798642315107</v>
      </c>
      <c r="T249" s="195">
        <v>0.72499999999999998</v>
      </c>
      <c r="U249" s="154">
        <f t="shared" si="58"/>
        <v>51050.642964221945</v>
      </c>
      <c r="V249" s="154">
        <f t="shared" si="59"/>
        <v>45394.204741887785</v>
      </c>
      <c r="W249" s="155">
        <f t="shared" si="49"/>
        <v>11103.514844718275</v>
      </c>
      <c r="X249" s="199">
        <f t="shared" si="50"/>
        <v>147.4196465408659</v>
      </c>
      <c r="Y249" s="199">
        <f t="shared" si="60"/>
        <v>107695.78219736886</v>
      </c>
      <c r="Z249" s="200">
        <f t="shared" si="51"/>
        <v>0.4989739461339488</v>
      </c>
      <c r="AA249" s="199">
        <f t="shared" si="52"/>
        <v>107705.91098562694</v>
      </c>
      <c r="AC249" s="30">
        <v>107079.22322813184</v>
      </c>
      <c r="AD249" s="30">
        <f t="shared" si="61"/>
        <v>626.68775749509223</v>
      </c>
    </row>
    <row r="250" spans="2:30" x14ac:dyDescent="0.25">
      <c r="B250" s="10">
        <v>527</v>
      </c>
      <c r="C250" s="10">
        <v>9</v>
      </c>
      <c r="D250" s="9" t="s">
        <v>352</v>
      </c>
      <c r="E250" s="150">
        <v>216.73646169688556</v>
      </c>
      <c r="F250" s="150">
        <v>216.73646169688556</v>
      </c>
      <c r="G250" s="150">
        <f t="shared" si="53"/>
        <v>0</v>
      </c>
      <c r="H250" s="151">
        <v>138023.98000000001</v>
      </c>
      <c r="I250" s="151">
        <v>138023.98000000001</v>
      </c>
      <c r="J250" s="151">
        <f t="shared" si="54"/>
        <v>0</v>
      </c>
      <c r="K250" s="151">
        <v>1217.4000000000001</v>
      </c>
      <c r="L250" s="151">
        <v>1217.4000000000001</v>
      </c>
      <c r="M250" s="151">
        <f t="shared" si="55"/>
        <v>0</v>
      </c>
      <c r="N250" s="5">
        <f t="shared" si="47"/>
        <v>136806.58000000002</v>
      </c>
      <c r="O250" s="154">
        <f t="shared" si="47"/>
        <v>136806.58000000002</v>
      </c>
      <c r="P250" s="152">
        <f t="shared" si="56"/>
        <v>631.21165183239623</v>
      </c>
      <c r="Q250" s="6">
        <f t="shared" si="48"/>
        <v>631.21165183239623</v>
      </c>
      <c r="R250" s="5">
        <f t="shared" si="57"/>
        <v>136806.58000000002</v>
      </c>
      <c r="S250" s="151">
        <v>2056.4484309363584</v>
      </c>
      <c r="T250" s="195">
        <v>0.7055555555555556</v>
      </c>
      <c r="U250" s="154">
        <f t="shared" si="58"/>
        <v>32358.425172550127</v>
      </c>
      <c r="V250" s="154">
        <f t="shared" si="59"/>
        <v>9902.1947962962586</v>
      </c>
      <c r="W250" s="155">
        <f t="shared" si="49"/>
        <v>6849.1999948564444</v>
      </c>
      <c r="X250" s="199">
        <f t="shared" si="50"/>
        <v>93.441871141555765</v>
      </c>
      <c r="Y250" s="199">
        <f t="shared" si="60"/>
        <v>49203.261834844387</v>
      </c>
      <c r="Z250" s="200">
        <f t="shared" si="51"/>
        <v>0.35965566740170229</v>
      </c>
      <c r="AA250" s="199">
        <f t="shared" si="52"/>
        <v>49207.889401593646</v>
      </c>
      <c r="AC250" s="30">
        <v>48881.753743984802</v>
      </c>
      <c r="AD250" s="30">
        <f t="shared" si="61"/>
        <v>326.13565760884376</v>
      </c>
    </row>
    <row r="251" spans="2:30" x14ac:dyDescent="0.25">
      <c r="B251" s="10">
        <v>543</v>
      </c>
      <c r="C251" s="10">
        <v>9</v>
      </c>
      <c r="D251" s="9" t="s">
        <v>353</v>
      </c>
      <c r="E251" s="150">
        <v>109.69317832214543</v>
      </c>
      <c r="F251" s="150">
        <v>109.69317832214544</v>
      </c>
      <c r="G251" s="150">
        <f t="shared" si="53"/>
        <v>0</v>
      </c>
      <c r="H251" s="151">
        <v>17769.099999999999</v>
      </c>
      <c r="I251" s="151">
        <v>17769.099999999999</v>
      </c>
      <c r="J251" s="151">
        <f t="shared" si="54"/>
        <v>0</v>
      </c>
      <c r="K251" s="151">
        <v>0</v>
      </c>
      <c r="L251" s="151">
        <v>0</v>
      </c>
      <c r="M251" s="151">
        <f t="shared" si="55"/>
        <v>0</v>
      </c>
      <c r="N251" s="5">
        <f t="shared" si="47"/>
        <v>17769.099999999999</v>
      </c>
      <c r="O251" s="154">
        <f t="shared" si="47"/>
        <v>17769.099999999999</v>
      </c>
      <c r="P251" s="152">
        <f t="shared" si="56"/>
        <v>161.98910699638901</v>
      </c>
      <c r="Q251" s="6">
        <f t="shared" si="48"/>
        <v>161.98910699638901</v>
      </c>
      <c r="R251" s="5">
        <f t="shared" si="57"/>
        <v>17769.099999999999</v>
      </c>
      <c r="S251" s="151">
        <v>0</v>
      </c>
      <c r="T251" s="195">
        <v>0.23333333333333334</v>
      </c>
      <c r="U251" s="154">
        <f t="shared" si="58"/>
        <v>4202.8686977889538</v>
      </c>
      <c r="V251" s="154">
        <f t="shared" si="59"/>
        <v>5011.6312274666725</v>
      </c>
      <c r="W251" s="155">
        <f t="shared" si="49"/>
        <v>294.20080884522679</v>
      </c>
      <c r="X251" s="199">
        <f t="shared" si="50"/>
        <v>12.136681967354335</v>
      </c>
      <c r="Y251" s="199">
        <f t="shared" si="60"/>
        <v>9520.8374160682088</v>
      </c>
      <c r="Z251" s="200">
        <f t="shared" si="51"/>
        <v>0.53580864624928726</v>
      </c>
      <c r="AA251" s="199">
        <f t="shared" si="52"/>
        <v>9521.7328508220999</v>
      </c>
      <c r="AC251" s="30">
        <v>9470.0342471704043</v>
      </c>
      <c r="AD251" s="30">
        <f t="shared" si="61"/>
        <v>51.698603651695521</v>
      </c>
    </row>
    <row r="252" spans="2:30" x14ac:dyDescent="0.25">
      <c r="B252" s="93">
        <v>547</v>
      </c>
      <c r="C252" s="93">
        <v>9</v>
      </c>
      <c r="D252" s="94" t="s">
        <v>354</v>
      </c>
      <c r="E252" s="150">
        <v>267.84797229829576</v>
      </c>
      <c r="F252" s="150">
        <v>267.84797229829576</v>
      </c>
      <c r="G252" s="150">
        <f t="shared" si="53"/>
        <v>0</v>
      </c>
      <c r="H252" s="151">
        <v>107190.29</v>
      </c>
      <c r="I252" s="151">
        <v>107190.29</v>
      </c>
      <c r="J252" s="151">
        <f t="shared" si="54"/>
        <v>0</v>
      </c>
      <c r="K252" s="151">
        <v>0</v>
      </c>
      <c r="L252" s="151">
        <v>0</v>
      </c>
      <c r="M252" s="151">
        <f t="shared" si="55"/>
        <v>0</v>
      </c>
      <c r="N252" s="5">
        <f t="shared" si="47"/>
        <v>107190.29</v>
      </c>
      <c r="O252" s="154">
        <f t="shared" si="47"/>
        <v>107190.29</v>
      </c>
      <c r="P252" s="152">
        <f t="shared" si="56"/>
        <v>400.19078389969957</v>
      </c>
      <c r="Q252" s="6">
        <f t="shared" si="48"/>
        <v>400.19078389969957</v>
      </c>
      <c r="R252" s="5">
        <f t="shared" si="57"/>
        <v>107190.29</v>
      </c>
      <c r="S252" s="151">
        <v>0</v>
      </c>
      <c r="T252" s="195">
        <v>0.49444444444444441</v>
      </c>
      <c r="U252" s="154">
        <f t="shared" si="58"/>
        <v>25353.37831110863</v>
      </c>
      <c r="V252" s="154">
        <f t="shared" si="59"/>
        <v>12237.363186264478</v>
      </c>
      <c r="W252" s="155">
        <f t="shared" si="49"/>
        <v>3760.7511161477796</v>
      </c>
      <c r="X252" s="199">
        <f t="shared" si="50"/>
        <v>73.213300601520714</v>
      </c>
      <c r="Y252" s="199">
        <f t="shared" si="60"/>
        <v>41424.705914122409</v>
      </c>
      <c r="Z252" s="200">
        <f t="shared" si="51"/>
        <v>0.38645950033461435</v>
      </c>
      <c r="AA252" s="199">
        <f t="shared" si="52"/>
        <v>41428.601907691489</v>
      </c>
      <c r="AC252" s="30">
        <v>41168.447584690613</v>
      </c>
      <c r="AD252" s="30">
        <f t="shared" si="61"/>
        <v>260.15432300087559</v>
      </c>
    </row>
    <row r="253" spans="2:30" x14ac:dyDescent="0.25">
      <c r="B253" s="93">
        <v>552</v>
      </c>
      <c r="C253" s="93">
        <v>9</v>
      </c>
      <c r="D253" s="94" t="s">
        <v>355</v>
      </c>
      <c r="E253" s="150">
        <v>157.69</v>
      </c>
      <c r="F253" s="150">
        <v>157.69</v>
      </c>
      <c r="G253" s="150">
        <f t="shared" si="53"/>
        <v>0</v>
      </c>
      <c r="H253" s="151">
        <v>86459.07</v>
      </c>
      <c r="I253" s="151">
        <v>86459.07</v>
      </c>
      <c r="J253" s="151">
        <f t="shared" si="54"/>
        <v>0</v>
      </c>
      <c r="K253" s="151">
        <v>114</v>
      </c>
      <c r="L253" s="151">
        <v>114</v>
      </c>
      <c r="M253" s="151">
        <f t="shared" si="55"/>
        <v>0</v>
      </c>
      <c r="N253" s="5">
        <f t="shared" si="47"/>
        <v>86345.07</v>
      </c>
      <c r="O253" s="154">
        <f t="shared" si="47"/>
        <v>86345.07</v>
      </c>
      <c r="P253" s="152">
        <f t="shared" si="56"/>
        <v>547.56211554315439</v>
      </c>
      <c r="Q253" s="6">
        <f t="shared" si="48"/>
        <v>547.56211554315439</v>
      </c>
      <c r="R253" s="5">
        <f t="shared" si="57"/>
        <v>86345.070000000022</v>
      </c>
      <c r="S253" s="151">
        <v>373.50782131659707</v>
      </c>
      <c r="T253" s="195">
        <v>0.5083333333333333</v>
      </c>
      <c r="U253" s="154">
        <f t="shared" si="58"/>
        <v>20422.924735152385</v>
      </c>
      <c r="V253" s="154">
        <f t="shared" si="59"/>
        <v>7204.4965817138045</v>
      </c>
      <c r="W253" s="155">
        <f t="shared" si="49"/>
        <v>3114.496022110739</v>
      </c>
      <c r="X253" s="199">
        <f t="shared" si="50"/>
        <v>58.975561735763108</v>
      </c>
      <c r="Y253" s="199">
        <f t="shared" si="60"/>
        <v>30800.89290071269</v>
      </c>
      <c r="Z253" s="200">
        <f t="shared" si="51"/>
        <v>0.3567186047878898</v>
      </c>
      <c r="AA253" s="199">
        <f t="shared" si="52"/>
        <v>30803.789724673534</v>
      </c>
      <c r="AC253" s="30">
        <v>30603.393435161492</v>
      </c>
      <c r="AD253" s="30">
        <f t="shared" si="61"/>
        <v>200.39628951204213</v>
      </c>
    </row>
    <row r="254" spans="2:30" x14ac:dyDescent="0.25">
      <c r="B254" s="93">
        <v>567</v>
      </c>
      <c r="C254" s="93">
        <v>9</v>
      </c>
      <c r="D254" s="94" t="s">
        <v>356</v>
      </c>
      <c r="E254" s="150">
        <v>345.20368649905589</v>
      </c>
      <c r="F254" s="150">
        <v>345.20368649905589</v>
      </c>
      <c r="G254" s="150">
        <f t="shared" si="53"/>
        <v>0</v>
      </c>
      <c r="H254" s="151">
        <v>214683.99</v>
      </c>
      <c r="I254" s="151">
        <v>214683.99</v>
      </c>
      <c r="J254" s="151">
        <f t="shared" si="54"/>
        <v>0</v>
      </c>
      <c r="K254" s="151">
        <v>0</v>
      </c>
      <c r="L254" s="151">
        <v>0</v>
      </c>
      <c r="M254" s="151">
        <f t="shared" si="55"/>
        <v>0</v>
      </c>
      <c r="N254" s="5">
        <f t="shared" si="47"/>
        <v>214683.99</v>
      </c>
      <c r="O254" s="154">
        <f t="shared" si="47"/>
        <v>214683.99</v>
      </c>
      <c r="P254" s="152">
        <f t="shared" si="56"/>
        <v>621.9052646200148</v>
      </c>
      <c r="Q254" s="6">
        <f t="shared" si="48"/>
        <v>621.9052646200148</v>
      </c>
      <c r="R254" s="5">
        <f t="shared" si="57"/>
        <v>214683.99</v>
      </c>
      <c r="S254" s="151">
        <v>3317.3993892574213</v>
      </c>
      <c r="T254" s="195">
        <v>0.375</v>
      </c>
      <c r="U254" s="154">
        <f t="shared" si="58"/>
        <v>50778.521224340955</v>
      </c>
      <c r="V254" s="154">
        <f t="shared" si="59"/>
        <v>15771.569404384882</v>
      </c>
      <c r="W254" s="155">
        <f t="shared" si="49"/>
        <v>5712.5836377383584</v>
      </c>
      <c r="X254" s="199">
        <f t="shared" si="50"/>
        <v>146.63383683544347</v>
      </c>
      <c r="Y254" s="199">
        <f t="shared" si="60"/>
        <v>72409.308103299642</v>
      </c>
      <c r="Z254" s="200">
        <f t="shared" si="51"/>
        <v>0.33728322313787651</v>
      </c>
      <c r="AA254" s="199">
        <f t="shared" si="52"/>
        <v>72416.11819868804</v>
      </c>
      <c r="AC254" s="30">
        <v>71940.847132055365</v>
      </c>
      <c r="AD254" s="30">
        <f t="shared" si="61"/>
        <v>475.27106663267477</v>
      </c>
    </row>
    <row r="255" spans="2:30" x14ac:dyDescent="0.25">
      <c r="B255" s="93">
        <v>629</v>
      </c>
      <c r="C255" s="93">
        <v>9</v>
      </c>
      <c r="D255" s="94" t="s">
        <v>357</v>
      </c>
      <c r="E255" s="150">
        <v>290.37732735999128</v>
      </c>
      <c r="F255" s="150">
        <v>290.37732735999128</v>
      </c>
      <c r="G255" s="150">
        <f t="shared" si="53"/>
        <v>0</v>
      </c>
      <c r="H255" s="151">
        <v>217896.35</v>
      </c>
      <c r="I255" s="151">
        <v>217896.35</v>
      </c>
      <c r="J255" s="151">
        <f t="shared" si="54"/>
        <v>0</v>
      </c>
      <c r="K255" s="151">
        <v>513</v>
      </c>
      <c r="L255" s="151">
        <v>4075.67</v>
      </c>
      <c r="M255" s="151">
        <f t="shared" si="55"/>
        <v>-3562.67</v>
      </c>
      <c r="N255" s="5">
        <f t="shared" si="47"/>
        <v>217383.35</v>
      </c>
      <c r="O255" s="154">
        <f t="shared" si="47"/>
        <v>213820.68</v>
      </c>
      <c r="P255" s="152">
        <f t="shared" si="56"/>
        <v>736.35459746111223</v>
      </c>
      <c r="Q255" s="6">
        <f t="shared" si="48"/>
        <v>736.35459746111223</v>
      </c>
      <c r="R255" s="5">
        <f t="shared" si="57"/>
        <v>213820.68</v>
      </c>
      <c r="S255" s="151">
        <v>0</v>
      </c>
      <c r="T255" s="195">
        <v>0.52499999999999991</v>
      </c>
      <c r="U255" s="154">
        <f t="shared" si="58"/>
        <v>50574.325256312848</v>
      </c>
      <c r="V255" s="154">
        <f t="shared" si="59"/>
        <v>13266.678054234559</v>
      </c>
      <c r="W255" s="155">
        <f t="shared" si="49"/>
        <v>7965.4562278692738</v>
      </c>
      <c r="X255" s="199">
        <f t="shared" si="50"/>
        <v>146.04417731924755</v>
      </c>
      <c r="Y255" s="199">
        <f t="shared" si="60"/>
        <v>71952.503715735918</v>
      </c>
      <c r="Z255" s="200">
        <f t="shared" si="51"/>
        <v>0.33650862823809147</v>
      </c>
      <c r="AA255" s="199">
        <f t="shared" si="52"/>
        <v>71959.27084867192</v>
      </c>
      <c r="AC255" s="30">
        <v>72448.744925333202</v>
      </c>
      <c r="AD255" s="30">
        <f t="shared" si="61"/>
        <v>-489.47407666128129</v>
      </c>
    </row>
    <row r="256" spans="2:30" x14ac:dyDescent="0.25">
      <c r="B256" s="93">
        <v>630</v>
      </c>
      <c r="C256" s="93">
        <v>9</v>
      </c>
      <c r="D256" s="94" t="s">
        <v>358</v>
      </c>
      <c r="E256" s="150">
        <v>177.63814288391026</v>
      </c>
      <c r="F256" s="150">
        <v>177.63814288391026</v>
      </c>
      <c r="G256" s="150">
        <f t="shared" si="53"/>
        <v>0</v>
      </c>
      <c r="H256" s="151">
        <v>132282.18</v>
      </c>
      <c r="I256" s="151">
        <v>132282.18</v>
      </c>
      <c r="J256" s="151">
        <f t="shared" si="54"/>
        <v>0</v>
      </c>
      <c r="K256" s="151">
        <v>6933.63</v>
      </c>
      <c r="L256" s="151">
        <v>6933.63</v>
      </c>
      <c r="M256" s="151">
        <f t="shared" si="55"/>
        <v>0</v>
      </c>
      <c r="N256" s="5">
        <f t="shared" si="47"/>
        <v>125348.54999999999</v>
      </c>
      <c r="O256" s="154">
        <f t="shared" si="47"/>
        <v>125348.54999999999</v>
      </c>
      <c r="P256" s="152">
        <f t="shared" si="56"/>
        <v>705.6398359327452</v>
      </c>
      <c r="Q256" s="6">
        <f t="shared" si="48"/>
        <v>705.6398359327452</v>
      </c>
      <c r="R256" s="5">
        <f t="shared" si="57"/>
        <v>125348.54999999999</v>
      </c>
      <c r="S256" s="151">
        <v>273.83473754905583</v>
      </c>
      <c r="T256" s="195">
        <v>0.58888888888888891</v>
      </c>
      <c r="U256" s="154">
        <f t="shared" si="58"/>
        <v>29648.293785742309</v>
      </c>
      <c r="V256" s="154">
        <f t="shared" si="59"/>
        <v>8115.8817502005195</v>
      </c>
      <c r="W256" s="155">
        <f t="shared" si="49"/>
        <v>5237.8652354811411</v>
      </c>
      <c r="X256" s="199">
        <f t="shared" si="50"/>
        <v>85.615787317253748</v>
      </c>
      <c r="Y256" s="199">
        <f t="shared" si="60"/>
        <v>43087.656558741226</v>
      </c>
      <c r="Z256" s="200">
        <f t="shared" si="51"/>
        <v>0.34374276015750665</v>
      </c>
      <c r="AA256" s="199">
        <f t="shared" si="52"/>
        <v>43091.708952817542</v>
      </c>
      <c r="AC256" s="30">
        <v>42804.12466218388</v>
      </c>
      <c r="AD256" s="30">
        <f t="shared" si="61"/>
        <v>287.58429063366202</v>
      </c>
    </row>
    <row r="257" spans="2:30" x14ac:dyDescent="0.25">
      <c r="B257" s="93">
        <v>695</v>
      </c>
      <c r="C257" s="93">
        <v>9</v>
      </c>
      <c r="D257" s="94" t="s">
        <v>359</v>
      </c>
      <c r="E257" s="150">
        <v>35.621696565025502</v>
      </c>
      <c r="F257" s="150">
        <v>35.621696565025509</v>
      </c>
      <c r="G257" s="150">
        <f t="shared" si="53"/>
        <v>0</v>
      </c>
      <c r="H257" s="151">
        <v>13485.03</v>
      </c>
      <c r="I257" s="151">
        <v>13485.03</v>
      </c>
      <c r="J257" s="151">
        <f t="shared" si="54"/>
        <v>0</v>
      </c>
      <c r="K257" s="151">
        <v>0</v>
      </c>
      <c r="L257" s="151">
        <v>0</v>
      </c>
      <c r="M257" s="151">
        <f t="shared" si="55"/>
        <v>0</v>
      </c>
      <c r="N257" s="5">
        <f t="shared" si="47"/>
        <v>13485.03</v>
      </c>
      <c r="O257" s="154">
        <f t="shared" si="47"/>
        <v>13485.03</v>
      </c>
      <c r="P257" s="152">
        <f t="shared" si="56"/>
        <v>378.56226121582381</v>
      </c>
      <c r="Q257" s="6">
        <f t="shared" si="48"/>
        <v>378.56226121582381</v>
      </c>
      <c r="R257" s="5">
        <f t="shared" si="57"/>
        <v>13485.03</v>
      </c>
      <c r="S257" s="151">
        <v>0</v>
      </c>
      <c r="T257" s="195">
        <v>0.15</v>
      </c>
      <c r="U257" s="154">
        <f t="shared" si="58"/>
        <v>3189.5712487264404</v>
      </c>
      <c r="V257" s="154">
        <f t="shared" si="59"/>
        <v>1627.474101956831</v>
      </c>
      <c r="W257" s="155">
        <f t="shared" si="49"/>
        <v>143.53070619268982</v>
      </c>
      <c r="X257" s="199">
        <f t="shared" si="50"/>
        <v>9.2105689331610652</v>
      </c>
      <c r="Y257" s="199">
        <f t="shared" si="60"/>
        <v>4969.7866258091217</v>
      </c>
      <c r="Z257" s="200">
        <f t="shared" si="51"/>
        <v>0.36854101368770564</v>
      </c>
      <c r="AA257" s="199">
        <f t="shared" si="52"/>
        <v>4970.2540342386219</v>
      </c>
      <c r="AC257" s="30">
        <v>4939.6470058589784</v>
      </c>
      <c r="AD257" s="30">
        <f t="shared" si="61"/>
        <v>30.607028379643452</v>
      </c>
    </row>
    <row r="258" spans="2:30" x14ac:dyDescent="0.25">
      <c r="B258" s="93">
        <v>771</v>
      </c>
      <c r="C258" s="93">
        <v>9</v>
      </c>
      <c r="D258" s="94" t="s">
        <v>360</v>
      </c>
      <c r="E258" s="150">
        <v>195.9</v>
      </c>
      <c r="F258" s="150">
        <v>181.02955933495303</v>
      </c>
      <c r="G258" s="150">
        <f t="shared" si="53"/>
        <v>-14.870440665046971</v>
      </c>
      <c r="H258" s="151">
        <v>63376.55</v>
      </c>
      <c r="I258" s="151">
        <v>63376.55</v>
      </c>
      <c r="J258" s="151">
        <f t="shared" si="54"/>
        <v>0</v>
      </c>
      <c r="K258" s="151">
        <v>0</v>
      </c>
      <c r="L258" s="151">
        <v>0</v>
      </c>
      <c r="M258" s="151">
        <f t="shared" si="55"/>
        <v>0</v>
      </c>
      <c r="N258" s="5">
        <f t="shared" si="47"/>
        <v>63376.55</v>
      </c>
      <c r="O258" s="154">
        <f t="shared" si="47"/>
        <v>63376.55</v>
      </c>
      <c r="P258" s="152">
        <f t="shared" si="56"/>
        <v>350.08951152964175</v>
      </c>
      <c r="Q258" s="6">
        <f t="shared" si="48"/>
        <v>350.08951152964175</v>
      </c>
      <c r="R258" s="5">
        <f t="shared" si="57"/>
        <v>63376.55000000001</v>
      </c>
      <c r="S258" s="151">
        <v>1756.2835406301238</v>
      </c>
      <c r="T258" s="195">
        <v>0.52777777777777779</v>
      </c>
      <c r="U258" s="154">
        <f t="shared" si="58"/>
        <v>14990.253764617039</v>
      </c>
      <c r="V258" s="154">
        <f t="shared" si="59"/>
        <v>8270.8278357399049</v>
      </c>
      <c r="W258" s="155">
        <f t="shared" si="49"/>
        <v>2373.4568460643645</v>
      </c>
      <c r="X258" s="199">
        <f t="shared" si="50"/>
        <v>43.287562765594807</v>
      </c>
      <c r="Y258" s="199">
        <f t="shared" si="60"/>
        <v>25677.826009186902</v>
      </c>
      <c r="Z258" s="200">
        <f t="shared" si="51"/>
        <v>0.40516288767985786</v>
      </c>
      <c r="AA258" s="199">
        <f t="shared" si="52"/>
        <v>25680.241008709338</v>
      </c>
      <c r="AC258" s="30">
        <v>26198.438993506701</v>
      </c>
      <c r="AD258" s="30">
        <f t="shared" si="61"/>
        <v>-518.19798479736346</v>
      </c>
    </row>
    <row r="259" spans="2:30" x14ac:dyDescent="0.25">
      <c r="B259" s="93">
        <v>936</v>
      </c>
      <c r="C259" s="93">
        <v>9</v>
      </c>
      <c r="D259" s="94" t="s">
        <v>362</v>
      </c>
      <c r="E259" s="150">
        <v>34.939906270824778</v>
      </c>
      <c r="F259" s="150">
        <v>34.939906270824778</v>
      </c>
      <c r="G259" s="150">
        <f t="shared" si="53"/>
        <v>0</v>
      </c>
      <c r="H259" s="151">
        <v>51395.07</v>
      </c>
      <c r="I259" s="151">
        <v>51395.07</v>
      </c>
      <c r="J259" s="151">
        <f t="shared" si="54"/>
        <v>0</v>
      </c>
      <c r="K259" s="151">
        <v>0</v>
      </c>
      <c r="L259" s="151">
        <v>0</v>
      </c>
      <c r="M259" s="151">
        <f t="shared" si="55"/>
        <v>0</v>
      </c>
      <c r="N259" s="5">
        <f t="shared" si="47"/>
        <v>51395.07</v>
      </c>
      <c r="O259" s="154">
        <f t="shared" si="47"/>
        <v>51395.07</v>
      </c>
      <c r="P259" s="152">
        <f t="shared" si="56"/>
        <v>1470.9561497282971</v>
      </c>
      <c r="Q259" s="6">
        <f t="shared" si="48"/>
        <v>947.90197900063697</v>
      </c>
      <c r="R259" s="5">
        <f t="shared" si="57"/>
        <v>33119.60630021157</v>
      </c>
      <c r="S259" s="151">
        <v>1424.2541683088309</v>
      </c>
      <c r="T259" s="195">
        <v>0.29166666666666663</v>
      </c>
      <c r="U259" s="154">
        <f t="shared" si="58"/>
        <v>7833.6751215454387</v>
      </c>
      <c r="V259" s="154">
        <f t="shared" si="59"/>
        <v>1596.3246578321887</v>
      </c>
      <c r="W259" s="155">
        <f t="shared" si="49"/>
        <v>685.44657313522578</v>
      </c>
      <c r="X259" s="199">
        <f t="shared" si="50"/>
        <v>22.621411807556534</v>
      </c>
      <c r="Y259" s="199">
        <f t="shared" si="60"/>
        <v>10138.067764320411</v>
      </c>
      <c r="Z259" s="200">
        <f t="shared" si="51"/>
        <v>0.30610471852908616</v>
      </c>
      <c r="AA259" s="199">
        <f t="shared" si="52"/>
        <v>10139.021249588224</v>
      </c>
      <c r="AC259" s="30">
        <v>9970.0979761202252</v>
      </c>
      <c r="AD259" s="30">
        <f t="shared" si="61"/>
        <v>168.92327346799902</v>
      </c>
    </row>
    <row r="260" spans="2:30" x14ac:dyDescent="0.25">
      <c r="B260" s="93">
        <v>952</v>
      </c>
      <c r="C260" s="93">
        <v>9</v>
      </c>
      <c r="D260" s="94" t="s">
        <v>363</v>
      </c>
      <c r="E260" s="150">
        <v>76.450104358247401</v>
      </c>
      <c r="F260" s="150">
        <v>76.450104358247401</v>
      </c>
      <c r="G260" s="150">
        <f t="shared" si="53"/>
        <v>0</v>
      </c>
      <c r="H260" s="151">
        <v>92443.12</v>
      </c>
      <c r="I260" s="151">
        <v>92443.12</v>
      </c>
      <c r="J260" s="151">
        <f t="shared" si="54"/>
        <v>0</v>
      </c>
      <c r="K260" s="151">
        <v>8191.3899999999994</v>
      </c>
      <c r="L260" s="151">
        <v>8191.3899999999994</v>
      </c>
      <c r="M260" s="151">
        <f t="shared" si="55"/>
        <v>0</v>
      </c>
      <c r="N260" s="5">
        <f t="shared" si="47"/>
        <v>84251.73</v>
      </c>
      <c r="O260" s="154">
        <f t="shared" si="47"/>
        <v>84251.73</v>
      </c>
      <c r="P260" s="152">
        <f t="shared" si="56"/>
        <v>1102.0485937493813</v>
      </c>
      <c r="Q260" s="6">
        <f t="shared" si="48"/>
        <v>947.90197900063697</v>
      </c>
      <c r="R260" s="5">
        <f t="shared" si="57"/>
        <v>72467.205215987939</v>
      </c>
      <c r="S260" s="151">
        <v>2334.7740870813132</v>
      </c>
      <c r="T260" s="195">
        <v>0.50277777777777777</v>
      </c>
      <c r="U260" s="154">
        <f t="shared" si="58"/>
        <v>17140.437524608686</v>
      </c>
      <c r="V260" s="154">
        <f t="shared" si="59"/>
        <v>3492.8309691207878</v>
      </c>
      <c r="W260" s="155">
        <f t="shared" si="49"/>
        <v>2585.3493266284768</v>
      </c>
      <c r="X260" s="199">
        <f t="shared" si="50"/>
        <v>49.49667809677738</v>
      </c>
      <c r="Y260" s="199">
        <f t="shared" si="60"/>
        <v>23268.114498454725</v>
      </c>
      <c r="Z260" s="200">
        <f t="shared" si="51"/>
        <v>0.32108475039301282</v>
      </c>
      <c r="AA260" s="199">
        <f t="shared" si="52"/>
        <v>23270.302864610865</v>
      </c>
      <c r="AC260" s="30">
        <v>22879.906683866113</v>
      </c>
      <c r="AD260" s="30">
        <f t="shared" si="61"/>
        <v>390.3961807447522</v>
      </c>
    </row>
    <row r="261" spans="2:30" x14ac:dyDescent="0.25">
      <c r="B261" s="1">
        <v>982</v>
      </c>
      <c r="C261" s="1">
        <v>9</v>
      </c>
      <c r="D261" t="s">
        <v>364</v>
      </c>
      <c r="E261" s="150">
        <v>72.709809455197842</v>
      </c>
      <c r="F261" s="150">
        <v>72.709809455197856</v>
      </c>
      <c r="G261" s="150">
        <f t="shared" si="53"/>
        <v>0</v>
      </c>
      <c r="H261" s="151">
        <v>31311.42</v>
      </c>
      <c r="I261" s="151">
        <v>31311.42</v>
      </c>
      <c r="J261" s="151">
        <f t="shared" si="54"/>
        <v>0</v>
      </c>
      <c r="K261" s="151">
        <v>0</v>
      </c>
      <c r="L261" s="151">
        <v>0</v>
      </c>
      <c r="M261" s="151">
        <f t="shared" si="55"/>
        <v>0</v>
      </c>
      <c r="N261" s="5">
        <f t="shared" si="47"/>
        <v>31311.42</v>
      </c>
      <c r="O261" s="154">
        <f t="shared" si="47"/>
        <v>31311.42</v>
      </c>
      <c r="P261" s="152">
        <f t="shared" si="56"/>
        <v>430.63542917539053</v>
      </c>
      <c r="Q261" s="6">
        <f t="shared" si="48"/>
        <v>430.63542917539053</v>
      </c>
      <c r="R261" s="5">
        <f t="shared" si="57"/>
        <v>31311.42</v>
      </c>
      <c r="S261" s="151">
        <v>0</v>
      </c>
      <c r="T261" s="195">
        <v>0</v>
      </c>
      <c r="U261" s="154">
        <f t="shared" si="58"/>
        <v>7405.9905679704107</v>
      </c>
      <c r="V261" s="154">
        <f t="shared" si="59"/>
        <v>3321.945422519088</v>
      </c>
      <c r="W261" s="155">
        <f t="shared" si="49"/>
        <v>0</v>
      </c>
      <c r="X261" s="199">
        <f t="shared" si="50"/>
        <v>21.386381217183647</v>
      </c>
      <c r="Y261" s="199">
        <f t="shared" si="60"/>
        <v>10749.322371706683</v>
      </c>
      <c r="Z261" s="200">
        <f t="shared" si="51"/>
        <v>0.34330357331946887</v>
      </c>
      <c r="AA261" s="199">
        <f t="shared" si="52"/>
        <v>10750.333345469995</v>
      </c>
      <c r="AC261" s="30">
        <v>10683.42689408349</v>
      </c>
      <c r="AD261" s="30">
        <f t="shared" si="61"/>
        <v>66.906451386505069</v>
      </c>
    </row>
    <row r="262" spans="2:30" x14ac:dyDescent="0.25">
      <c r="B262" s="1">
        <v>987</v>
      </c>
      <c r="C262" s="1">
        <v>9</v>
      </c>
      <c r="D262" t="s">
        <v>365</v>
      </c>
      <c r="E262" s="150">
        <v>234.96879046502556</v>
      </c>
      <c r="F262" s="150">
        <v>234.96879046502553</v>
      </c>
      <c r="G262" s="150">
        <f t="shared" si="53"/>
        <v>0</v>
      </c>
      <c r="H262" s="151">
        <v>28116.76</v>
      </c>
      <c r="I262" s="151">
        <v>28116.76</v>
      </c>
      <c r="J262" s="151">
        <f t="shared" si="54"/>
        <v>0</v>
      </c>
      <c r="K262" s="151">
        <v>0</v>
      </c>
      <c r="L262" s="151">
        <v>0</v>
      </c>
      <c r="M262" s="151">
        <f t="shared" si="55"/>
        <v>0</v>
      </c>
      <c r="N262" s="5">
        <f t="shared" si="47"/>
        <v>28116.76</v>
      </c>
      <c r="O262" s="154">
        <f t="shared" si="47"/>
        <v>28116.76</v>
      </c>
      <c r="P262" s="152">
        <f t="shared" si="56"/>
        <v>119.66167908663215</v>
      </c>
      <c r="Q262" s="6">
        <f t="shared" si="48"/>
        <v>119.66167908663215</v>
      </c>
      <c r="R262" s="5">
        <f t="shared" si="57"/>
        <v>28116.76</v>
      </c>
      <c r="S262" s="151">
        <v>0</v>
      </c>
      <c r="T262" s="195">
        <v>0.41111111111111109</v>
      </c>
      <c r="U262" s="154">
        <f t="shared" si="58"/>
        <v>6650.3678006902182</v>
      </c>
      <c r="V262" s="154">
        <f t="shared" si="59"/>
        <v>10735.188329727334</v>
      </c>
      <c r="W262" s="207">
        <f t="shared" si="49"/>
        <v>820.2120287517937</v>
      </c>
      <c r="X262" s="5">
        <f t="shared" si="50"/>
        <v>19.204358919271641</v>
      </c>
      <c r="Y262" s="5">
        <f t="shared" si="60"/>
        <v>18224.97251808862</v>
      </c>
      <c r="Z262" s="208">
        <f t="shared" si="51"/>
        <v>0.6481889278170252</v>
      </c>
      <c r="AA262" s="5">
        <f t="shared" si="52"/>
        <v>18226.686576744203</v>
      </c>
      <c r="AC262" s="30">
        <v>18131.890125298778</v>
      </c>
      <c r="AD262" s="30">
        <f t="shared" si="61"/>
        <v>94.796451445425191</v>
      </c>
    </row>
  </sheetData>
  <mergeCells count="3">
    <mergeCell ref="B2:I2"/>
    <mergeCell ref="D4:E4"/>
    <mergeCell ref="D13:E13"/>
  </mergeCells>
  <conditionalFormatting sqref="B27:D251 W27:AA44 W46:AA262 W45:Z45 B26:AA26 E27:V262">
    <cfRule type="expression" dxfId="5" priority="2">
      <formula>$C26&lt;&gt;$C25</formula>
    </cfRule>
  </conditionalFormatting>
  <conditionalFormatting sqref="Z26:Z262">
    <cfRule type="expression" dxfId="4" priority="1">
      <formula>Z26&gt;75%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2:T242"/>
  <sheetViews>
    <sheetView topLeftCell="D1" workbookViewId="0">
      <selection activeCell="T16" sqref="T16"/>
    </sheetView>
  </sheetViews>
  <sheetFormatPr defaultRowHeight="15" x14ac:dyDescent="0.25"/>
  <cols>
    <col min="1" max="1" width="4.5703125" customWidth="1"/>
    <col min="2" max="3" width="6.5703125" style="1" customWidth="1"/>
    <col min="4" max="4" width="50.5703125" customWidth="1"/>
    <col min="5" max="11" width="14.5703125" customWidth="1"/>
    <col min="13" max="20" width="12.5703125" customWidth="1"/>
  </cols>
  <sheetData>
    <row r="2" spans="2:20" x14ac:dyDescent="0.25">
      <c r="B2" s="23" t="s">
        <v>14</v>
      </c>
      <c r="E2" s="22"/>
      <c r="F2" s="22"/>
      <c r="G2" s="22"/>
      <c r="I2" t="s">
        <v>13</v>
      </c>
      <c r="J2" s="21">
        <v>0</v>
      </c>
    </row>
    <row r="3" spans="2:20" x14ac:dyDescent="0.25">
      <c r="D3" s="19"/>
      <c r="E3" s="20"/>
      <c r="F3" s="20"/>
      <c r="G3" s="20"/>
      <c r="H3" s="19"/>
      <c r="K3" s="17"/>
    </row>
    <row r="4" spans="2:20" ht="15.75" thickBot="1" x14ac:dyDescent="0.3">
      <c r="E4" s="18">
        <v>881260.45393933565</v>
      </c>
      <c r="F4" s="17">
        <v>337190598.98000044</v>
      </c>
      <c r="G4" s="17">
        <v>91596172.679999948</v>
      </c>
      <c r="H4" s="17">
        <v>245594426.29999992</v>
      </c>
      <c r="J4" t="s">
        <v>12</v>
      </c>
      <c r="K4" s="17">
        <v>243178590.76826</v>
      </c>
      <c r="Q4" s="16">
        <v>0.1</v>
      </c>
      <c r="R4" s="15">
        <v>0.9</v>
      </c>
    </row>
    <row r="5" spans="2:20" ht="60.75" thickBot="1" x14ac:dyDescent="0.3">
      <c r="B5" s="14" t="s">
        <v>11</v>
      </c>
      <c r="C5" s="14" t="s">
        <v>10</v>
      </c>
      <c r="D5" s="14" t="s">
        <v>9</v>
      </c>
      <c r="E5" s="14" t="s">
        <v>120</v>
      </c>
      <c r="F5" s="14" t="s">
        <v>121</v>
      </c>
      <c r="G5" s="14" t="s">
        <v>122</v>
      </c>
      <c r="H5" s="14" t="s">
        <v>123</v>
      </c>
      <c r="I5" s="14" t="s">
        <v>8</v>
      </c>
      <c r="J5" s="14" t="s">
        <v>1</v>
      </c>
      <c r="K5" s="14" t="s">
        <v>124</v>
      </c>
      <c r="M5" s="14" t="s">
        <v>7</v>
      </c>
      <c r="N5" s="14" t="s">
        <v>6</v>
      </c>
      <c r="O5" s="13" t="s">
        <v>5</v>
      </c>
      <c r="P5" s="13" t="s">
        <v>4</v>
      </c>
      <c r="Q5" s="13" t="s">
        <v>3</v>
      </c>
      <c r="R5" s="13" t="s">
        <v>2</v>
      </c>
      <c r="S5" s="13" t="s">
        <v>1</v>
      </c>
      <c r="T5" s="13" t="s">
        <v>115</v>
      </c>
    </row>
    <row r="6" spans="2:20" x14ac:dyDescent="0.25">
      <c r="B6" s="12">
        <v>1</v>
      </c>
      <c r="C6" s="12">
        <v>1</v>
      </c>
      <c r="D6" s="11" t="s">
        <v>125</v>
      </c>
      <c r="E6" s="8">
        <v>41604.6</v>
      </c>
      <c r="F6" s="7">
        <v>9106793.2699999996</v>
      </c>
      <c r="G6" s="7">
        <v>1225861.31</v>
      </c>
      <c r="H6" s="7">
        <v>7880931.959999999</v>
      </c>
      <c r="I6" s="6">
        <v>189.42453382558656</v>
      </c>
      <c r="J6" s="6">
        <v>189.42453382558656</v>
      </c>
      <c r="K6" s="5">
        <v>7880931.9599999981</v>
      </c>
      <c r="L6" s="4">
        <v>0</v>
      </c>
      <c r="M6" s="2">
        <v>289.2034192100524</v>
      </c>
      <c r="N6" s="1">
        <v>6</v>
      </c>
      <c r="O6" s="3">
        <v>9955.8259685663706</v>
      </c>
      <c r="P6" s="2">
        <v>55.147562240123897</v>
      </c>
      <c r="Q6" s="213">
        <v>218.52897448525334</v>
      </c>
      <c r="R6" s="2">
        <v>359.87786393485146</v>
      </c>
      <c r="S6" s="2">
        <v>218.52897448525334</v>
      </c>
      <c r="T6" s="2">
        <v>189.48309153314776</v>
      </c>
    </row>
    <row r="7" spans="2:20" x14ac:dyDescent="0.25">
      <c r="B7" s="10">
        <v>20</v>
      </c>
      <c r="C7" s="10">
        <v>1</v>
      </c>
      <c r="D7" s="9" t="s">
        <v>126</v>
      </c>
      <c r="E7" s="8">
        <v>149706.54999999999</v>
      </c>
      <c r="F7" s="7">
        <v>66708736.560000002</v>
      </c>
      <c r="G7" s="7">
        <v>17030829.109999999</v>
      </c>
      <c r="H7" s="7">
        <v>49677907.450000003</v>
      </c>
      <c r="I7" s="6">
        <v>331.83522998826709</v>
      </c>
      <c r="J7" s="6">
        <v>331.83522998826709</v>
      </c>
      <c r="K7" s="5">
        <v>49677907.450000003</v>
      </c>
      <c r="L7" s="4">
        <v>0</v>
      </c>
      <c r="M7" s="2">
        <v>289.2034192100524</v>
      </c>
      <c r="N7" s="1">
        <v>6</v>
      </c>
      <c r="O7" s="3">
        <v>1817.4712902295018</v>
      </c>
      <c r="P7" s="2">
        <v>55.147562240123897</v>
      </c>
      <c r="Q7" s="2">
        <v>218.52897448525334</v>
      </c>
      <c r="R7" s="2">
        <v>359.87786393485146</v>
      </c>
      <c r="S7" s="2">
        <v>331.83522998826709</v>
      </c>
      <c r="T7" s="2">
        <v>331.83522998826709</v>
      </c>
    </row>
    <row r="8" spans="2:20" x14ac:dyDescent="0.25">
      <c r="B8" s="10">
        <v>50</v>
      </c>
      <c r="C8" s="10">
        <v>1</v>
      </c>
      <c r="D8" s="9" t="s">
        <v>127</v>
      </c>
      <c r="E8" s="8">
        <v>25364.44</v>
      </c>
      <c r="F8" s="7">
        <v>9943762.0800000001</v>
      </c>
      <c r="G8" s="7">
        <v>3587118.75</v>
      </c>
      <c r="H8" s="7">
        <v>6356643.3300000001</v>
      </c>
      <c r="I8" s="6">
        <v>250.61240579330749</v>
      </c>
      <c r="J8" s="6">
        <v>250.61240579330749</v>
      </c>
      <c r="K8" s="5">
        <v>6356643.3300000001</v>
      </c>
      <c r="L8" s="4">
        <v>0</v>
      </c>
      <c r="M8" s="2">
        <v>289.2034192100524</v>
      </c>
      <c r="N8" s="1">
        <v>6</v>
      </c>
      <c r="O8" s="3">
        <v>1489.2663165313859</v>
      </c>
      <c r="P8" s="2">
        <v>55.147562240123897</v>
      </c>
      <c r="Q8" s="2">
        <v>218.52897448525334</v>
      </c>
      <c r="R8" s="2">
        <v>359.87786393485146</v>
      </c>
      <c r="S8" s="2">
        <v>250.61240579330749</v>
      </c>
      <c r="T8" s="2">
        <v>247.92356791815089</v>
      </c>
    </row>
    <row r="9" spans="2:20" x14ac:dyDescent="0.25">
      <c r="B9" s="10">
        <v>97</v>
      </c>
      <c r="C9" s="10">
        <v>1</v>
      </c>
      <c r="D9" s="9" t="s">
        <v>128</v>
      </c>
      <c r="E9" s="8">
        <v>74378.210000000006</v>
      </c>
      <c r="F9" s="7">
        <v>26218442.059999999</v>
      </c>
      <c r="G9" s="7">
        <v>7861993.5800000001</v>
      </c>
      <c r="H9" s="7">
        <v>18356448.479999997</v>
      </c>
      <c r="I9" s="6">
        <v>246.79873957708844</v>
      </c>
      <c r="J9" s="6">
        <v>246.79873957708844</v>
      </c>
      <c r="K9" s="5">
        <v>18356448.479999997</v>
      </c>
      <c r="L9" s="4">
        <v>0</v>
      </c>
      <c r="M9" s="2">
        <v>289.2034192100524</v>
      </c>
      <c r="N9" s="1">
        <v>6</v>
      </c>
      <c r="O9" s="3">
        <v>1798.1568547743086</v>
      </c>
      <c r="P9" s="2">
        <v>55.147562240123897</v>
      </c>
      <c r="Q9" s="2">
        <v>218.52897448525334</v>
      </c>
      <c r="R9" s="2">
        <v>359.87786393485146</v>
      </c>
      <c r="S9" s="2">
        <v>246.79873957708844</v>
      </c>
      <c r="T9" s="2">
        <v>247.4873409833337</v>
      </c>
    </row>
    <row r="10" spans="2:20" x14ac:dyDescent="0.25">
      <c r="B10" s="10">
        <v>172</v>
      </c>
      <c r="C10" s="10">
        <v>1</v>
      </c>
      <c r="D10" s="9" t="s">
        <v>129</v>
      </c>
      <c r="E10" s="8">
        <v>38983.769999999997</v>
      </c>
      <c r="F10" s="7">
        <v>14319979.35</v>
      </c>
      <c r="G10" s="7">
        <v>4650199.01</v>
      </c>
      <c r="H10" s="7">
        <v>9669780.3399999999</v>
      </c>
      <c r="I10" s="6">
        <v>248.04631106740064</v>
      </c>
      <c r="J10" s="6">
        <v>248.04631106740064</v>
      </c>
      <c r="K10" s="5">
        <v>9669780.3399999999</v>
      </c>
      <c r="L10" s="4">
        <v>0</v>
      </c>
      <c r="M10" s="2">
        <v>289.2034192100524</v>
      </c>
      <c r="N10" s="1">
        <v>6</v>
      </c>
      <c r="O10" s="3">
        <v>1693.9075506659321</v>
      </c>
      <c r="P10" s="2">
        <v>55.147562240123897</v>
      </c>
      <c r="Q10" s="2">
        <v>218.52897448525334</v>
      </c>
      <c r="R10" s="2">
        <v>359.87786393485146</v>
      </c>
      <c r="S10" s="2">
        <v>248.04631106740064</v>
      </c>
      <c r="T10" s="2">
        <v>248.04631106740064</v>
      </c>
    </row>
    <row r="11" spans="2:20" x14ac:dyDescent="0.25">
      <c r="B11" s="10">
        <v>270</v>
      </c>
      <c r="C11" s="10">
        <v>1</v>
      </c>
      <c r="D11" s="9" t="s">
        <v>130</v>
      </c>
      <c r="E11" s="8">
        <v>88996.06</v>
      </c>
      <c r="F11" s="7">
        <v>39240513.109999999</v>
      </c>
      <c r="G11" s="7">
        <v>9996266.1099999994</v>
      </c>
      <c r="H11" s="7">
        <v>29244247</v>
      </c>
      <c r="I11" s="6">
        <v>328.60159202553461</v>
      </c>
      <c r="J11" s="6">
        <v>328.60159202553461</v>
      </c>
      <c r="K11" s="5">
        <v>29244247</v>
      </c>
      <c r="L11" s="4">
        <v>0</v>
      </c>
      <c r="M11" s="2">
        <v>289.2034192100524</v>
      </c>
      <c r="N11" s="1">
        <v>6</v>
      </c>
      <c r="O11" s="3">
        <v>1552.2160211986015</v>
      </c>
      <c r="P11" s="2">
        <v>55.147562240123897</v>
      </c>
      <c r="Q11" s="2">
        <v>218.52897448525334</v>
      </c>
      <c r="R11" s="2">
        <v>359.87786393485146</v>
      </c>
      <c r="S11" s="2">
        <v>328.60159202553461</v>
      </c>
      <c r="T11" s="2">
        <v>329.72867271999792</v>
      </c>
    </row>
    <row r="12" spans="2:20" x14ac:dyDescent="0.25">
      <c r="B12" s="10">
        <v>6</v>
      </c>
      <c r="C12" s="10">
        <v>2</v>
      </c>
      <c r="D12" s="9" t="s">
        <v>131</v>
      </c>
      <c r="E12" s="8">
        <v>46429.69</v>
      </c>
      <c r="F12" s="7">
        <v>17862244.859999999</v>
      </c>
      <c r="G12" s="7">
        <v>5438993.5999999996</v>
      </c>
      <c r="H12" s="7">
        <v>12423251.26</v>
      </c>
      <c r="I12" s="6">
        <v>267.57127303671422</v>
      </c>
      <c r="J12" s="6">
        <v>261.32967201903267</v>
      </c>
      <c r="K12" s="5">
        <v>12133455.659645362</v>
      </c>
      <c r="L12" s="4">
        <v>0</v>
      </c>
      <c r="M12" s="2">
        <v>201.48027649319107</v>
      </c>
      <c r="N12" s="1">
        <v>6</v>
      </c>
      <c r="O12" s="3">
        <v>4368.0198241159887</v>
      </c>
      <c r="P12" s="2">
        <v>46.700731468739889</v>
      </c>
      <c r="Q12" s="2">
        <v>141.63088096734947</v>
      </c>
      <c r="R12" s="2">
        <v>261.32967201903267</v>
      </c>
      <c r="S12" s="2">
        <v>261.32967201903267</v>
      </c>
      <c r="T12" s="2">
        <v>263.18005627939556</v>
      </c>
    </row>
    <row r="13" spans="2:20" x14ac:dyDescent="0.25">
      <c r="B13" s="10">
        <v>18</v>
      </c>
      <c r="C13" s="10">
        <v>2</v>
      </c>
      <c r="D13" s="9" t="s">
        <v>132</v>
      </c>
      <c r="E13" s="8">
        <v>23924.73</v>
      </c>
      <c r="F13" s="7">
        <v>7433527.3700000001</v>
      </c>
      <c r="G13" s="7">
        <v>3225445.3699999996</v>
      </c>
      <c r="H13" s="7">
        <v>4208082</v>
      </c>
      <c r="I13" s="6">
        <v>175.88837993156037</v>
      </c>
      <c r="J13" s="6">
        <v>175.88837993156037</v>
      </c>
      <c r="K13" s="5">
        <v>4208082</v>
      </c>
      <c r="L13" s="4">
        <v>0</v>
      </c>
      <c r="M13" s="2">
        <v>201.48027649319107</v>
      </c>
      <c r="N13" s="1">
        <v>6</v>
      </c>
      <c r="O13" s="3">
        <v>654.94516962120554</v>
      </c>
      <c r="P13" s="2">
        <v>46.700731468739889</v>
      </c>
      <c r="Q13" s="2">
        <v>141.63088096734947</v>
      </c>
      <c r="R13" s="2">
        <v>261.32967201903267</v>
      </c>
      <c r="S13" s="2">
        <v>175.88837993156037</v>
      </c>
      <c r="T13" s="2">
        <v>175.88837993156037</v>
      </c>
    </row>
    <row r="14" spans="2:20" x14ac:dyDescent="0.25">
      <c r="B14" s="10">
        <v>53</v>
      </c>
      <c r="C14" s="10">
        <v>2</v>
      </c>
      <c r="D14" s="9" t="s">
        <v>133</v>
      </c>
      <c r="E14" s="8">
        <v>34184.25</v>
      </c>
      <c r="F14" s="7">
        <v>11024021.83</v>
      </c>
      <c r="G14" s="7">
        <v>3981950.07</v>
      </c>
      <c r="H14" s="7">
        <v>7042071.7599999998</v>
      </c>
      <c r="I14" s="6">
        <v>206.00340098144613</v>
      </c>
      <c r="J14" s="6">
        <v>206.00340098144613</v>
      </c>
      <c r="K14" s="5">
        <v>7042071.7599999998</v>
      </c>
      <c r="L14" s="4">
        <v>0</v>
      </c>
      <c r="M14" s="2">
        <v>201.48027649319107</v>
      </c>
      <c r="N14" s="1">
        <v>6</v>
      </c>
      <c r="O14" s="3">
        <v>20.458655136252634</v>
      </c>
      <c r="P14" s="2">
        <v>46.700731468739889</v>
      </c>
      <c r="Q14" s="2">
        <v>141.63088096734947</v>
      </c>
      <c r="R14" s="2">
        <v>261.32967201903267</v>
      </c>
      <c r="S14" s="2">
        <v>206.00340098144613</v>
      </c>
      <c r="T14" s="2">
        <v>206.00340098144613</v>
      </c>
    </row>
    <row r="15" spans="2:20" x14ac:dyDescent="0.25">
      <c r="B15" s="10">
        <v>335</v>
      </c>
      <c r="C15" s="10">
        <v>2</v>
      </c>
      <c r="D15" s="9" t="s">
        <v>134</v>
      </c>
      <c r="E15" s="8">
        <v>24571.18</v>
      </c>
      <c r="F15" s="7">
        <v>8787207.3100000005</v>
      </c>
      <c r="G15" s="7">
        <v>3078982.64</v>
      </c>
      <c r="H15" s="7">
        <v>5708224.6699999999</v>
      </c>
      <c r="I15" s="6">
        <v>232.31381927933455</v>
      </c>
      <c r="J15" s="6">
        <v>232.31381927933455</v>
      </c>
      <c r="K15" s="5">
        <v>5708224.6699999999</v>
      </c>
      <c r="L15" s="4">
        <v>0</v>
      </c>
      <c r="M15" s="2">
        <v>201.48027649319107</v>
      </c>
      <c r="N15" s="1">
        <v>6</v>
      </c>
      <c r="O15" s="3">
        <v>950.70736074494073</v>
      </c>
      <c r="P15" s="2">
        <v>46.700731468739889</v>
      </c>
      <c r="Q15" s="2">
        <v>141.63088096734947</v>
      </c>
      <c r="R15" s="2">
        <v>261.32967201903267</v>
      </c>
      <c r="S15" s="2">
        <v>232.31381927933455</v>
      </c>
      <c r="T15" s="2">
        <v>232.31381927933455</v>
      </c>
    </row>
    <row r="16" spans="2:20" x14ac:dyDescent="0.25">
      <c r="B16" s="10">
        <v>357</v>
      </c>
      <c r="C16" s="10">
        <v>2</v>
      </c>
      <c r="D16" s="9" t="s">
        <v>135</v>
      </c>
      <c r="E16" s="8">
        <v>36804.239999999998</v>
      </c>
      <c r="F16" s="7">
        <v>11544567.77</v>
      </c>
      <c r="G16" s="7">
        <v>4247423.8999999994</v>
      </c>
      <c r="H16" s="7">
        <v>7297143.8700000001</v>
      </c>
      <c r="I16" s="6">
        <v>198.26910893962219</v>
      </c>
      <c r="J16" s="6">
        <v>198.26910893962219</v>
      </c>
      <c r="K16" s="5">
        <v>7297143.8700000001</v>
      </c>
      <c r="L16" s="4">
        <v>0</v>
      </c>
      <c r="M16" s="2">
        <v>201.48027649319107</v>
      </c>
      <c r="N16" s="1">
        <v>6</v>
      </c>
      <c r="O16" s="3">
        <v>10.311597057093575</v>
      </c>
      <c r="P16" s="2">
        <v>46.700731468739889</v>
      </c>
      <c r="Q16" s="2">
        <v>141.63088096734947</v>
      </c>
      <c r="R16" s="2">
        <v>261.32967201903267</v>
      </c>
      <c r="S16" s="2">
        <v>198.26910893962219</v>
      </c>
      <c r="T16" s="2">
        <v>209.22060311529322</v>
      </c>
    </row>
    <row r="17" spans="2:20" x14ac:dyDescent="0.25">
      <c r="B17" s="10">
        <v>441</v>
      </c>
      <c r="C17" s="10">
        <v>2</v>
      </c>
      <c r="D17" s="9" t="s">
        <v>136</v>
      </c>
      <c r="E17" s="8">
        <v>61800.74</v>
      </c>
      <c r="F17" s="7">
        <v>17977935.800000001</v>
      </c>
      <c r="G17" s="7">
        <v>8776662.4500000011</v>
      </c>
      <c r="H17" s="7">
        <v>9201273.3499999996</v>
      </c>
      <c r="I17" s="6">
        <v>148.88613550582079</v>
      </c>
      <c r="J17" s="6">
        <v>148.88613550582079</v>
      </c>
      <c r="K17" s="5">
        <v>9201273.3499999996</v>
      </c>
      <c r="L17" s="4">
        <v>0</v>
      </c>
      <c r="M17" s="2">
        <v>201.48027649319107</v>
      </c>
      <c r="N17" s="1">
        <v>6</v>
      </c>
      <c r="O17" s="3">
        <v>2766.1436661993826</v>
      </c>
      <c r="P17" s="2">
        <v>46.700731468739889</v>
      </c>
      <c r="Q17" s="2">
        <v>141.63088096734947</v>
      </c>
      <c r="R17" s="2">
        <v>261.32967201903267</v>
      </c>
      <c r="S17" s="2">
        <v>148.88613550582079</v>
      </c>
      <c r="T17" s="2">
        <v>148.88613550582085</v>
      </c>
    </row>
    <row r="18" spans="2:20" x14ac:dyDescent="0.25">
      <c r="B18" s="10">
        <v>14</v>
      </c>
      <c r="C18" s="10">
        <v>3</v>
      </c>
      <c r="D18" s="9" t="s">
        <v>137</v>
      </c>
      <c r="E18" s="8">
        <v>11545.804700530662</v>
      </c>
      <c r="F18" s="7">
        <v>2371013.56</v>
      </c>
      <c r="G18" s="7">
        <v>249227.8</v>
      </c>
      <c r="H18" s="7">
        <v>2121785.7600000002</v>
      </c>
      <c r="I18" s="6">
        <v>183.77114588665091</v>
      </c>
      <c r="J18" s="6">
        <v>183.77114588665091</v>
      </c>
      <c r="K18" s="5">
        <v>2121785.7600000002</v>
      </c>
      <c r="L18" s="4">
        <v>0</v>
      </c>
      <c r="M18" s="2">
        <v>200.20324483264034</v>
      </c>
      <c r="N18" s="1">
        <v>7</v>
      </c>
      <c r="O18" s="3">
        <v>270.01387577078674</v>
      </c>
      <c r="P18" s="2">
        <v>69.984572333518443</v>
      </c>
      <c r="Q18" s="2">
        <v>110.51440659465044</v>
      </c>
      <c r="R18" s="2">
        <v>289.89208307063024</v>
      </c>
      <c r="S18" s="2">
        <v>183.77114588665091</v>
      </c>
      <c r="T18" s="2">
        <v>183.77114588665091</v>
      </c>
    </row>
    <row r="19" spans="2:20" x14ac:dyDescent="0.25">
      <c r="B19" s="10">
        <v>36</v>
      </c>
      <c r="C19" s="10">
        <v>3</v>
      </c>
      <c r="D19" s="9" t="s">
        <v>138</v>
      </c>
      <c r="E19" s="8">
        <v>8688.07</v>
      </c>
      <c r="F19" s="7">
        <v>4002500.8</v>
      </c>
      <c r="G19" s="7">
        <v>1198954.3500000001</v>
      </c>
      <c r="H19" s="7">
        <v>2803546.4499999997</v>
      </c>
      <c r="I19" s="6">
        <v>322.6892106071889</v>
      </c>
      <c r="J19" s="6">
        <v>289.89208307063024</v>
      </c>
      <c r="K19" s="5">
        <v>2518602.7101634503</v>
      </c>
      <c r="L19" s="4">
        <v>0</v>
      </c>
      <c r="M19" s="2">
        <v>200.20324483264034</v>
      </c>
      <c r="N19" s="1">
        <v>7</v>
      </c>
      <c r="O19" s="3">
        <v>15002.811811723881</v>
      </c>
      <c r="P19" s="2">
        <v>69.984572333518443</v>
      </c>
      <c r="Q19" s="2">
        <v>110.51440659465044</v>
      </c>
      <c r="R19" s="2">
        <v>289.89208307063024</v>
      </c>
      <c r="S19" s="2">
        <v>289.89208307063024</v>
      </c>
      <c r="T19" s="2">
        <v>286.38691805971553</v>
      </c>
    </row>
    <row r="20" spans="2:20" x14ac:dyDescent="0.25">
      <c r="B20" s="10">
        <v>55</v>
      </c>
      <c r="C20" s="10">
        <v>3</v>
      </c>
      <c r="D20" s="9" t="s">
        <v>139</v>
      </c>
      <c r="E20" s="8">
        <v>5641.52</v>
      </c>
      <c r="F20" s="7">
        <v>1560752.65</v>
      </c>
      <c r="G20" s="7">
        <v>225757.29</v>
      </c>
      <c r="H20" s="7">
        <v>1334995.3599999999</v>
      </c>
      <c r="I20" s="6">
        <v>236.63753031097997</v>
      </c>
      <c r="J20" s="6">
        <v>236.63753031097997</v>
      </c>
      <c r="K20" s="5">
        <v>1334995.3599999999</v>
      </c>
      <c r="L20" s="4">
        <v>0</v>
      </c>
      <c r="M20" s="2">
        <v>200.20324483264034</v>
      </c>
      <c r="N20" s="1">
        <v>7</v>
      </c>
      <c r="O20" s="3">
        <v>1327.4571583171503</v>
      </c>
      <c r="P20" s="2">
        <v>69.984572333518443</v>
      </c>
      <c r="Q20" s="2">
        <v>110.51440659465044</v>
      </c>
      <c r="R20" s="2">
        <v>289.89208307063024</v>
      </c>
      <c r="S20" s="2">
        <v>236.63753031097997</v>
      </c>
      <c r="T20" s="2">
        <v>234.95138366964929</v>
      </c>
    </row>
    <row r="21" spans="2:20" x14ac:dyDescent="0.25">
      <c r="B21" s="10">
        <v>103</v>
      </c>
      <c r="C21" s="10">
        <v>3</v>
      </c>
      <c r="D21" s="9" t="s">
        <v>140</v>
      </c>
      <c r="E21" s="8">
        <v>4611.17</v>
      </c>
      <c r="F21" s="7">
        <v>1422510.27</v>
      </c>
      <c r="G21" s="7">
        <v>707422.1</v>
      </c>
      <c r="H21" s="7">
        <v>715088.17</v>
      </c>
      <c r="I21" s="6">
        <v>155.07738166235467</v>
      </c>
      <c r="J21" s="6">
        <v>155.07738166235467</v>
      </c>
      <c r="K21" s="5">
        <v>715088.17</v>
      </c>
      <c r="L21" s="4">
        <v>0</v>
      </c>
      <c r="M21" s="2">
        <v>200.20324483264034</v>
      </c>
      <c r="N21" s="1">
        <v>7</v>
      </c>
      <c r="O21" s="3">
        <v>2036.3435268633446</v>
      </c>
      <c r="P21" s="2">
        <v>69.984572333518443</v>
      </c>
      <c r="Q21" s="2">
        <v>110.51440659465044</v>
      </c>
      <c r="R21" s="2">
        <v>289.89208307063024</v>
      </c>
      <c r="S21" s="2">
        <v>155.07738166235467</v>
      </c>
      <c r="T21" s="2">
        <v>155.07738166235467</v>
      </c>
    </row>
    <row r="22" spans="2:20" x14ac:dyDescent="0.25">
      <c r="B22" s="10">
        <v>123</v>
      </c>
      <c r="C22" s="10">
        <v>3</v>
      </c>
      <c r="D22" s="9" t="s">
        <v>141</v>
      </c>
      <c r="E22" s="8">
        <v>5867.41</v>
      </c>
      <c r="F22" s="7">
        <v>853814.51</v>
      </c>
      <c r="G22" s="7">
        <v>33</v>
      </c>
      <c r="H22" s="7">
        <v>853781.51</v>
      </c>
      <c r="I22" s="6">
        <v>145.51250210910777</v>
      </c>
      <c r="J22" s="6">
        <v>145.51250210910777</v>
      </c>
      <c r="K22" s="5">
        <v>853781.51</v>
      </c>
      <c r="L22" s="4">
        <v>0</v>
      </c>
      <c r="M22" s="2">
        <v>200.20324483264034</v>
      </c>
      <c r="N22" s="1">
        <v>7</v>
      </c>
      <c r="O22" s="3">
        <v>2991.0773396516302</v>
      </c>
      <c r="P22" s="2">
        <v>69.984572333518443</v>
      </c>
      <c r="Q22" s="2">
        <v>110.51440659465044</v>
      </c>
      <c r="R22" s="2">
        <v>289.89208307063024</v>
      </c>
      <c r="S22" s="2">
        <v>145.51250210910777</v>
      </c>
      <c r="T22" s="2">
        <v>145.51250210910777</v>
      </c>
    </row>
    <row r="23" spans="2:20" x14ac:dyDescent="0.25">
      <c r="B23" s="10">
        <v>179</v>
      </c>
      <c r="C23" s="10">
        <v>3</v>
      </c>
      <c r="D23" s="9" t="s">
        <v>142</v>
      </c>
      <c r="E23" s="8">
        <v>6735.06</v>
      </c>
      <c r="F23" s="7">
        <v>2250698.11</v>
      </c>
      <c r="G23" s="7">
        <v>838854.01</v>
      </c>
      <c r="H23" s="7">
        <v>1411844.0999999999</v>
      </c>
      <c r="I23" s="6">
        <v>209.62606123776177</v>
      </c>
      <c r="J23" s="6">
        <v>209.62606123776177</v>
      </c>
      <c r="K23" s="5">
        <v>1411844.0999999999</v>
      </c>
      <c r="L23" s="4">
        <v>0</v>
      </c>
      <c r="M23" s="2">
        <v>200.20324483264034</v>
      </c>
      <c r="N23" s="1">
        <v>7</v>
      </c>
      <c r="O23" s="3">
        <v>88.789469004625701</v>
      </c>
      <c r="P23" s="2">
        <v>69.984572333518443</v>
      </c>
      <c r="Q23" s="2">
        <v>110.51440659465044</v>
      </c>
      <c r="R23" s="2">
        <v>289.89208307063024</v>
      </c>
      <c r="S23" s="2">
        <v>209.62606123776177</v>
      </c>
      <c r="T23" s="2">
        <v>200.45311981352671</v>
      </c>
    </row>
    <row r="24" spans="2:20" x14ac:dyDescent="0.25">
      <c r="B24" s="10">
        <v>293</v>
      </c>
      <c r="C24" s="10">
        <v>3</v>
      </c>
      <c r="D24" s="9" t="s">
        <v>143</v>
      </c>
      <c r="E24" s="8">
        <v>8120.68</v>
      </c>
      <c r="F24" s="7">
        <v>1969324.68</v>
      </c>
      <c r="G24" s="7">
        <v>958014.98</v>
      </c>
      <c r="H24" s="7">
        <v>1011309.7</v>
      </c>
      <c r="I24" s="6">
        <v>124.53510050882437</v>
      </c>
      <c r="J24" s="6">
        <v>124.53510050882437</v>
      </c>
      <c r="K24" s="5">
        <v>1011309.7</v>
      </c>
      <c r="L24" s="4">
        <v>0</v>
      </c>
      <c r="M24" s="2">
        <v>200.20324483264034</v>
      </c>
      <c r="N24" s="1">
        <v>7</v>
      </c>
      <c r="O24" s="3">
        <v>5725.6680654098427</v>
      </c>
      <c r="P24" s="2">
        <v>69.984572333518443</v>
      </c>
      <c r="Q24" s="2">
        <v>110.51440659465044</v>
      </c>
      <c r="R24" s="2">
        <v>289.89208307063024</v>
      </c>
      <c r="S24" s="2">
        <v>124.53510050882437</v>
      </c>
      <c r="T24" s="2">
        <v>146.35203352962515</v>
      </c>
    </row>
    <row r="25" spans="2:20" x14ac:dyDescent="0.25">
      <c r="B25" s="10">
        <v>12</v>
      </c>
      <c r="C25" s="10">
        <v>4</v>
      </c>
      <c r="D25" s="9" t="s">
        <v>144</v>
      </c>
      <c r="E25" s="8">
        <v>5905.93</v>
      </c>
      <c r="F25" s="7">
        <v>3090261.13</v>
      </c>
      <c r="G25" s="7">
        <v>559227.85</v>
      </c>
      <c r="H25" s="7">
        <v>2531033.2799999998</v>
      </c>
      <c r="I25" s="6">
        <v>428.55795446271793</v>
      </c>
      <c r="J25" s="6">
        <v>428.55795446271793</v>
      </c>
      <c r="K25" s="5">
        <v>2531033.2799999998</v>
      </c>
      <c r="L25" s="4">
        <v>0</v>
      </c>
      <c r="M25" s="2">
        <v>325.79174309395529</v>
      </c>
      <c r="N25" s="1">
        <v>15</v>
      </c>
      <c r="O25" s="3">
        <v>10560.8941990892</v>
      </c>
      <c r="P25" s="2">
        <v>94.951752060484878</v>
      </c>
      <c r="Q25" s="2">
        <v>204.10617658963815</v>
      </c>
      <c r="R25" s="2">
        <v>447.47730959827243</v>
      </c>
      <c r="S25" s="2">
        <v>428.55795446271793</v>
      </c>
      <c r="T25" s="2">
        <v>428.55795446271793</v>
      </c>
    </row>
    <row r="26" spans="2:20" x14ac:dyDescent="0.25">
      <c r="B26" s="10">
        <v>21</v>
      </c>
      <c r="C26" s="10">
        <v>4</v>
      </c>
      <c r="D26" s="9" t="s">
        <v>145</v>
      </c>
      <c r="E26" s="8">
        <v>5000.62</v>
      </c>
      <c r="F26" s="7">
        <v>2200771.41</v>
      </c>
      <c r="G26" s="7">
        <v>808842.57000000007</v>
      </c>
      <c r="H26" s="7">
        <v>1391928.84</v>
      </c>
      <c r="I26" s="6">
        <v>278.35125244469685</v>
      </c>
      <c r="J26" s="6">
        <v>278.35125244469685</v>
      </c>
      <c r="K26" s="5">
        <v>1391928.8399999999</v>
      </c>
      <c r="L26" s="4">
        <v>0</v>
      </c>
      <c r="M26" s="2">
        <v>325.79174309395529</v>
      </c>
      <c r="N26" s="1">
        <v>15</v>
      </c>
      <c r="O26" s="3">
        <v>2250.6001530423773</v>
      </c>
      <c r="P26" s="2">
        <v>94.951752060484878</v>
      </c>
      <c r="Q26" s="2">
        <v>204.10617658963815</v>
      </c>
      <c r="R26" s="2">
        <v>447.47730959827243</v>
      </c>
      <c r="S26" s="2">
        <v>278.35125244469685</v>
      </c>
      <c r="T26" s="2">
        <v>278.35125244469691</v>
      </c>
    </row>
    <row r="27" spans="2:20" x14ac:dyDescent="0.25">
      <c r="B27" s="10">
        <v>34</v>
      </c>
      <c r="C27" s="10">
        <v>4</v>
      </c>
      <c r="D27" s="9" t="s">
        <v>146</v>
      </c>
      <c r="E27" s="8">
        <v>4314.5285898996199</v>
      </c>
      <c r="F27" s="7">
        <v>2311070.11</v>
      </c>
      <c r="G27" s="7">
        <v>513200.1</v>
      </c>
      <c r="H27" s="7">
        <v>1797870.0099999998</v>
      </c>
      <c r="I27" s="6">
        <v>416.70137827081322</v>
      </c>
      <c r="J27" s="6">
        <v>416.70137827081322</v>
      </c>
      <c r="K27" s="5">
        <v>1797870.0099999998</v>
      </c>
      <c r="L27" s="4">
        <v>0</v>
      </c>
      <c r="M27" s="2">
        <v>325.79174309395529</v>
      </c>
      <c r="N27" s="1">
        <v>15</v>
      </c>
      <c r="O27" s="3">
        <v>8264.5617679894058</v>
      </c>
      <c r="P27" s="2">
        <v>94.951752060484878</v>
      </c>
      <c r="Q27" s="2">
        <v>204.10617658963815</v>
      </c>
      <c r="R27" s="2">
        <v>447.47730959827243</v>
      </c>
      <c r="S27" s="2">
        <v>416.70137827081322</v>
      </c>
      <c r="T27" s="2">
        <v>465.13048495925295</v>
      </c>
    </row>
    <row r="28" spans="2:20" x14ac:dyDescent="0.25">
      <c r="B28" s="10">
        <v>87</v>
      </c>
      <c r="C28" s="10">
        <v>4</v>
      </c>
      <c r="D28" s="9" t="s">
        <v>147</v>
      </c>
      <c r="E28" s="8">
        <v>11986.87</v>
      </c>
      <c r="F28" s="7">
        <v>4956764.6100000003</v>
      </c>
      <c r="G28" s="7">
        <v>1616295.68</v>
      </c>
      <c r="H28" s="7">
        <v>3340468.9300000006</v>
      </c>
      <c r="I28" s="6">
        <v>278.67733027888016</v>
      </c>
      <c r="J28" s="6">
        <v>278.67733027888016</v>
      </c>
      <c r="K28" s="5">
        <v>3340468.9300000006</v>
      </c>
      <c r="L28" s="4">
        <v>0</v>
      </c>
      <c r="M28" s="2">
        <v>325.79174309395529</v>
      </c>
      <c r="N28" s="1">
        <v>15</v>
      </c>
      <c r="O28" s="3">
        <v>2219.7678949093151</v>
      </c>
      <c r="P28" s="2">
        <v>94.951752060484878</v>
      </c>
      <c r="Q28" s="2">
        <v>204.10617658963815</v>
      </c>
      <c r="R28" s="2">
        <v>447.47730959827243</v>
      </c>
      <c r="S28" s="2">
        <v>278.67733027888016</v>
      </c>
      <c r="T28" s="2">
        <v>276.06843401568739</v>
      </c>
    </row>
    <row r="29" spans="2:20" x14ac:dyDescent="0.25">
      <c r="B29" s="10">
        <v>88</v>
      </c>
      <c r="C29" s="10">
        <v>4</v>
      </c>
      <c r="D29" s="9" t="s">
        <v>148</v>
      </c>
      <c r="E29" s="8">
        <v>5152.42</v>
      </c>
      <c r="F29" s="7">
        <v>1973891.96</v>
      </c>
      <c r="G29" s="7">
        <v>693621.51</v>
      </c>
      <c r="H29" s="7">
        <v>1280270.45</v>
      </c>
      <c r="I29" s="6">
        <v>248.47944266965814</v>
      </c>
      <c r="J29" s="6">
        <v>248.47944266965814</v>
      </c>
      <c r="K29" s="5">
        <v>1280270.45</v>
      </c>
      <c r="L29" s="4">
        <v>0</v>
      </c>
      <c r="M29" s="2">
        <v>325.79174309395529</v>
      </c>
      <c r="N29" s="1">
        <v>15</v>
      </c>
      <c r="O29" s="3">
        <v>5977.1917968967773</v>
      </c>
      <c r="P29" s="2">
        <v>94.951752060484878</v>
      </c>
      <c r="Q29" s="2">
        <v>204.10617658963815</v>
      </c>
      <c r="R29" s="2">
        <v>447.47730959827243</v>
      </c>
      <c r="S29" s="2">
        <v>248.47944266965814</v>
      </c>
      <c r="T29" s="2">
        <v>248.37920433505033</v>
      </c>
    </row>
    <row r="30" spans="2:20" x14ac:dyDescent="0.25">
      <c r="B30" s="10">
        <v>89</v>
      </c>
      <c r="C30" s="10">
        <v>4</v>
      </c>
      <c r="D30" s="9" t="s">
        <v>149</v>
      </c>
      <c r="E30" s="8">
        <v>5724.7</v>
      </c>
      <c r="F30" s="7">
        <v>3475560.94</v>
      </c>
      <c r="G30" s="7">
        <v>482424.94</v>
      </c>
      <c r="H30" s="7">
        <v>2993136</v>
      </c>
      <c r="I30" s="6">
        <v>522.84591332296895</v>
      </c>
      <c r="J30" s="6">
        <v>447.47730959827243</v>
      </c>
      <c r="K30" s="5">
        <v>2561673.3542572302</v>
      </c>
      <c r="L30" s="4">
        <v>0</v>
      </c>
      <c r="M30" s="2">
        <v>325.79174309395529</v>
      </c>
      <c r="N30" s="1">
        <v>15</v>
      </c>
      <c r="O30" s="3">
        <v>38830.346004645093</v>
      </c>
      <c r="P30" s="2">
        <v>94.951752060484878</v>
      </c>
      <c r="Q30" s="2">
        <v>204.10617658963815</v>
      </c>
      <c r="R30" s="2">
        <v>447.47730959827243</v>
      </c>
      <c r="S30" s="2">
        <v>447.47730959827243</v>
      </c>
      <c r="T30" s="2">
        <v>465.13048495925295</v>
      </c>
    </row>
    <row r="31" spans="2:20" x14ac:dyDescent="0.25">
      <c r="B31" s="10">
        <v>143</v>
      </c>
      <c r="C31" s="10">
        <v>4</v>
      </c>
      <c r="D31" s="9" t="s">
        <v>150</v>
      </c>
      <c r="E31" s="8">
        <v>3121.29</v>
      </c>
      <c r="F31" s="7">
        <v>1019227.53</v>
      </c>
      <c r="G31" s="7">
        <v>353105.24</v>
      </c>
      <c r="H31" s="7">
        <v>666122.29</v>
      </c>
      <c r="I31" s="6">
        <v>213.41249611538819</v>
      </c>
      <c r="J31" s="6">
        <v>213.41249611538819</v>
      </c>
      <c r="K31" s="5">
        <v>666122.29</v>
      </c>
      <c r="L31" s="4">
        <v>0</v>
      </c>
      <c r="M31" s="2">
        <v>325.79174309395529</v>
      </c>
      <c r="N31" s="1">
        <v>15</v>
      </c>
      <c r="O31" s="3">
        <v>12629.095151469783</v>
      </c>
      <c r="P31" s="2">
        <v>94.951752060484878</v>
      </c>
      <c r="Q31" s="213">
        <v>204.10617658963815</v>
      </c>
      <c r="R31" s="2">
        <v>447.47730959827243</v>
      </c>
      <c r="S31" s="2">
        <v>213.41249611538819</v>
      </c>
      <c r="T31" s="2">
        <v>184.3044743399233</v>
      </c>
    </row>
    <row r="32" spans="2:20" x14ac:dyDescent="0.25">
      <c r="B32" s="10">
        <v>183</v>
      </c>
      <c r="C32" s="10">
        <v>4</v>
      </c>
      <c r="D32" s="9" t="s">
        <v>151</v>
      </c>
      <c r="E32" s="8">
        <v>13754.03</v>
      </c>
      <c r="F32" s="7">
        <v>5212483.79</v>
      </c>
      <c r="G32" s="7">
        <v>810825.95</v>
      </c>
      <c r="H32" s="7">
        <v>4401657.84</v>
      </c>
      <c r="I32" s="6">
        <v>320.02677324391465</v>
      </c>
      <c r="J32" s="6">
        <v>320.02677324391465</v>
      </c>
      <c r="K32" s="5">
        <v>4401657.84</v>
      </c>
      <c r="L32" s="4">
        <v>0</v>
      </c>
      <c r="M32" s="2">
        <v>325.79174309395529</v>
      </c>
      <c r="N32" s="1">
        <v>15</v>
      </c>
      <c r="O32" s="3">
        <v>33.234877371877637</v>
      </c>
      <c r="P32" s="2">
        <v>94.951752060484878</v>
      </c>
      <c r="Q32" s="2">
        <v>204.10617658963815</v>
      </c>
      <c r="R32" s="2">
        <v>447.47730959827243</v>
      </c>
      <c r="S32" s="2">
        <v>320.02677324391465</v>
      </c>
      <c r="T32" s="2">
        <v>320.02677324391465</v>
      </c>
    </row>
    <row r="33" spans="2:20" x14ac:dyDescent="0.25">
      <c r="B33" s="10">
        <v>186</v>
      </c>
      <c r="C33" s="10">
        <v>4</v>
      </c>
      <c r="D33" s="9" t="s">
        <v>152</v>
      </c>
      <c r="E33" s="8">
        <v>11373.31</v>
      </c>
      <c r="F33" s="7">
        <v>5917398.4400000004</v>
      </c>
      <c r="G33" s="7">
        <v>1250393.55</v>
      </c>
      <c r="H33" s="7">
        <v>4667004.8900000006</v>
      </c>
      <c r="I33" s="6">
        <v>410.34711003217188</v>
      </c>
      <c r="J33" s="6">
        <v>410.34711003217188</v>
      </c>
      <c r="K33" s="5">
        <v>4667004.8900000006</v>
      </c>
      <c r="L33" s="4">
        <v>0</v>
      </c>
      <c r="M33" s="2">
        <v>325.79174309395529</v>
      </c>
      <c r="N33" s="1">
        <v>15</v>
      </c>
      <c r="O33" s="3">
        <v>7149.610078056452</v>
      </c>
      <c r="P33" s="2">
        <v>94.951752060484878</v>
      </c>
      <c r="Q33" s="2">
        <v>204.10617658963815</v>
      </c>
      <c r="R33" s="2">
        <v>447.47730959827243</v>
      </c>
      <c r="S33" s="2">
        <v>410.34711003217188</v>
      </c>
      <c r="T33" s="2">
        <v>410.34711003217188</v>
      </c>
    </row>
    <row r="34" spans="2:20" x14ac:dyDescent="0.25">
      <c r="B34" s="10">
        <v>190</v>
      </c>
      <c r="C34" s="10">
        <v>4</v>
      </c>
      <c r="D34" s="9" t="s">
        <v>153</v>
      </c>
      <c r="E34" s="8">
        <v>3483.98</v>
      </c>
      <c r="F34" s="7">
        <v>1640534.95</v>
      </c>
      <c r="G34" s="7">
        <v>566005.17000000004</v>
      </c>
      <c r="H34" s="7">
        <v>1074529.7799999998</v>
      </c>
      <c r="I34" s="6">
        <v>308.42019184955132</v>
      </c>
      <c r="J34" s="6">
        <v>308.42019184955132</v>
      </c>
      <c r="K34" s="5">
        <v>1074529.7799999998</v>
      </c>
      <c r="L34" s="4">
        <v>0</v>
      </c>
      <c r="M34" s="2">
        <v>325.79174309395529</v>
      </c>
      <c r="N34" s="1">
        <v>15</v>
      </c>
      <c r="O34" s="3">
        <v>301.77079263695327</v>
      </c>
      <c r="P34" s="2">
        <v>94.951752060484878</v>
      </c>
      <c r="Q34" s="2">
        <v>204.10617658963815</v>
      </c>
      <c r="R34" s="2">
        <v>447.47730959827243</v>
      </c>
      <c r="S34" s="2">
        <v>308.42019184955132</v>
      </c>
      <c r="T34" s="2">
        <v>308.42019184955132</v>
      </c>
    </row>
    <row r="35" spans="2:20" x14ac:dyDescent="0.25">
      <c r="B35" s="10">
        <v>324</v>
      </c>
      <c r="C35" s="10">
        <v>4</v>
      </c>
      <c r="D35" s="9" t="s">
        <v>154</v>
      </c>
      <c r="E35" s="8">
        <v>8675.1</v>
      </c>
      <c r="F35" s="7">
        <v>3894218.11</v>
      </c>
      <c r="G35" s="7">
        <v>1174109.95</v>
      </c>
      <c r="H35" s="7">
        <v>2720108.16</v>
      </c>
      <c r="I35" s="6">
        <v>313.55352214960061</v>
      </c>
      <c r="J35" s="6">
        <v>313.55352214960061</v>
      </c>
      <c r="K35" s="5">
        <v>2720108.16</v>
      </c>
      <c r="L35" s="4">
        <v>0</v>
      </c>
      <c r="M35" s="2">
        <v>325.79174309395529</v>
      </c>
      <c r="N35" s="1">
        <v>15</v>
      </c>
      <c r="O35" s="3">
        <v>149.77405188284155</v>
      </c>
      <c r="P35" s="2">
        <v>94.951752060484878</v>
      </c>
      <c r="Q35" s="2">
        <v>204.10617658963815</v>
      </c>
      <c r="R35" s="2">
        <v>447.47730959827243</v>
      </c>
      <c r="S35" s="2">
        <v>313.55352214960061</v>
      </c>
      <c r="T35" s="2">
        <v>313.55352214960061</v>
      </c>
    </row>
    <row r="36" spans="2:20" x14ac:dyDescent="0.25">
      <c r="B36" s="10">
        <v>429</v>
      </c>
      <c r="C36" s="10">
        <v>4</v>
      </c>
      <c r="D36" s="9" t="s">
        <v>155</v>
      </c>
      <c r="E36" s="8">
        <v>4364.1615538193764</v>
      </c>
      <c r="F36" s="7">
        <v>1136652.27</v>
      </c>
      <c r="G36" s="7">
        <v>2541.21</v>
      </c>
      <c r="H36" s="7">
        <v>1134111.06</v>
      </c>
      <c r="I36" s="6">
        <v>259.86917441391734</v>
      </c>
      <c r="J36" s="6">
        <v>259.86917441391734</v>
      </c>
      <c r="K36" s="5">
        <v>1134111.06</v>
      </c>
      <c r="L36" s="4">
        <v>0</v>
      </c>
      <c r="M36" s="2">
        <v>325.79174309395529</v>
      </c>
      <c r="N36" s="1">
        <v>15</v>
      </c>
      <c r="O36" s="3">
        <v>4345.7850613743212</v>
      </c>
      <c r="P36" s="2">
        <v>94.951752060484878</v>
      </c>
      <c r="Q36" s="2">
        <v>204.10617658963815</v>
      </c>
      <c r="R36" s="2">
        <v>447.47730959827243</v>
      </c>
      <c r="S36" s="2">
        <v>259.86917441391734</v>
      </c>
      <c r="T36" s="2">
        <v>259.86917441391734</v>
      </c>
    </row>
    <row r="37" spans="2:20" x14ac:dyDescent="0.25">
      <c r="B37" s="10">
        <v>601</v>
      </c>
      <c r="C37" s="10">
        <v>4</v>
      </c>
      <c r="D37" s="9" t="s">
        <v>156</v>
      </c>
      <c r="E37" s="8">
        <v>5769.98</v>
      </c>
      <c r="F37" s="7">
        <v>2696898.99</v>
      </c>
      <c r="G37" s="7">
        <v>341941.75</v>
      </c>
      <c r="H37" s="7">
        <v>2354957.2400000002</v>
      </c>
      <c r="I37" s="6">
        <v>408.13958453928791</v>
      </c>
      <c r="J37" s="6">
        <v>408.13958453928791</v>
      </c>
      <c r="K37" s="5">
        <v>2354957.2400000002</v>
      </c>
      <c r="L37" s="4">
        <v>0</v>
      </c>
      <c r="M37" s="2">
        <v>325.79174309395529</v>
      </c>
      <c r="N37" s="1">
        <v>15</v>
      </c>
      <c r="O37" s="3">
        <v>6781.1669907056403</v>
      </c>
      <c r="P37" s="2">
        <v>94.951752060484878</v>
      </c>
      <c r="Q37" s="2">
        <v>204.10617658963815</v>
      </c>
      <c r="R37" s="2">
        <v>447.47730959827243</v>
      </c>
      <c r="S37" s="2">
        <v>408.13958453928791</v>
      </c>
      <c r="T37" s="2">
        <v>408.13958453928791</v>
      </c>
    </row>
    <row r="38" spans="2:20" x14ac:dyDescent="0.25">
      <c r="B38" s="10">
        <v>760</v>
      </c>
      <c r="C38" s="10">
        <v>4</v>
      </c>
      <c r="D38" s="9" t="s">
        <v>366</v>
      </c>
      <c r="E38" s="8">
        <v>5029.13</v>
      </c>
      <c r="F38" s="7">
        <v>1332789.49</v>
      </c>
      <c r="G38" s="7">
        <v>838068.45</v>
      </c>
      <c r="H38" s="7">
        <v>494721.04000000004</v>
      </c>
      <c r="I38" s="6">
        <v>98.371097983150179</v>
      </c>
      <c r="J38" s="6">
        <v>98.371097983150179</v>
      </c>
      <c r="K38" s="5">
        <v>494721.0400000001</v>
      </c>
      <c r="L38" s="4">
        <v>0</v>
      </c>
      <c r="M38" s="2">
        <v>325.79174309395529</v>
      </c>
      <c r="N38" s="1">
        <v>15</v>
      </c>
      <c r="O38" s="3">
        <v>51720.149822614767</v>
      </c>
      <c r="P38" s="2">
        <v>94.951752060484878</v>
      </c>
      <c r="Q38" s="213">
        <v>204.10617658963815</v>
      </c>
      <c r="R38" s="2">
        <v>447.47730959827243</v>
      </c>
      <c r="S38" s="2">
        <v>204.10617658963815</v>
      </c>
      <c r="T38" s="2">
        <v>98.742124383342642</v>
      </c>
    </row>
    <row r="39" spans="2:20" x14ac:dyDescent="0.25">
      <c r="B39" s="10">
        <v>878</v>
      </c>
      <c r="C39" s="10">
        <v>4</v>
      </c>
      <c r="D39" s="9" t="s">
        <v>158</v>
      </c>
      <c r="E39" s="8">
        <v>6982.23</v>
      </c>
      <c r="F39" s="7">
        <v>2800086.57</v>
      </c>
      <c r="G39" s="7">
        <v>860885.67</v>
      </c>
      <c r="H39" s="7">
        <v>1939200.9</v>
      </c>
      <c r="I39" s="6">
        <v>277.73374695476946</v>
      </c>
      <c r="J39" s="6">
        <v>277.73374695476946</v>
      </c>
      <c r="K39" s="5">
        <v>1939200.9</v>
      </c>
      <c r="L39" s="4">
        <v>0</v>
      </c>
      <c r="M39" s="2">
        <v>325.79174309395529</v>
      </c>
      <c r="N39" s="1">
        <v>15</v>
      </c>
      <c r="O39" s="3">
        <v>2309.5709929140003</v>
      </c>
      <c r="P39" s="2">
        <v>94.951752060484878</v>
      </c>
      <c r="Q39" s="2">
        <v>204.10617658963815</v>
      </c>
      <c r="R39" s="2">
        <v>447.47730959827243</v>
      </c>
      <c r="S39" s="2">
        <v>277.73374695476946</v>
      </c>
      <c r="T39" s="2">
        <v>381.65506722064441</v>
      </c>
    </row>
    <row r="40" spans="2:20" x14ac:dyDescent="0.25">
      <c r="B40" s="10">
        <v>8</v>
      </c>
      <c r="C40" s="10">
        <v>5</v>
      </c>
      <c r="D40" s="9" t="s">
        <v>159</v>
      </c>
      <c r="E40" s="8">
        <v>2186.2800000000002</v>
      </c>
      <c r="F40" s="7">
        <v>536002.18999999994</v>
      </c>
      <c r="G40" s="7">
        <v>42344.86</v>
      </c>
      <c r="H40" s="7">
        <v>493657.32999999996</v>
      </c>
      <c r="I40" s="6">
        <v>225.79785297400147</v>
      </c>
      <c r="J40" s="6">
        <v>225.79785297400147</v>
      </c>
      <c r="K40" s="5">
        <v>493657.32999999996</v>
      </c>
      <c r="L40" s="4">
        <v>0</v>
      </c>
      <c r="M40" s="2">
        <v>257.8869893618413</v>
      </c>
      <c r="N40" s="1">
        <v>20</v>
      </c>
      <c r="O40" s="3">
        <v>1029.7126741173863</v>
      </c>
      <c r="P40" s="2">
        <v>110.72206058595106</v>
      </c>
      <c r="Q40" s="2">
        <v>115.9909592775916</v>
      </c>
      <c r="R40" s="2">
        <v>399.78301944609098</v>
      </c>
      <c r="S40" s="2">
        <v>225.79785297400147</v>
      </c>
      <c r="T40" s="2">
        <v>225.79785297400147</v>
      </c>
    </row>
    <row r="41" spans="2:20" x14ac:dyDescent="0.25">
      <c r="B41" s="10">
        <v>41</v>
      </c>
      <c r="C41" s="10">
        <v>5</v>
      </c>
      <c r="D41" s="9" t="s">
        <v>160</v>
      </c>
      <c r="E41" s="8">
        <v>1829.55</v>
      </c>
      <c r="F41" s="7">
        <v>551935.75</v>
      </c>
      <c r="G41" s="7">
        <v>227902.1</v>
      </c>
      <c r="H41" s="7">
        <v>324033.65000000002</v>
      </c>
      <c r="I41" s="6">
        <v>177.11112022081934</v>
      </c>
      <c r="J41" s="6">
        <v>177.11112022081934</v>
      </c>
      <c r="K41" s="5">
        <v>324033.65000000002</v>
      </c>
      <c r="L41" s="4">
        <v>0</v>
      </c>
      <c r="M41" s="2">
        <v>257.8869893618413</v>
      </c>
      <c r="N41" s="1">
        <v>20</v>
      </c>
      <c r="O41" s="3">
        <v>6524.7410354875028</v>
      </c>
      <c r="P41" s="2">
        <v>110.72206058595106</v>
      </c>
      <c r="Q41" s="2">
        <v>115.9909592775916</v>
      </c>
      <c r="R41" s="2">
        <v>399.78301944609098</v>
      </c>
      <c r="S41" s="2">
        <v>177.11112022081934</v>
      </c>
      <c r="T41" s="2">
        <v>177.11112022081934</v>
      </c>
    </row>
    <row r="42" spans="2:20" x14ac:dyDescent="0.25">
      <c r="B42" s="10">
        <v>56</v>
      </c>
      <c r="C42" s="10">
        <v>5</v>
      </c>
      <c r="D42" s="9" t="s">
        <v>161</v>
      </c>
      <c r="E42" s="8">
        <v>3063.88</v>
      </c>
      <c r="F42" s="7">
        <v>473306.5</v>
      </c>
      <c r="G42" s="7">
        <v>2260.21</v>
      </c>
      <c r="H42" s="7">
        <v>471046.29</v>
      </c>
      <c r="I42" s="6">
        <v>153.741755551784</v>
      </c>
      <c r="J42" s="6">
        <v>153.741755551784</v>
      </c>
      <c r="K42" s="5">
        <v>471046.29</v>
      </c>
      <c r="L42" s="4">
        <v>0</v>
      </c>
      <c r="M42" s="2">
        <v>257.8869893618413</v>
      </c>
      <c r="N42" s="1">
        <v>20</v>
      </c>
      <c r="O42" s="3">
        <v>10846.229725351503</v>
      </c>
      <c r="P42" s="2">
        <v>110.72206058595106</v>
      </c>
      <c r="Q42" s="2">
        <v>115.9909592775916</v>
      </c>
      <c r="R42" s="2">
        <v>399.78301944609098</v>
      </c>
      <c r="S42" s="2">
        <v>153.741755551784</v>
      </c>
      <c r="T42" s="2">
        <v>153.741755551784</v>
      </c>
    </row>
    <row r="43" spans="2:20" x14ac:dyDescent="0.25">
      <c r="B43" s="10">
        <v>67</v>
      </c>
      <c r="C43" s="10">
        <v>5</v>
      </c>
      <c r="D43" s="9" t="s">
        <v>162</v>
      </c>
      <c r="E43" s="8">
        <v>1444.0011041767457</v>
      </c>
      <c r="F43" s="7">
        <v>199316.69</v>
      </c>
      <c r="G43" s="7">
        <v>0</v>
      </c>
      <c r="H43" s="7">
        <v>199316.69</v>
      </c>
      <c r="I43" s="6">
        <v>138.03084320606146</v>
      </c>
      <c r="J43" s="6">
        <v>138.03084320606146</v>
      </c>
      <c r="K43" s="5">
        <v>199316.69</v>
      </c>
      <c r="L43" s="4">
        <v>0</v>
      </c>
      <c r="M43" s="2">
        <v>257.8869893618413</v>
      </c>
      <c r="N43" s="1">
        <v>20</v>
      </c>
      <c r="O43" s="3">
        <v>14365.495771315658</v>
      </c>
      <c r="P43" s="2">
        <v>110.72206058595106</v>
      </c>
      <c r="Q43" s="2">
        <v>115.9909592775916</v>
      </c>
      <c r="R43" s="2">
        <v>399.78301944609098</v>
      </c>
      <c r="S43" s="2">
        <v>138.03084320606146</v>
      </c>
      <c r="T43" s="2">
        <v>138.03084320606149</v>
      </c>
    </row>
    <row r="44" spans="2:20" x14ac:dyDescent="0.25">
      <c r="B44" s="10">
        <v>157</v>
      </c>
      <c r="C44" s="10">
        <v>5</v>
      </c>
      <c r="D44" s="9" t="s">
        <v>163</v>
      </c>
      <c r="E44" s="8">
        <v>546.13</v>
      </c>
      <c r="F44" s="7">
        <v>147393.28</v>
      </c>
      <c r="G44" s="7">
        <v>220</v>
      </c>
      <c r="H44" s="7">
        <v>147173.28</v>
      </c>
      <c r="I44" s="6">
        <v>269.4839690183656</v>
      </c>
      <c r="J44" s="6">
        <v>269.4839690183656</v>
      </c>
      <c r="K44" s="5">
        <v>147173.28</v>
      </c>
      <c r="L44" s="4">
        <v>0</v>
      </c>
      <c r="M44" s="2">
        <v>257.8869893618413</v>
      </c>
      <c r="N44" s="1">
        <v>20</v>
      </c>
      <c r="O44" s="3">
        <v>134.48993715383841</v>
      </c>
      <c r="P44" s="2">
        <v>110.72206058595106</v>
      </c>
      <c r="Q44" s="2">
        <v>115.9909592775916</v>
      </c>
      <c r="R44" s="2">
        <v>399.78301944609098</v>
      </c>
      <c r="S44" s="2">
        <v>269.4839690183656</v>
      </c>
      <c r="T44" s="2">
        <v>269.4839690183656</v>
      </c>
    </row>
    <row r="45" spans="2:20" x14ac:dyDescent="0.25">
      <c r="B45" s="10">
        <v>214</v>
      </c>
      <c r="C45" s="10">
        <v>5</v>
      </c>
      <c r="D45" s="9" t="s">
        <v>164</v>
      </c>
      <c r="E45" s="8">
        <v>3010.75</v>
      </c>
      <c r="F45" s="7">
        <v>1630287.1</v>
      </c>
      <c r="G45" s="7">
        <v>343412.94</v>
      </c>
      <c r="H45" s="7">
        <v>1286874.1600000001</v>
      </c>
      <c r="I45" s="6">
        <v>427.42644191646605</v>
      </c>
      <c r="J45" s="6">
        <v>399.78301944609098</v>
      </c>
      <c r="K45" s="5">
        <v>1203646.7257973184</v>
      </c>
      <c r="L45" s="4">
        <v>0</v>
      </c>
      <c r="M45" s="2">
        <v>257.8869893618413</v>
      </c>
      <c r="N45" s="1">
        <v>20</v>
      </c>
      <c r="O45" s="3">
        <v>28743.625972521855</v>
      </c>
      <c r="P45" s="2">
        <v>110.72206058595106</v>
      </c>
      <c r="Q45" s="2">
        <v>115.9909592775916</v>
      </c>
      <c r="R45" s="2">
        <v>399.78301944609098</v>
      </c>
      <c r="S45" s="2">
        <v>399.78301944609098</v>
      </c>
      <c r="T45" s="2">
        <v>402.22589533810037</v>
      </c>
    </row>
    <row r="46" spans="2:20" x14ac:dyDescent="0.25">
      <c r="B46" s="10">
        <v>223</v>
      </c>
      <c r="C46" s="10">
        <v>5</v>
      </c>
      <c r="D46" s="9" t="s">
        <v>165</v>
      </c>
      <c r="E46" s="8">
        <v>343.91</v>
      </c>
      <c r="F46" s="7">
        <v>179435.51999999999</v>
      </c>
      <c r="G46" s="7">
        <v>2953.92</v>
      </c>
      <c r="H46" s="7">
        <v>176481.59999999998</v>
      </c>
      <c r="I46" s="6">
        <v>513.1621645197871</v>
      </c>
      <c r="J46" s="6">
        <v>399.78301944609098</v>
      </c>
      <c r="K46" s="5">
        <v>137489.37821770515</v>
      </c>
      <c r="L46" s="4">
        <v>0</v>
      </c>
      <c r="M46" s="2">
        <v>257.8869893618413</v>
      </c>
      <c r="N46" s="1">
        <v>20</v>
      </c>
      <c r="O46" s="3">
        <v>65165.415051919903</v>
      </c>
      <c r="P46" s="2">
        <v>110.72206058595106</v>
      </c>
      <c r="Q46" s="2">
        <v>115.9909592775916</v>
      </c>
      <c r="R46" s="2">
        <v>399.78301944609098</v>
      </c>
      <c r="S46" s="2">
        <v>399.78301944609098</v>
      </c>
      <c r="T46" s="2">
        <v>402.22589533810037</v>
      </c>
    </row>
    <row r="47" spans="2:20" x14ac:dyDescent="0.25">
      <c r="B47" s="10">
        <v>224</v>
      </c>
      <c r="C47" s="10">
        <v>5</v>
      </c>
      <c r="D47" s="9" t="s">
        <v>367</v>
      </c>
      <c r="E47" s="8">
        <v>274.64004611714159</v>
      </c>
      <c r="F47" s="7">
        <v>79275.95</v>
      </c>
      <c r="G47" s="7">
        <v>0</v>
      </c>
      <c r="H47" s="7">
        <v>79275.95</v>
      </c>
      <c r="I47" s="6">
        <v>288.65400774869738</v>
      </c>
      <c r="J47" s="6">
        <v>288.65400774869738</v>
      </c>
      <c r="K47" s="5">
        <v>79275.95</v>
      </c>
      <c r="L47" s="4">
        <v>0</v>
      </c>
      <c r="M47" s="2">
        <v>257.8869893618413</v>
      </c>
      <c r="N47" s="1">
        <v>20</v>
      </c>
      <c r="O47" s="3">
        <v>946.60942041714009</v>
      </c>
      <c r="P47" s="2">
        <v>110.72206058595106</v>
      </c>
      <c r="Q47" s="2">
        <v>115.9909592775916</v>
      </c>
      <c r="R47" s="2">
        <v>399.78301944609098</v>
      </c>
      <c r="S47" s="2">
        <v>288.65400774869738</v>
      </c>
      <c r="T47" s="2">
        <v>288.65400774869738</v>
      </c>
    </row>
    <row r="48" spans="2:20" x14ac:dyDescent="0.25">
      <c r="B48" s="10">
        <v>233</v>
      </c>
      <c r="C48" s="10">
        <v>5</v>
      </c>
      <c r="D48" s="9" t="s">
        <v>167</v>
      </c>
      <c r="E48" s="8">
        <v>2043.33</v>
      </c>
      <c r="F48" s="7">
        <v>571153.54</v>
      </c>
      <c r="G48" s="7">
        <v>222389.93</v>
      </c>
      <c r="H48" s="7">
        <v>348763.61000000004</v>
      </c>
      <c r="I48" s="6">
        <v>170.68393749418843</v>
      </c>
      <c r="J48" s="6">
        <v>170.68393749418843</v>
      </c>
      <c r="K48" s="5">
        <v>348763.61000000004</v>
      </c>
      <c r="L48" s="4">
        <v>0</v>
      </c>
      <c r="M48" s="2">
        <v>257.8869893618413</v>
      </c>
      <c r="N48" s="1">
        <v>20</v>
      </c>
      <c r="O48" s="3">
        <v>7604.3722550325574</v>
      </c>
      <c r="P48" s="2">
        <v>110.72206058595106</v>
      </c>
      <c r="Q48" s="2">
        <v>115.9909592775916</v>
      </c>
      <c r="R48" s="2">
        <v>399.78301944609098</v>
      </c>
      <c r="S48" s="2">
        <v>170.68393749418843</v>
      </c>
      <c r="T48" s="2">
        <v>170.68393749418843</v>
      </c>
    </row>
    <row r="49" spans="2:20" x14ac:dyDescent="0.25">
      <c r="B49" s="10">
        <v>427</v>
      </c>
      <c r="C49" s="10">
        <v>5</v>
      </c>
      <c r="D49" s="9" t="s">
        <v>169</v>
      </c>
      <c r="E49" s="8">
        <v>464.43</v>
      </c>
      <c r="F49" s="7">
        <v>194115.61</v>
      </c>
      <c r="G49" s="7">
        <v>59110.879999999997</v>
      </c>
      <c r="H49" s="7">
        <v>135004.72999999998</v>
      </c>
      <c r="I49" s="6">
        <v>290.68908123936865</v>
      </c>
      <c r="J49" s="6">
        <v>290.68908123936865</v>
      </c>
      <c r="K49" s="5">
        <v>135004.72999999998</v>
      </c>
      <c r="L49" s="4">
        <v>0</v>
      </c>
      <c r="M49" s="2">
        <v>257.8869893618413</v>
      </c>
      <c r="N49" s="1">
        <v>20</v>
      </c>
      <c r="O49" s="3">
        <v>1075.9772315417454</v>
      </c>
      <c r="P49" s="2">
        <v>110.72206058595106</v>
      </c>
      <c r="Q49" s="2">
        <v>115.9909592775916</v>
      </c>
      <c r="R49" s="2">
        <v>399.78301944609098</v>
      </c>
      <c r="S49" s="2">
        <v>290.68908123936865</v>
      </c>
      <c r="T49" s="2">
        <v>275.50373576211695</v>
      </c>
    </row>
    <row r="50" spans="2:20" x14ac:dyDescent="0.25">
      <c r="B50" s="10">
        <v>524</v>
      </c>
      <c r="C50" s="10">
        <v>5</v>
      </c>
      <c r="D50" s="9" t="s">
        <v>170</v>
      </c>
      <c r="E50" s="8">
        <v>574.31373573802944</v>
      </c>
      <c r="F50" s="7">
        <v>203365.06</v>
      </c>
      <c r="G50" s="7">
        <v>181.1</v>
      </c>
      <c r="H50" s="7">
        <v>203183.96</v>
      </c>
      <c r="I50" s="6">
        <v>353.78565295656</v>
      </c>
      <c r="J50" s="6">
        <v>353.78565295656</v>
      </c>
      <c r="K50" s="5">
        <v>203183.96</v>
      </c>
      <c r="L50" s="4">
        <v>0</v>
      </c>
      <c r="M50" s="2">
        <v>257.8869893618413</v>
      </c>
      <c r="N50" s="1">
        <v>20</v>
      </c>
      <c r="O50" s="3">
        <v>9196.5536792530256</v>
      </c>
      <c r="P50" s="2">
        <v>110.72206058595106</v>
      </c>
      <c r="Q50" s="2">
        <v>115.9909592775916</v>
      </c>
      <c r="R50" s="2">
        <v>399.78301944609098</v>
      </c>
      <c r="S50" s="2">
        <v>353.78565295656</v>
      </c>
      <c r="T50" s="2">
        <v>354.3533043632969</v>
      </c>
    </row>
    <row r="51" spans="2:20" x14ac:dyDescent="0.25">
      <c r="B51" s="10">
        <v>565</v>
      </c>
      <c r="C51" s="10">
        <v>5</v>
      </c>
      <c r="D51" s="9" t="s">
        <v>171</v>
      </c>
      <c r="E51" s="8">
        <v>492.86429541244104</v>
      </c>
      <c r="F51" s="7">
        <v>208854.09</v>
      </c>
      <c r="G51" s="7">
        <v>500</v>
      </c>
      <c r="H51" s="7">
        <v>208354.09</v>
      </c>
      <c r="I51" s="6">
        <v>422.74129398163063</v>
      </c>
      <c r="J51" s="6">
        <v>399.78301944609098</v>
      </c>
      <c r="K51" s="5">
        <v>197038.77619715585</v>
      </c>
      <c r="L51" s="4">
        <v>0</v>
      </c>
      <c r="M51" s="2">
        <v>257.8869893618413</v>
      </c>
      <c r="N51" s="1">
        <v>20</v>
      </c>
      <c r="O51" s="3">
        <v>27176.941751674294</v>
      </c>
      <c r="P51" s="2">
        <v>110.72206058595106</v>
      </c>
      <c r="Q51" s="2">
        <v>115.9909592775916</v>
      </c>
      <c r="R51" s="2">
        <v>399.78301944609098</v>
      </c>
      <c r="S51" s="2">
        <v>399.78301944609098</v>
      </c>
      <c r="T51" s="2">
        <v>402.22589533810037</v>
      </c>
    </row>
    <row r="52" spans="2:20" x14ac:dyDescent="0.25">
      <c r="B52" s="10">
        <v>613</v>
      </c>
      <c r="C52" s="10">
        <v>5</v>
      </c>
      <c r="D52" s="9" t="s">
        <v>172</v>
      </c>
      <c r="E52" s="8">
        <v>180.97411383439103</v>
      </c>
      <c r="F52" s="7">
        <v>72929.37</v>
      </c>
      <c r="G52" s="7">
        <v>0</v>
      </c>
      <c r="H52" s="7">
        <v>72929.37</v>
      </c>
      <c r="I52" s="6">
        <v>402.98232965371767</v>
      </c>
      <c r="J52" s="6">
        <v>399.78301944609098</v>
      </c>
      <c r="K52" s="5">
        <v>72350.377670293426</v>
      </c>
      <c r="L52" s="4">
        <v>0</v>
      </c>
      <c r="M52" s="2">
        <v>257.8869893618413</v>
      </c>
      <c r="N52" s="1">
        <v>20</v>
      </c>
      <c r="O52" s="3">
        <v>21052.657774415402</v>
      </c>
      <c r="P52" s="2">
        <v>110.72206058595106</v>
      </c>
      <c r="Q52" s="2">
        <v>115.9909592775916</v>
      </c>
      <c r="R52" s="2">
        <v>399.78301944609098</v>
      </c>
      <c r="S52" s="2">
        <v>399.78301944609098</v>
      </c>
      <c r="T52" s="2">
        <v>402.22589533810037</v>
      </c>
    </row>
    <row r="53" spans="2:20" x14ac:dyDescent="0.25">
      <c r="B53" s="10">
        <v>696</v>
      </c>
      <c r="C53" s="10">
        <v>5</v>
      </c>
      <c r="D53" s="9" t="s">
        <v>173</v>
      </c>
      <c r="E53" s="8">
        <v>358.50387682399599</v>
      </c>
      <c r="F53" s="7">
        <v>120113.85</v>
      </c>
      <c r="G53" s="7">
        <v>0</v>
      </c>
      <c r="H53" s="7">
        <v>120113.85</v>
      </c>
      <c r="I53" s="6">
        <v>335.04198354588152</v>
      </c>
      <c r="J53" s="6">
        <v>335.04198354588152</v>
      </c>
      <c r="K53" s="5">
        <v>120113.85</v>
      </c>
      <c r="L53" s="4">
        <v>0</v>
      </c>
      <c r="M53" s="2">
        <v>257.8869893618413</v>
      </c>
      <c r="N53" s="1">
        <v>20</v>
      </c>
      <c r="O53" s="3">
        <v>5952.8931275392797</v>
      </c>
      <c r="P53" s="2">
        <v>110.72206058595106</v>
      </c>
      <c r="Q53" s="2">
        <v>115.9909592775916</v>
      </c>
      <c r="R53" s="2">
        <v>399.78301944609098</v>
      </c>
      <c r="S53" s="2">
        <v>335.04198354588152</v>
      </c>
      <c r="T53" s="2">
        <v>335.04198354588158</v>
      </c>
    </row>
    <row r="54" spans="2:20" x14ac:dyDescent="0.25">
      <c r="B54" s="10">
        <v>731</v>
      </c>
      <c r="C54" s="10">
        <v>5</v>
      </c>
      <c r="D54" s="9" t="s">
        <v>174</v>
      </c>
      <c r="E54" s="8">
        <v>874.85</v>
      </c>
      <c r="F54" s="7">
        <v>218287.9</v>
      </c>
      <c r="G54" s="7">
        <v>0</v>
      </c>
      <c r="H54" s="7">
        <v>218287.9</v>
      </c>
      <c r="I54" s="6">
        <v>249.51465965594102</v>
      </c>
      <c r="J54" s="6">
        <v>249.51465965594102</v>
      </c>
      <c r="K54" s="5">
        <v>218287.9</v>
      </c>
      <c r="L54" s="4">
        <v>0</v>
      </c>
      <c r="M54" s="2">
        <v>257.8869893618413</v>
      </c>
      <c r="N54" s="1">
        <v>20</v>
      </c>
      <c r="O54" s="3">
        <v>70.095904704300352</v>
      </c>
      <c r="P54" s="2">
        <v>110.72206058595106</v>
      </c>
      <c r="Q54" s="2">
        <v>115.9909592775916</v>
      </c>
      <c r="R54" s="2">
        <v>399.78301944609098</v>
      </c>
      <c r="S54" s="2">
        <v>249.51465965594102</v>
      </c>
      <c r="T54" s="2">
        <v>249.51465965594102</v>
      </c>
    </row>
    <row r="55" spans="2:20" x14ac:dyDescent="0.25">
      <c r="B55" s="10">
        <v>732</v>
      </c>
      <c r="C55" s="10">
        <v>5</v>
      </c>
      <c r="D55" s="9" t="s">
        <v>175</v>
      </c>
      <c r="E55" s="8">
        <v>237.10555390648193</v>
      </c>
      <c r="F55" s="7">
        <v>79988.36</v>
      </c>
      <c r="G55" s="7">
        <v>0</v>
      </c>
      <c r="H55" s="7">
        <v>79988.36</v>
      </c>
      <c r="I55" s="6">
        <v>337.35337988560417</v>
      </c>
      <c r="J55" s="6">
        <v>337.35337988560417</v>
      </c>
      <c r="K55" s="5">
        <v>79988.36</v>
      </c>
      <c r="L55" s="4">
        <v>0</v>
      </c>
      <c r="M55" s="2">
        <v>257.8869893618413</v>
      </c>
      <c r="N55" s="1">
        <v>20</v>
      </c>
      <c r="O55" s="3">
        <v>6314.9072228751893</v>
      </c>
      <c r="P55" s="2">
        <v>110.72206058595106</v>
      </c>
      <c r="Q55" s="2">
        <v>115.9909592775916</v>
      </c>
      <c r="R55" s="2">
        <v>399.78301944609098</v>
      </c>
      <c r="S55" s="2">
        <v>337.35337988560417</v>
      </c>
      <c r="T55" s="2">
        <v>337.35337988560423</v>
      </c>
    </row>
    <row r="56" spans="2:20" x14ac:dyDescent="0.25">
      <c r="B56" s="10">
        <v>754</v>
      </c>
      <c r="C56" s="10">
        <v>5</v>
      </c>
      <c r="D56" s="9" t="s">
        <v>176</v>
      </c>
      <c r="E56" s="8">
        <v>131.05468149506399</v>
      </c>
      <c r="F56" s="7">
        <v>30289.86</v>
      </c>
      <c r="G56" s="7">
        <v>130</v>
      </c>
      <c r="H56" s="7">
        <v>30159.86</v>
      </c>
      <c r="I56" s="6">
        <v>230.13187820486928</v>
      </c>
      <c r="J56" s="6">
        <v>230.13187820486928</v>
      </c>
      <c r="K56" s="5">
        <v>30159.86</v>
      </c>
      <c r="L56" s="4">
        <v>0</v>
      </c>
      <c r="M56" s="2">
        <v>257.8869893618413</v>
      </c>
      <c r="N56" s="1">
        <v>20</v>
      </c>
      <c r="O56" s="3">
        <v>770.34619533587272</v>
      </c>
      <c r="P56" s="2">
        <v>110.72206058595106</v>
      </c>
      <c r="Q56" s="2">
        <v>115.9909592775916</v>
      </c>
      <c r="R56" s="2">
        <v>399.78301944609098</v>
      </c>
      <c r="S56" s="2">
        <v>230.13187820486928</v>
      </c>
      <c r="T56" s="2">
        <v>230.13187820486928</v>
      </c>
    </row>
    <row r="57" spans="2:20" x14ac:dyDescent="0.25">
      <c r="B57" s="10">
        <v>885</v>
      </c>
      <c r="C57" s="10">
        <v>5</v>
      </c>
      <c r="D57" s="9" t="s">
        <v>177</v>
      </c>
      <c r="E57" s="8">
        <v>503.68</v>
      </c>
      <c r="F57" s="7">
        <v>232620.17</v>
      </c>
      <c r="G57" s="7">
        <v>70548.25</v>
      </c>
      <c r="H57" s="7">
        <v>162071.92000000001</v>
      </c>
      <c r="I57" s="6">
        <v>321.77557179161374</v>
      </c>
      <c r="J57" s="6">
        <v>321.77557179161374</v>
      </c>
      <c r="K57" s="5">
        <v>162071.92000000001</v>
      </c>
      <c r="L57" s="4">
        <v>0</v>
      </c>
      <c r="M57" s="2">
        <v>257.8869893618413</v>
      </c>
      <c r="N57" s="1">
        <v>20</v>
      </c>
      <c r="O57" s="3">
        <v>4081.7509648858277</v>
      </c>
      <c r="P57" s="2">
        <v>110.72206058595106</v>
      </c>
      <c r="Q57" s="2">
        <v>115.9909592775916</v>
      </c>
      <c r="R57" s="2">
        <v>399.78301944609098</v>
      </c>
      <c r="S57" s="2">
        <v>321.77557179161374</v>
      </c>
      <c r="T57" s="2">
        <v>349.9946394536214</v>
      </c>
    </row>
    <row r="58" spans="2:20" x14ac:dyDescent="0.25">
      <c r="B58" s="10">
        <v>909</v>
      </c>
      <c r="C58" s="10">
        <v>5</v>
      </c>
      <c r="D58" s="9" t="s">
        <v>178</v>
      </c>
      <c r="E58" s="8">
        <v>587.29</v>
      </c>
      <c r="F58" s="7">
        <v>265083.2</v>
      </c>
      <c r="G58" s="7">
        <v>92898.17</v>
      </c>
      <c r="H58" s="7">
        <v>172185.03000000003</v>
      </c>
      <c r="I58" s="6">
        <v>293.18570042057593</v>
      </c>
      <c r="J58" s="6">
        <v>293.18570042057593</v>
      </c>
      <c r="K58" s="5">
        <v>172185.03000000003</v>
      </c>
      <c r="L58" s="4">
        <v>0</v>
      </c>
      <c r="M58" s="2">
        <v>257.8869893618413</v>
      </c>
      <c r="N58" s="1">
        <v>20</v>
      </c>
      <c r="O58" s="3">
        <v>1245.9990024080341</v>
      </c>
      <c r="P58" s="2">
        <v>110.72206058595106</v>
      </c>
      <c r="Q58" s="2">
        <v>115.9909592775916</v>
      </c>
      <c r="R58" s="2">
        <v>399.78301944609098</v>
      </c>
      <c r="S58" s="2">
        <v>293.18570042057593</v>
      </c>
      <c r="T58" s="2">
        <v>293.18570042057587</v>
      </c>
    </row>
    <row r="59" spans="2:20" x14ac:dyDescent="0.25">
      <c r="B59" s="10">
        <v>923</v>
      </c>
      <c r="C59" s="10">
        <v>5</v>
      </c>
      <c r="D59" s="9" t="s">
        <v>179</v>
      </c>
      <c r="E59" s="8">
        <v>66.405227839763782</v>
      </c>
      <c r="F59" s="7">
        <v>26124.19</v>
      </c>
      <c r="G59" s="7">
        <v>0</v>
      </c>
      <c r="H59" s="7">
        <v>26124.19</v>
      </c>
      <c r="I59" s="6">
        <v>393.40562256691339</v>
      </c>
      <c r="J59" s="6">
        <v>393.40562256691339</v>
      </c>
      <c r="K59" s="5">
        <v>26124.19</v>
      </c>
      <c r="L59" s="4">
        <v>0</v>
      </c>
      <c r="M59" s="2">
        <v>257.8869893618413</v>
      </c>
      <c r="N59" s="1">
        <v>20</v>
      </c>
      <c r="O59" s="3">
        <v>18365.299945770868</v>
      </c>
      <c r="P59" s="2">
        <v>110.72206058595106</v>
      </c>
      <c r="Q59" s="2">
        <v>115.9909592775916</v>
      </c>
      <c r="R59" s="2">
        <v>399.78301944609098</v>
      </c>
      <c r="S59" s="2">
        <v>393.40562256691339</v>
      </c>
      <c r="T59" s="2">
        <v>393.40562256691339</v>
      </c>
    </row>
    <row r="60" spans="2:20" x14ac:dyDescent="0.25">
      <c r="B60" s="10">
        <v>394</v>
      </c>
      <c r="C60" s="10">
        <v>6</v>
      </c>
      <c r="D60" s="9" t="s">
        <v>180</v>
      </c>
      <c r="E60" s="8">
        <v>783.64</v>
      </c>
      <c r="F60" s="7">
        <v>373537.77</v>
      </c>
      <c r="G60" s="7">
        <v>48642.7</v>
      </c>
      <c r="H60" s="7">
        <v>324895.07</v>
      </c>
      <c r="I60" s="6">
        <v>414.59735337655047</v>
      </c>
      <c r="J60" s="6">
        <v>414.59735337655047</v>
      </c>
      <c r="K60" s="5">
        <v>324895.07</v>
      </c>
      <c r="L60" s="4">
        <v>0</v>
      </c>
      <c r="M60" s="2">
        <v>536.62475300859887</v>
      </c>
      <c r="N60" s="1">
        <v>42</v>
      </c>
      <c r="O60" s="3">
        <v>14890.686260959646</v>
      </c>
      <c r="P60" s="2">
        <v>245.05993630615663</v>
      </c>
      <c r="Q60" s="2">
        <v>222.56780798318374</v>
      </c>
      <c r="R60" s="2">
        <v>850.68169803401406</v>
      </c>
      <c r="S60" s="2">
        <v>414.59735337655047</v>
      </c>
      <c r="T60" s="2">
        <v>414.59735337655047</v>
      </c>
    </row>
    <row r="61" spans="2:20" x14ac:dyDescent="0.25">
      <c r="B61" s="10">
        <v>414</v>
      </c>
      <c r="C61" s="10">
        <v>6</v>
      </c>
      <c r="D61" s="9" t="s">
        <v>181</v>
      </c>
      <c r="E61" s="8">
        <v>294.36</v>
      </c>
      <c r="F61" s="7">
        <v>172746.48</v>
      </c>
      <c r="G61" s="7">
        <v>0</v>
      </c>
      <c r="H61" s="7">
        <v>172746.48</v>
      </c>
      <c r="I61" s="6">
        <v>586.85446392172855</v>
      </c>
      <c r="J61" s="6">
        <v>586.85446392172855</v>
      </c>
      <c r="K61" s="5">
        <v>172746.48</v>
      </c>
      <c r="L61" s="4">
        <v>0</v>
      </c>
      <c r="M61" s="2">
        <v>536.62475300859887</v>
      </c>
      <c r="N61" s="1">
        <v>42</v>
      </c>
      <c r="O61" s="3">
        <v>2523.0238584165786</v>
      </c>
      <c r="P61" s="2">
        <v>245.05993630615663</v>
      </c>
      <c r="Q61" s="2">
        <v>222.56780798318374</v>
      </c>
      <c r="R61" s="2">
        <v>850.68169803401406</v>
      </c>
      <c r="S61" s="2">
        <v>586.85446392172855</v>
      </c>
      <c r="T61" s="2">
        <v>586.85446392172855</v>
      </c>
    </row>
    <row r="62" spans="2:20" x14ac:dyDescent="0.25">
      <c r="B62" s="10">
        <v>426</v>
      </c>
      <c r="C62" s="10">
        <v>6</v>
      </c>
      <c r="D62" s="9" t="s">
        <v>182</v>
      </c>
      <c r="E62" s="8">
        <v>396.89737485636715</v>
      </c>
      <c r="F62" s="7">
        <v>118567.88</v>
      </c>
      <c r="G62" s="7">
        <v>0</v>
      </c>
      <c r="H62" s="7">
        <v>118567.88</v>
      </c>
      <c r="I62" s="6">
        <v>298.73687132072473</v>
      </c>
      <c r="J62" s="6">
        <v>298.73687132072473</v>
      </c>
      <c r="K62" s="5">
        <v>118567.88</v>
      </c>
      <c r="L62" s="4">
        <v>0</v>
      </c>
      <c r="M62" s="2">
        <v>536.62475300859887</v>
      </c>
      <c r="N62" s="1">
        <v>42</v>
      </c>
      <c r="O62" s="3">
        <v>56590.644253944003</v>
      </c>
      <c r="P62" s="2">
        <v>245.05993630615663</v>
      </c>
      <c r="Q62" s="2">
        <v>222.56780798318374</v>
      </c>
      <c r="R62" s="2">
        <v>850.68169803401406</v>
      </c>
      <c r="S62" s="2">
        <v>298.73687132072473</v>
      </c>
      <c r="T62" s="2">
        <v>359.1099841655037</v>
      </c>
    </row>
    <row r="63" spans="2:20" x14ac:dyDescent="0.25">
      <c r="B63" s="10">
        <v>430</v>
      </c>
      <c r="C63" s="10">
        <v>6</v>
      </c>
      <c r="D63" s="9" t="s">
        <v>183</v>
      </c>
      <c r="E63" s="8">
        <v>3218.2601135812065</v>
      </c>
      <c r="F63" s="7">
        <v>1582375.59</v>
      </c>
      <c r="G63" s="7">
        <v>0</v>
      </c>
      <c r="H63" s="7">
        <v>1582375.59</v>
      </c>
      <c r="I63" s="6">
        <v>491.68666737728933</v>
      </c>
      <c r="J63" s="6">
        <v>491.68666737728933</v>
      </c>
      <c r="K63" s="5">
        <v>1582375.59</v>
      </c>
      <c r="L63" s="4">
        <v>0</v>
      </c>
      <c r="M63" s="2">
        <v>536.62475300859887</v>
      </c>
      <c r="N63" s="1">
        <v>42</v>
      </c>
      <c r="O63" s="3">
        <v>2019.4315402069096</v>
      </c>
      <c r="P63" s="2">
        <v>245.05993630615663</v>
      </c>
      <c r="Q63" s="2">
        <v>222.56780798318374</v>
      </c>
      <c r="R63" s="2">
        <v>850.68169803401406</v>
      </c>
      <c r="S63" s="2">
        <v>491.68666737728933</v>
      </c>
      <c r="T63" s="2">
        <v>491.68666737728938</v>
      </c>
    </row>
    <row r="64" spans="2:20" x14ac:dyDescent="0.25">
      <c r="B64" s="10">
        <v>562</v>
      </c>
      <c r="C64" s="10">
        <v>6</v>
      </c>
      <c r="D64" s="9" t="s">
        <v>184</v>
      </c>
      <c r="E64" s="8">
        <v>37.821321052745773</v>
      </c>
      <c r="F64" s="7">
        <v>44660.03</v>
      </c>
      <c r="G64" s="7">
        <v>0</v>
      </c>
      <c r="H64" s="7">
        <v>44660.03</v>
      </c>
      <c r="I64" s="6">
        <v>1180.81623689762</v>
      </c>
      <c r="J64" s="6">
        <v>850.68169803401406</v>
      </c>
      <c r="K64" s="5">
        <v>32173.905615039377</v>
      </c>
      <c r="L64" s="4">
        <v>0</v>
      </c>
      <c r="M64" s="2">
        <v>536.62475300859887</v>
      </c>
      <c r="N64" s="1">
        <v>42</v>
      </c>
      <c r="O64" s="3">
        <v>414982.66791513894</v>
      </c>
      <c r="P64" s="2">
        <v>245.05993630615663</v>
      </c>
      <c r="Q64" s="2">
        <v>222.56780798318374</v>
      </c>
      <c r="R64" s="2">
        <v>850.68169803401406</v>
      </c>
      <c r="S64" s="2">
        <v>850.68169803401406</v>
      </c>
      <c r="T64" s="2">
        <v>833.68856769036574</v>
      </c>
    </row>
    <row r="65" spans="2:20" x14ac:dyDescent="0.25">
      <c r="B65" s="10">
        <v>603</v>
      </c>
      <c r="C65" s="10">
        <v>6</v>
      </c>
      <c r="D65" s="9" t="s">
        <v>185</v>
      </c>
      <c r="E65" s="8">
        <v>96.390687372599032</v>
      </c>
      <c r="F65" s="7">
        <v>83950.17</v>
      </c>
      <c r="G65" s="7">
        <v>0</v>
      </c>
      <c r="H65" s="7">
        <v>83950.17</v>
      </c>
      <c r="I65" s="6">
        <v>870.93652186014504</v>
      </c>
      <c r="J65" s="6">
        <v>850.68169803401406</v>
      </c>
      <c r="K65" s="5">
        <v>81997.793608788343</v>
      </c>
      <c r="L65" s="4">
        <v>0</v>
      </c>
      <c r="M65" s="2">
        <v>536.62475300859887</v>
      </c>
      <c r="N65" s="1">
        <v>42</v>
      </c>
      <c r="O65" s="3">
        <v>111764.35879264963</v>
      </c>
      <c r="P65" s="2">
        <v>245.05993630615663</v>
      </c>
      <c r="Q65" s="2">
        <v>222.56780798318374</v>
      </c>
      <c r="R65" s="2">
        <v>850.68169803401406</v>
      </c>
      <c r="S65" s="2">
        <v>850.68169803401406</v>
      </c>
      <c r="T65" s="2">
        <v>833.68856769036574</v>
      </c>
    </row>
    <row r="66" spans="2:20" x14ac:dyDescent="0.25">
      <c r="B66" s="10">
        <v>618</v>
      </c>
      <c r="C66" s="10">
        <v>6</v>
      </c>
      <c r="D66" s="9" t="s">
        <v>186</v>
      </c>
      <c r="E66" s="8">
        <v>13.879856974022433</v>
      </c>
      <c r="F66" s="7">
        <v>14635.94</v>
      </c>
      <c r="G66" s="7">
        <v>0</v>
      </c>
      <c r="H66" s="7">
        <v>14635.94</v>
      </c>
      <c r="I66" s="6">
        <v>1054.4734018075731</v>
      </c>
      <c r="J66" s="6">
        <v>850.68169803401406</v>
      </c>
      <c r="K66" s="5">
        <v>11807.340299130656</v>
      </c>
      <c r="L66" s="4">
        <v>0</v>
      </c>
      <c r="M66" s="2">
        <v>536.62475300859887</v>
      </c>
      <c r="N66" s="1">
        <v>42</v>
      </c>
      <c r="O66" s="3">
        <v>268167.22306292329</v>
      </c>
      <c r="P66" s="2">
        <v>245.05993630615663</v>
      </c>
      <c r="Q66" s="2">
        <v>222.56780798318374</v>
      </c>
      <c r="R66" s="2">
        <v>850.68169803401406</v>
      </c>
      <c r="S66" s="2">
        <v>850.68169803401406</v>
      </c>
      <c r="T66" s="2">
        <v>833.68856769036574</v>
      </c>
    </row>
    <row r="67" spans="2:20" x14ac:dyDescent="0.25">
      <c r="B67" s="10">
        <v>620</v>
      </c>
      <c r="C67" s="10">
        <v>6</v>
      </c>
      <c r="D67" s="9" t="s">
        <v>187</v>
      </c>
      <c r="E67" s="8">
        <v>172.17676107855257</v>
      </c>
      <c r="F67" s="7">
        <v>107961.55</v>
      </c>
      <c r="G67" s="7">
        <v>0</v>
      </c>
      <c r="H67" s="7">
        <v>107961.55</v>
      </c>
      <c r="I67" s="6">
        <v>627.03903432557001</v>
      </c>
      <c r="J67" s="6">
        <v>627.03903432557001</v>
      </c>
      <c r="K67" s="5">
        <v>107961.54999999999</v>
      </c>
      <c r="L67" s="4">
        <v>0</v>
      </c>
      <c r="M67" s="2">
        <v>536.62475300859887</v>
      </c>
      <c r="N67" s="1">
        <v>42</v>
      </c>
      <c r="O67" s="3">
        <v>8174.742266064397</v>
      </c>
      <c r="P67" s="2">
        <v>245.05993630615663</v>
      </c>
      <c r="Q67" s="2">
        <v>222.56780798318374</v>
      </c>
      <c r="R67" s="2">
        <v>850.68169803401406</v>
      </c>
      <c r="S67" s="2">
        <v>627.03903432557001</v>
      </c>
      <c r="T67" s="2">
        <v>627.03903432557001</v>
      </c>
    </row>
    <row r="68" spans="2:20" x14ac:dyDescent="0.25">
      <c r="B68" s="10">
        <v>622</v>
      </c>
      <c r="C68" s="10">
        <v>6</v>
      </c>
      <c r="D68" s="9" t="s">
        <v>188</v>
      </c>
      <c r="E68" s="8">
        <v>123.098252164416</v>
      </c>
      <c r="F68" s="7">
        <v>66686.509999999995</v>
      </c>
      <c r="G68" s="7">
        <v>108</v>
      </c>
      <c r="H68" s="7">
        <v>66578.509999999995</v>
      </c>
      <c r="I68" s="6">
        <v>540.85666391976474</v>
      </c>
      <c r="J68" s="6">
        <v>540.85666391976474</v>
      </c>
      <c r="K68" s="5">
        <v>66578.509999999995</v>
      </c>
      <c r="L68" s="4">
        <v>0</v>
      </c>
      <c r="M68" s="2">
        <v>536.62475300859887</v>
      </c>
      <c r="N68" s="1">
        <v>42</v>
      </c>
      <c r="O68" s="3">
        <v>17.909069960044736</v>
      </c>
      <c r="P68" s="2">
        <v>245.05993630615663</v>
      </c>
      <c r="Q68" s="2">
        <v>222.56780798318374</v>
      </c>
      <c r="R68" s="2">
        <v>850.68169803401406</v>
      </c>
      <c r="S68" s="2">
        <v>540.85666391976474</v>
      </c>
      <c r="T68" s="2">
        <v>540.85666391976474</v>
      </c>
    </row>
    <row r="69" spans="2:20" x14ac:dyDescent="0.25">
      <c r="B69" s="10">
        <v>623</v>
      </c>
      <c r="C69" s="10">
        <v>6</v>
      </c>
      <c r="D69" s="9" t="s">
        <v>189</v>
      </c>
      <c r="E69" s="8">
        <v>247.97076034681618</v>
      </c>
      <c r="F69" s="7">
        <v>78764.210000000006</v>
      </c>
      <c r="G69" s="7">
        <v>0</v>
      </c>
      <c r="H69" s="7">
        <v>78764.210000000006</v>
      </c>
      <c r="I69" s="6">
        <v>317.63507072301195</v>
      </c>
      <c r="J69" s="6">
        <v>317.63507072301195</v>
      </c>
      <c r="K69" s="5">
        <v>78764.210000000006</v>
      </c>
      <c r="L69" s="4">
        <v>0</v>
      </c>
      <c r="M69" s="2">
        <v>536.62475300859887</v>
      </c>
      <c r="N69" s="1">
        <v>42</v>
      </c>
      <c r="O69" s="3">
        <v>47956.480947542303</v>
      </c>
      <c r="P69" s="2">
        <v>245.05993630615663</v>
      </c>
      <c r="Q69" s="2">
        <v>222.56780798318374</v>
      </c>
      <c r="R69" s="2">
        <v>850.68169803401406</v>
      </c>
      <c r="S69" s="2">
        <v>317.63507072301195</v>
      </c>
      <c r="T69" s="2">
        <v>317.63507072301195</v>
      </c>
    </row>
    <row r="70" spans="2:20" x14ac:dyDescent="0.25">
      <c r="B70" s="10">
        <v>626</v>
      </c>
      <c r="C70" s="10">
        <v>6</v>
      </c>
      <c r="D70" s="9" t="s">
        <v>190</v>
      </c>
      <c r="E70" s="8">
        <v>23.564337738852998</v>
      </c>
      <c r="F70" s="7">
        <v>15698.78</v>
      </c>
      <c r="G70" s="7">
        <v>0</v>
      </c>
      <c r="H70" s="7">
        <v>15698.78</v>
      </c>
      <c r="I70" s="6">
        <v>666.20925968633412</v>
      </c>
      <c r="J70" s="6">
        <v>666.20925968633412</v>
      </c>
      <c r="K70" s="5">
        <v>15698.78</v>
      </c>
      <c r="L70" s="4">
        <v>0</v>
      </c>
      <c r="M70" s="2">
        <v>536.62475300859887</v>
      </c>
      <c r="N70" s="1">
        <v>42</v>
      </c>
      <c r="O70" s="3">
        <v>16792.14437091201</v>
      </c>
      <c r="P70" s="2">
        <v>245.05993630615663</v>
      </c>
      <c r="Q70" s="2">
        <v>222.56780798318374</v>
      </c>
      <c r="R70" s="2">
        <v>850.68169803401406</v>
      </c>
      <c r="S70" s="2">
        <v>666.20925968633412</v>
      </c>
      <c r="T70" s="2">
        <v>666.20925968633412</v>
      </c>
    </row>
    <row r="71" spans="2:20" x14ac:dyDescent="0.25">
      <c r="B71" s="10">
        <v>627</v>
      </c>
      <c r="C71" s="10">
        <v>6</v>
      </c>
      <c r="D71" s="9" t="s">
        <v>191</v>
      </c>
      <c r="E71" s="8">
        <v>187.40579189958385</v>
      </c>
      <c r="F71" s="7">
        <v>75700.72</v>
      </c>
      <c r="G71" s="7">
        <v>144.08000000000001</v>
      </c>
      <c r="H71" s="7">
        <v>75556.639999999999</v>
      </c>
      <c r="I71" s="6">
        <v>403.17131735440125</v>
      </c>
      <c r="J71" s="6">
        <v>403.17131735440125</v>
      </c>
      <c r="K71" s="5">
        <v>75556.639999999999</v>
      </c>
      <c r="L71" s="4">
        <v>0</v>
      </c>
      <c r="M71" s="2">
        <v>536.62475300859887</v>
      </c>
      <c r="N71" s="1">
        <v>42</v>
      </c>
      <c r="O71" s="3">
        <v>17809.819487909066</v>
      </c>
      <c r="P71" s="2">
        <v>245.05993630615663</v>
      </c>
      <c r="Q71" s="2">
        <v>222.56780798318374</v>
      </c>
      <c r="R71" s="2">
        <v>850.68169803401406</v>
      </c>
      <c r="S71" s="2">
        <v>403.17131735440125</v>
      </c>
      <c r="T71" s="2">
        <v>403.17131735440125</v>
      </c>
    </row>
    <row r="72" spans="2:20" x14ac:dyDescent="0.25">
      <c r="B72" s="10">
        <v>634</v>
      </c>
      <c r="C72" s="10">
        <v>6</v>
      </c>
      <c r="D72" s="9" t="s">
        <v>192</v>
      </c>
      <c r="E72" s="8">
        <v>254.23993037233467</v>
      </c>
      <c r="F72" s="7">
        <v>304755.86</v>
      </c>
      <c r="G72" s="7">
        <v>0</v>
      </c>
      <c r="H72" s="7">
        <v>304755.86</v>
      </c>
      <c r="I72" s="6">
        <v>1198.6939248830217</v>
      </c>
      <c r="J72" s="6">
        <v>850.68169803401406</v>
      </c>
      <c r="K72" s="5">
        <v>216277.25567718718</v>
      </c>
      <c r="L72" s="4">
        <v>0</v>
      </c>
      <c r="M72" s="2">
        <v>536.62475300859887</v>
      </c>
      <c r="N72" s="1">
        <v>42</v>
      </c>
      <c r="O72" s="3">
        <v>438335.58834648406</v>
      </c>
      <c r="P72" s="2">
        <v>245.05993630615663</v>
      </c>
      <c r="Q72" s="2">
        <v>222.56780798318374</v>
      </c>
      <c r="R72" s="2">
        <v>850.68169803401406</v>
      </c>
      <c r="S72" s="2">
        <v>850.68169803401406</v>
      </c>
      <c r="T72" s="2">
        <v>833.68856769036574</v>
      </c>
    </row>
    <row r="73" spans="2:20" x14ac:dyDescent="0.25">
      <c r="B73" s="10">
        <v>694</v>
      </c>
      <c r="C73" s="10">
        <v>6</v>
      </c>
      <c r="D73" s="9" t="s">
        <v>38</v>
      </c>
      <c r="E73" s="8">
        <v>13.782567722659953</v>
      </c>
      <c r="F73" s="7">
        <v>26844.42</v>
      </c>
      <c r="G73" s="7">
        <v>0</v>
      </c>
      <c r="H73" s="7">
        <v>26844.42</v>
      </c>
      <c r="I73" s="6">
        <v>1947.7081876307432</v>
      </c>
      <c r="J73" s="6">
        <v>850.68169803401406</v>
      </c>
      <c r="K73" s="5">
        <v>11724.578113581163</v>
      </c>
      <c r="L73" s="4">
        <v>0</v>
      </c>
      <c r="M73" s="2">
        <v>536.62475300859887</v>
      </c>
      <c r="N73" s="1">
        <v>42</v>
      </c>
      <c r="O73" s="3">
        <v>1991156.4594650273</v>
      </c>
      <c r="P73" s="2">
        <v>245.05993630615663</v>
      </c>
      <c r="Q73" s="2">
        <v>222.56780798318374</v>
      </c>
      <c r="R73" s="2">
        <v>850.68169803401406</v>
      </c>
      <c r="S73" s="2">
        <v>850.68169803401406</v>
      </c>
      <c r="T73" s="2">
        <v>833.68856769036574</v>
      </c>
    </row>
    <row r="74" spans="2:20" x14ac:dyDescent="0.25">
      <c r="B74" s="10">
        <v>697</v>
      </c>
      <c r="C74" s="10">
        <v>6</v>
      </c>
      <c r="D74" s="9" t="s">
        <v>193</v>
      </c>
      <c r="E74" s="8">
        <v>106.64017941426023</v>
      </c>
      <c r="F74" s="7">
        <v>81604.289999999994</v>
      </c>
      <c r="G74" s="7">
        <v>0</v>
      </c>
      <c r="H74" s="7">
        <v>81604.289999999994</v>
      </c>
      <c r="I74" s="6">
        <v>765.23023918588456</v>
      </c>
      <c r="J74" s="6">
        <v>765.23023918588456</v>
      </c>
      <c r="K74" s="5">
        <v>81604.289999999994</v>
      </c>
      <c r="L74" s="4">
        <v>0</v>
      </c>
      <c r="M74" s="2">
        <v>536.62475300859887</v>
      </c>
      <c r="N74" s="1">
        <v>42</v>
      </c>
      <c r="O74" s="3">
        <v>52260.468310353157</v>
      </c>
      <c r="P74" s="2">
        <v>245.05993630615663</v>
      </c>
      <c r="Q74" s="2">
        <v>222.56780798318374</v>
      </c>
      <c r="R74" s="2">
        <v>850.68169803401406</v>
      </c>
      <c r="S74" s="2">
        <v>765.23023918588456</v>
      </c>
      <c r="T74" s="2">
        <v>765.23023918588456</v>
      </c>
    </row>
    <row r="75" spans="2:20" x14ac:dyDescent="0.25">
      <c r="B75" s="10">
        <v>710</v>
      </c>
      <c r="C75" s="10">
        <v>6</v>
      </c>
      <c r="D75" s="9" t="s">
        <v>194</v>
      </c>
      <c r="E75" s="8">
        <v>73.015312856270128</v>
      </c>
      <c r="F75" s="7">
        <v>74539.039999999994</v>
      </c>
      <c r="G75" s="7">
        <v>0</v>
      </c>
      <c r="H75" s="7">
        <v>74539.039999999994</v>
      </c>
      <c r="I75" s="6">
        <v>1020.8685970671564</v>
      </c>
      <c r="J75" s="6">
        <v>850.68169803401406</v>
      </c>
      <c r="K75" s="5">
        <v>62112.790323056652</v>
      </c>
      <c r="L75" s="4">
        <v>0</v>
      </c>
      <c r="M75" s="2">
        <v>536.62475300859887</v>
      </c>
      <c r="N75" s="1">
        <v>42</v>
      </c>
      <c r="O75" s="3">
        <v>234492.10050860862</v>
      </c>
      <c r="P75" s="2">
        <v>245.05993630615663</v>
      </c>
      <c r="Q75" s="2">
        <v>222.56780798318374</v>
      </c>
      <c r="R75" s="2">
        <v>850.68169803401406</v>
      </c>
      <c r="S75" s="2">
        <v>850.68169803401406</v>
      </c>
      <c r="T75" s="2">
        <v>833.68856769036574</v>
      </c>
    </row>
    <row r="76" spans="2:20" x14ac:dyDescent="0.25">
      <c r="B76" s="10">
        <v>743</v>
      </c>
      <c r="C76" s="10">
        <v>6</v>
      </c>
      <c r="D76" s="9" t="s">
        <v>196</v>
      </c>
      <c r="E76" s="8">
        <v>20.329069174208382</v>
      </c>
      <c r="F76" s="7">
        <v>38346.15</v>
      </c>
      <c r="G76" s="7">
        <v>0</v>
      </c>
      <c r="H76" s="7">
        <v>38346.15</v>
      </c>
      <c r="I76" s="6">
        <v>1886.2718047440167</v>
      </c>
      <c r="J76" s="6">
        <v>850.68169803401406</v>
      </c>
      <c r="K76" s="5">
        <v>17293.567084566519</v>
      </c>
      <c r="L76" s="4">
        <v>0</v>
      </c>
      <c r="M76" s="2">
        <v>536.62475300859887</v>
      </c>
      <c r="N76" s="1">
        <v>42</v>
      </c>
      <c r="O76" s="3">
        <v>1821547.1642581054</v>
      </c>
      <c r="P76" s="2">
        <v>245.05993630615663</v>
      </c>
      <c r="Q76" s="2">
        <v>222.56780798318374</v>
      </c>
      <c r="R76" s="2">
        <v>850.68169803401406</v>
      </c>
      <c r="S76" s="2">
        <v>850.68169803401406</v>
      </c>
      <c r="T76" s="2">
        <v>833.68856769036574</v>
      </c>
    </row>
    <row r="77" spans="2:20" x14ac:dyDescent="0.25">
      <c r="B77" s="10">
        <v>747</v>
      </c>
      <c r="C77" s="10">
        <v>6</v>
      </c>
      <c r="D77" s="9" t="s">
        <v>368</v>
      </c>
      <c r="E77" s="8">
        <v>29.69</v>
      </c>
      <c r="F77" s="7">
        <v>45802.77</v>
      </c>
      <c r="G77" s="7">
        <v>0</v>
      </c>
      <c r="H77" s="7">
        <v>45802.77</v>
      </c>
      <c r="I77" s="6">
        <v>1542.7002357696192</v>
      </c>
      <c r="J77" s="6">
        <v>850.68169803401406</v>
      </c>
      <c r="K77" s="5">
        <v>25256.739614629878</v>
      </c>
      <c r="L77" s="4">
        <v>0</v>
      </c>
      <c r="M77" s="2">
        <v>536.62475300859887</v>
      </c>
      <c r="N77" s="1">
        <v>42</v>
      </c>
      <c r="O77" s="3">
        <v>1012187.8770128201</v>
      </c>
      <c r="P77" s="2">
        <v>245.05993630615663</v>
      </c>
      <c r="Q77" s="2">
        <v>222.56780798318374</v>
      </c>
      <c r="R77" s="2">
        <v>850.68169803401406</v>
      </c>
      <c r="S77" s="2">
        <v>850.68169803401406</v>
      </c>
      <c r="T77" s="2">
        <v>833.68856769036574</v>
      </c>
    </row>
    <row r="78" spans="2:20" x14ac:dyDescent="0.25">
      <c r="B78" s="10">
        <v>758</v>
      </c>
      <c r="C78" s="10">
        <v>6</v>
      </c>
      <c r="D78" s="9" t="s">
        <v>198</v>
      </c>
      <c r="E78" s="8">
        <v>501.76</v>
      </c>
      <c r="F78" s="7">
        <v>339017.51</v>
      </c>
      <c r="G78" s="7">
        <v>1615.77</v>
      </c>
      <c r="H78" s="7">
        <v>337401.74</v>
      </c>
      <c r="I78" s="6">
        <v>672.43650350765301</v>
      </c>
      <c r="J78" s="6">
        <v>672.43650350765301</v>
      </c>
      <c r="K78" s="5">
        <v>337401.74</v>
      </c>
      <c r="L78" s="4">
        <v>0</v>
      </c>
      <c r="M78" s="2">
        <v>536.62475300859887</v>
      </c>
      <c r="N78" s="1">
        <v>42</v>
      </c>
      <c r="O78" s="3">
        <v>18444.831573617332</v>
      </c>
      <c r="P78" s="2">
        <v>245.05993630615663</v>
      </c>
      <c r="Q78" s="2">
        <v>222.56780798318374</v>
      </c>
      <c r="R78" s="2">
        <v>850.68169803401406</v>
      </c>
      <c r="S78" s="2">
        <v>672.43650350765301</v>
      </c>
      <c r="T78" s="2">
        <v>672.43650350765301</v>
      </c>
    </row>
    <row r="79" spans="2:20" x14ac:dyDescent="0.25">
      <c r="B79" s="10">
        <v>774</v>
      </c>
      <c r="C79" s="10">
        <v>6</v>
      </c>
      <c r="D79" s="9" t="s">
        <v>201</v>
      </c>
      <c r="E79" s="8">
        <v>519.64</v>
      </c>
      <c r="F79" s="7">
        <v>233257.27</v>
      </c>
      <c r="G79" s="7">
        <v>0</v>
      </c>
      <c r="H79" s="7">
        <v>233257.27</v>
      </c>
      <c r="I79" s="6">
        <v>448.8824378415826</v>
      </c>
      <c r="J79" s="6">
        <v>448.8824378415826</v>
      </c>
      <c r="K79" s="5">
        <v>233257.27</v>
      </c>
      <c r="L79" s="4">
        <v>0</v>
      </c>
      <c r="M79" s="2">
        <v>536.62475300859887</v>
      </c>
      <c r="N79" s="1">
        <v>42</v>
      </c>
      <c r="O79" s="3">
        <v>7698.7138708680141</v>
      </c>
      <c r="P79" s="2">
        <v>245.05993630615663</v>
      </c>
      <c r="Q79" s="2">
        <v>222.56780798318374</v>
      </c>
      <c r="R79" s="2">
        <v>850.68169803401406</v>
      </c>
      <c r="S79" s="2">
        <v>448.8824378415826</v>
      </c>
      <c r="T79" s="2">
        <v>430.70571934416137</v>
      </c>
    </row>
    <row r="80" spans="2:20" x14ac:dyDescent="0.25">
      <c r="B80" s="10">
        <v>794</v>
      </c>
      <c r="C80" s="10">
        <v>6</v>
      </c>
      <c r="D80" s="9" t="s">
        <v>369</v>
      </c>
      <c r="E80" s="8">
        <v>37.148485376544727</v>
      </c>
      <c r="F80" s="7">
        <v>27852.79</v>
      </c>
      <c r="G80" s="7">
        <v>0</v>
      </c>
      <c r="H80" s="7">
        <v>27852.79</v>
      </c>
      <c r="I80" s="6">
        <v>749.76919563956278</v>
      </c>
      <c r="J80" s="6">
        <v>749.76919563956278</v>
      </c>
      <c r="K80" s="5">
        <v>27852.79</v>
      </c>
      <c r="L80" s="4">
        <v>0</v>
      </c>
      <c r="M80" s="2">
        <v>536.62475300859887</v>
      </c>
      <c r="N80" s="1">
        <v>42</v>
      </c>
      <c r="O80" s="3">
        <v>45430.553424464262</v>
      </c>
      <c r="P80" s="2">
        <v>245.05993630615663</v>
      </c>
      <c r="Q80" s="2">
        <v>222.56780798318374</v>
      </c>
      <c r="R80" s="2">
        <v>850.68169803401406</v>
      </c>
      <c r="S80" s="2">
        <v>749.76919563956278</v>
      </c>
      <c r="T80" s="2">
        <v>749.76919563956278</v>
      </c>
    </row>
    <row r="81" spans="2:20" x14ac:dyDescent="0.25">
      <c r="B81" s="10">
        <v>806</v>
      </c>
      <c r="C81" s="10">
        <v>6</v>
      </c>
      <c r="D81" s="9" t="s">
        <v>370</v>
      </c>
      <c r="E81" s="8">
        <v>21.446338755272645</v>
      </c>
      <c r="F81" s="7">
        <v>37974.839999999997</v>
      </c>
      <c r="G81" s="7">
        <v>0</v>
      </c>
      <c r="H81" s="7">
        <v>37974.839999999997</v>
      </c>
      <c r="I81" s="6">
        <v>1770.6910458394102</v>
      </c>
      <c r="J81" s="6">
        <v>850.68169803401406</v>
      </c>
      <c r="K81" s="5">
        <v>18244.007868948018</v>
      </c>
      <c r="L81" s="4">
        <v>0</v>
      </c>
      <c r="M81" s="2">
        <v>536.62475300859887</v>
      </c>
      <c r="N81" s="1">
        <v>42</v>
      </c>
      <c r="O81" s="3">
        <v>1522919.6151011819</v>
      </c>
      <c r="P81" s="2">
        <v>245.05993630615663</v>
      </c>
      <c r="Q81" s="2">
        <v>222.56780798318374</v>
      </c>
      <c r="R81" s="2">
        <v>850.68169803401406</v>
      </c>
      <c r="S81" s="2">
        <v>850.68169803401406</v>
      </c>
      <c r="T81" s="2">
        <v>833.68856769036574</v>
      </c>
    </row>
    <row r="82" spans="2:20" x14ac:dyDescent="0.25">
      <c r="B82" s="10">
        <v>811</v>
      </c>
      <c r="C82" s="10">
        <v>6</v>
      </c>
      <c r="D82" s="9" t="s">
        <v>204</v>
      </c>
      <c r="E82" s="8">
        <v>861.24027362850688</v>
      </c>
      <c r="F82" s="7">
        <v>561323.81000000006</v>
      </c>
      <c r="G82" s="7">
        <v>5198.8</v>
      </c>
      <c r="H82" s="7">
        <v>556125.01</v>
      </c>
      <c r="I82" s="6">
        <v>645.72573650902291</v>
      </c>
      <c r="J82" s="6">
        <v>645.72573650902291</v>
      </c>
      <c r="K82" s="5">
        <v>556125.01</v>
      </c>
      <c r="L82" s="4">
        <v>0</v>
      </c>
      <c r="M82" s="2">
        <v>536.62475300859887</v>
      </c>
      <c r="N82" s="1">
        <v>42</v>
      </c>
      <c r="O82" s="3">
        <v>11903.024600759798</v>
      </c>
      <c r="P82" s="2">
        <v>245.05993630615663</v>
      </c>
      <c r="Q82" s="2">
        <v>222.56780798318374</v>
      </c>
      <c r="R82" s="2">
        <v>850.68169803401406</v>
      </c>
      <c r="S82" s="2">
        <v>645.72573650902291</v>
      </c>
      <c r="T82" s="2">
        <v>645.72573650902302</v>
      </c>
    </row>
    <row r="83" spans="2:20" x14ac:dyDescent="0.25">
      <c r="B83" s="10">
        <v>824</v>
      </c>
      <c r="C83" s="10">
        <v>6</v>
      </c>
      <c r="D83" s="9" t="s">
        <v>371</v>
      </c>
      <c r="E83" s="8">
        <v>32.749964594946256</v>
      </c>
      <c r="F83" s="7">
        <v>49541.43</v>
      </c>
      <c r="G83" s="7">
        <v>0</v>
      </c>
      <c r="H83" s="7">
        <v>49541.43</v>
      </c>
      <c r="I83" s="6">
        <v>1512.7170552008745</v>
      </c>
      <c r="J83" s="6">
        <v>850.68169803401406</v>
      </c>
      <c r="K83" s="5">
        <v>27859.795492182722</v>
      </c>
      <c r="L83" s="4">
        <v>0</v>
      </c>
      <c r="M83" s="2">
        <v>536.62475300859887</v>
      </c>
      <c r="N83" s="1">
        <v>42</v>
      </c>
      <c r="O83" s="3">
        <v>952756.18239901669</v>
      </c>
      <c r="P83" s="2">
        <v>245.05993630615663</v>
      </c>
      <c r="Q83" s="2">
        <v>222.56780798318374</v>
      </c>
      <c r="R83" s="2">
        <v>850.68169803401406</v>
      </c>
      <c r="S83" s="2">
        <v>850.68169803401406</v>
      </c>
      <c r="T83" s="2">
        <v>833.68856769036574</v>
      </c>
    </row>
    <row r="84" spans="2:20" x14ac:dyDescent="0.25">
      <c r="B84" s="10">
        <v>826</v>
      </c>
      <c r="C84" s="10">
        <v>6</v>
      </c>
      <c r="D84" s="9" t="s">
        <v>372</v>
      </c>
      <c r="E84" s="8">
        <v>25.400425632007895</v>
      </c>
      <c r="F84" s="7">
        <v>28559.88</v>
      </c>
      <c r="G84" s="7">
        <v>0</v>
      </c>
      <c r="H84" s="7">
        <v>28559.88</v>
      </c>
      <c r="I84" s="6">
        <v>1124.3858828889377</v>
      </c>
      <c r="J84" s="6">
        <v>850.68169803401406</v>
      </c>
      <c r="K84" s="5">
        <v>21607.67720742317</v>
      </c>
      <c r="L84" s="4">
        <v>0</v>
      </c>
      <c r="M84" s="2">
        <v>536.62475300859887</v>
      </c>
      <c r="N84" s="1">
        <v>42</v>
      </c>
      <c r="O84" s="3">
        <v>345463.1457982125</v>
      </c>
      <c r="P84" s="2">
        <v>245.05993630615663</v>
      </c>
      <c r="Q84" s="2">
        <v>222.56780798318374</v>
      </c>
      <c r="R84" s="2">
        <v>850.68169803401406</v>
      </c>
      <c r="S84" s="2">
        <v>850.68169803401406</v>
      </c>
      <c r="T84" s="2">
        <v>833.68856769036574</v>
      </c>
    </row>
    <row r="85" spans="2:20" x14ac:dyDescent="0.25">
      <c r="B85" s="10">
        <v>840</v>
      </c>
      <c r="C85" s="10">
        <v>6</v>
      </c>
      <c r="D85" s="9" t="s">
        <v>207</v>
      </c>
      <c r="E85" s="8">
        <v>148.03024558379849</v>
      </c>
      <c r="F85" s="7">
        <v>73507.570000000007</v>
      </c>
      <c r="G85" s="7">
        <v>0</v>
      </c>
      <c r="H85" s="7">
        <v>73507.570000000007</v>
      </c>
      <c r="I85" s="6">
        <v>496.57128994214958</v>
      </c>
      <c r="J85" s="6">
        <v>496.57128994214958</v>
      </c>
      <c r="K85" s="5">
        <v>73507.570000000007</v>
      </c>
      <c r="L85" s="4">
        <v>0</v>
      </c>
      <c r="M85" s="2">
        <v>536.62475300859887</v>
      </c>
      <c r="N85" s="1">
        <v>42</v>
      </c>
      <c r="O85" s="3">
        <v>1604.2799036154179</v>
      </c>
      <c r="P85" s="2">
        <v>245.05993630615663</v>
      </c>
      <c r="Q85" s="2">
        <v>222.56780798318374</v>
      </c>
      <c r="R85" s="2">
        <v>850.68169803401406</v>
      </c>
      <c r="S85" s="2">
        <v>496.57128994214958</v>
      </c>
      <c r="T85" s="2">
        <v>496.57128994214958</v>
      </c>
    </row>
    <row r="86" spans="2:20" x14ac:dyDescent="0.25">
      <c r="B86" s="10">
        <v>843</v>
      </c>
      <c r="C86" s="10">
        <v>6</v>
      </c>
      <c r="D86" s="9" t="s">
        <v>373</v>
      </c>
      <c r="E86" s="8">
        <v>20.948804644954965</v>
      </c>
      <c r="F86" s="7">
        <v>38204.959999999999</v>
      </c>
      <c r="G86" s="7">
        <v>0</v>
      </c>
      <c r="H86" s="7">
        <v>38204.959999999999</v>
      </c>
      <c r="I86" s="6">
        <v>1823.7298331578447</v>
      </c>
      <c r="J86" s="6">
        <v>850.68169803401406</v>
      </c>
      <c r="K86" s="5">
        <v>17820.764707153132</v>
      </c>
      <c r="L86" s="4">
        <v>0</v>
      </c>
      <c r="M86" s="2">
        <v>536.62475300859887</v>
      </c>
      <c r="N86" s="1">
        <v>42</v>
      </c>
      <c r="O86" s="3">
        <v>1656639.4873459965</v>
      </c>
      <c r="P86" s="2">
        <v>245.05993630615663</v>
      </c>
      <c r="Q86" s="2">
        <v>222.56780798318374</v>
      </c>
      <c r="R86" s="2">
        <v>850.68169803401406</v>
      </c>
      <c r="S86" s="2">
        <v>850.68169803401406</v>
      </c>
      <c r="T86" s="2">
        <v>833.68856769036574</v>
      </c>
    </row>
    <row r="87" spans="2:20" x14ac:dyDescent="0.25">
      <c r="B87" s="10">
        <v>846</v>
      </c>
      <c r="C87" s="10">
        <v>6</v>
      </c>
      <c r="D87" s="9" t="s">
        <v>209</v>
      </c>
      <c r="E87" s="8">
        <v>21.559811447099484</v>
      </c>
      <c r="F87" s="7">
        <v>37398.639999999999</v>
      </c>
      <c r="G87" s="7">
        <v>0</v>
      </c>
      <c r="H87" s="7">
        <v>37398.639999999999</v>
      </c>
      <c r="I87" s="6">
        <v>1734.6459681135739</v>
      </c>
      <c r="J87" s="6">
        <v>850.68169803401406</v>
      </c>
      <c r="K87" s="5">
        <v>18340.537011111763</v>
      </c>
      <c r="L87" s="4">
        <v>0</v>
      </c>
      <c r="M87" s="2">
        <v>536.62475300859887</v>
      </c>
      <c r="N87" s="1">
        <v>42</v>
      </c>
      <c r="O87" s="3">
        <v>1435254.8318416008</v>
      </c>
      <c r="P87" s="2">
        <v>245.05993630615663</v>
      </c>
      <c r="Q87" s="2">
        <v>222.56780798318374</v>
      </c>
      <c r="R87" s="2">
        <v>850.68169803401406</v>
      </c>
      <c r="S87" s="2">
        <v>850.68169803401406</v>
      </c>
      <c r="T87" s="2">
        <v>833.68856769036574</v>
      </c>
    </row>
    <row r="88" spans="2:20" x14ac:dyDescent="0.25">
      <c r="B88" s="10">
        <v>888</v>
      </c>
      <c r="C88" s="10">
        <v>6</v>
      </c>
      <c r="D88" s="9" t="s">
        <v>210</v>
      </c>
      <c r="E88" s="8">
        <v>99.570878092604332</v>
      </c>
      <c r="F88" s="7">
        <v>41003.18</v>
      </c>
      <c r="G88" s="7">
        <v>0</v>
      </c>
      <c r="H88" s="7">
        <v>41003.18</v>
      </c>
      <c r="I88" s="6">
        <v>411.79891937746731</v>
      </c>
      <c r="J88" s="6">
        <v>411.79891937746731</v>
      </c>
      <c r="K88" s="5">
        <v>41003.18</v>
      </c>
      <c r="L88" s="4">
        <v>0</v>
      </c>
      <c r="M88" s="2">
        <v>536.62475300859887</v>
      </c>
      <c r="N88" s="1">
        <v>42</v>
      </c>
      <c r="O88" s="3">
        <v>15581.488741706935</v>
      </c>
      <c r="P88" s="2">
        <v>245.05993630615663</v>
      </c>
      <c r="Q88" s="2">
        <v>222.56780798318374</v>
      </c>
      <c r="R88" s="2">
        <v>850.68169803401406</v>
      </c>
      <c r="S88" s="2">
        <v>411.79891937746731</v>
      </c>
      <c r="T88" s="2">
        <v>411.79891937746731</v>
      </c>
    </row>
    <row r="89" spans="2:20" x14ac:dyDescent="0.25">
      <c r="B89" s="10">
        <v>889</v>
      </c>
      <c r="C89" s="10">
        <v>6</v>
      </c>
      <c r="D89" s="9" t="s">
        <v>211</v>
      </c>
      <c r="E89" s="8">
        <v>52.211179695889975</v>
      </c>
      <c r="F89" s="7">
        <v>44546.79</v>
      </c>
      <c r="G89" s="7">
        <v>0</v>
      </c>
      <c r="H89" s="7">
        <v>44546.79</v>
      </c>
      <c r="I89" s="6">
        <v>853.20405053990169</v>
      </c>
      <c r="J89" s="6">
        <v>850.68169803401406</v>
      </c>
      <c r="K89" s="5">
        <v>44415.095000058718</v>
      </c>
      <c r="L89" s="4">
        <v>0</v>
      </c>
      <c r="M89" s="2">
        <v>536.62475300859887</v>
      </c>
      <c r="N89" s="1">
        <v>42</v>
      </c>
      <c r="O89" s="3">
        <v>100222.45162541314</v>
      </c>
      <c r="P89" s="2">
        <v>245.05993630615663</v>
      </c>
      <c r="Q89" s="2">
        <v>222.56780798318374</v>
      </c>
      <c r="R89" s="2">
        <v>850.68169803401406</v>
      </c>
      <c r="S89" s="2">
        <v>850.68169803401406</v>
      </c>
      <c r="T89" s="2">
        <v>426.60202526995084</v>
      </c>
    </row>
    <row r="90" spans="2:20" x14ac:dyDescent="0.25">
      <c r="B90" s="10">
        <v>891</v>
      </c>
      <c r="C90" s="10">
        <v>6</v>
      </c>
      <c r="D90" s="9" t="s">
        <v>212</v>
      </c>
      <c r="E90" s="8">
        <v>365.91258095896558</v>
      </c>
      <c r="F90" s="7">
        <v>81578.13</v>
      </c>
      <c r="G90" s="7">
        <v>0</v>
      </c>
      <c r="H90" s="7">
        <v>81578.13</v>
      </c>
      <c r="I90" s="6">
        <v>222.94431578767825</v>
      </c>
      <c r="J90" s="6">
        <v>222.94431578767825</v>
      </c>
      <c r="K90" s="5">
        <v>81578.13</v>
      </c>
      <c r="L90" s="4">
        <v>0</v>
      </c>
      <c r="M90" s="2">
        <v>536.62475300859887</v>
      </c>
      <c r="N90" s="1">
        <v>42</v>
      </c>
      <c r="O90" s="3">
        <v>98395.416695107924</v>
      </c>
      <c r="P90" s="2">
        <v>245.05993630615663</v>
      </c>
      <c r="Q90" s="213">
        <v>222.56780798318374</v>
      </c>
      <c r="R90" s="2">
        <v>850.68169803401406</v>
      </c>
      <c r="S90" s="2">
        <v>222.94431578767825</v>
      </c>
      <c r="T90" s="2">
        <v>222.94431578767825</v>
      </c>
    </row>
    <row r="91" spans="2:20" x14ac:dyDescent="0.25">
      <c r="B91" s="10">
        <v>904</v>
      </c>
      <c r="C91" s="10">
        <v>6</v>
      </c>
      <c r="D91" s="9" t="s">
        <v>213</v>
      </c>
      <c r="E91" s="8">
        <v>24.038753330085822</v>
      </c>
      <c r="F91" s="7">
        <v>11671.18</v>
      </c>
      <c r="G91" s="7">
        <v>0</v>
      </c>
      <c r="H91" s="7">
        <v>11671.18</v>
      </c>
      <c r="I91" s="6">
        <v>485.51519455848307</v>
      </c>
      <c r="J91" s="6">
        <v>485.51519455848307</v>
      </c>
      <c r="K91" s="5">
        <v>11671.18</v>
      </c>
      <c r="L91" s="4">
        <v>0</v>
      </c>
      <c r="M91" s="2">
        <v>536.62475300859887</v>
      </c>
      <c r="N91" s="1">
        <v>42</v>
      </c>
      <c r="O91" s="3">
        <v>2612.1869649658033</v>
      </c>
      <c r="P91" s="2">
        <v>245.05993630615663</v>
      </c>
      <c r="Q91" s="2">
        <v>222.56780798318374</v>
      </c>
      <c r="R91" s="2">
        <v>850.68169803401406</v>
      </c>
      <c r="S91" s="2">
        <v>485.51519455848307</v>
      </c>
      <c r="T91" s="2">
        <v>485.51519455848313</v>
      </c>
    </row>
    <row r="92" spans="2:20" x14ac:dyDescent="0.25">
      <c r="B92" s="10">
        <v>906</v>
      </c>
      <c r="C92" s="10">
        <v>6</v>
      </c>
      <c r="D92" s="9" t="s">
        <v>214</v>
      </c>
      <c r="E92" s="8">
        <v>240.19</v>
      </c>
      <c r="F92" s="7">
        <v>125425.01</v>
      </c>
      <c r="G92" s="7">
        <v>88</v>
      </c>
      <c r="H92" s="7">
        <v>125337.01</v>
      </c>
      <c r="I92" s="6">
        <v>521.82443065906159</v>
      </c>
      <c r="J92" s="6">
        <v>521.82443065906159</v>
      </c>
      <c r="K92" s="5">
        <v>125337.01000000001</v>
      </c>
      <c r="L92" s="4">
        <v>0</v>
      </c>
      <c r="M92" s="2">
        <v>536.62475300859887</v>
      </c>
      <c r="N92" s="1">
        <v>42</v>
      </c>
      <c r="O92" s="3">
        <v>219.04954165021277</v>
      </c>
      <c r="P92" s="2">
        <v>245.05993630615663</v>
      </c>
      <c r="Q92" s="2">
        <v>222.56780798318374</v>
      </c>
      <c r="R92" s="2">
        <v>850.68169803401406</v>
      </c>
      <c r="S92" s="2">
        <v>521.82443065906159</v>
      </c>
      <c r="T92" s="2">
        <v>521.82443065906159</v>
      </c>
    </row>
    <row r="93" spans="2:20" x14ac:dyDescent="0.25">
      <c r="B93" s="10">
        <v>917</v>
      </c>
      <c r="C93" s="10">
        <v>6</v>
      </c>
      <c r="D93" s="9" t="s">
        <v>215</v>
      </c>
      <c r="E93" s="8">
        <v>62.329983548456262</v>
      </c>
      <c r="F93" s="7">
        <v>53270.83</v>
      </c>
      <c r="G93" s="7">
        <v>0</v>
      </c>
      <c r="H93" s="7">
        <v>53270.83</v>
      </c>
      <c r="I93" s="6">
        <v>854.65817520369569</v>
      </c>
      <c r="J93" s="6">
        <v>850.68169803401406</v>
      </c>
      <c r="K93" s="5">
        <v>53022.976243432931</v>
      </c>
      <c r="L93" s="4">
        <v>0</v>
      </c>
      <c r="M93" s="2">
        <v>536.62475300859887</v>
      </c>
      <c r="N93" s="1">
        <v>42</v>
      </c>
      <c r="O93" s="3">
        <v>101145.2576331247</v>
      </c>
      <c r="P93" s="2">
        <v>245.05993630615663</v>
      </c>
      <c r="Q93" s="2">
        <v>222.56780798318374</v>
      </c>
      <c r="R93" s="2">
        <v>850.68169803401406</v>
      </c>
      <c r="S93" s="2">
        <v>850.68169803401406</v>
      </c>
      <c r="T93" s="2">
        <v>427.32908760184785</v>
      </c>
    </row>
    <row r="94" spans="2:20" x14ac:dyDescent="0.25">
      <c r="B94" s="10">
        <v>957</v>
      </c>
      <c r="C94" s="10">
        <v>6</v>
      </c>
      <c r="D94" s="9" t="s">
        <v>216</v>
      </c>
      <c r="E94" s="8">
        <v>99.062627670785943</v>
      </c>
      <c r="F94" s="7">
        <v>34397.550000000003</v>
      </c>
      <c r="G94" s="7">
        <v>70</v>
      </c>
      <c r="H94" s="7">
        <v>34327.550000000003</v>
      </c>
      <c r="I94" s="6">
        <v>346.52371744146018</v>
      </c>
      <c r="J94" s="6">
        <v>346.52371744146018</v>
      </c>
      <c r="K94" s="5">
        <v>34327.550000000003</v>
      </c>
      <c r="L94" s="4">
        <v>0</v>
      </c>
      <c r="M94" s="2">
        <v>536.62475300859887</v>
      </c>
      <c r="N94" s="1">
        <v>42</v>
      </c>
      <c r="O94" s="3">
        <v>36138.403723698531</v>
      </c>
      <c r="P94" s="2">
        <v>245.05993630615663</v>
      </c>
      <c r="Q94" s="2">
        <v>222.56780798318374</v>
      </c>
      <c r="R94" s="2">
        <v>850.68169803401406</v>
      </c>
      <c r="S94" s="2">
        <v>346.52371744146018</v>
      </c>
      <c r="T94" s="2">
        <v>346.52371744146018</v>
      </c>
    </row>
    <row r="95" spans="2:20" x14ac:dyDescent="0.25">
      <c r="B95" s="10">
        <v>959</v>
      </c>
      <c r="C95" s="10">
        <v>6</v>
      </c>
      <c r="D95" s="9" t="s">
        <v>217</v>
      </c>
      <c r="E95" s="8">
        <v>353.69608900180333</v>
      </c>
      <c r="F95" s="7">
        <v>99467.75</v>
      </c>
      <c r="G95" s="7">
        <v>439.68</v>
      </c>
      <c r="H95" s="7">
        <v>99028.07</v>
      </c>
      <c r="I95" s="6">
        <v>279.98067572495864</v>
      </c>
      <c r="J95" s="6">
        <v>279.98067572495864</v>
      </c>
      <c r="K95" s="5">
        <v>99028.07</v>
      </c>
      <c r="L95" s="4">
        <v>0</v>
      </c>
      <c r="M95" s="2">
        <v>536.62475300859887</v>
      </c>
      <c r="N95" s="1">
        <v>42</v>
      </c>
      <c r="O95" s="3">
        <v>65866.182404771098</v>
      </c>
      <c r="P95" s="2">
        <v>245.05993630615663</v>
      </c>
      <c r="Q95" s="2">
        <v>222.56780798318374</v>
      </c>
      <c r="R95" s="2">
        <v>850.68169803401406</v>
      </c>
      <c r="S95" s="2">
        <v>279.98067572495864</v>
      </c>
      <c r="T95" s="2">
        <v>279.98067572495864</v>
      </c>
    </row>
    <row r="96" spans="2:20" x14ac:dyDescent="0.25">
      <c r="B96" s="10">
        <v>969</v>
      </c>
      <c r="C96" s="10">
        <v>6</v>
      </c>
      <c r="D96" s="9" t="s">
        <v>218</v>
      </c>
      <c r="E96" s="8">
        <v>16.889973744994943</v>
      </c>
      <c r="F96" s="7">
        <v>29287.439999999999</v>
      </c>
      <c r="G96" s="7">
        <v>0</v>
      </c>
      <c r="H96" s="7">
        <v>29287.439999999999</v>
      </c>
      <c r="I96" s="6">
        <v>1734.0133526660356</v>
      </c>
      <c r="J96" s="6">
        <v>850.68169803401406</v>
      </c>
      <c r="K96" s="5">
        <v>14367.991545142215</v>
      </c>
      <c r="L96" s="4">
        <v>0</v>
      </c>
      <c r="M96" s="2">
        <v>536.62475300859887</v>
      </c>
      <c r="N96" s="1">
        <v>42</v>
      </c>
      <c r="O96" s="3">
        <v>1433739.4585895974</v>
      </c>
      <c r="P96" s="2">
        <v>245.05993630615663</v>
      </c>
      <c r="Q96" s="2">
        <v>222.56780798318374</v>
      </c>
      <c r="R96" s="2">
        <v>850.68169803401406</v>
      </c>
      <c r="S96" s="2">
        <v>850.68169803401406</v>
      </c>
      <c r="T96" s="2">
        <v>833.68856769036574</v>
      </c>
    </row>
    <row r="97" spans="2:20" x14ac:dyDescent="0.25">
      <c r="B97" s="10">
        <v>970</v>
      </c>
      <c r="C97" s="10">
        <v>6</v>
      </c>
      <c r="D97" s="9" t="s">
        <v>219</v>
      </c>
      <c r="E97" s="8">
        <v>187.40451488632627</v>
      </c>
      <c r="F97" s="7">
        <v>47704.1</v>
      </c>
      <c r="G97" s="7">
        <v>112</v>
      </c>
      <c r="H97" s="7">
        <v>47592.1</v>
      </c>
      <c r="I97" s="6">
        <v>253.95386033718495</v>
      </c>
      <c r="J97" s="6">
        <v>253.95386033718495</v>
      </c>
      <c r="K97" s="5">
        <v>47592.1</v>
      </c>
      <c r="L97" s="4">
        <v>0</v>
      </c>
      <c r="M97" s="2">
        <v>536.62475300859887</v>
      </c>
      <c r="N97" s="1">
        <v>42</v>
      </c>
      <c r="O97" s="3">
        <v>79902.833563654014</v>
      </c>
      <c r="P97" s="2">
        <v>245.05993630615663</v>
      </c>
      <c r="Q97" s="2">
        <v>222.56780798318374</v>
      </c>
      <c r="R97" s="2">
        <v>850.68169803401406</v>
      </c>
      <c r="S97" s="2">
        <v>253.95386033718495</v>
      </c>
      <c r="T97" s="2">
        <v>253.95386033718495</v>
      </c>
    </row>
    <row r="98" spans="2:20" x14ac:dyDescent="0.25">
      <c r="B98" s="10">
        <v>980</v>
      </c>
      <c r="C98" s="10">
        <v>6</v>
      </c>
      <c r="D98" s="9" t="s">
        <v>220</v>
      </c>
      <c r="E98" s="8">
        <v>36.983368866947572</v>
      </c>
      <c r="F98" s="7">
        <v>18658.919999999998</v>
      </c>
      <c r="G98" s="7">
        <v>0</v>
      </c>
      <c r="H98" s="7">
        <v>18658.919999999998</v>
      </c>
      <c r="I98" s="6">
        <v>504.52191273131075</v>
      </c>
      <c r="J98" s="6">
        <v>504.52191273131075</v>
      </c>
      <c r="K98" s="5">
        <v>18658.919999999998</v>
      </c>
      <c r="L98" s="4">
        <v>0</v>
      </c>
      <c r="M98" s="2">
        <v>536.62475300859887</v>
      </c>
      <c r="N98" s="1">
        <v>42</v>
      </c>
      <c r="O98" s="3">
        <v>1030.5923538690727</v>
      </c>
      <c r="P98" s="2">
        <v>245.05993630615663</v>
      </c>
      <c r="Q98" s="2">
        <v>222.56780798318374</v>
      </c>
      <c r="R98" s="2">
        <v>850.68169803401406</v>
      </c>
      <c r="S98" s="2">
        <v>504.52191273131075</v>
      </c>
      <c r="T98" s="2">
        <v>504.52191273131075</v>
      </c>
    </row>
    <row r="99" spans="2:20" x14ac:dyDescent="0.25">
      <c r="B99" s="10">
        <v>986</v>
      </c>
      <c r="C99" s="10">
        <v>6</v>
      </c>
      <c r="D99" s="9" t="s">
        <v>221</v>
      </c>
      <c r="E99" s="8">
        <v>15.519572774470804</v>
      </c>
      <c r="F99" s="7">
        <v>23452.62</v>
      </c>
      <c r="G99" s="7">
        <v>0</v>
      </c>
      <c r="H99" s="7">
        <v>23452.62</v>
      </c>
      <c r="I99" s="6">
        <v>1511.164021124267</v>
      </c>
      <c r="J99" s="6">
        <v>850.68169803401406</v>
      </c>
      <c r="K99" s="5">
        <v>13202.216520549278</v>
      </c>
      <c r="L99" s="4">
        <v>0</v>
      </c>
      <c r="M99" s="2">
        <v>536.62475300859887</v>
      </c>
      <c r="N99" s="1">
        <v>42</v>
      </c>
      <c r="O99" s="3">
        <v>949726.78509942221</v>
      </c>
      <c r="P99" s="2">
        <v>245.05993630615663</v>
      </c>
      <c r="Q99" s="2">
        <v>222.56780798318374</v>
      </c>
      <c r="R99" s="2">
        <v>850.68169803401406</v>
      </c>
      <c r="S99" s="2">
        <v>850.68169803401406</v>
      </c>
      <c r="T99" s="2">
        <v>833.68856769036574</v>
      </c>
    </row>
    <row r="100" spans="2:20" x14ac:dyDescent="0.25">
      <c r="B100" s="10">
        <v>988</v>
      </c>
      <c r="C100" s="10">
        <v>6</v>
      </c>
      <c r="D100" s="9" t="s">
        <v>222</v>
      </c>
      <c r="E100" s="8">
        <v>112.31410230510562</v>
      </c>
      <c r="F100" s="7">
        <v>57712.22</v>
      </c>
      <c r="G100" s="7">
        <v>0</v>
      </c>
      <c r="H100" s="7">
        <v>57712.22</v>
      </c>
      <c r="I100" s="6">
        <v>513.84660354781192</v>
      </c>
      <c r="J100" s="6">
        <v>513.84660354781192</v>
      </c>
      <c r="K100" s="5">
        <v>57712.219999999994</v>
      </c>
      <c r="L100" s="4">
        <v>0</v>
      </c>
      <c r="M100" s="2">
        <v>536.62475300859887</v>
      </c>
      <c r="N100" s="1">
        <v>42</v>
      </c>
      <c r="O100" s="3">
        <v>518.84409285794879</v>
      </c>
      <c r="P100" s="2">
        <v>245.05993630615663</v>
      </c>
      <c r="Q100" s="2">
        <v>222.56780798318374</v>
      </c>
      <c r="R100" s="2">
        <v>850.68169803401406</v>
      </c>
      <c r="S100" s="2">
        <v>513.84660354781192</v>
      </c>
      <c r="T100" s="2">
        <v>513.84660354781192</v>
      </c>
    </row>
    <row r="101" spans="2:20" x14ac:dyDescent="0.25">
      <c r="B101" s="10">
        <v>989</v>
      </c>
      <c r="C101" s="10">
        <v>6</v>
      </c>
      <c r="D101" s="9" t="s">
        <v>375</v>
      </c>
      <c r="E101" s="8">
        <v>476.113957568214</v>
      </c>
      <c r="F101" s="7">
        <v>260742.2</v>
      </c>
      <c r="G101" s="7">
        <v>11828.7</v>
      </c>
      <c r="H101" s="7">
        <v>248913.5</v>
      </c>
      <c r="I101" s="6">
        <v>522.80235864401766</v>
      </c>
      <c r="J101" s="6">
        <v>522.80235864401766</v>
      </c>
      <c r="K101" s="5">
        <v>248913.50000000003</v>
      </c>
      <c r="L101" s="4">
        <v>0</v>
      </c>
      <c r="M101" s="2">
        <v>536.62475300859887</v>
      </c>
      <c r="N101" s="1">
        <v>42</v>
      </c>
      <c r="O101" s="3">
        <v>191.0585859700065</v>
      </c>
      <c r="P101" s="2">
        <v>245.05993630615663</v>
      </c>
      <c r="Q101" s="2">
        <v>222.56780798318374</v>
      </c>
      <c r="R101" s="2">
        <v>850.68169803401406</v>
      </c>
      <c r="S101" s="2">
        <v>522.80235864401766</v>
      </c>
      <c r="T101" s="2">
        <v>497.95809644171652</v>
      </c>
    </row>
    <row r="102" spans="2:20" x14ac:dyDescent="0.25">
      <c r="B102" s="10">
        <v>39</v>
      </c>
      <c r="C102" s="10">
        <v>7</v>
      </c>
      <c r="D102" s="9" t="s">
        <v>224</v>
      </c>
      <c r="E102" s="8">
        <v>365.05037827554435</v>
      </c>
      <c r="F102" s="7">
        <v>136572.35999999999</v>
      </c>
      <c r="G102" s="7">
        <v>5552.09</v>
      </c>
      <c r="H102" s="7">
        <v>131020.26999999999</v>
      </c>
      <c r="I102" s="6">
        <v>358.91010610350429</v>
      </c>
      <c r="J102" s="6">
        <v>358.91010610350429</v>
      </c>
      <c r="K102" s="5">
        <v>131020.27</v>
      </c>
      <c r="L102" s="4">
        <v>0</v>
      </c>
      <c r="M102" s="2">
        <v>428.0703756818483</v>
      </c>
      <c r="N102" s="1">
        <v>62</v>
      </c>
      <c r="O102" s="3">
        <v>4783.1428881492166</v>
      </c>
      <c r="P102" s="2">
        <v>177.23126124615374</v>
      </c>
      <c r="Q102" s="2">
        <v>200.93937536839587</v>
      </c>
      <c r="R102" s="2">
        <v>655.20137599530074</v>
      </c>
      <c r="S102" s="2">
        <v>358.91010610350429</v>
      </c>
      <c r="T102" s="2">
        <v>358.91010610350429</v>
      </c>
    </row>
    <row r="103" spans="2:20" x14ac:dyDescent="0.25">
      <c r="B103" s="10">
        <v>59</v>
      </c>
      <c r="C103" s="10">
        <v>7</v>
      </c>
      <c r="D103" s="9" t="s">
        <v>225</v>
      </c>
      <c r="E103" s="8">
        <v>248.59248178679891</v>
      </c>
      <c r="F103" s="7">
        <v>153633.92000000001</v>
      </c>
      <c r="G103" s="7">
        <v>0</v>
      </c>
      <c r="H103" s="7">
        <v>153633.92000000001</v>
      </c>
      <c r="I103" s="6">
        <v>618.01515032044097</v>
      </c>
      <c r="J103" s="6">
        <v>618.01515032044097</v>
      </c>
      <c r="K103" s="5">
        <v>153633.92000000001</v>
      </c>
      <c r="L103" s="4">
        <v>0</v>
      </c>
      <c r="M103" s="2">
        <v>428.0703756818483</v>
      </c>
      <c r="N103" s="1">
        <v>62</v>
      </c>
      <c r="O103" s="3">
        <v>36079.017412505753</v>
      </c>
      <c r="P103" s="2">
        <v>177.23126124615374</v>
      </c>
      <c r="Q103" s="2">
        <v>200.93937536839587</v>
      </c>
      <c r="R103" s="2">
        <v>655.20137599530074</v>
      </c>
      <c r="S103" s="2">
        <v>618.01515032044097</v>
      </c>
      <c r="T103" s="2">
        <v>618.01515032044108</v>
      </c>
    </row>
    <row r="104" spans="2:20" x14ac:dyDescent="0.25">
      <c r="B104" s="10">
        <v>128</v>
      </c>
      <c r="C104" s="10">
        <v>7</v>
      </c>
      <c r="D104" s="9" t="s">
        <v>226</v>
      </c>
      <c r="E104" s="8">
        <v>166.98815902609726</v>
      </c>
      <c r="F104" s="7">
        <v>78578.77</v>
      </c>
      <c r="G104" s="7">
        <v>70</v>
      </c>
      <c r="H104" s="7">
        <v>78508.77</v>
      </c>
      <c r="I104" s="6">
        <v>470.14573043906955</v>
      </c>
      <c r="J104" s="6">
        <v>470.14573043906955</v>
      </c>
      <c r="K104" s="5">
        <v>78508.77</v>
      </c>
      <c r="L104" s="4">
        <v>0</v>
      </c>
      <c r="M104" s="2">
        <v>428.0703756818483</v>
      </c>
      <c r="N104" s="1">
        <v>62</v>
      </c>
      <c r="O104" s="3">
        <v>1770.3354779460208</v>
      </c>
      <c r="P104" s="2">
        <v>177.23126124615374</v>
      </c>
      <c r="Q104" s="2">
        <v>200.93937536839587</v>
      </c>
      <c r="R104" s="2">
        <v>655.20137599530074</v>
      </c>
      <c r="S104" s="2">
        <v>470.14573043906955</v>
      </c>
      <c r="T104" s="2">
        <v>470.14573043906961</v>
      </c>
    </row>
    <row r="105" spans="2:20" x14ac:dyDescent="0.25">
      <c r="B105" s="10">
        <v>152</v>
      </c>
      <c r="C105" s="10">
        <v>7</v>
      </c>
      <c r="D105" s="9" t="s">
        <v>227</v>
      </c>
      <c r="E105" s="8">
        <v>340.54027684094706</v>
      </c>
      <c r="F105" s="7">
        <v>154276.6</v>
      </c>
      <c r="G105" s="7">
        <v>0</v>
      </c>
      <c r="H105" s="7">
        <v>154276.6</v>
      </c>
      <c r="I105" s="6">
        <v>453.0348111276615</v>
      </c>
      <c r="J105" s="6">
        <v>453.0348111276615</v>
      </c>
      <c r="K105" s="5">
        <v>154276.6</v>
      </c>
      <c r="L105" s="4">
        <v>0</v>
      </c>
      <c r="M105" s="2">
        <v>428.0703756818483</v>
      </c>
      <c r="N105" s="1">
        <v>62</v>
      </c>
      <c r="O105" s="3">
        <v>623.22303712817427</v>
      </c>
      <c r="P105" s="2">
        <v>177.23126124615374</v>
      </c>
      <c r="Q105" s="2">
        <v>200.93937536839587</v>
      </c>
      <c r="R105" s="2">
        <v>655.20137599530074</v>
      </c>
      <c r="S105" s="2">
        <v>453.0348111276615</v>
      </c>
      <c r="T105" s="2">
        <v>453.03481112766156</v>
      </c>
    </row>
    <row r="106" spans="2:20" x14ac:dyDescent="0.25">
      <c r="B106" s="10">
        <v>162</v>
      </c>
      <c r="C106" s="10">
        <v>7</v>
      </c>
      <c r="D106" s="9" t="s">
        <v>228</v>
      </c>
      <c r="E106" s="8">
        <v>871.41</v>
      </c>
      <c r="F106" s="7">
        <v>323649.53999999998</v>
      </c>
      <c r="G106" s="7">
        <v>11624.09</v>
      </c>
      <c r="H106" s="7">
        <v>312025.44999999995</v>
      </c>
      <c r="I106" s="6">
        <v>358.06962279523987</v>
      </c>
      <c r="J106" s="6">
        <v>358.06962279523987</v>
      </c>
      <c r="K106" s="5">
        <v>312025.44999999995</v>
      </c>
      <c r="L106" s="4">
        <v>0</v>
      </c>
      <c r="M106" s="2">
        <v>428.0703756818483</v>
      </c>
      <c r="N106" s="1">
        <v>62</v>
      </c>
      <c r="O106" s="3">
        <v>4900.1054046920199</v>
      </c>
      <c r="P106" s="2">
        <v>177.23126124615374</v>
      </c>
      <c r="Q106" s="2">
        <v>200.93937536839587</v>
      </c>
      <c r="R106" s="2">
        <v>655.20137599530074</v>
      </c>
      <c r="S106" s="2">
        <v>358.06962279523987</v>
      </c>
      <c r="T106" s="2">
        <v>358.06962279523987</v>
      </c>
    </row>
    <row r="107" spans="2:20" x14ac:dyDescent="0.25">
      <c r="B107" s="10">
        <v>166</v>
      </c>
      <c r="C107" s="10">
        <v>7</v>
      </c>
      <c r="D107" s="9" t="s">
        <v>229</v>
      </c>
      <c r="E107" s="8">
        <v>885.7</v>
      </c>
      <c r="F107" s="7">
        <v>430953.61</v>
      </c>
      <c r="G107" s="7">
        <v>122479.67999999999</v>
      </c>
      <c r="H107" s="7">
        <v>308473.93</v>
      </c>
      <c r="I107" s="6">
        <v>348.28263520379357</v>
      </c>
      <c r="J107" s="6">
        <v>348.28263520379357</v>
      </c>
      <c r="K107" s="5">
        <v>308473.93</v>
      </c>
      <c r="L107" s="4">
        <v>0</v>
      </c>
      <c r="M107" s="2">
        <v>428.0703756818483</v>
      </c>
      <c r="N107" s="1">
        <v>62</v>
      </c>
      <c r="O107" s="3">
        <v>6366.0835305934133</v>
      </c>
      <c r="P107" s="2">
        <v>177.23126124615374</v>
      </c>
      <c r="Q107" s="2">
        <v>200.93937536839587</v>
      </c>
      <c r="R107" s="2">
        <v>655.20137599530074</v>
      </c>
      <c r="S107" s="2">
        <v>348.28263520379357</v>
      </c>
      <c r="T107" s="2">
        <v>173.71205370443388</v>
      </c>
    </row>
    <row r="108" spans="2:20" x14ac:dyDescent="0.25">
      <c r="B108" s="10">
        <v>192</v>
      </c>
      <c r="C108" s="10">
        <v>7</v>
      </c>
      <c r="D108" s="9" t="s">
        <v>230</v>
      </c>
      <c r="E108" s="8">
        <v>149.94106924626516</v>
      </c>
      <c r="F108" s="7">
        <v>72701.149999999994</v>
      </c>
      <c r="G108" s="7">
        <v>1193.22</v>
      </c>
      <c r="H108" s="7">
        <v>71507.929999999993</v>
      </c>
      <c r="I108" s="6">
        <v>476.90689655250117</v>
      </c>
      <c r="J108" s="6">
        <v>476.90689655250117</v>
      </c>
      <c r="K108" s="5">
        <v>71507.929999999993</v>
      </c>
      <c r="L108" s="4">
        <v>0</v>
      </c>
      <c r="M108" s="2">
        <v>428.0703756818483</v>
      </c>
      <c r="N108" s="1">
        <v>62</v>
      </c>
      <c r="O108" s="3">
        <v>2385.0057707497126</v>
      </c>
      <c r="P108" s="2">
        <v>177.23126124615374</v>
      </c>
      <c r="Q108" s="2">
        <v>200.93937536839587</v>
      </c>
      <c r="R108" s="2">
        <v>655.20137599530074</v>
      </c>
      <c r="S108" s="2">
        <v>476.90689655250117</v>
      </c>
      <c r="T108" s="2">
        <v>484.49134293344719</v>
      </c>
    </row>
    <row r="109" spans="2:20" x14ac:dyDescent="0.25">
      <c r="B109" s="10">
        <v>205</v>
      </c>
      <c r="C109" s="10">
        <v>7</v>
      </c>
      <c r="D109" s="9" t="s">
        <v>231</v>
      </c>
      <c r="E109" s="8">
        <v>630.75725531015246</v>
      </c>
      <c r="F109" s="7">
        <v>398687.5</v>
      </c>
      <c r="G109" s="7">
        <v>18019.93</v>
      </c>
      <c r="H109" s="7">
        <v>380667.57</v>
      </c>
      <c r="I109" s="6">
        <v>603.50882498025373</v>
      </c>
      <c r="J109" s="6">
        <v>603.50882498025373</v>
      </c>
      <c r="K109" s="5">
        <v>380667.57</v>
      </c>
      <c r="L109" s="4">
        <v>0</v>
      </c>
      <c r="M109" s="2">
        <v>428.0703756818483</v>
      </c>
      <c r="N109" s="1">
        <v>62</v>
      </c>
      <c r="O109" s="3">
        <v>30778.649492229171</v>
      </c>
      <c r="P109" s="2">
        <v>177.23126124615374</v>
      </c>
      <c r="Q109" s="2">
        <v>200.93937536839587</v>
      </c>
      <c r="R109" s="2">
        <v>655.20137599530074</v>
      </c>
      <c r="S109" s="2">
        <v>603.50882498025373</v>
      </c>
      <c r="T109" s="2">
        <v>611.94299656289172</v>
      </c>
    </row>
    <row r="110" spans="2:20" x14ac:dyDescent="0.25">
      <c r="B110" s="10">
        <v>212</v>
      </c>
      <c r="C110" s="10">
        <v>7</v>
      </c>
      <c r="D110" s="9" t="s">
        <v>232</v>
      </c>
      <c r="E110" s="8">
        <v>599.50241692699876</v>
      </c>
      <c r="F110" s="7">
        <v>225318.3</v>
      </c>
      <c r="G110" s="7">
        <v>609</v>
      </c>
      <c r="H110" s="7">
        <v>224709.3</v>
      </c>
      <c r="I110" s="6">
        <v>374.82634540798318</v>
      </c>
      <c r="J110" s="6">
        <v>374.82634540798318</v>
      </c>
      <c r="K110" s="5">
        <v>224709.3</v>
      </c>
      <c r="L110" s="4">
        <v>0</v>
      </c>
      <c r="M110" s="2">
        <v>428.0703756818483</v>
      </c>
      <c r="N110" s="1">
        <v>62</v>
      </c>
      <c r="O110" s="3">
        <v>2834.9267598042657</v>
      </c>
      <c r="P110" s="2">
        <v>177.23126124615374</v>
      </c>
      <c r="Q110" s="2">
        <v>200.93937536839587</v>
      </c>
      <c r="R110" s="2">
        <v>655.20137599530074</v>
      </c>
      <c r="S110" s="2">
        <v>374.82634540798318</v>
      </c>
      <c r="T110" s="2">
        <v>374.82634540798324</v>
      </c>
    </row>
    <row r="111" spans="2:20" x14ac:dyDescent="0.25">
      <c r="B111" s="10">
        <v>216</v>
      </c>
      <c r="C111" s="10">
        <v>7</v>
      </c>
      <c r="D111" s="9" t="s">
        <v>233</v>
      </c>
      <c r="E111" s="8">
        <v>837.96633182713322</v>
      </c>
      <c r="F111" s="7">
        <v>313949.95</v>
      </c>
      <c r="G111" s="7">
        <v>240</v>
      </c>
      <c r="H111" s="7">
        <v>313709.95</v>
      </c>
      <c r="I111" s="6">
        <v>374.37058994479537</v>
      </c>
      <c r="J111" s="6">
        <v>374.37058994479537</v>
      </c>
      <c r="K111" s="5">
        <v>313709.95</v>
      </c>
      <c r="L111" s="4">
        <v>0</v>
      </c>
      <c r="M111" s="2">
        <v>428.0703756818483</v>
      </c>
      <c r="N111" s="1">
        <v>62</v>
      </c>
      <c r="O111" s="3">
        <v>2883.6669882053939</v>
      </c>
      <c r="P111" s="2">
        <v>177.23126124615374</v>
      </c>
      <c r="Q111" s="2">
        <v>200.93937536839587</v>
      </c>
      <c r="R111" s="2">
        <v>655.20137599530074</v>
      </c>
      <c r="S111" s="2">
        <v>374.37058994479537</v>
      </c>
      <c r="T111" s="2">
        <v>374.37058994479537</v>
      </c>
    </row>
    <row r="112" spans="2:20" x14ac:dyDescent="0.25">
      <c r="B112" s="10">
        <v>229</v>
      </c>
      <c r="C112" s="10">
        <v>7</v>
      </c>
      <c r="D112" s="9" t="s">
        <v>234</v>
      </c>
      <c r="E112" s="8">
        <v>869.47</v>
      </c>
      <c r="F112" s="7">
        <v>370612.94</v>
      </c>
      <c r="G112" s="7">
        <v>111474.16</v>
      </c>
      <c r="H112" s="7">
        <v>259138.78</v>
      </c>
      <c r="I112" s="6">
        <v>298.04223262447238</v>
      </c>
      <c r="J112" s="6">
        <v>298.04223262447238</v>
      </c>
      <c r="K112" s="5">
        <v>259138.78</v>
      </c>
      <c r="L112" s="4">
        <v>0</v>
      </c>
      <c r="M112" s="2">
        <v>428.0703756818483</v>
      </c>
      <c r="N112" s="1">
        <v>62</v>
      </c>
      <c r="O112" s="3">
        <v>16907.31798694942</v>
      </c>
      <c r="P112" s="2">
        <v>177.23126124615374</v>
      </c>
      <c r="Q112" s="2">
        <v>200.93937536839587</v>
      </c>
      <c r="R112" s="2">
        <v>655.20137599530074</v>
      </c>
      <c r="S112" s="2">
        <v>298.04223262447238</v>
      </c>
      <c r="T112" s="2">
        <v>298.33996572624699</v>
      </c>
    </row>
    <row r="113" spans="2:20" x14ac:dyDescent="0.25">
      <c r="B113" s="10">
        <v>236</v>
      </c>
      <c r="C113" s="10">
        <v>7</v>
      </c>
      <c r="D113" s="9" t="s">
        <v>376</v>
      </c>
      <c r="E113" s="8">
        <v>1196.8096114644429</v>
      </c>
      <c r="F113" s="7">
        <v>571209.78</v>
      </c>
      <c r="G113" s="7">
        <v>141349.85999999999</v>
      </c>
      <c r="H113" s="7">
        <v>429859.92000000004</v>
      </c>
      <c r="I113" s="6">
        <v>359.17151390020496</v>
      </c>
      <c r="J113" s="6">
        <v>359.17151390020496</v>
      </c>
      <c r="K113" s="5">
        <v>429859.92000000004</v>
      </c>
      <c r="L113" s="4">
        <v>0</v>
      </c>
      <c r="M113" s="2">
        <v>428.0703756818483</v>
      </c>
      <c r="N113" s="1">
        <v>62</v>
      </c>
      <c r="O113" s="3">
        <v>4747.0531548059944</v>
      </c>
      <c r="P113" s="2">
        <v>177.23126124615374</v>
      </c>
      <c r="Q113" s="213">
        <v>200.93937536839587</v>
      </c>
      <c r="R113" s="2">
        <v>655.20137599530074</v>
      </c>
      <c r="S113" s="2">
        <v>359.17151390020496</v>
      </c>
      <c r="T113" s="2">
        <v>140.83059914294509</v>
      </c>
    </row>
    <row r="114" spans="2:20" x14ac:dyDescent="0.25">
      <c r="B114" s="10">
        <v>239</v>
      </c>
      <c r="C114" s="10">
        <v>7</v>
      </c>
      <c r="D114" s="9" t="s">
        <v>236</v>
      </c>
      <c r="E114" s="8">
        <v>3236.53</v>
      </c>
      <c r="F114" s="7">
        <v>1978264.39</v>
      </c>
      <c r="G114" s="7">
        <v>522055.5</v>
      </c>
      <c r="H114" s="7">
        <v>1456208.89</v>
      </c>
      <c r="I114" s="6">
        <v>449.92905673669014</v>
      </c>
      <c r="J114" s="6">
        <v>449.92905673669014</v>
      </c>
      <c r="K114" s="5">
        <v>1456208.89</v>
      </c>
      <c r="L114" s="4">
        <v>0</v>
      </c>
      <c r="M114" s="2">
        <v>428.0703756818483</v>
      </c>
      <c r="N114" s="1">
        <v>62</v>
      </c>
      <c r="O114" s="3">
        <v>477.80193745730151</v>
      </c>
      <c r="P114" s="2">
        <v>177.23126124615374</v>
      </c>
      <c r="Q114" s="2">
        <v>200.93937536839587</v>
      </c>
      <c r="R114" s="2">
        <v>655.20137599530074</v>
      </c>
      <c r="S114" s="2">
        <v>449.92905673669014</v>
      </c>
      <c r="T114" s="2">
        <v>449.92905673669014</v>
      </c>
    </row>
    <row r="115" spans="2:20" x14ac:dyDescent="0.25">
      <c r="B115" s="10">
        <v>249</v>
      </c>
      <c r="C115" s="10">
        <v>7</v>
      </c>
      <c r="D115" s="9" t="s">
        <v>237</v>
      </c>
      <c r="E115" s="8">
        <v>1371.2563800471396</v>
      </c>
      <c r="F115" s="7">
        <v>610038.64</v>
      </c>
      <c r="G115" s="7">
        <v>0</v>
      </c>
      <c r="H115" s="7">
        <v>610038.64</v>
      </c>
      <c r="I115" s="6">
        <v>444.87569857580445</v>
      </c>
      <c r="J115" s="6">
        <v>444.87569857580445</v>
      </c>
      <c r="K115" s="5">
        <v>610038.64</v>
      </c>
      <c r="L115" s="4">
        <v>0</v>
      </c>
      <c r="M115" s="2">
        <v>428.0703756818483</v>
      </c>
      <c r="N115" s="1">
        <v>62</v>
      </c>
      <c r="O115" s="3">
        <v>282.41887757012654</v>
      </c>
      <c r="P115" s="2">
        <v>177.23126124615374</v>
      </c>
      <c r="Q115" s="2">
        <v>200.93937536839587</v>
      </c>
      <c r="R115" s="2">
        <v>655.20137599530074</v>
      </c>
      <c r="S115" s="2">
        <v>444.87569857580445</v>
      </c>
      <c r="T115" s="2">
        <v>444.87569857580451</v>
      </c>
    </row>
    <row r="116" spans="2:20" x14ac:dyDescent="0.25">
      <c r="B116" s="10">
        <v>271</v>
      </c>
      <c r="C116" s="10">
        <v>7</v>
      </c>
      <c r="D116" s="9" t="s">
        <v>238</v>
      </c>
      <c r="E116" s="8">
        <v>938.1</v>
      </c>
      <c r="F116" s="7">
        <v>554039.35</v>
      </c>
      <c r="G116" s="7">
        <v>145141.21</v>
      </c>
      <c r="H116" s="7">
        <v>408898.14</v>
      </c>
      <c r="I116" s="6">
        <v>435.87905340582029</v>
      </c>
      <c r="J116" s="6">
        <v>435.87905340582029</v>
      </c>
      <c r="K116" s="5">
        <v>408898.14</v>
      </c>
      <c r="L116" s="4">
        <v>0</v>
      </c>
      <c r="M116" s="2">
        <v>428.0703756818483</v>
      </c>
      <c r="N116" s="1">
        <v>62</v>
      </c>
      <c r="O116" s="3">
        <v>60.975447796856258</v>
      </c>
      <c r="P116" s="2">
        <v>177.23126124615374</v>
      </c>
      <c r="Q116" s="2">
        <v>200.93937536839587</v>
      </c>
      <c r="R116" s="2">
        <v>655.20137599530074</v>
      </c>
      <c r="S116" s="2">
        <v>435.87905340582029</v>
      </c>
      <c r="T116" s="2">
        <v>435.87905340582023</v>
      </c>
    </row>
    <row r="117" spans="2:20" x14ac:dyDescent="0.25">
      <c r="B117" s="10">
        <v>275</v>
      </c>
      <c r="C117" s="10">
        <v>7</v>
      </c>
      <c r="D117" s="9" t="s">
        <v>239</v>
      </c>
      <c r="E117" s="8">
        <v>721.65140534429031</v>
      </c>
      <c r="F117" s="7">
        <v>283220.88</v>
      </c>
      <c r="G117" s="7">
        <v>115745.77</v>
      </c>
      <c r="H117" s="7">
        <v>167475.10999999999</v>
      </c>
      <c r="I117" s="6">
        <v>232.07203472443851</v>
      </c>
      <c r="J117" s="6">
        <v>232.07203472443851</v>
      </c>
      <c r="K117" s="5">
        <v>167475.10999999999</v>
      </c>
      <c r="L117" s="4">
        <v>0</v>
      </c>
      <c r="M117" s="2">
        <v>428.0703756818483</v>
      </c>
      <c r="N117" s="1">
        <v>62</v>
      </c>
      <c r="O117" s="3">
        <v>38415.349658057065</v>
      </c>
      <c r="P117" s="2">
        <v>177.23126124615374</v>
      </c>
      <c r="Q117" s="2">
        <v>200.93937536839587</v>
      </c>
      <c r="R117" s="2">
        <v>655.20137599530074</v>
      </c>
      <c r="S117" s="2">
        <v>232.07203472443851</v>
      </c>
      <c r="T117" s="2">
        <v>392.46217481538628</v>
      </c>
    </row>
    <row r="118" spans="2:20" x14ac:dyDescent="0.25">
      <c r="B118" s="10">
        <v>282</v>
      </c>
      <c r="C118" s="10">
        <v>7</v>
      </c>
      <c r="D118" s="9" t="s">
        <v>240</v>
      </c>
      <c r="E118" s="8">
        <v>189.01371141588206</v>
      </c>
      <c r="F118" s="7">
        <v>52164.47</v>
      </c>
      <c r="G118" s="7">
        <v>0</v>
      </c>
      <c r="H118" s="7">
        <v>52164.47</v>
      </c>
      <c r="I118" s="6">
        <v>275.98246502458147</v>
      </c>
      <c r="J118" s="6">
        <v>275.98246502458147</v>
      </c>
      <c r="K118" s="5">
        <v>52164.470000000008</v>
      </c>
      <c r="L118" s="4">
        <v>0</v>
      </c>
      <c r="M118" s="2">
        <v>428.0703756818483</v>
      </c>
      <c r="N118" s="1">
        <v>62</v>
      </c>
      <c r="O118" s="3">
        <v>23130.732568092779</v>
      </c>
      <c r="P118" s="2">
        <v>177.23126124615374</v>
      </c>
      <c r="Q118" s="2">
        <v>200.93937536839587</v>
      </c>
      <c r="R118" s="2">
        <v>655.20137599530074</v>
      </c>
      <c r="S118" s="2">
        <v>275.98246502458147</v>
      </c>
      <c r="T118" s="2">
        <v>275.98246502458147</v>
      </c>
    </row>
    <row r="119" spans="2:20" x14ac:dyDescent="0.25">
      <c r="B119" s="10">
        <v>287</v>
      </c>
      <c r="C119" s="10">
        <v>7</v>
      </c>
      <c r="D119" s="9" t="s">
        <v>241</v>
      </c>
      <c r="E119" s="8">
        <v>203.97475565086364</v>
      </c>
      <c r="F119" s="7">
        <v>37956.800000000003</v>
      </c>
      <c r="G119" s="7">
        <v>0</v>
      </c>
      <c r="H119" s="7">
        <v>37956.800000000003</v>
      </c>
      <c r="I119" s="6">
        <v>186.08577261869263</v>
      </c>
      <c r="J119" s="6">
        <v>186.08577261869263</v>
      </c>
      <c r="K119" s="5">
        <v>37956.800000000003</v>
      </c>
      <c r="L119" s="4">
        <v>0</v>
      </c>
      <c r="M119" s="2">
        <v>428.0703756818483</v>
      </c>
      <c r="N119" s="1">
        <v>62</v>
      </c>
      <c r="O119" s="3">
        <v>58556.548119633007</v>
      </c>
      <c r="P119" s="2">
        <v>177.23126124615374</v>
      </c>
      <c r="Q119" s="2">
        <v>200.93937536839587</v>
      </c>
      <c r="R119" s="2">
        <v>655.20137599530074</v>
      </c>
      <c r="S119" s="2">
        <v>200.93937536839587</v>
      </c>
      <c r="T119" s="2">
        <v>186.08577261869266</v>
      </c>
    </row>
    <row r="120" spans="2:20" x14ac:dyDescent="0.25">
      <c r="B120" s="10">
        <v>290</v>
      </c>
      <c r="C120" s="10">
        <v>7</v>
      </c>
      <c r="D120" s="9" t="s">
        <v>242</v>
      </c>
      <c r="E120" s="8">
        <v>439.97</v>
      </c>
      <c r="F120" s="7">
        <v>168243.17</v>
      </c>
      <c r="G120" s="7">
        <v>0</v>
      </c>
      <c r="H120" s="7">
        <v>168243.17</v>
      </c>
      <c r="I120" s="6">
        <v>382.39691342591539</v>
      </c>
      <c r="J120" s="6">
        <v>382.39691342591539</v>
      </c>
      <c r="K120" s="5">
        <v>168243.17</v>
      </c>
      <c r="L120" s="4">
        <v>0</v>
      </c>
      <c r="M120" s="2">
        <v>428.0703756818483</v>
      </c>
      <c r="N120" s="1">
        <v>62</v>
      </c>
      <c r="O120" s="3">
        <v>2086.0651544441289</v>
      </c>
      <c r="P120" s="2">
        <v>177.23126124615374</v>
      </c>
      <c r="Q120" s="2">
        <v>200.93937536839587</v>
      </c>
      <c r="R120" s="2">
        <v>655.20137599530074</v>
      </c>
      <c r="S120" s="2">
        <v>382.39691342591539</v>
      </c>
      <c r="T120" s="2">
        <v>382.39691342591539</v>
      </c>
    </row>
    <row r="121" spans="2:20" x14ac:dyDescent="0.25">
      <c r="B121" s="10">
        <v>294</v>
      </c>
      <c r="C121" s="10">
        <v>7</v>
      </c>
      <c r="D121" s="9" t="s">
        <v>243</v>
      </c>
      <c r="E121" s="8">
        <v>1210.1862583332422</v>
      </c>
      <c r="F121" s="7">
        <v>541727.86</v>
      </c>
      <c r="G121" s="7">
        <v>924</v>
      </c>
      <c r="H121" s="7">
        <v>540803.86</v>
      </c>
      <c r="I121" s="6">
        <v>446.87655001539594</v>
      </c>
      <c r="J121" s="6">
        <v>446.87655001539594</v>
      </c>
      <c r="K121" s="5">
        <v>540803.86</v>
      </c>
      <c r="L121" s="4">
        <v>0</v>
      </c>
      <c r="M121" s="2">
        <v>428.0703756818483</v>
      </c>
      <c r="N121" s="1">
        <v>62</v>
      </c>
      <c r="O121" s="3">
        <v>353.6721930637857</v>
      </c>
      <c r="P121" s="2">
        <v>177.23126124615374</v>
      </c>
      <c r="Q121" s="2">
        <v>200.93937536839587</v>
      </c>
      <c r="R121" s="2">
        <v>655.20137599530074</v>
      </c>
      <c r="S121" s="2">
        <v>446.87655001539594</v>
      </c>
      <c r="T121" s="2">
        <v>446.87655001539605</v>
      </c>
    </row>
    <row r="122" spans="2:20" x14ac:dyDescent="0.25">
      <c r="B122" s="10">
        <v>296</v>
      </c>
      <c r="C122" s="10">
        <v>7</v>
      </c>
      <c r="D122" s="9" t="s">
        <v>244</v>
      </c>
      <c r="E122" s="8">
        <v>934.22</v>
      </c>
      <c r="F122" s="7">
        <v>753475.36</v>
      </c>
      <c r="G122" s="7">
        <v>176756.95</v>
      </c>
      <c r="H122" s="7">
        <v>576718.40999999992</v>
      </c>
      <c r="I122" s="6">
        <v>617.32612232664667</v>
      </c>
      <c r="J122" s="6">
        <v>617.32612232664667</v>
      </c>
      <c r="K122" s="5">
        <v>576718.40999999992</v>
      </c>
      <c r="L122" s="4">
        <v>0</v>
      </c>
      <c r="M122" s="2">
        <v>428.0703756818483</v>
      </c>
      <c r="N122" s="1">
        <v>62</v>
      </c>
      <c r="O122" s="3">
        <v>35817.737638080107</v>
      </c>
      <c r="P122" s="2">
        <v>177.23126124615374</v>
      </c>
      <c r="Q122" s="2">
        <v>200.93937536839587</v>
      </c>
      <c r="R122" s="2">
        <v>655.20137599530074</v>
      </c>
      <c r="S122" s="2">
        <v>617.32612232664667</v>
      </c>
      <c r="T122" s="2">
        <v>617.32612232664667</v>
      </c>
    </row>
    <row r="123" spans="2:20" x14ac:dyDescent="0.25">
      <c r="B123" s="10">
        <v>301</v>
      </c>
      <c r="C123" s="10">
        <v>7</v>
      </c>
      <c r="D123" s="9" t="s">
        <v>245</v>
      </c>
      <c r="E123" s="8">
        <v>616.62806472424938</v>
      </c>
      <c r="F123" s="7">
        <v>272472.69</v>
      </c>
      <c r="G123" s="7">
        <v>115</v>
      </c>
      <c r="H123" s="7">
        <v>272357.69</v>
      </c>
      <c r="I123" s="6">
        <v>441.6887676395267</v>
      </c>
      <c r="J123" s="6">
        <v>441.6887676395267</v>
      </c>
      <c r="K123" s="5">
        <v>272357.69</v>
      </c>
      <c r="L123" s="4">
        <v>0</v>
      </c>
      <c r="M123" s="2">
        <v>428.0703756818483</v>
      </c>
      <c r="N123" s="1">
        <v>62</v>
      </c>
      <c r="O123" s="3">
        <v>185.46059951295967</v>
      </c>
      <c r="P123" s="2">
        <v>177.23126124615374</v>
      </c>
      <c r="Q123" s="2">
        <v>200.93937536839587</v>
      </c>
      <c r="R123" s="2">
        <v>655.20137599530074</v>
      </c>
      <c r="S123" s="2">
        <v>441.6887676395267</v>
      </c>
      <c r="T123" s="2">
        <v>441.6887676395267</v>
      </c>
    </row>
    <row r="124" spans="2:20" x14ac:dyDescent="0.25">
      <c r="B124" s="10">
        <v>321</v>
      </c>
      <c r="C124" s="10">
        <v>7</v>
      </c>
      <c r="D124" s="9" t="s">
        <v>246</v>
      </c>
      <c r="E124" s="8">
        <v>547.36</v>
      </c>
      <c r="F124" s="7">
        <v>507634.43</v>
      </c>
      <c r="G124" s="7">
        <v>47313.46</v>
      </c>
      <c r="H124" s="7">
        <v>460320.97</v>
      </c>
      <c r="I124" s="6">
        <v>840.98394109909373</v>
      </c>
      <c r="J124" s="6">
        <v>655.20137599530074</v>
      </c>
      <c r="K124" s="5">
        <v>358631.02516478783</v>
      </c>
      <c r="L124" s="4">
        <v>0</v>
      </c>
      <c r="M124" s="2">
        <v>428.0703756818483</v>
      </c>
      <c r="N124" s="1">
        <v>62</v>
      </c>
      <c r="O124" s="3">
        <v>170497.61250558181</v>
      </c>
      <c r="P124" s="2">
        <v>177.23126124615374</v>
      </c>
      <c r="Q124" s="2">
        <v>200.93937536839587</v>
      </c>
      <c r="R124" s="2">
        <v>655.20137599530074</v>
      </c>
      <c r="S124" s="2">
        <v>655.20137599530074</v>
      </c>
      <c r="T124" s="2">
        <v>655.79443800377601</v>
      </c>
    </row>
    <row r="125" spans="2:20" x14ac:dyDescent="0.25">
      <c r="B125" s="10">
        <v>325</v>
      </c>
      <c r="C125" s="10">
        <v>7</v>
      </c>
      <c r="D125" s="9" t="s">
        <v>247</v>
      </c>
      <c r="E125" s="8">
        <v>384.99507406905633</v>
      </c>
      <c r="F125" s="7">
        <v>177387.63</v>
      </c>
      <c r="G125" s="7">
        <v>280</v>
      </c>
      <c r="H125" s="7">
        <v>177107.63</v>
      </c>
      <c r="I125" s="6">
        <v>460.02570403857248</v>
      </c>
      <c r="J125" s="6">
        <v>460.02570403857248</v>
      </c>
      <c r="K125" s="5">
        <v>177107.63</v>
      </c>
      <c r="L125" s="4">
        <v>0</v>
      </c>
      <c r="M125" s="2">
        <v>428.0703756818483</v>
      </c>
      <c r="N125" s="1">
        <v>62</v>
      </c>
      <c r="O125" s="3">
        <v>1021.1430103860605</v>
      </c>
      <c r="P125" s="2">
        <v>177.23126124615374</v>
      </c>
      <c r="Q125" s="2">
        <v>200.93937536839587</v>
      </c>
      <c r="R125" s="2">
        <v>655.20137599530074</v>
      </c>
      <c r="S125" s="2">
        <v>460.02570403857248</v>
      </c>
      <c r="T125" s="2">
        <v>460.02570403857248</v>
      </c>
    </row>
    <row r="126" spans="2:20" x14ac:dyDescent="0.25">
      <c r="B126" s="10">
        <v>346</v>
      </c>
      <c r="C126" s="10">
        <v>7</v>
      </c>
      <c r="D126" s="9" t="s">
        <v>248</v>
      </c>
      <c r="E126" s="8">
        <v>200.28762986349014</v>
      </c>
      <c r="F126" s="7">
        <v>74147.02</v>
      </c>
      <c r="G126" s="7">
        <v>0</v>
      </c>
      <c r="H126" s="7">
        <v>74147.02</v>
      </c>
      <c r="I126" s="6">
        <v>370.20269324938499</v>
      </c>
      <c r="J126" s="6">
        <v>370.20269324938499</v>
      </c>
      <c r="K126" s="5">
        <v>74147.02</v>
      </c>
      <c r="L126" s="4">
        <v>0</v>
      </c>
      <c r="M126" s="2">
        <v>428.0703756818483</v>
      </c>
      <c r="N126" s="1">
        <v>62</v>
      </c>
      <c r="O126" s="3">
        <v>3348.6686701044232</v>
      </c>
      <c r="P126" s="2">
        <v>177.23126124615374</v>
      </c>
      <c r="Q126" s="2">
        <v>200.93937536839587</v>
      </c>
      <c r="R126" s="2">
        <v>655.20137599530074</v>
      </c>
      <c r="S126" s="2">
        <v>370.20269324938499</v>
      </c>
      <c r="T126" s="2">
        <v>370.20269324938499</v>
      </c>
    </row>
    <row r="127" spans="2:20" x14ac:dyDescent="0.25">
      <c r="B127" s="10">
        <v>358</v>
      </c>
      <c r="C127" s="10">
        <v>7</v>
      </c>
      <c r="D127" s="9" t="s">
        <v>249</v>
      </c>
      <c r="E127" s="8">
        <v>410.73</v>
      </c>
      <c r="F127" s="7">
        <v>203014.54</v>
      </c>
      <c r="G127" s="7">
        <v>51764.67</v>
      </c>
      <c r="H127" s="7">
        <v>151249.87</v>
      </c>
      <c r="I127" s="6">
        <v>368.24646361356605</v>
      </c>
      <c r="J127" s="6">
        <v>368.24646361356605</v>
      </c>
      <c r="K127" s="5">
        <v>151249.87</v>
      </c>
      <c r="L127" s="4">
        <v>0</v>
      </c>
      <c r="M127" s="2">
        <v>428.0703756818483</v>
      </c>
      <c r="N127" s="1">
        <v>62</v>
      </c>
      <c r="O127" s="3">
        <v>3578.9004551535672</v>
      </c>
      <c r="P127" s="2">
        <v>177.23126124615374</v>
      </c>
      <c r="Q127" s="2">
        <v>200.93937536839587</v>
      </c>
      <c r="R127" s="2">
        <v>655.20137599530074</v>
      </c>
      <c r="S127" s="2">
        <v>368.24646361356605</v>
      </c>
      <c r="T127" s="2">
        <v>368.24646361356605</v>
      </c>
    </row>
    <row r="128" spans="2:20" x14ac:dyDescent="0.25">
      <c r="B128" s="10">
        <v>361</v>
      </c>
      <c r="C128" s="10">
        <v>7</v>
      </c>
      <c r="D128" s="9" t="s">
        <v>250</v>
      </c>
      <c r="E128" s="8">
        <v>1556.1241778565295</v>
      </c>
      <c r="F128" s="7">
        <v>369780.13</v>
      </c>
      <c r="G128" s="7">
        <v>6301</v>
      </c>
      <c r="H128" s="7">
        <v>363479.13</v>
      </c>
      <c r="I128" s="6">
        <v>233.57977157110389</v>
      </c>
      <c r="J128" s="6">
        <v>233.57977157110389</v>
      </c>
      <c r="K128" s="5">
        <v>363479.13</v>
      </c>
      <c r="L128" s="4">
        <v>0</v>
      </c>
      <c r="M128" s="2">
        <v>428.0703756818483</v>
      </c>
      <c r="N128" s="1">
        <v>62</v>
      </c>
      <c r="O128" s="3">
        <v>37826.595087362315</v>
      </c>
      <c r="P128" s="2">
        <v>177.23126124615374</v>
      </c>
      <c r="Q128" s="2">
        <v>200.93937536839587</v>
      </c>
      <c r="R128" s="2">
        <v>655.20137599530074</v>
      </c>
      <c r="S128" s="2">
        <v>233.57977157110389</v>
      </c>
      <c r="T128" s="2">
        <v>233.57977157110386</v>
      </c>
    </row>
    <row r="129" spans="2:20" x14ac:dyDescent="0.25">
      <c r="B129" s="10">
        <v>376</v>
      </c>
      <c r="C129" s="10">
        <v>7</v>
      </c>
      <c r="D129" s="9" t="s">
        <v>251</v>
      </c>
      <c r="E129" s="8">
        <v>731.46242885301081</v>
      </c>
      <c r="F129" s="7">
        <v>304165.14</v>
      </c>
      <c r="G129" s="7">
        <v>200</v>
      </c>
      <c r="H129" s="7">
        <v>303965.14</v>
      </c>
      <c r="I129" s="6">
        <v>415.55810388872698</v>
      </c>
      <c r="J129" s="6">
        <v>415.55810388872698</v>
      </c>
      <c r="K129" s="5">
        <v>303965.14</v>
      </c>
      <c r="L129" s="4">
        <v>0</v>
      </c>
      <c r="M129" s="2">
        <v>428.0703756818483</v>
      </c>
      <c r="N129" s="1">
        <v>62</v>
      </c>
      <c r="O129" s="3">
        <v>156.55694542493964</v>
      </c>
      <c r="P129" s="2">
        <v>177.23126124615374</v>
      </c>
      <c r="Q129" s="2">
        <v>200.93937536839587</v>
      </c>
      <c r="R129" s="2">
        <v>655.20137599530074</v>
      </c>
      <c r="S129" s="2">
        <v>415.55810388872698</v>
      </c>
      <c r="T129" s="2">
        <v>415.55810388872698</v>
      </c>
    </row>
    <row r="130" spans="2:20" x14ac:dyDescent="0.25">
      <c r="B130" s="10">
        <v>382</v>
      </c>
      <c r="C130" s="10">
        <v>7</v>
      </c>
      <c r="D130" s="9" t="s">
        <v>252</v>
      </c>
      <c r="E130" s="8">
        <v>168.66</v>
      </c>
      <c r="F130" s="7">
        <v>109115.45</v>
      </c>
      <c r="G130" s="7">
        <v>23797.72</v>
      </c>
      <c r="H130" s="7">
        <v>85317.73</v>
      </c>
      <c r="I130" s="6">
        <v>505.85633819518557</v>
      </c>
      <c r="J130" s="6">
        <v>505.85633819518557</v>
      </c>
      <c r="K130" s="5">
        <v>85317.73</v>
      </c>
      <c r="L130" s="4">
        <v>0</v>
      </c>
      <c r="M130" s="2">
        <v>428.0703756818483</v>
      </c>
      <c r="N130" s="1">
        <v>62</v>
      </c>
      <c r="O130" s="3">
        <v>6050.6559641263102</v>
      </c>
      <c r="P130" s="2">
        <v>177.23126124615374</v>
      </c>
      <c r="Q130" s="2">
        <v>200.93937536839587</v>
      </c>
      <c r="R130" s="2">
        <v>655.20137599530074</v>
      </c>
      <c r="S130" s="2">
        <v>505.85633819518557</v>
      </c>
      <c r="T130" s="2">
        <v>538.41936440175505</v>
      </c>
    </row>
    <row r="131" spans="2:20" x14ac:dyDescent="0.25">
      <c r="B131" s="10">
        <v>389</v>
      </c>
      <c r="C131" s="10">
        <v>7</v>
      </c>
      <c r="D131" s="9" t="s">
        <v>253</v>
      </c>
      <c r="E131" s="8">
        <v>1081.1965018758979</v>
      </c>
      <c r="F131" s="7">
        <v>130744.1</v>
      </c>
      <c r="G131" s="7">
        <v>840</v>
      </c>
      <c r="H131" s="7">
        <v>129904.1</v>
      </c>
      <c r="I131" s="6">
        <v>120.14846494102946</v>
      </c>
      <c r="J131" s="6">
        <v>120.14846494102946</v>
      </c>
      <c r="K131" s="5">
        <v>129904.1</v>
      </c>
      <c r="L131" s="4">
        <v>0</v>
      </c>
      <c r="M131" s="2">
        <v>428.0703756818483</v>
      </c>
      <c r="N131" s="1">
        <v>62</v>
      </c>
      <c r="O131" s="3">
        <v>94815.903114276793</v>
      </c>
      <c r="P131" s="2">
        <v>177.23126124615374</v>
      </c>
      <c r="Q131" s="213">
        <v>200.93937536839587</v>
      </c>
      <c r="R131" s="2">
        <v>655.20137599530074</v>
      </c>
      <c r="S131" s="2">
        <v>200.93937536839587</v>
      </c>
      <c r="T131" s="2">
        <v>120.14846494102946</v>
      </c>
    </row>
    <row r="132" spans="2:20" x14ac:dyDescent="0.25">
      <c r="B132" s="10">
        <v>434</v>
      </c>
      <c r="C132" s="10">
        <v>7</v>
      </c>
      <c r="D132" s="9" t="s">
        <v>254</v>
      </c>
      <c r="E132" s="8">
        <v>398.26503053689669</v>
      </c>
      <c r="F132" s="7">
        <v>155475.1</v>
      </c>
      <c r="G132" s="7">
        <v>0</v>
      </c>
      <c r="H132" s="7">
        <v>155475.1</v>
      </c>
      <c r="I132" s="6">
        <v>390.38099777528981</v>
      </c>
      <c r="J132" s="6">
        <v>390.38099777528981</v>
      </c>
      <c r="K132" s="5">
        <v>155475.1</v>
      </c>
      <c r="L132" s="4">
        <v>0</v>
      </c>
      <c r="M132" s="2">
        <v>428.0703756818483</v>
      </c>
      <c r="N132" s="1">
        <v>62</v>
      </c>
      <c r="O132" s="3">
        <v>1420.4892069833793</v>
      </c>
      <c r="P132" s="2">
        <v>177.23126124615374</v>
      </c>
      <c r="Q132" s="2">
        <v>200.93937536839587</v>
      </c>
      <c r="R132" s="2">
        <v>655.20137599530074</v>
      </c>
      <c r="S132" s="2">
        <v>390.38099777528981</v>
      </c>
      <c r="T132" s="2">
        <v>390.38099777528981</v>
      </c>
    </row>
    <row r="133" spans="2:20" x14ac:dyDescent="0.25">
      <c r="B133" s="10">
        <v>437</v>
      </c>
      <c r="C133" s="10">
        <v>7</v>
      </c>
      <c r="D133" s="9" t="s">
        <v>255</v>
      </c>
      <c r="E133" s="8">
        <v>321.78236801511031</v>
      </c>
      <c r="F133" s="7">
        <v>210304.34</v>
      </c>
      <c r="G133" s="7">
        <v>0</v>
      </c>
      <c r="H133" s="7">
        <v>210304.34</v>
      </c>
      <c r="I133" s="6">
        <v>653.56079420151605</v>
      </c>
      <c r="J133" s="6">
        <v>653.56079420151605</v>
      </c>
      <c r="K133" s="5">
        <v>210304.34</v>
      </c>
      <c r="L133" s="4">
        <v>0</v>
      </c>
      <c r="M133" s="2">
        <v>428.0703756818483</v>
      </c>
      <c r="N133" s="1">
        <v>62</v>
      </c>
      <c r="O133" s="3">
        <v>50845.928844174916</v>
      </c>
      <c r="P133" s="2">
        <v>177.23126124615374</v>
      </c>
      <c r="Q133" s="2">
        <v>200.93937536839587</v>
      </c>
      <c r="R133" s="2">
        <v>655.20137599530074</v>
      </c>
      <c r="S133" s="2">
        <v>653.56079420151605</v>
      </c>
      <c r="T133" s="2">
        <v>653.56079420151616</v>
      </c>
    </row>
    <row r="134" spans="2:20" x14ac:dyDescent="0.25">
      <c r="B134" s="10">
        <v>502</v>
      </c>
      <c r="C134" s="10">
        <v>7</v>
      </c>
      <c r="D134" s="9" t="s">
        <v>256</v>
      </c>
      <c r="E134" s="8">
        <v>648.88922387748005</v>
      </c>
      <c r="F134" s="7">
        <v>281936.53999999998</v>
      </c>
      <c r="G134" s="7">
        <v>0</v>
      </c>
      <c r="H134" s="7">
        <v>281936.53999999998</v>
      </c>
      <c r="I134" s="6">
        <v>434.49101884489579</v>
      </c>
      <c r="J134" s="6">
        <v>434.49101884489579</v>
      </c>
      <c r="K134" s="5">
        <v>281936.53999999998</v>
      </c>
      <c r="L134" s="4">
        <v>0</v>
      </c>
      <c r="M134" s="2">
        <v>428.0703756818483</v>
      </c>
      <c r="N134" s="1">
        <v>62</v>
      </c>
      <c r="O134" s="3">
        <v>41.224658627188433</v>
      </c>
      <c r="P134" s="2">
        <v>177.23126124615374</v>
      </c>
      <c r="Q134" s="2">
        <v>200.93937536839587</v>
      </c>
      <c r="R134" s="2">
        <v>655.20137599530074</v>
      </c>
      <c r="S134" s="2">
        <v>434.49101884489579</v>
      </c>
      <c r="T134" s="2">
        <v>434.49101884489585</v>
      </c>
    </row>
    <row r="135" spans="2:20" x14ac:dyDescent="0.25">
      <c r="B135" s="10">
        <v>503</v>
      </c>
      <c r="C135" s="10">
        <v>7</v>
      </c>
      <c r="D135" s="9" t="s">
        <v>257</v>
      </c>
      <c r="E135" s="8">
        <v>376.66900806799492</v>
      </c>
      <c r="F135" s="7">
        <v>184487.59</v>
      </c>
      <c r="G135" s="7">
        <v>51873.13</v>
      </c>
      <c r="H135" s="7">
        <v>132614.46</v>
      </c>
      <c r="I135" s="6">
        <v>352.07159909492981</v>
      </c>
      <c r="J135" s="6">
        <v>352.07159909492981</v>
      </c>
      <c r="K135" s="5">
        <v>132614.46</v>
      </c>
      <c r="L135" s="4">
        <v>0</v>
      </c>
      <c r="M135" s="2">
        <v>428.0703756818483</v>
      </c>
      <c r="N135" s="1">
        <v>62</v>
      </c>
      <c r="O135" s="3">
        <v>5775.8140427083508</v>
      </c>
      <c r="P135" s="2">
        <v>177.23126124615374</v>
      </c>
      <c r="Q135" s="2">
        <v>200.93937536839587</v>
      </c>
      <c r="R135" s="2">
        <v>655.20137599530074</v>
      </c>
      <c r="S135" s="2">
        <v>352.07159909492981</v>
      </c>
      <c r="T135" s="2">
        <v>489.78701737706268</v>
      </c>
    </row>
    <row r="136" spans="2:20" x14ac:dyDescent="0.25">
      <c r="B136" s="10">
        <v>510</v>
      </c>
      <c r="C136" s="10">
        <v>7</v>
      </c>
      <c r="D136" s="9" t="s">
        <v>258</v>
      </c>
      <c r="E136" s="8">
        <v>473.80958905726897</v>
      </c>
      <c r="F136" s="7">
        <v>244408.07</v>
      </c>
      <c r="G136" s="7">
        <v>378</v>
      </c>
      <c r="H136" s="7">
        <v>244030.07</v>
      </c>
      <c r="I136" s="6">
        <v>515.03826776816095</v>
      </c>
      <c r="J136" s="6">
        <v>515.03826776816095</v>
      </c>
      <c r="K136" s="5">
        <v>244030.07</v>
      </c>
      <c r="L136" s="4">
        <v>0</v>
      </c>
      <c r="M136" s="2">
        <v>428.0703756818483</v>
      </c>
      <c r="N136" s="1">
        <v>62</v>
      </c>
      <c r="O136" s="3">
        <v>7563.4142539365212</v>
      </c>
      <c r="P136" s="2">
        <v>177.23126124615374</v>
      </c>
      <c r="Q136" s="2">
        <v>200.93937536839587</v>
      </c>
      <c r="R136" s="2">
        <v>655.20137599530074</v>
      </c>
      <c r="S136" s="2">
        <v>515.03826776816095</v>
      </c>
      <c r="T136" s="2">
        <v>515.03826776816106</v>
      </c>
    </row>
    <row r="137" spans="2:20" x14ac:dyDescent="0.25">
      <c r="B137" s="10">
        <v>531</v>
      </c>
      <c r="C137" s="10">
        <v>7</v>
      </c>
      <c r="D137" s="9" t="s">
        <v>259</v>
      </c>
      <c r="E137" s="8">
        <v>1979.4</v>
      </c>
      <c r="F137" s="7">
        <v>881481.73</v>
      </c>
      <c r="G137" s="7">
        <v>3599.5</v>
      </c>
      <c r="H137" s="7">
        <v>877882.23</v>
      </c>
      <c r="I137" s="6">
        <v>443.50926038193387</v>
      </c>
      <c r="J137" s="6">
        <v>443.50926038193387</v>
      </c>
      <c r="K137" s="5">
        <v>877882.23</v>
      </c>
      <c r="L137" s="4">
        <v>0</v>
      </c>
      <c r="M137" s="2">
        <v>428.0703756818483</v>
      </c>
      <c r="N137" s="1">
        <v>62</v>
      </c>
      <c r="O137" s="3">
        <v>238.35916078253618</v>
      </c>
      <c r="P137" s="2">
        <v>177.23126124615374</v>
      </c>
      <c r="Q137" s="2">
        <v>200.93937536839587</v>
      </c>
      <c r="R137" s="2">
        <v>655.20137599530074</v>
      </c>
      <c r="S137" s="2">
        <v>443.50926038193387</v>
      </c>
      <c r="T137" s="2">
        <v>443.50926038193387</v>
      </c>
    </row>
    <row r="138" spans="2:20" x14ac:dyDescent="0.25">
      <c r="B138" s="10">
        <v>550</v>
      </c>
      <c r="C138" s="10">
        <v>7</v>
      </c>
      <c r="D138" s="9" t="s">
        <v>260</v>
      </c>
      <c r="E138" s="8">
        <v>482.98</v>
      </c>
      <c r="F138" s="7">
        <v>265362.77</v>
      </c>
      <c r="G138" s="7">
        <v>0</v>
      </c>
      <c r="H138" s="7">
        <v>265362.77</v>
      </c>
      <c r="I138" s="6">
        <v>549.42807155575804</v>
      </c>
      <c r="J138" s="6">
        <v>549.42807155575804</v>
      </c>
      <c r="K138" s="5">
        <v>265362.77</v>
      </c>
      <c r="L138" s="4">
        <v>0</v>
      </c>
      <c r="M138" s="2">
        <v>428.0703756818483</v>
      </c>
      <c r="N138" s="1">
        <v>62</v>
      </c>
      <c r="O138" s="3">
        <v>14727.690347824368</v>
      </c>
      <c r="P138" s="2">
        <v>177.23126124615374</v>
      </c>
      <c r="Q138" s="2">
        <v>200.93937536839587</v>
      </c>
      <c r="R138" s="2">
        <v>655.20137599530074</v>
      </c>
      <c r="S138" s="2">
        <v>549.42807155575804</v>
      </c>
      <c r="T138" s="2">
        <v>463.11129144851662</v>
      </c>
    </row>
    <row r="139" spans="2:20" x14ac:dyDescent="0.25">
      <c r="B139" s="10">
        <v>551</v>
      </c>
      <c r="C139" s="10">
        <v>7</v>
      </c>
      <c r="D139" s="9" t="s">
        <v>261</v>
      </c>
      <c r="E139" s="8">
        <v>209.17739178693196</v>
      </c>
      <c r="F139" s="7">
        <v>95844.479999999996</v>
      </c>
      <c r="G139" s="7">
        <v>288</v>
      </c>
      <c r="H139" s="7">
        <v>95556.479999999996</v>
      </c>
      <c r="I139" s="6">
        <v>456.82030540534612</v>
      </c>
      <c r="J139" s="6">
        <v>456.82030540534612</v>
      </c>
      <c r="K139" s="5">
        <v>95556.479999999996</v>
      </c>
      <c r="L139" s="4">
        <v>0</v>
      </c>
      <c r="M139" s="2">
        <v>428.0703756818483</v>
      </c>
      <c r="N139" s="1">
        <v>62</v>
      </c>
      <c r="O139" s="3">
        <v>826.55845910606308</v>
      </c>
      <c r="P139" s="2">
        <v>177.23126124615374</v>
      </c>
      <c r="Q139" s="2">
        <v>200.93937536839587</v>
      </c>
      <c r="R139" s="2">
        <v>655.20137599530074</v>
      </c>
      <c r="S139" s="2">
        <v>456.82030540534612</v>
      </c>
      <c r="T139" s="2">
        <v>456.82030540534612</v>
      </c>
    </row>
    <row r="140" spans="2:20" x14ac:dyDescent="0.25">
      <c r="B140" s="10">
        <v>555</v>
      </c>
      <c r="C140" s="10">
        <v>7</v>
      </c>
      <c r="D140" s="9" t="s">
        <v>262</v>
      </c>
      <c r="E140" s="8">
        <v>692.92535697489586</v>
      </c>
      <c r="F140" s="7">
        <v>338758.86</v>
      </c>
      <c r="G140" s="7">
        <v>340</v>
      </c>
      <c r="H140" s="7">
        <v>338418.86</v>
      </c>
      <c r="I140" s="6">
        <v>488.39150796477583</v>
      </c>
      <c r="J140" s="6">
        <v>488.39150796477583</v>
      </c>
      <c r="K140" s="5">
        <v>338418.86</v>
      </c>
      <c r="L140" s="4">
        <v>0</v>
      </c>
      <c r="M140" s="2">
        <v>428.0703756818483</v>
      </c>
      <c r="N140" s="1">
        <v>62</v>
      </c>
      <c r="O140" s="3">
        <v>3638.638999894441</v>
      </c>
      <c r="P140" s="2">
        <v>177.23126124615374</v>
      </c>
      <c r="Q140" s="2">
        <v>200.93937536839587</v>
      </c>
      <c r="R140" s="2">
        <v>655.20137599530074</v>
      </c>
      <c r="S140" s="2">
        <v>488.39150796477583</v>
      </c>
      <c r="T140" s="2">
        <v>488.39150796477588</v>
      </c>
    </row>
    <row r="141" spans="2:20" x14ac:dyDescent="0.25">
      <c r="B141" s="10">
        <v>556</v>
      </c>
      <c r="C141" s="10">
        <v>7</v>
      </c>
      <c r="D141" s="9" t="s">
        <v>263</v>
      </c>
      <c r="E141" s="8">
        <v>433.69470539601917</v>
      </c>
      <c r="F141" s="7">
        <v>166567.62</v>
      </c>
      <c r="G141" s="7">
        <v>462</v>
      </c>
      <c r="H141" s="7">
        <v>166105.62</v>
      </c>
      <c r="I141" s="6">
        <v>383.00126317734072</v>
      </c>
      <c r="J141" s="6">
        <v>383.00126317734072</v>
      </c>
      <c r="K141" s="5">
        <v>166105.62</v>
      </c>
      <c r="L141" s="4">
        <v>0</v>
      </c>
      <c r="M141" s="2">
        <v>428.0703756818483</v>
      </c>
      <c r="N141" s="1">
        <v>62</v>
      </c>
      <c r="O141" s="3">
        <v>2031.2249019439621</v>
      </c>
      <c r="P141" s="2">
        <v>177.23126124615374</v>
      </c>
      <c r="Q141" s="2">
        <v>200.93937536839587</v>
      </c>
      <c r="R141" s="2">
        <v>655.20137599530074</v>
      </c>
      <c r="S141" s="2">
        <v>383.00126317734072</v>
      </c>
      <c r="T141" s="2">
        <v>383.00126317734072</v>
      </c>
    </row>
    <row r="142" spans="2:20" x14ac:dyDescent="0.25">
      <c r="B142" s="10">
        <v>558</v>
      </c>
      <c r="C142" s="10">
        <v>7</v>
      </c>
      <c r="D142" s="9" t="s">
        <v>264</v>
      </c>
      <c r="E142" s="8">
        <v>382.9441489097768</v>
      </c>
      <c r="F142" s="7">
        <v>297411.59000000003</v>
      </c>
      <c r="G142" s="7">
        <v>22210.3</v>
      </c>
      <c r="H142" s="7">
        <v>275201.29000000004</v>
      </c>
      <c r="I142" s="6">
        <v>718.64602392668644</v>
      </c>
      <c r="J142" s="6">
        <v>655.20137599530074</v>
      </c>
      <c r="K142" s="5">
        <v>250905.5332950351</v>
      </c>
      <c r="L142" s="4">
        <v>0</v>
      </c>
      <c r="M142" s="2">
        <v>428.0703756818483</v>
      </c>
      <c r="N142" s="1">
        <v>62</v>
      </c>
      <c r="O142" s="3">
        <v>84434.207352907906</v>
      </c>
      <c r="P142" s="2">
        <v>177.23126124615374</v>
      </c>
      <c r="Q142" s="2">
        <v>200.93937536839587</v>
      </c>
      <c r="R142" s="2">
        <v>655.20137599530074</v>
      </c>
      <c r="S142" s="2">
        <v>655.20137599530074</v>
      </c>
      <c r="T142" s="2">
        <v>655.79443800377601</v>
      </c>
    </row>
    <row r="143" spans="2:20" x14ac:dyDescent="0.25">
      <c r="B143" s="10">
        <v>600</v>
      </c>
      <c r="C143" s="10">
        <v>7</v>
      </c>
      <c r="D143" s="9" t="s">
        <v>377</v>
      </c>
      <c r="E143" s="8">
        <v>728.55</v>
      </c>
      <c r="F143" s="7">
        <v>270525.11</v>
      </c>
      <c r="G143" s="7">
        <v>340</v>
      </c>
      <c r="H143" s="7">
        <v>270185.11</v>
      </c>
      <c r="I143" s="6">
        <v>370.85321529064584</v>
      </c>
      <c r="J143" s="6">
        <v>370.85321529064584</v>
      </c>
      <c r="K143" s="5">
        <v>270185.11</v>
      </c>
      <c r="L143" s="4">
        <v>0</v>
      </c>
      <c r="M143" s="2">
        <v>428.0703756818483</v>
      </c>
      <c r="N143" s="1">
        <v>62</v>
      </c>
      <c r="O143" s="3">
        <v>3273.8034432325885</v>
      </c>
      <c r="P143" s="2">
        <v>177.23126124615374</v>
      </c>
      <c r="Q143" s="2">
        <v>200.93937536839587</v>
      </c>
      <c r="R143" s="2">
        <v>655.20137599530074</v>
      </c>
      <c r="S143" s="2">
        <v>370.85321529064584</v>
      </c>
      <c r="T143" s="2">
        <v>370.85321529064584</v>
      </c>
    </row>
    <row r="144" spans="2:20" x14ac:dyDescent="0.25">
      <c r="B144" s="10">
        <v>604</v>
      </c>
      <c r="C144" s="10">
        <v>7</v>
      </c>
      <c r="D144" s="9" t="s">
        <v>378</v>
      </c>
      <c r="E144" s="8">
        <v>775.96118138633608</v>
      </c>
      <c r="F144" s="7">
        <v>279897.56</v>
      </c>
      <c r="G144" s="7">
        <v>6910</v>
      </c>
      <c r="H144" s="7">
        <v>272987.56</v>
      </c>
      <c r="I144" s="6">
        <v>351.80569150673114</v>
      </c>
      <c r="J144" s="6">
        <v>351.80569150673114</v>
      </c>
      <c r="K144" s="5">
        <v>272987.56</v>
      </c>
      <c r="L144" s="4">
        <v>0</v>
      </c>
      <c r="M144" s="2">
        <v>428.0703756818483</v>
      </c>
      <c r="N144" s="1">
        <v>62</v>
      </c>
      <c r="O144" s="3">
        <v>5816.3020523303667</v>
      </c>
      <c r="P144" s="2">
        <v>177.23126124615374</v>
      </c>
      <c r="Q144" s="2">
        <v>200.93937536839587</v>
      </c>
      <c r="R144" s="2">
        <v>655.20137599530074</v>
      </c>
      <c r="S144" s="2">
        <v>351.80569150673114</v>
      </c>
      <c r="T144" s="2">
        <v>351.80569150673119</v>
      </c>
    </row>
    <row r="145" spans="2:20" x14ac:dyDescent="0.25">
      <c r="B145" s="10">
        <v>612</v>
      </c>
      <c r="C145" s="10">
        <v>7</v>
      </c>
      <c r="D145" s="9" t="s">
        <v>267</v>
      </c>
      <c r="E145" s="8">
        <v>545.2537415651675</v>
      </c>
      <c r="F145" s="7">
        <v>235444.72</v>
      </c>
      <c r="G145" s="7">
        <v>273.68</v>
      </c>
      <c r="H145" s="7">
        <v>235171.04</v>
      </c>
      <c r="I145" s="6">
        <v>431.30568774261752</v>
      </c>
      <c r="J145" s="6">
        <v>431.30568774261752</v>
      </c>
      <c r="K145" s="5">
        <v>235171.04</v>
      </c>
      <c r="L145" s="4">
        <v>0</v>
      </c>
      <c r="M145" s="2">
        <v>428.0703756818483</v>
      </c>
      <c r="N145" s="1">
        <v>62</v>
      </c>
      <c r="O145" s="3">
        <v>10.467244130558761</v>
      </c>
      <c r="P145" s="2">
        <v>177.23126124615374</v>
      </c>
      <c r="Q145" s="2">
        <v>200.93937536839587</v>
      </c>
      <c r="R145" s="2">
        <v>655.20137599530074</v>
      </c>
      <c r="S145" s="2">
        <v>431.30568774261752</v>
      </c>
      <c r="T145" s="2">
        <v>376.47244144908518</v>
      </c>
    </row>
    <row r="146" spans="2:20" x14ac:dyDescent="0.25">
      <c r="B146" s="10">
        <v>693</v>
      </c>
      <c r="C146" s="10">
        <v>7</v>
      </c>
      <c r="D146" s="9" t="s">
        <v>392</v>
      </c>
      <c r="E146" s="8">
        <v>84.799015469057295</v>
      </c>
      <c r="F146" s="7">
        <v>40353.75</v>
      </c>
      <c r="G146" s="7">
        <v>0</v>
      </c>
      <c r="H146" s="7">
        <v>40353.75</v>
      </c>
      <c r="I146" s="6">
        <v>475.87521832402484</v>
      </c>
      <c r="J146" s="6">
        <v>475.87521832402484</v>
      </c>
      <c r="K146" s="5">
        <v>40353.75</v>
      </c>
      <c r="L146" s="4">
        <v>0</v>
      </c>
      <c r="M146" s="2">
        <v>428.0703756818483</v>
      </c>
      <c r="N146" s="1">
        <v>62</v>
      </c>
      <c r="O146" s="3">
        <v>2285.3029800432605</v>
      </c>
      <c r="P146" s="2">
        <v>177.23126124615374</v>
      </c>
      <c r="Q146" s="2">
        <v>200.93937536839587</v>
      </c>
      <c r="R146" s="2">
        <v>655.20137599530074</v>
      </c>
      <c r="S146" s="2">
        <v>475.87521832402484</v>
      </c>
      <c r="T146" s="2">
        <v>655.79443800377601</v>
      </c>
    </row>
    <row r="147" spans="2:20" x14ac:dyDescent="0.25">
      <c r="B147" s="10">
        <v>711</v>
      </c>
      <c r="C147" s="10">
        <v>7</v>
      </c>
      <c r="D147" s="9" t="s">
        <v>269</v>
      </c>
      <c r="E147" s="8">
        <v>409.18779414761207</v>
      </c>
      <c r="F147" s="7">
        <v>169604.92</v>
      </c>
      <c r="G147" s="7">
        <v>2332.0499999999997</v>
      </c>
      <c r="H147" s="7">
        <v>167272.87000000002</v>
      </c>
      <c r="I147" s="6">
        <v>408.79242341147972</v>
      </c>
      <c r="J147" s="6">
        <v>408.79242341147972</v>
      </c>
      <c r="K147" s="5">
        <v>167272.87000000002</v>
      </c>
      <c r="L147" s="4">
        <v>0</v>
      </c>
      <c r="M147" s="2">
        <v>428.0703756818483</v>
      </c>
      <c r="N147" s="1">
        <v>62</v>
      </c>
      <c r="O147" s="3">
        <v>371.63944373860937</v>
      </c>
      <c r="P147" s="2">
        <v>177.23126124615374</v>
      </c>
      <c r="Q147" s="2">
        <v>200.93937536839587</v>
      </c>
      <c r="R147" s="2">
        <v>655.20137599530074</v>
      </c>
      <c r="S147" s="2">
        <v>408.79242341147972</v>
      </c>
      <c r="T147" s="2">
        <v>560.60037293597429</v>
      </c>
    </row>
    <row r="148" spans="2:20" x14ac:dyDescent="0.25">
      <c r="B148" s="10">
        <v>712</v>
      </c>
      <c r="C148" s="10">
        <v>7</v>
      </c>
      <c r="D148" s="9" t="s">
        <v>270</v>
      </c>
      <c r="E148" s="8">
        <v>496.19</v>
      </c>
      <c r="F148" s="7">
        <v>243933.5</v>
      </c>
      <c r="G148" s="7">
        <v>0</v>
      </c>
      <c r="H148" s="7">
        <v>243933.5</v>
      </c>
      <c r="I148" s="6">
        <v>491.61309175920513</v>
      </c>
      <c r="J148" s="6">
        <v>491.61309175920513</v>
      </c>
      <c r="K148" s="5">
        <v>243933.5</v>
      </c>
      <c r="L148" s="4">
        <v>0</v>
      </c>
      <c r="M148" s="2">
        <v>428.0703756818483</v>
      </c>
      <c r="N148" s="1">
        <v>62</v>
      </c>
      <c r="O148" s="3">
        <v>4037.676766487582</v>
      </c>
      <c r="P148" s="2">
        <v>177.23126124615374</v>
      </c>
      <c r="Q148" s="2">
        <v>200.93937536839587</v>
      </c>
      <c r="R148" s="2">
        <v>655.20137599530074</v>
      </c>
      <c r="S148" s="2">
        <v>491.61309175920513</v>
      </c>
      <c r="T148" s="2">
        <v>491.61309175920513</v>
      </c>
    </row>
    <row r="149" spans="2:20" x14ac:dyDescent="0.25">
      <c r="B149" s="10">
        <v>718</v>
      </c>
      <c r="C149" s="10">
        <v>7</v>
      </c>
      <c r="D149" s="9" t="s">
        <v>271</v>
      </c>
      <c r="E149" s="8">
        <v>13.842893306981095</v>
      </c>
      <c r="F149" s="7">
        <v>12985.04</v>
      </c>
      <c r="G149" s="7">
        <v>0</v>
      </c>
      <c r="H149" s="7">
        <v>12985.04</v>
      </c>
      <c r="I149" s="6">
        <v>938.02933476714213</v>
      </c>
      <c r="J149" s="6">
        <v>655.20137599530074</v>
      </c>
      <c r="K149" s="5">
        <v>9069.8827424901519</v>
      </c>
      <c r="L149" s="4">
        <v>0</v>
      </c>
      <c r="M149" s="2">
        <v>428.0703756818483</v>
      </c>
      <c r="N149" s="1">
        <v>62</v>
      </c>
      <c r="O149" s="3">
        <v>260058.1399513564</v>
      </c>
      <c r="P149" s="2">
        <v>177.23126124615374</v>
      </c>
      <c r="Q149" s="2">
        <v>200.93937536839587</v>
      </c>
      <c r="R149" s="2">
        <v>655.20137599530074</v>
      </c>
      <c r="S149" s="2">
        <v>655.20137599530074</v>
      </c>
      <c r="T149" s="2">
        <v>655.79443800377601</v>
      </c>
    </row>
    <row r="150" spans="2:20" x14ac:dyDescent="0.25">
      <c r="B150" s="10">
        <v>736</v>
      </c>
      <c r="C150" s="10">
        <v>7</v>
      </c>
      <c r="D150" s="9" t="s">
        <v>272</v>
      </c>
      <c r="E150" s="8">
        <v>165.56026467815306</v>
      </c>
      <c r="F150" s="7">
        <v>77022.490000000005</v>
      </c>
      <c r="G150" s="7">
        <v>0</v>
      </c>
      <c r="H150" s="7">
        <v>77022.490000000005</v>
      </c>
      <c r="I150" s="6">
        <v>465.2232837977802</v>
      </c>
      <c r="J150" s="6">
        <v>465.2232837977802</v>
      </c>
      <c r="K150" s="5">
        <v>77022.490000000005</v>
      </c>
      <c r="L150" s="4">
        <v>0</v>
      </c>
      <c r="M150" s="2">
        <v>428.0703756818483</v>
      </c>
      <c r="N150" s="1">
        <v>62</v>
      </c>
      <c r="O150" s="3">
        <v>1380.3385814708779</v>
      </c>
      <c r="P150" s="2">
        <v>177.23126124615374</v>
      </c>
      <c r="Q150" s="2">
        <v>200.93937536839587</v>
      </c>
      <c r="R150" s="2">
        <v>655.20137599530074</v>
      </c>
      <c r="S150" s="2">
        <v>465.2232837977802</v>
      </c>
      <c r="T150" s="2">
        <v>465.2232837977802</v>
      </c>
    </row>
    <row r="151" spans="2:20" x14ac:dyDescent="0.25">
      <c r="B151" s="10">
        <v>757</v>
      </c>
      <c r="C151" s="10">
        <v>7</v>
      </c>
      <c r="D151" s="9" t="s">
        <v>273</v>
      </c>
      <c r="E151" s="8">
        <v>503.72</v>
      </c>
      <c r="F151" s="7">
        <v>299016.71000000002</v>
      </c>
      <c r="G151" s="7">
        <v>203</v>
      </c>
      <c r="H151" s="7">
        <v>298813.71000000002</v>
      </c>
      <c r="I151" s="6">
        <v>593.21390852060665</v>
      </c>
      <c r="J151" s="6">
        <v>593.21390852060665</v>
      </c>
      <c r="K151" s="5">
        <v>298813.71000000002</v>
      </c>
      <c r="L151" s="4">
        <v>0</v>
      </c>
      <c r="M151" s="2">
        <v>428.0703756818483</v>
      </c>
      <c r="N151" s="1">
        <v>62</v>
      </c>
      <c r="O151" s="3">
        <v>27272.386438466056</v>
      </c>
      <c r="P151" s="2">
        <v>177.23126124615374</v>
      </c>
      <c r="Q151" s="2">
        <v>200.93937536839587</v>
      </c>
      <c r="R151" s="2">
        <v>655.20137599530074</v>
      </c>
      <c r="S151" s="2">
        <v>593.21390852060665</v>
      </c>
      <c r="T151" s="2">
        <v>593.21390852060665</v>
      </c>
    </row>
    <row r="152" spans="2:20" x14ac:dyDescent="0.25">
      <c r="B152" s="10">
        <v>786</v>
      </c>
      <c r="C152" s="10">
        <v>7</v>
      </c>
      <c r="D152" s="9" t="s">
        <v>274</v>
      </c>
      <c r="E152" s="8">
        <v>3287.19</v>
      </c>
      <c r="F152" s="7">
        <v>2059401.44</v>
      </c>
      <c r="G152" s="7">
        <v>336948.49</v>
      </c>
      <c r="H152" s="7">
        <v>1722452.95</v>
      </c>
      <c r="I152" s="6">
        <v>523.98947125052098</v>
      </c>
      <c r="J152" s="6">
        <v>523.98947125052098</v>
      </c>
      <c r="K152" s="5">
        <v>1722452.9500000002</v>
      </c>
      <c r="L152" s="4">
        <v>0</v>
      </c>
      <c r="M152" s="2">
        <v>428.0703756818483</v>
      </c>
      <c r="N152" s="1">
        <v>62</v>
      </c>
      <c r="O152" s="3">
        <v>9200.4728947121621</v>
      </c>
      <c r="P152" s="2">
        <v>177.23126124615374</v>
      </c>
      <c r="Q152" s="2">
        <v>200.93937536839587</v>
      </c>
      <c r="R152" s="2">
        <v>655.20137599530074</v>
      </c>
      <c r="S152" s="2">
        <v>523.98947125052098</v>
      </c>
      <c r="T152" s="2">
        <v>523.98947125052098</v>
      </c>
    </row>
    <row r="153" spans="2:20" x14ac:dyDescent="0.25">
      <c r="B153" s="10">
        <v>854</v>
      </c>
      <c r="C153" s="10">
        <v>7</v>
      </c>
      <c r="D153" s="9" t="s">
        <v>275</v>
      </c>
      <c r="E153" s="8">
        <v>694.07</v>
      </c>
      <c r="F153" s="7">
        <v>352725.22</v>
      </c>
      <c r="G153" s="7">
        <v>0</v>
      </c>
      <c r="H153" s="7">
        <v>352725.22</v>
      </c>
      <c r="I153" s="6">
        <v>508.19833734349555</v>
      </c>
      <c r="J153" s="6">
        <v>508.19833734349555</v>
      </c>
      <c r="K153" s="5">
        <v>352725.22</v>
      </c>
      <c r="L153" s="4">
        <v>0</v>
      </c>
      <c r="M153" s="2">
        <v>428.0703756818483</v>
      </c>
      <c r="N153" s="1">
        <v>62</v>
      </c>
      <c r="O153" s="3">
        <v>6420.4902400504116</v>
      </c>
      <c r="P153" s="2">
        <v>177.23126124615374</v>
      </c>
      <c r="Q153" s="2">
        <v>200.93937536839587</v>
      </c>
      <c r="R153" s="2">
        <v>655.20137599530074</v>
      </c>
      <c r="S153" s="2">
        <v>508.19833734349555</v>
      </c>
      <c r="T153" s="2">
        <v>508.19833734349555</v>
      </c>
    </row>
    <row r="154" spans="2:20" x14ac:dyDescent="0.25">
      <c r="B154" s="10">
        <v>855</v>
      </c>
      <c r="C154" s="10">
        <v>7</v>
      </c>
      <c r="D154" s="9" t="s">
        <v>276</v>
      </c>
      <c r="E154" s="8">
        <v>213.62227274865282</v>
      </c>
      <c r="F154" s="7">
        <v>117515.44</v>
      </c>
      <c r="G154" s="7">
        <v>280</v>
      </c>
      <c r="H154" s="7">
        <v>117235.44</v>
      </c>
      <c r="I154" s="6">
        <v>548.79783129139719</v>
      </c>
      <c r="J154" s="6">
        <v>548.79783129139719</v>
      </c>
      <c r="K154" s="5">
        <v>117235.44</v>
      </c>
      <c r="L154" s="4">
        <v>0</v>
      </c>
      <c r="M154" s="2">
        <v>428.0703756818483</v>
      </c>
      <c r="N154" s="1">
        <v>62</v>
      </c>
      <c r="O154" s="3">
        <v>14575.118537955595</v>
      </c>
      <c r="P154" s="2">
        <v>177.23126124615374</v>
      </c>
      <c r="Q154" s="2">
        <v>200.93937536839587</v>
      </c>
      <c r="R154" s="2">
        <v>655.20137599530074</v>
      </c>
      <c r="S154" s="2">
        <v>548.79783129139719</v>
      </c>
      <c r="T154" s="2">
        <v>548.79783129139719</v>
      </c>
    </row>
    <row r="155" spans="2:20" x14ac:dyDescent="0.25">
      <c r="B155" s="10">
        <v>862</v>
      </c>
      <c r="C155" s="10">
        <v>7</v>
      </c>
      <c r="D155" s="9" t="s">
        <v>379</v>
      </c>
      <c r="E155" s="8">
        <v>9.4811805961032061</v>
      </c>
      <c r="F155" s="7">
        <v>10431.540000000001</v>
      </c>
      <c r="G155" s="7">
        <v>9850</v>
      </c>
      <c r="H155" s="7">
        <v>581.54000000000087</v>
      </c>
      <c r="I155" s="6">
        <v>61.336243319636331</v>
      </c>
      <c r="J155" s="6">
        <v>61.336243319636331</v>
      </c>
      <c r="K155" s="5">
        <v>581.54000000000087</v>
      </c>
      <c r="L155" s="4">
        <v>0</v>
      </c>
      <c r="M155" s="2">
        <v>428.0703756818483</v>
      </c>
      <c r="N155" s="1">
        <v>62</v>
      </c>
      <c r="O155" s="3">
        <v>134493.92383946443</v>
      </c>
      <c r="P155" s="2">
        <v>177.23126124615374</v>
      </c>
      <c r="Q155" s="213">
        <v>200.93937536839587</v>
      </c>
      <c r="R155" s="2">
        <v>655.20137599530074</v>
      </c>
      <c r="S155" s="2">
        <v>200.93937536839587</v>
      </c>
      <c r="T155" s="2">
        <v>61.336243319636331</v>
      </c>
    </row>
    <row r="156" spans="2:20" x14ac:dyDescent="0.25">
      <c r="B156" s="10">
        <v>958</v>
      </c>
      <c r="C156" s="10">
        <v>7</v>
      </c>
      <c r="D156" s="9" t="s">
        <v>278</v>
      </c>
      <c r="E156" s="8">
        <v>1008.1747776357346</v>
      </c>
      <c r="F156" s="7">
        <v>170879.07</v>
      </c>
      <c r="G156" s="7">
        <v>149.80000000000001</v>
      </c>
      <c r="H156" s="7">
        <v>170729.27000000002</v>
      </c>
      <c r="I156" s="6">
        <v>169.34491299254316</v>
      </c>
      <c r="J156" s="6">
        <v>169.34491299254316</v>
      </c>
      <c r="K156" s="5">
        <v>170729.27000000002</v>
      </c>
      <c r="L156" s="4">
        <v>0</v>
      </c>
      <c r="M156" s="2">
        <v>428.0703756818483</v>
      </c>
      <c r="N156" s="1">
        <v>62</v>
      </c>
      <c r="O156" s="3">
        <v>66938.865043795013</v>
      </c>
      <c r="P156" s="2">
        <v>177.23126124615374</v>
      </c>
      <c r="Q156" s="213">
        <v>200.93937536839587</v>
      </c>
      <c r="R156" s="2">
        <v>655.20137599530074</v>
      </c>
      <c r="S156" s="2">
        <v>200.93937536839587</v>
      </c>
      <c r="T156" s="2">
        <v>142.24946614238888</v>
      </c>
    </row>
    <row r="157" spans="2:20" x14ac:dyDescent="0.25">
      <c r="B157" s="10">
        <v>967</v>
      </c>
      <c r="C157" s="10">
        <v>7</v>
      </c>
      <c r="D157" s="9" t="s">
        <v>279</v>
      </c>
      <c r="E157" s="8">
        <v>159.22099578056358</v>
      </c>
      <c r="F157" s="7">
        <v>80329.45</v>
      </c>
      <c r="G157" s="7">
        <v>0</v>
      </c>
      <c r="H157" s="7">
        <v>80329.45</v>
      </c>
      <c r="I157" s="6">
        <v>504.51543533058327</v>
      </c>
      <c r="J157" s="6">
        <v>504.51543533058327</v>
      </c>
      <c r="K157" s="5">
        <v>80329.45</v>
      </c>
      <c r="L157" s="4">
        <v>0</v>
      </c>
      <c r="M157" s="2">
        <v>428.0703756818483</v>
      </c>
      <c r="N157" s="1">
        <v>62</v>
      </c>
      <c r="O157" s="3">
        <v>5843.8471446986478</v>
      </c>
      <c r="P157" s="2">
        <v>177.23126124615374</v>
      </c>
      <c r="Q157" s="2">
        <v>200.93937536839587</v>
      </c>
      <c r="R157" s="2">
        <v>655.20137599530074</v>
      </c>
      <c r="S157" s="2">
        <v>504.51543533058327</v>
      </c>
      <c r="T157" s="2">
        <v>655.79443800377601</v>
      </c>
    </row>
    <row r="158" spans="2:20" x14ac:dyDescent="0.25">
      <c r="B158" s="10">
        <v>971</v>
      </c>
      <c r="C158" s="10">
        <v>7</v>
      </c>
      <c r="D158" s="9" t="s">
        <v>280</v>
      </c>
      <c r="E158" s="8">
        <v>1086.1199999999999</v>
      </c>
      <c r="F158" s="7">
        <v>545139.75</v>
      </c>
      <c r="G158" s="7">
        <v>148002.6</v>
      </c>
      <c r="H158" s="7">
        <v>397137.15</v>
      </c>
      <c r="I158" s="6">
        <v>365.64758037785884</v>
      </c>
      <c r="J158" s="6">
        <v>365.64758037785884</v>
      </c>
      <c r="K158" s="5">
        <v>397137.15</v>
      </c>
      <c r="L158" s="4">
        <v>0</v>
      </c>
      <c r="M158" s="2">
        <v>428.0703756818483</v>
      </c>
      <c r="N158" s="1">
        <v>62</v>
      </c>
      <c r="O158" s="3">
        <v>3896.6053735637688</v>
      </c>
      <c r="P158" s="2">
        <v>177.23126124615374</v>
      </c>
      <c r="Q158" s="2">
        <v>200.93937536839587</v>
      </c>
      <c r="R158" s="2">
        <v>655.20137599530074</v>
      </c>
      <c r="S158" s="2">
        <v>365.64758037785884</v>
      </c>
      <c r="T158" s="2">
        <v>365.64758037785884</v>
      </c>
    </row>
    <row r="159" spans="2:20" x14ac:dyDescent="0.25">
      <c r="B159" s="10">
        <v>975</v>
      </c>
      <c r="C159" s="10">
        <v>7</v>
      </c>
      <c r="D159" s="9" t="s">
        <v>281</v>
      </c>
      <c r="E159" s="8">
        <v>27.963014116772225</v>
      </c>
      <c r="F159" s="7">
        <v>25533.27</v>
      </c>
      <c r="G159" s="7">
        <v>0</v>
      </c>
      <c r="H159" s="7">
        <v>25533.27</v>
      </c>
      <c r="I159" s="6">
        <v>913.10864749323059</v>
      </c>
      <c r="J159" s="6">
        <v>655.20137599530074</v>
      </c>
      <c r="K159" s="5">
        <v>18321.405326285181</v>
      </c>
      <c r="L159" s="4">
        <v>0</v>
      </c>
      <c r="M159" s="2">
        <v>428.0703756818483</v>
      </c>
      <c r="N159" s="1">
        <v>62</v>
      </c>
      <c r="O159" s="3">
        <v>235262.12512177238</v>
      </c>
      <c r="P159" s="2">
        <v>177.23126124615374</v>
      </c>
      <c r="Q159" s="2">
        <v>200.93937536839587</v>
      </c>
      <c r="R159" s="2">
        <v>655.20137599530074</v>
      </c>
      <c r="S159" s="2">
        <v>655.20137599530074</v>
      </c>
      <c r="T159" s="2">
        <v>655.79443800377601</v>
      </c>
    </row>
    <row r="160" spans="2:20" x14ac:dyDescent="0.25">
      <c r="B160" s="10">
        <v>977</v>
      </c>
      <c r="C160" s="10">
        <v>7</v>
      </c>
      <c r="D160" s="9" t="s">
        <v>39</v>
      </c>
      <c r="E160" s="8">
        <v>37.550732326081778</v>
      </c>
      <c r="F160" s="7">
        <v>1817.87</v>
      </c>
      <c r="G160" s="7">
        <v>0</v>
      </c>
      <c r="H160" s="7">
        <v>1817.87</v>
      </c>
      <c r="I160" s="6">
        <v>48.411039875708468</v>
      </c>
      <c r="J160" s="6">
        <v>48.411039875708468</v>
      </c>
      <c r="K160" s="5">
        <v>1817.87</v>
      </c>
      <c r="L160" s="4">
        <v>0</v>
      </c>
      <c r="M160" s="2">
        <v>428.0703756818483</v>
      </c>
      <c r="N160" s="1">
        <v>62</v>
      </c>
      <c r="O160" s="3">
        <v>144141.21126475924</v>
      </c>
      <c r="P160" s="2">
        <v>177.23126124615374</v>
      </c>
      <c r="Q160" s="213">
        <v>200.93937536839587</v>
      </c>
      <c r="R160" s="2">
        <v>655.20137599530074</v>
      </c>
      <c r="S160" s="2">
        <v>200.93937536839587</v>
      </c>
      <c r="T160" s="2">
        <v>48.411039875708475</v>
      </c>
    </row>
    <row r="161" spans="2:20" x14ac:dyDescent="0.25">
      <c r="B161" s="10">
        <v>979</v>
      </c>
      <c r="C161" s="10">
        <v>7</v>
      </c>
      <c r="D161" s="9" t="s">
        <v>283</v>
      </c>
      <c r="E161" s="8">
        <v>20.39470329005826</v>
      </c>
      <c r="F161" s="7">
        <v>106758.52</v>
      </c>
      <c r="G161" s="7">
        <v>0</v>
      </c>
      <c r="H161" s="7">
        <v>106758.52</v>
      </c>
      <c r="I161" s="6">
        <v>5234.6199148698197</v>
      </c>
      <c r="J161" s="6">
        <v>655.20137599530074</v>
      </c>
      <c r="K161" s="5">
        <v>13362.637658662059</v>
      </c>
      <c r="L161" s="4">
        <v>0</v>
      </c>
      <c r="M161" s="2">
        <v>428.0703756818483</v>
      </c>
      <c r="N161" s="1">
        <v>62</v>
      </c>
      <c r="O161" s="3">
        <v>23102918.4726681</v>
      </c>
      <c r="P161" s="2">
        <v>177.23126124615374</v>
      </c>
      <c r="Q161" s="2">
        <v>200.93937536839587</v>
      </c>
      <c r="R161" s="2">
        <v>655.20137599530074</v>
      </c>
      <c r="S161" s="2">
        <v>655.20137599530074</v>
      </c>
      <c r="T161">
        <v>655.79443800377601</v>
      </c>
    </row>
    <row r="162" spans="2:20" x14ac:dyDescent="0.25">
      <c r="B162" s="10">
        <v>981</v>
      </c>
      <c r="C162" s="10">
        <v>7</v>
      </c>
      <c r="D162" s="9" t="s">
        <v>284</v>
      </c>
      <c r="E162" s="8">
        <v>106.76031133214458</v>
      </c>
      <c r="F162" s="7">
        <v>154737.71</v>
      </c>
      <c r="G162" s="7">
        <v>0</v>
      </c>
      <c r="H162" s="7">
        <v>154737.71</v>
      </c>
      <c r="I162" s="6">
        <v>1449.3935814648551</v>
      </c>
      <c r="J162" s="6">
        <v>655.20137599530074</v>
      </c>
      <c r="K162" s="5">
        <v>69949.502886507835</v>
      </c>
      <c r="L162" s="4">
        <v>0</v>
      </c>
      <c r="M162" s="2">
        <v>428.0703756818483</v>
      </c>
      <c r="N162" s="1">
        <v>62</v>
      </c>
      <c r="O162" s="3">
        <v>1043101.090670878</v>
      </c>
      <c r="P162" s="2">
        <v>177.23126124615374</v>
      </c>
      <c r="Q162" s="2">
        <v>200.93937536839587</v>
      </c>
      <c r="R162" s="2">
        <v>655.20137599530074</v>
      </c>
      <c r="S162" s="2">
        <v>655.20137599530074</v>
      </c>
      <c r="T162">
        <v>655.79443800377601</v>
      </c>
    </row>
    <row r="163" spans="2:20" x14ac:dyDescent="0.25">
      <c r="B163" s="10">
        <v>983</v>
      </c>
      <c r="C163" s="10">
        <v>7</v>
      </c>
      <c r="D163" s="9" t="s">
        <v>380</v>
      </c>
      <c r="E163" s="8">
        <v>82.706205004993848</v>
      </c>
      <c r="F163" s="7">
        <v>32907.75</v>
      </c>
      <c r="G163" s="7">
        <v>0</v>
      </c>
      <c r="H163" s="7">
        <v>32907.75</v>
      </c>
      <c r="I163" s="6">
        <v>397.8873168949417</v>
      </c>
      <c r="J163" s="6">
        <v>397.8873168949417</v>
      </c>
      <c r="K163" s="5">
        <v>32907.75</v>
      </c>
      <c r="L163" s="4">
        <v>0</v>
      </c>
      <c r="M163" s="2">
        <v>428.0703756818483</v>
      </c>
      <c r="N163" s="1">
        <v>62</v>
      </c>
      <c r="O163" s="3">
        <v>911.01703773385964</v>
      </c>
      <c r="P163" s="2">
        <v>177.23126124615374</v>
      </c>
      <c r="Q163" s="2">
        <v>200.93937536839587</v>
      </c>
      <c r="R163" s="2">
        <v>655.20137599530074</v>
      </c>
      <c r="S163" s="2">
        <v>397.8873168949417</v>
      </c>
      <c r="T163">
        <v>397.8873168949417</v>
      </c>
    </row>
    <row r="164" spans="2:20" x14ac:dyDescent="0.25">
      <c r="B164" s="10">
        <v>188</v>
      </c>
      <c r="C164" s="10">
        <v>8</v>
      </c>
      <c r="D164" s="9" t="s">
        <v>286</v>
      </c>
      <c r="E164" s="8">
        <v>214.13</v>
      </c>
      <c r="F164" s="7">
        <v>210897.25</v>
      </c>
      <c r="G164" s="7">
        <v>21860.13</v>
      </c>
      <c r="H164" s="7">
        <v>189037.12</v>
      </c>
      <c r="I164" s="6">
        <v>882.8147387101294</v>
      </c>
      <c r="J164" s="6">
        <v>882.8147387101294</v>
      </c>
      <c r="K164" s="5">
        <v>189037.12</v>
      </c>
      <c r="L164" s="4">
        <v>0</v>
      </c>
      <c r="M164" s="2">
        <v>714.77448042333879</v>
      </c>
      <c r="N164" s="1">
        <v>48</v>
      </c>
      <c r="O164" s="3">
        <v>28237.528405091303</v>
      </c>
      <c r="P164" s="2">
        <v>640.24977064575125</v>
      </c>
      <c r="Q164" s="2">
        <v>-105.73861548729519</v>
      </c>
      <c r="R164" s="2">
        <v>1535.2875763339728</v>
      </c>
      <c r="S164" s="2">
        <v>882.8147387101294</v>
      </c>
      <c r="T164">
        <v>882.8147387101294</v>
      </c>
    </row>
    <row r="165" spans="2:20" x14ac:dyDescent="0.25">
      <c r="B165" s="10">
        <v>232</v>
      </c>
      <c r="C165" s="10">
        <v>8</v>
      </c>
      <c r="D165" s="9" t="s">
        <v>287</v>
      </c>
      <c r="E165" s="8">
        <v>89.174846737228009</v>
      </c>
      <c r="F165" s="7">
        <v>77330.080000000002</v>
      </c>
      <c r="G165" s="7">
        <v>0</v>
      </c>
      <c r="H165" s="7">
        <v>77330.080000000002</v>
      </c>
      <c r="I165" s="6">
        <v>867.17367990403125</v>
      </c>
      <c r="J165" s="6">
        <v>867.17367990403125</v>
      </c>
      <c r="K165" s="5">
        <v>77330.080000000002</v>
      </c>
      <c r="L165" s="4">
        <v>0</v>
      </c>
      <c r="M165" s="2">
        <v>714.77448042333879</v>
      </c>
      <c r="N165" s="1">
        <v>48</v>
      </c>
      <c r="O165" s="3">
        <v>23225.516002355893</v>
      </c>
      <c r="P165" s="2">
        <v>640.24977064575125</v>
      </c>
      <c r="Q165" s="2">
        <v>-105.73861548729519</v>
      </c>
      <c r="R165" s="2">
        <v>1535.2875763339728</v>
      </c>
      <c r="S165" s="2">
        <v>867.17367990403125</v>
      </c>
      <c r="T165">
        <v>867.17367990403125</v>
      </c>
    </row>
    <row r="166" spans="2:20" x14ac:dyDescent="0.25">
      <c r="B166" s="10">
        <v>245</v>
      </c>
      <c r="C166" s="10">
        <v>8</v>
      </c>
      <c r="D166" s="9" t="s">
        <v>288</v>
      </c>
      <c r="E166" s="8">
        <v>183.2845833061518</v>
      </c>
      <c r="F166" s="7">
        <v>651321.06000000006</v>
      </c>
      <c r="G166" s="7">
        <v>0</v>
      </c>
      <c r="H166" s="7">
        <v>651321.06000000006</v>
      </c>
      <c r="I166" s="6">
        <v>3553.6052637447274</v>
      </c>
      <c r="J166" s="6">
        <v>1535.2875763339728</v>
      </c>
      <c r="K166" s="5">
        <v>281394.54368348391</v>
      </c>
      <c r="L166" s="4">
        <v>0</v>
      </c>
      <c r="M166" s="2">
        <v>714.77448042333879</v>
      </c>
      <c r="N166" s="1">
        <v>48</v>
      </c>
      <c r="O166" s="3">
        <v>8058960.2163331285</v>
      </c>
      <c r="P166" s="2">
        <v>640.24977064575125</v>
      </c>
      <c r="Q166" s="2">
        <v>-105.73861548729519</v>
      </c>
      <c r="R166" s="2">
        <v>1535.2875763339728</v>
      </c>
      <c r="S166" s="2">
        <v>1535.2875763339728</v>
      </c>
      <c r="T166">
        <v>1438.6698665052518</v>
      </c>
    </row>
    <row r="167" spans="2:20" x14ac:dyDescent="0.25">
      <c r="B167" s="10">
        <v>338</v>
      </c>
      <c r="C167" s="10">
        <v>8</v>
      </c>
      <c r="D167" s="9" t="s">
        <v>391</v>
      </c>
      <c r="E167" s="8">
        <v>1368.06</v>
      </c>
      <c r="F167" s="7">
        <v>799375.38</v>
      </c>
      <c r="G167" s="7">
        <v>129933.58</v>
      </c>
      <c r="H167" s="7">
        <v>669441.80000000005</v>
      </c>
      <c r="I167" s="6">
        <v>489.33657880502324</v>
      </c>
      <c r="J167" s="6">
        <v>489.33657880502324</v>
      </c>
      <c r="K167" s="5">
        <v>669441.80000000005</v>
      </c>
      <c r="L167" s="4">
        <v>0</v>
      </c>
      <c r="M167" s="2">
        <v>714.77448042333879</v>
      </c>
      <c r="N167" s="1">
        <v>48</v>
      </c>
      <c r="O167" s="3">
        <v>50822.247486069318</v>
      </c>
      <c r="P167" s="2">
        <v>640.24977064575125</v>
      </c>
      <c r="Q167" s="2">
        <v>-105.73861548729519</v>
      </c>
      <c r="R167" s="2">
        <v>1535.2875763339728</v>
      </c>
      <c r="S167" s="2">
        <v>489.33657880502324</v>
      </c>
      <c r="T167">
        <v>489.33657880502324</v>
      </c>
    </row>
    <row r="168" spans="2:20" x14ac:dyDescent="0.25">
      <c r="B168" s="10">
        <v>372</v>
      </c>
      <c r="C168" s="10">
        <v>8</v>
      </c>
      <c r="D168" s="9" t="s">
        <v>289</v>
      </c>
      <c r="E168" s="8">
        <v>174.74573593792556</v>
      </c>
      <c r="F168" s="7">
        <v>96296.58</v>
      </c>
      <c r="G168" s="7">
        <v>0</v>
      </c>
      <c r="H168" s="7">
        <v>96296.58</v>
      </c>
      <c r="I168" s="6">
        <v>551.06683709986009</v>
      </c>
      <c r="J168" s="6">
        <v>551.06683709986009</v>
      </c>
      <c r="K168" s="5">
        <v>96296.579999999987</v>
      </c>
      <c r="L168" s="4">
        <v>0</v>
      </c>
      <c r="M168" s="2">
        <v>714.77448042333879</v>
      </c>
      <c r="N168" s="1">
        <v>48</v>
      </c>
      <c r="O168" s="3">
        <v>26800.192482527316</v>
      </c>
      <c r="P168" s="2">
        <v>640.24977064575125</v>
      </c>
      <c r="Q168" s="2">
        <v>-105.73861548729519</v>
      </c>
      <c r="R168" s="2">
        <v>1535.2875763339728</v>
      </c>
      <c r="S168" s="2">
        <v>551.06683709986009</v>
      </c>
      <c r="T168">
        <v>551.06683709986009</v>
      </c>
    </row>
    <row r="169" spans="2:20" x14ac:dyDescent="0.25">
      <c r="B169" s="10">
        <v>375</v>
      </c>
      <c r="C169" s="10">
        <v>8</v>
      </c>
      <c r="D169" s="9" t="s">
        <v>381</v>
      </c>
      <c r="E169" s="8">
        <v>175.69</v>
      </c>
      <c r="F169" s="7">
        <v>139859.93</v>
      </c>
      <c r="G169" s="7">
        <v>0</v>
      </c>
      <c r="H169" s="7">
        <v>139859.93</v>
      </c>
      <c r="I169" s="6">
        <v>796.06084580795721</v>
      </c>
      <c r="J169" s="6">
        <v>796.06084580795721</v>
      </c>
      <c r="K169" s="5">
        <v>139859.93</v>
      </c>
      <c r="L169" s="4">
        <v>0</v>
      </c>
      <c r="M169" s="2">
        <v>714.77448042333879</v>
      </c>
      <c r="N169" s="1">
        <v>48</v>
      </c>
      <c r="O169" s="3">
        <v>6607.4731974416918</v>
      </c>
      <c r="P169" s="2">
        <v>640.24977064575125</v>
      </c>
      <c r="Q169" s="2">
        <v>-105.73861548729519</v>
      </c>
      <c r="R169" s="2">
        <v>1535.2875763339728</v>
      </c>
      <c r="S169" s="2">
        <v>796.06084580795721</v>
      </c>
      <c r="T169">
        <v>796.06084580795721</v>
      </c>
    </row>
    <row r="170" spans="2:20" x14ac:dyDescent="0.25">
      <c r="B170" s="10">
        <v>404</v>
      </c>
      <c r="C170" s="10">
        <v>8</v>
      </c>
      <c r="D170" s="9" t="s">
        <v>291</v>
      </c>
      <c r="E170" s="8">
        <v>477.00688225170705</v>
      </c>
      <c r="F170" s="7">
        <v>292494.40000000002</v>
      </c>
      <c r="G170" s="7">
        <v>0</v>
      </c>
      <c r="H170" s="7">
        <v>292494.40000000002</v>
      </c>
      <c r="I170" s="6">
        <v>613.18695994339248</v>
      </c>
      <c r="J170" s="6">
        <v>613.18695994339248</v>
      </c>
      <c r="K170" s="5">
        <v>292494.40000000002</v>
      </c>
      <c r="L170" s="4">
        <v>0</v>
      </c>
      <c r="M170" s="2">
        <v>714.77448042333879</v>
      </c>
      <c r="N170" s="1">
        <v>48</v>
      </c>
      <c r="O170" s="3">
        <v>10320.024317263511</v>
      </c>
      <c r="P170" s="2">
        <v>640.24977064575125</v>
      </c>
      <c r="Q170" s="2">
        <v>-105.73861548729519</v>
      </c>
      <c r="R170" s="2">
        <v>1535.2875763339728</v>
      </c>
      <c r="S170" s="2">
        <v>613.18695994339248</v>
      </c>
      <c r="T170">
        <v>566.64096553594607</v>
      </c>
    </row>
    <row r="171" spans="2:20" x14ac:dyDescent="0.25">
      <c r="B171" s="10">
        <v>413</v>
      </c>
      <c r="C171" s="10">
        <v>8</v>
      </c>
      <c r="D171" s="9" t="s">
        <v>292</v>
      </c>
      <c r="E171" s="8">
        <v>83.87</v>
      </c>
      <c r="F171" s="7">
        <v>65415.57</v>
      </c>
      <c r="G171" s="7">
        <v>40</v>
      </c>
      <c r="H171" s="7">
        <v>65375.57</v>
      </c>
      <c r="I171" s="6">
        <v>779.48694408012398</v>
      </c>
      <c r="J171" s="6">
        <v>779.48694408012398</v>
      </c>
      <c r="K171" s="5">
        <v>65375.57</v>
      </c>
      <c r="L171" s="4">
        <v>0</v>
      </c>
      <c r="M171" s="2">
        <v>714.77448042333879</v>
      </c>
      <c r="N171" s="1">
        <v>48</v>
      </c>
      <c r="O171" s="3">
        <v>4187.7029525307444</v>
      </c>
      <c r="P171" s="2">
        <v>640.24977064575125</v>
      </c>
      <c r="Q171" s="2">
        <v>-105.73861548729519</v>
      </c>
      <c r="R171" s="2">
        <v>1535.2875763339728</v>
      </c>
      <c r="S171" s="2">
        <v>779.48694408012398</v>
      </c>
      <c r="T171">
        <v>779.48694408012398</v>
      </c>
    </row>
    <row r="172" spans="2:20" x14ac:dyDescent="0.25">
      <c r="B172" s="10">
        <v>537</v>
      </c>
      <c r="C172" s="10">
        <v>8</v>
      </c>
      <c r="D172" s="9" t="s">
        <v>293</v>
      </c>
      <c r="E172" s="8">
        <v>4.0064588883476366</v>
      </c>
      <c r="F172" s="7">
        <v>2697.34</v>
      </c>
      <c r="G172" s="7">
        <v>0</v>
      </c>
      <c r="H172" s="7">
        <v>2697.34</v>
      </c>
      <c r="I172" s="6">
        <v>673.24789175921137</v>
      </c>
      <c r="J172" s="6">
        <v>673.24789175921137</v>
      </c>
      <c r="K172" s="5">
        <v>2697.34</v>
      </c>
      <c r="L172" s="4">
        <v>0</v>
      </c>
      <c r="M172" s="2">
        <v>714.77448042333879</v>
      </c>
      <c r="N172" s="1">
        <v>48</v>
      </c>
      <c r="O172" s="3">
        <v>1724.4575660796356</v>
      </c>
      <c r="P172" s="2">
        <v>640.24977064575125</v>
      </c>
      <c r="Q172" s="2">
        <v>-105.73861548729519</v>
      </c>
      <c r="R172" s="2">
        <v>1535.2875763339728</v>
      </c>
      <c r="S172" s="2">
        <v>673.24789175921137</v>
      </c>
      <c r="T172">
        <v>673.24789175921137</v>
      </c>
    </row>
    <row r="173" spans="2:20" x14ac:dyDescent="0.25">
      <c r="B173" s="10">
        <v>545</v>
      </c>
      <c r="C173" s="10">
        <v>8</v>
      </c>
      <c r="D173" s="9" t="s">
        <v>294</v>
      </c>
      <c r="E173" s="8">
        <v>19.877211951479531</v>
      </c>
      <c r="F173" s="7">
        <v>4833.6099999999997</v>
      </c>
      <c r="G173" s="7">
        <v>0</v>
      </c>
      <c r="H173" s="7">
        <v>4833.6099999999997</v>
      </c>
      <c r="I173" s="6">
        <v>243.17343960505573</v>
      </c>
      <c r="J173" s="6">
        <v>243.17343960505573</v>
      </c>
      <c r="K173" s="5">
        <v>4833.6099999999997</v>
      </c>
      <c r="L173" s="4">
        <v>0</v>
      </c>
      <c r="M173" s="2">
        <v>714.77448042333879</v>
      </c>
      <c r="N173" s="1">
        <v>48</v>
      </c>
      <c r="O173" s="3">
        <v>222407.5417008879</v>
      </c>
      <c r="P173" s="2">
        <v>640.24977064575125</v>
      </c>
      <c r="Q173" s="2">
        <v>-105.73861548729519</v>
      </c>
      <c r="R173" s="2">
        <v>1535.2875763339728</v>
      </c>
      <c r="S173" s="2">
        <v>243.17343960505573</v>
      </c>
      <c r="T173">
        <v>243.17343960505573</v>
      </c>
    </row>
    <row r="174" spans="2:20" x14ac:dyDescent="0.25">
      <c r="B174" s="10">
        <v>605</v>
      </c>
      <c r="C174" s="10">
        <v>8</v>
      </c>
      <c r="D174" s="9" t="s">
        <v>295</v>
      </c>
      <c r="E174" s="8">
        <v>2.2694538365367878</v>
      </c>
      <c r="F174" s="7">
        <v>1689.86</v>
      </c>
      <c r="G174" s="7">
        <v>0</v>
      </c>
      <c r="H174" s="7">
        <v>1689.86</v>
      </c>
      <c r="I174" s="6">
        <v>744.61087191742365</v>
      </c>
      <c r="J174" s="6">
        <v>744.61087191742365</v>
      </c>
      <c r="K174" s="5">
        <v>1689.86</v>
      </c>
      <c r="L174" s="4">
        <v>0</v>
      </c>
      <c r="M174" s="2">
        <v>714.77448042333879</v>
      </c>
      <c r="N174" s="1">
        <v>48</v>
      </c>
      <c r="O174" s="3">
        <v>890.21025738829962</v>
      </c>
      <c r="P174" s="2">
        <v>640.24977064575125</v>
      </c>
      <c r="Q174" s="2">
        <v>-105.73861548729519</v>
      </c>
      <c r="R174" s="2">
        <v>1535.2875763339728</v>
      </c>
      <c r="S174" s="2">
        <v>744.61087191742365</v>
      </c>
      <c r="T174">
        <v>744.61087191742365</v>
      </c>
    </row>
    <row r="175" spans="2:20" x14ac:dyDescent="0.25">
      <c r="B175" s="10">
        <v>607</v>
      </c>
      <c r="C175" s="10">
        <v>8</v>
      </c>
      <c r="D175" s="9" t="s">
        <v>296</v>
      </c>
      <c r="E175" s="8">
        <v>3.4914674408258275</v>
      </c>
      <c r="F175" s="7">
        <v>2638.61</v>
      </c>
      <c r="G175" s="7">
        <v>0</v>
      </c>
      <c r="H175" s="7">
        <v>2638.61</v>
      </c>
      <c r="I175" s="6">
        <v>755.73094829602553</v>
      </c>
      <c r="J175" s="6">
        <v>755.73094829602553</v>
      </c>
      <c r="K175" s="5">
        <v>2638.61</v>
      </c>
      <c r="L175" s="4">
        <v>0</v>
      </c>
      <c r="M175" s="2">
        <v>714.77448042333879</v>
      </c>
      <c r="N175" s="1">
        <v>48</v>
      </c>
      <c r="O175" s="3">
        <v>1677.4322606064216</v>
      </c>
      <c r="P175" s="2">
        <v>640.24977064575125</v>
      </c>
      <c r="Q175" s="2">
        <v>-105.73861548729519</v>
      </c>
      <c r="R175" s="2">
        <v>1535.2875763339728</v>
      </c>
      <c r="S175" s="2">
        <v>755.73094829602553</v>
      </c>
      <c r="T175">
        <v>755.73094829602564</v>
      </c>
    </row>
    <row r="176" spans="2:20" x14ac:dyDescent="0.25">
      <c r="B176" s="10">
        <v>610</v>
      </c>
      <c r="C176" s="10">
        <v>8</v>
      </c>
      <c r="D176" s="9" t="s">
        <v>297</v>
      </c>
      <c r="E176" s="8">
        <v>71.312154639501401</v>
      </c>
      <c r="F176" s="7">
        <v>33523.33</v>
      </c>
      <c r="G176" s="7">
        <v>0</v>
      </c>
      <c r="H176" s="7">
        <v>33523.33</v>
      </c>
      <c r="I176" s="6">
        <v>470.09279371052236</v>
      </c>
      <c r="J176" s="6">
        <v>470.09279371052236</v>
      </c>
      <c r="K176" s="5">
        <v>33523.33</v>
      </c>
      <c r="L176" s="4">
        <v>0</v>
      </c>
      <c r="M176" s="2">
        <v>714.77448042333879</v>
      </c>
      <c r="N176" s="1">
        <v>48</v>
      </c>
      <c r="O176" s="3">
        <v>59869.127812628845</v>
      </c>
      <c r="P176" s="2">
        <v>640.24977064575125</v>
      </c>
      <c r="Q176" s="2">
        <v>-105.73861548729519</v>
      </c>
      <c r="R176" s="2">
        <v>1535.2875763339728</v>
      </c>
      <c r="S176" s="2">
        <v>470.09279371052236</v>
      </c>
      <c r="T176">
        <v>470.09279371052236</v>
      </c>
    </row>
    <row r="177" spans="2:20" x14ac:dyDescent="0.25">
      <c r="B177" s="10">
        <v>611</v>
      </c>
      <c r="C177" s="10">
        <v>8</v>
      </c>
      <c r="D177" s="9" t="s">
        <v>382</v>
      </c>
      <c r="E177" s="8">
        <v>17.466065872731203</v>
      </c>
      <c r="F177" s="7">
        <v>23430.66</v>
      </c>
      <c r="G177" s="7">
        <v>0</v>
      </c>
      <c r="H177" s="7">
        <v>23430.66</v>
      </c>
      <c r="I177" s="6">
        <v>1341.4961429053685</v>
      </c>
      <c r="J177" s="6">
        <v>1341.4961429053685</v>
      </c>
      <c r="K177" s="5">
        <v>23430.66</v>
      </c>
      <c r="L177" s="4">
        <v>0</v>
      </c>
      <c r="M177" s="2">
        <v>714.77448042333879</v>
      </c>
      <c r="N177" s="1">
        <v>48</v>
      </c>
      <c r="O177" s="3">
        <v>392780.04222423921</v>
      </c>
      <c r="P177" s="2">
        <v>640.24977064575125</v>
      </c>
      <c r="Q177" s="2">
        <v>-105.73861548729519</v>
      </c>
      <c r="R177" s="2">
        <v>1535.2875763339728</v>
      </c>
      <c r="S177" s="2">
        <v>1341.4961429053685</v>
      </c>
      <c r="T177">
        <v>1341.496142905369</v>
      </c>
    </row>
    <row r="178" spans="2:20" x14ac:dyDescent="0.25">
      <c r="B178" s="10">
        <v>616</v>
      </c>
      <c r="C178" s="10">
        <v>8</v>
      </c>
      <c r="D178" s="9" t="s">
        <v>299</v>
      </c>
      <c r="E178" s="8">
        <v>177.83</v>
      </c>
      <c r="F178" s="7">
        <v>212989.99</v>
      </c>
      <c r="G178" s="7">
        <v>0</v>
      </c>
      <c r="H178" s="7">
        <v>212989.99</v>
      </c>
      <c r="I178" s="6">
        <v>1197.7168644210763</v>
      </c>
      <c r="J178" s="6">
        <v>1197.7168644210763</v>
      </c>
      <c r="K178" s="5">
        <v>212989.99</v>
      </c>
      <c r="L178" s="4">
        <v>0</v>
      </c>
      <c r="M178" s="2">
        <v>714.77448042333879</v>
      </c>
      <c r="N178" s="1">
        <v>48</v>
      </c>
      <c r="O178" s="3">
        <v>233233.3462614181</v>
      </c>
      <c r="P178" s="2">
        <v>640.24977064575125</v>
      </c>
      <c r="Q178" s="2">
        <v>-105.73861548729519</v>
      </c>
      <c r="R178" s="2">
        <v>1535.2875763339728</v>
      </c>
      <c r="S178" s="2">
        <v>1197.7168644210763</v>
      </c>
      <c r="T178">
        <v>1197.7168644210763</v>
      </c>
    </row>
    <row r="179" spans="2:20" x14ac:dyDescent="0.25">
      <c r="B179" s="10">
        <v>706</v>
      </c>
      <c r="C179" s="10">
        <v>8</v>
      </c>
      <c r="D179" s="9" t="s">
        <v>301</v>
      </c>
      <c r="E179" s="8">
        <v>21.297951389037546</v>
      </c>
      <c r="F179" s="7">
        <v>29136.15</v>
      </c>
      <c r="G179" s="7">
        <v>0</v>
      </c>
      <c r="H179" s="7">
        <v>29136.15</v>
      </c>
      <c r="I179" s="6">
        <v>1368.0259414526095</v>
      </c>
      <c r="J179" s="6">
        <v>1368.0259414526095</v>
      </c>
      <c r="K179" s="5">
        <v>29136.15</v>
      </c>
      <c r="L179" s="4">
        <v>0</v>
      </c>
      <c r="M179" s="2">
        <v>714.77448042333879</v>
      </c>
      <c r="N179" s="1">
        <v>48</v>
      </c>
      <c r="O179" s="3">
        <v>426737.47133687674</v>
      </c>
      <c r="P179" s="2">
        <v>640.24977064575125</v>
      </c>
      <c r="Q179" s="2">
        <v>-105.73861548729519</v>
      </c>
      <c r="R179" s="2">
        <v>1535.2875763339728</v>
      </c>
      <c r="S179" s="2">
        <v>1368.0259414526095</v>
      </c>
      <c r="T179">
        <v>1368.0259414526097</v>
      </c>
    </row>
    <row r="180" spans="2:20" x14ac:dyDescent="0.25">
      <c r="B180" s="10">
        <v>709</v>
      </c>
      <c r="C180" s="10">
        <v>8</v>
      </c>
      <c r="D180" s="9" t="s">
        <v>302</v>
      </c>
      <c r="E180" s="8">
        <v>72.098802653053326</v>
      </c>
      <c r="F180" s="7">
        <v>41436.15</v>
      </c>
      <c r="G180" s="7">
        <v>0</v>
      </c>
      <c r="H180" s="7">
        <v>41436.15</v>
      </c>
      <c r="I180" s="6">
        <v>574.71342761952531</v>
      </c>
      <c r="J180" s="6">
        <v>574.71342761952531</v>
      </c>
      <c r="K180" s="5">
        <v>41436.15</v>
      </c>
      <c r="L180" s="4">
        <v>0</v>
      </c>
      <c r="M180" s="2">
        <v>714.77448042333879</v>
      </c>
      <c r="N180" s="1">
        <v>48</v>
      </c>
      <c r="O180" s="3">
        <v>19617.098512512628</v>
      </c>
      <c r="P180" s="2">
        <v>640.24977064575125</v>
      </c>
      <c r="Q180" s="2">
        <v>-105.73861548729519</v>
      </c>
      <c r="R180" s="2">
        <v>1535.2875763339728</v>
      </c>
      <c r="S180" s="2">
        <v>574.71342761952531</v>
      </c>
      <c r="T180">
        <v>574.71342761952531</v>
      </c>
    </row>
    <row r="181" spans="2:20" x14ac:dyDescent="0.25">
      <c r="B181" s="10">
        <v>714</v>
      </c>
      <c r="C181" s="10">
        <v>8</v>
      </c>
      <c r="D181" s="9" t="s">
        <v>383</v>
      </c>
      <c r="E181" s="8">
        <v>44.069932030035268</v>
      </c>
      <c r="F181" s="7">
        <v>28225.43</v>
      </c>
      <c r="G181" s="7">
        <v>0</v>
      </c>
      <c r="H181" s="7">
        <v>28225.43</v>
      </c>
      <c r="I181" s="6">
        <v>640.46910670893112</v>
      </c>
      <c r="J181" s="6">
        <v>640.46910670893112</v>
      </c>
      <c r="K181" s="5">
        <v>28225.43</v>
      </c>
      <c r="L181" s="4">
        <v>0</v>
      </c>
      <c r="M181" s="2">
        <v>714.77448042333879</v>
      </c>
      <c r="N181" s="1">
        <v>48</v>
      </c>
      <c r="O181" s="3">
        <v>5521.2885628377853</v>
      </c>
      <c r="P181" s="2">
        <v>640.24977064575125</v>
      </c>
      <c r="Q181" s="2">
        <v>-105.73861548729519</v>
      </c>
      <c r="R181" s="2">
        <v>1535.2875763339728</v>
      </c>
      <c r="S181" s="2">
        <v>640.46910670893112</v>
      </c>
      <c r="T181">
        <v>640.46910670893112</v>
      </c>
    </row>
    <row r="182" spans="2:20" x14ac:dyDescent="0.25">
      <c r="B182" s="10">
        <v>749</v>
      </c>
      <c r="C182" s="10">
        <v>8</v>
      </c>
      <c r="D182" s="9" t="s">
        <v>304</v>
      </c>
      <c r="E182" s="8">
        <v>15.108898903146923</v>
      </c>
      <c r="F182" s="7">
        <v>5448.89</v>
      </c>
      <c r="G182" s="7">
        <v>0</v>
      </c>
      <c r="H182" s="7">
        <v>5448.89</v>
      </c>
      <c r="I182" s="6">
        <v>360.64110528035172</v>
      </c>
      <c r="J182" s="6">
        <v>360.64110528035172</v>
      </c>
      <c r="K182" s="5">
        <v>5448.89</v>
      </c>
      <c r="L182" s="4">
        <v>0</v>
      </c>
      <c r="M182" s="2">
        <v>714.77448042333879</v>
      </c>
      <c r="N182" s="1">
        <v>48</v>
      </c>
      <c r="O182" s="3">
        <v>125410.44739016361</v>
      </c>
      <c r="P182" s="2">
        <v>640.24977064575125</v>
      </c>
      <c r="Q182" s="2">
        <v>-105.73861548729519</v>
      </c>
      <c r="R182" s="2">
        <v>1535.2875763339728</v>
      </c>
      <c r="S182" s="2">
        <v>360.64110528035172</v>
      </c>
      <c r="T182">
        <v>360.64110528035172</v>
      </c>
    </row>
    <row r="183" spans="2:20" x14ac:dyDescent="0.25">
      <c r="B183" s="10">
        <v>764</v>
      </c>
      <c r="C183" s="10">
        <v>8</v>
      </c>
      <c r="D183" s="9" t="s">
        <v>305</v>
      </c>
      <c r="E183" s="8">
        <v>48.145176321342795</v>
      </c>
      <c r="F183" s="7">
        <v>12185.62</v>
      </c>
      <c r="G183" s="7">
        <v>0</v>
      </c>
      <c r="H183" s="7">
        <v>12185.62</v>
      </c>
      <c r="I183" s="6">
        <v>253.10157592253131</v>
      </c>
      <c r="J183" s="6">
        <v>253.10157592253131</v>
      </c>
      <c r="K183" s="5">
        <v>12185.62</v>
      </c>
      <c r="L183" s="4">
        <v>0</v>
      </c>
      <c r="M183" s="2">
        <v>714.77448042333879</v>
      </c>
      <c r="N183" s="1">
        <v>48</v>
      </c>
      <c r="O183" s="3">
        <v>213141.8707502117</v>
      </c>
      <c r="P183" s="2">
        <v>640.24977064575125</v>
      </c>
      <c r="Q183" s="2">
        <v>-105.73861548729519</v>
      </c>
      <c r="R183" s="2">
        <v>1535.2875763339728</v>
      </c>
      <c r="S183" s="2">
        <v>253.10157592253131</v>
      </c>
      <c r="T183">
        <v>253.10157592253131</v>
      </c>
    </row>
    <row r="184" spans="2:20" x14ac:dyDescent="0.25">
      <c r="B184" s="10">
        <v>775</v>
      </c>
      <c r="C184" s="10">
        <v>8</v>
      </c>
      <c r="D184" s="9" t="s">
        <v>384</v>
      </c>
      <c r="E184" s="8">
        <v>202.00757745758031</v>
      </c>
      <c r="F184" s="7">
        <v>76582.7</v>
      </c>
      <c r="G184" s="7">
        <v>0</v>
      </c>
      <c r="H184" s="7">
        <v>76582.7</v>
      </c>
      <c r="I184" s="6">
        <v>379.10805606330109</v>
      </c>
      <c r="J184" s="6">
        <v>379.10805606330109</v>
      </c>
      <c r="K184" s="5">
        <v>76582.7</v>
      </c>
      <c r="L184" s="4">
        <v>0</v>
      </c>
      <c r="M184" s="2">
        <v>714.77448042333879</v>
      </c>
      <c r="N184" s="1">
        <v>48</v>
      </c>
      <c r="O184" s="3">
        <v>112671.94844265291</v>
      </c>
      <c r="P184" s="2">
        <v>640.24977064575125</v>
      </c>
      <c r="Q184" s="2">
        <v>-105.73861548729519</v>
      </c>
      <c r="R184" s="2">
        <v>1535.2875763339728</v>
      </c>
      <c r="S184" s="2">
        <v>379.10805606330109</v>
      </c>
      <c r="T184">
        <v>379.10805606330115</v>
      </c>
    </row>
    <row r="185" spans="2:20" x14ac:dyDescent="0.25">
      <c r="B185" s="10">
        <v>790</v>
      </c>
      <c r="C185" s="10">
        <v>8</v>
      </c>
      <c r="D185" s="9" t="s">
        <v>385</v>
      </c>
      <c r="E185" s="8">
        <v>3.9890015511435082</v>
      </c>
      <c r="F185" s="7">
        <v>2795.51</v>
      </c>
      <c r="G185" s="7">
        <v>0</v>
      </c>
      <c r="H185" s="7">
        <v>2795.51</v>
      </c>
      <c r="I185" s="6">
        <v>700.80444044917067</v>
      </c>
      <c r="J185" s="6">
        <v>700.80444044917067</v>
      </c>
      <c r="K185" s="5">
        <v>2795.51</v>
      </c>
      <c r="L185" s="4">
        <v>0</v>
      </c>
      <c r="M185" s="2">
        <v>714.77448042333879</v>
      </c>
      <c r="N185" s="1">
        <v>48</v>
      </c>
      <c r="O185" s="3">
        <v>195.16201687985512</v>
      </c>
      <c r="P185" s="2">
        <v>640.24977064575125</v>
      </c>
      <c r="Q185" s="2">
        <v>-105.73861548729519</v>
      </c>
      <c r="R185" s="2">
        <v>1535.2875763339728</v>
      </c>
      <c r="S185" s="2">
        <v>700.80444044917067</v>
      </c>
      <c r="T185">
        <v>700.80444044917078</v>
      </c>
    </row>
    <row r="186" spans="2:20" x14ac:dyDescent="0.25">
      <c r="B186" s="10">
        <v>796</v>
      </c>
      <c r="C186" s="10">
        <v>8</v>
      </c>
      <c r="D186" s="9" t="s">
        <v>308</v>
      </c>
      <c r="E186" s="8">
        <v>5.0270587176219728</v>
      </c>
      <c r="F186" s="7">
        <v>18516.27</v>
      </c>
      <c r="G186" s="7">
        <v>0</v>
      </c>
      <c r="H186" s="7">
        <v>18516.27</v>
      </c>
      <c r="I186" s="6">
        <v>3683.3208124449834</v>
      </c>
      <c r="J186" s="6">
        <v>1535.2875763339728</v>
      </c>
      <c r="K186" s="5">
        <v>7717.9807946664077</v>
      </c>
      <c r="L186" s="4">
        <v>0</v>
      </c>
      <c r="M186" s="2">
        <v>714.77448042333879</v>
      </c>
      <c r="N186" s="1">
        <v>48</v>
      </c>
      <c r="O186" s="3">
        <v>8812267.3253591601</v>
      </c>
      <c r="P186" s="2">
        <v>640.24977064575125</v>
      </c>
      <c r="Q186" s="2">
        <v>-105.73861548729519</v>
      </c>
      <c r="R186" s="2">
        <v>1535.2875763339728</v>
      </c>
      <c r="S186" s="2">
        <v>1535.2875763339728</v>
      </c>
      <c r="T186">
        <v>1438.6698665052518</v>
      </c>
    </row>
    <row r="187" spans="2:20" x14ac:dyDescent="0.25">
      <c r="B187" s="10">
        <v>797</v>
      </c>
      <c r="C187" s="10">
        <v>8</v>
      </c>
      <c r="D187" s="9" t="s">
        <v>309</v>
      </c>
      <c r="E187" s="8">
        <v>18.971602108966749</v>
      </c>
      <c r="F187" s="7">
        <v>26074</v>
      </c>
      <c r="G187" s="7">
        <v>1372.3</v>
      </c>
      <c r="H187" s="7">
        <v>24701.7</v>
      </c>
      <c r="I187" s="6">
        <v>1302.035529636423</v>
      </c>
      <c r="J187" s="6">
        <v>1302.035529636423</v>
      </c>
      <c r="K187" s="5">
        <v>24701.7</v>
      </c>
      <c r="L187" s="4">
        <v>0</v>
      </c>
      <c r="M187" s="2">
        <v>714.77448042333879</v>
      </c>
      <c r="N187" s="1">
        <v>48</v>
      </c>
      <c r="O187" s="3">
        <v>344875.53992285253</v>
      </c>
      <c r="P187" s="2">
        <v>640.24977064575125</v>
      </c>
      <c r="Q187" s="2">
        <v>-105.73861548729519</v>
      </c>
      <c r="R187" s="2">
        <v>1535.2875763339728</v>
      </c>
      <c r="S187" s="2">
        <v>1302.035529636423</v>
      </c>
      <c r="T187">
        <v>1374.3699583324262</v>
      </c>
    </row>
    <row r="188" spans="2:20" x14ac:dyDescent="0.25">
      <c r="B188" s="10">
        <v>801</v>
      </c>
      <c r="C188" s="10">
        <v>8</v>
      </c>
      <c r="D188" s="9" t="s">
        <v>310</v>
      </c>
      <c r="E188" s="8">
        <v>100.44876518483612</v>
      </c>
      <c r="F188" s="7">
        <v>46573.14</v>
      </c>
      <c r="G188" s="7">
        <v>0</v>
      </c>
      <c r="H188" s="7">
        <v>46573.14</v>
      </c>
      <c r="I188" s="6">
        <v>463.65069709220023</v>
      </c>
      <c r="J188" s="6">
        <v>463.65069709220023</v>
      </c>
      <c r="K188" s="5">
        <v>46573.14</v>
      </c>
      <c r="L188" s="4">
        <v>0</v>
      </c>
      <c r="M188" s="2">
        <v>714.77448042333879</v>
      </c>
      <c r="N188" s="1">
        <v>48</v>
      </c>
      <c r="O188" s="3">
        <v>63063.154554544621</v>
      </c>
      <c r="P188" s="2">
        <v>640.24977064575125</v>
      </c>
      <c r="Q188" s="2">
        <v>-105.73861548729519</v>
      </c>
      <c r="R188" s="2">
        <v>1535.2875763339728</v>
      </c>
      <c r="S188" s="2">
        <v>463.65069709220023</v>
      </c>
      <c r="T188">
        <v>463.65069709220023</v>
      </c>
    </row>
    <row r="189" spans="2:20" x14ac:dyDescent="0.25">
      <c r="B189" s="10">
        <v>810</v>
      </c>
      <c r="C189" s="10">
        <v>8</v>
      </c>
      <c r="D189" s="9" t="s">
        <v>311</v>
      </c>
      <c r="E189" s="8">
        <v>128.08000000000001</v>
      </c>
      <c r="F189" s="7">
        <v>111641.38</v>
      </c>
      <c r="G189" s="7">
        <v>0</v>
      </c>
      <c r="H189" s="7">
        <v>111641.38</v>
      </c>
      <c r="I189" s="6">
        <v>871.65349781386624</v>
      </c>
      <c r="J189" s="6">
        <v>871.65349781386624</v>
      </c>
      <c r="K189" s="5">
        <v>111641.38</v>
      </c>
      <c r="L189" s="4">
        <v>0</v>
      </c>
      <c r="M189" s="2">
        <v>714.77448042333879</v>
      </c>
      <c r="N189" s="1">
        <v>48</v>
      </c>
      <c r="O189" s="3">
        <v>24611.026097417416</v>
      </c>
      <c r="P189" s="2">
        <v>640.24977064575125</v>
      </c>
      <c r="Q189" s="2">
        <v>-105.73861548729519</v>
      </c>
      <c r="R189" s="2">
        <v>1535.2875763339728</v>
      </c>
      <c r="S189" s="2">
        <v>871.65349781386624</v>
      </c>
      <c r="T189">
        <v>871.65349781386624</v>
      </c>
    </row>
    <row r="190" spans="2:20" x14ac:dyDescent="0.25">
      <c r="B190" s="10">
        <v>812</v>
      </c>
      <c r="C190" s="10">
        <v>8</v>
      </c>
      <c r="D190" s="9" t="s">
        <v>386</v>
      </c>
      <c r="E190" s="8">
        <v>69.54130275264842</v>
      </c>
      <c r="F190" s="7">
        <v>65537.22</v>
      </c>
      <c r="G190" s="7">
        <v>430.5</v>
      </c>
      <c r="H190" s="7">
        <v>65106.720000000001</v>
      </c>
      <c r="I190" s="6">
        <v>936.23095085776879</v>
      </c>
      <c r="J190" s="6">
        <v>936.23095085776879</v>
      </c>
      <c r="K190" s="5">
        <v>65106.720000000001</v>
      </c>
      <c r="L190" s="4">
        <v>0</v>
      </c>
      <c r="M190" s="2">
        <v>714.77448042333879</v>
      </c>
      <c r="N190" s="1">
        <v>48</v>
      </c>
      <c r="O190" s="3">
        <v>49042.968297275569</v>
      </c>
      <c r="P190" s="2">
        <v>640.24977064575125</v>
      </c>
      <c r="Q190" s="2">
        <v>-105.73861548729519</v>
      </c>
      <c r="R190" s="2">
        <v>1535.2875763339728</v>
      </c>
      <c r="S190" s="2">
        <v>936.23095085776879</v>
      </c>
      <c r="T190">
        <v>936.2309508577689</v>
      </c>
    </row>
    <row r="191" spans="2:20" x14ac:dyDescent="0.25">
      <c r="B191" s="10">
        <v>818</v>
      </c>
      <c r="C191" s="10">
        <v>8</v>
      </c>
      <c r="D191" s="9" t="s">
        <v>313</v>
      </c>
      <c r="E191" s="8">
        <v>41.676534589108634</v>
      </c>
      <c r="F191" s="7">
        <v>16555.04</v>
      </c>
      <c r="G191" s="7">
        <v>0</v>
      </c>
      <c r="H191" s="7">
        <v>16555.04</v>
      </c>
      <c r="I191" s="6">
        <v>397.22688470183755</v>
      </c>
      <c r="J191" s="6">
        <v>397.22688470183755</v>
      </c>
      <c r="K191" s="5">
        <v>16555.04</v>
      </c>
      <c r="L191" s="4">
        <v>0</v>
      </c>
      <c r="M191" s="2">
        <v>714.77448042333879</v>
      </c>
      <c r="N191" s="1">
        <v>48</v>
      </c>
      <c r="O191" s="3">
        <v>100836.47554850599</v>
      </c>
      <c r="P191" s="2">
        <v>640.24977064575125</v>
      </c>
      <c r="Q191" s="2">
        <v>-105.73861548729519</v>
      </c>
      <c r="R191" s="2">
        <v>1535.2875763339728</v>
      </c>
      <c r="S191" s="2">
        <v>397.22688470183755</v>
      </c>
      <c r="T191">
        <v>397.22688470183755</v>
      </c>
    </row>
    <row r="192" spans="2:20" ht="30" x14ac:dyDescent="0.25">
      <c r="B192" s="10">
        <v>833</v>
      </c>
      <c r="C192" s="10">
        <v>8</v>
      </c>
      <c r="D192" s="9" t="s">
        <v>387</v>
      </c>
      <c r="E192" s="8">
        <v>55.879823649742775</v>
      </c>
      <c r="F192" s="7">
        <v>29424.22</v>
      </c>
      <c r="G192" s="7">
        <v>0</v>
      </c>
      <c r="H192" s="7">
        <v>29424.22</v>
      </c>
      <c r="I192" s="6">
        <v>526.56250643223791</v>
      </c>
      <c r="J192" s="6">
        <v>526.56250643223791</v>
      </c>
      <c r="K192" s="5">
        <v>29424.22</v>
      </c>
      <c r="L192" s="4">
        <v>0</v>
      </c>
      <c r="M192" s="2">
        <v>714.77448042333879</v>
      </c>
      <c r="N192" s="1">
        <v>48</v>
      </c>
      <c r="O192" s="3">
        <v>35423.747153626835</v>
      </c>
      <c r="P192" s="2">
        <v>640.24977064575125</v>
      </c>
      <c r="Q192" s="2">
        <v>-105.73861548729519</v>
      </c>
      <c r="R192" s="2">
        <v>1535.2875763339728</v>
      </c>
      <c r="S192" s="2">
        <v>526.56250643223791</v>
      </c>
      <c r="T192">
        <v>526.56250643223791</v>
      </c>
    </row>
    <row r="193" spans="2:20" x14ac:dyDescent="0.25">
      <c r="B193" s="10">
        <v>834</v>
      </c>
      <c r="C193" s="10">
        <v>8</v>
      </c>
      <c r="D193" s="9" t="s">
        <v>315</v>
      </c>
      <c r="E193" s="8">
        <v>105.1</v>
      </c>
      <c r="F193" s="7">
        <v>46402.99</v>
      </c>
      <c r="G193" s="7">
        <v>6902.12</v>
      </c>
      <c r="H193" s="7">
        <v>39500.869999999995</v>
      </c>
      <c r="I193" s="6">
        <v>375.84081826831584</v>
      </c>
      <c r="J193" s="6">
        <v>375.84081826831584</v>
      </c>
      <c r="K193" s="5">
        <v>39500.869999999995</v>
      </c>
      <c r="L193" s="4">
        <v>0</v>
      </c>
      <c r="M193" s="2">
        <v>714.77448042333879</v>
      </c>
      <c r="N193" s="1">
        <v>48</v>
      </c>
      <c r="O193" s="3">
        <v>114876.02734181524</v>
      </c>
      <c r="P193" s="2">
        <v>640.24977064575125</v>
      </c>
      <c r="Q193" s="2">
        <v>-105.73861548729519</v>
      </c>
      <c r="R193" s="2">
        <v>1535.2875763339728</v>
      </c>
      <c r="S193" s="2">
        <v>375.84081826831584</v>
      </c>
      <c r="T193">
        <v>394.74947668886773</v>
      </c>
    </row>
    <row r="194" spans="2:20" x14ac:dyDescent="0.25">
      <c r="B194" s="10">
        <v>837</v>
      </c>
      <c r="C194" s="10">
        <v>8</v>
      </c>
      <c r="D194" s="9" t="s">
        <v>316</v>
      </c>
      <c r="E194" s="8">
        <v>159.76</v>
      </c>
      <c r="F194" s="7">
        <v>74798.12</v>
      </c>
      <c r="G194" s="7">
        <v>0</v>
      </c>
      <c r="H194" s="7">
        <v>74798.12</v>
      </c>
      <c r="I194" s="6">
        <v>468.19053580370553</v>
      </c>
      <c r="J194" s="6">
        <v>468.19053580370553</v>
      </c>
      <c r="K194" s="5">
        <v>74798.12</v>
      </c>
      <c r="L194" s="4">
        <v>0</v>
      </c>
      <c r="M194" s="2">
        <v>714.77448042333879</v>
      </c>
      <c r="N194" s="1">
        <v>48</v>
      </c>
      <c r="O194" s="3">
        <v>60803.641744178363</v>
      </c>
      <c r="P194" s="2">
        <v>640.24977064575125</v>
      </c>
      <c r="Q194" s="2">
        <v>-105.73861548729519</v>
      </c>
      <c r="R194" s="2">
        <v>1535.2875763339728</v>
      </c>
      <c r="S194" s="2">
        <v>468.19053580370553</v>
      </c>
      <c r="T194">
        <v>468.19053580370553</v>
      </c>
    </row>
    <row r="195" spans="2:20" x14ac:dyDescent="0.25">
      <c r="B195" s="10">
        <v>847</v>
      </c>
      <c r="C195" s="10">
        <v>8</v>
      </c>
      <c r="D195" s="9" t="s">
        <v>317</v>
      </c>
      <c r="E195" s="8">
        <v>78.455383295239983</v>
      </c>
      <c r="F195" s="7">
        <v>61967.7</v>
      </c>
      <c r="G195" s="7">
        <v>0</v>
      </c>
      <c r="H195" s="7">
        <v>61967.7</v>
      </c>
      <c r="I195" s="6">
        <v>789.84637378936463</v>
      </c>
      <c r="J195" s="6">
        <v>789.84637378936463</v>
      </c>
      <c r="K195" s="5">
        <v>61967.7</v>
      </c>
      <c r="L195" s="4">
        <v>0</v>
      </c>
      <c r="M195" s="2">
        <v>714.77448042333879</v>
      </c>
      <c r="N195" s="1">
        <v>48</v>
      </c>
      <c r="O195" s="3">
        <v>5635.789173559956</v>
      </c>
      <c r="P195" s="2">
        <v>640.24977064575125</v>
      </c>
      <c r="Q195" s="2">
        <v>-105.73861548729519</v>
      </c>
      <c r="R195" s="2">
        <v>1535.2875763339728</v>
      </c>
      <c r="S195" s="2">
        <v>789.84637378936463</v>
      </c>
      <c r="T195">
        <v>789.84637378936463</v>
      </c>
    </row>
    <row r="196" spans="2:20" x14ac:dyDescent="0.25">
      <c r="B196" s="10">
        <v>866</v>
      </c>
      <c r="C196" s="10">
        <v>8</v>
      </c>
      <c r="D196" s="9" t="s">
        <v>388</v>
      </c>
      <c r="E196" s="8">
        <v>425.26698931059411</v>
      </c>
      <c r="F196" s="7">
        <v>52619.4</v>
      </c>
      <c r="G196" s="7">
        <v>0</v>
      </c>
      <c r="H196" s="7">
        <v>52619.4</v>
      </c>
      <c r="I196" s="6">
        <v>123.73262285253318</v>
      </c>
      <c r="J196" s="6">
        <v>123.73262285253318</v>
      </c>
      <c r="K196" s="5">
        <v>52619.4</v>
      </c>
      <c r="L196" s="4">
        <v>0</v>
      </c>
      <c r="M196" s="2">
        <v>714.77448042333879</v>
      </c>
      <c r="N196" s="1">
        <v>48</v>
      </c>
      <c r="O196" s="3">
        <v>349330.47740074847</v>
      </c>
      <c r="P196" s="2">
        <v>640.24977064575125</v>
      </c>
      <c r="Q196" s="2">
        <v>-105.73861548729519</v>
      </c>
      <c r="R196" s="2">
        <v>1535.2875763339728</v>
      </c>
      <c r="S196" s="2">
        <v>123.73262285253318</v>
      </c>
      <c r="T196">
        <v>123.73262285253318</v>
      </c>
    </row>
    <row r="197" spans="2:20" x14ac:dyDescent="0.25">
      <c r="B197" s="10">
        <v>871</v>
      </c>
      <c r="C197" s="10">
        <v>8</v>
      </c>
      <c r="D197" s="9" t="s">
        <v>319</v>
      </c>
      <c r="E197" s="8">
        <v>18.980843025727079</v>
      </c>
      <c r="F197" s="7">
        <v>9954.75</v>
      </c>
      <c r="G197" s="7">
        <v>0</v>
      </c>
      <c r="H197" s="7">
        <v>9954.75</v>
      </c>
      <c r="I197" s="6">
        <v>524.46300654333947</v>
      </c>
      <c r="J197" s="6">
        <v>524.46300654333947</v>
      </c>
      <c r="K197" s="5">
        <v>9954.75</v>
      </c>
      <c r="L197" s="4">
        <v>0</v>
      </c>
      <c r="M197" s="2">
        <v>714.77448042333879</v>
      </c>
      <c r="N197" s="1">
        <v>48</v>
      </c>
      <c r="O197" s="3">
        <v>36218.457090377662</v>
      </c>
      <c r="P197" s="2">
        <v>640.24977064575125</v>
      </c>
      <c r="Q197" s="2">
        <v>-105.73861548729519</v>
      </c>
      <c r="R197" s="2">
        <v>1535.2875763339728</v>
      </c>
      <c r="S197" s="2">
        <v>524.46300654333947</v>
      </c>
      <c r="T197">
        <v>524.46300654333947</v>
      </c>
    </row>
    <row r="198" spans="2:20" x14ac:dyDescent="0.25">
      <c r="B198" s="10">
        <v>873</v>
      </c>
      <c r="C198" s="10">
        <v>8</v>
      </c>
      <c r="D198" s="9" t="s">
        <v>320</v>
      </c>
      <c r="E198" s="8">
        <v>154.14773247913993</v>
      </c>
      <c r="F198" s="7">
        <v>56548.31</v>
      </c>
      <c r="G198" s="7">
        <v>0</v>
      </c>
      <c r="H198" s="7">
        <v>56548.31</v>
      </c>
      <c r="I198" s="6">
        <v>366.84490320123524</v>
      </c>
      <c r="J198" s="6">
        <v>366.84490320123524</v>
      </c>
      <c r="K198" s="5">
        <v>56548.31</v>
      </c>
      <c r="L198" s="4">
        <v>0</v>
      </c>
      <c r="M198" s="2">
        <v>714.77448042333879</v>
      </c>
      <c r="N198" s="1">
        <v>48</v>
      </c>
      <c r="O198" s="3">
        <v>121054.99070595171</v>
      </c>
      <c r="P198" s="2">
        <v>640.24977064575125</v>
      </c>
      <c r="Q198" s="2">
        <v>-105.73861548729519</v>
      </c>
      <c r="R198" s="2">
        <v>1535.2875763339728</v>
      </c>
      <c r="S198" s="2">
        <v>366.84490320123524</v>
      </c>
      <c r="T198">
        <v>366.84490320123524</v>
      </c>
    </row>
    <row r="199" spans="2:20" x14ac:dyDescent="0.25">
      <c r="B199" s="10">
        <v>895</v>
      </c>
      <c r="C199" s="10">
        <v>8</v>
      </c>
      <c r="D199" s="9" t="s">
        <v>321</v>
      </c>
      <c r="E199" s="8">
        <v>30.026619991102116</v>
      </c>
      <c r="F199" s="7">
        <v>13075.54</v>
      </c>
      <c r="G199" s="7">
        <v>0</v>
      </c>
      <c r="H199" s="7">
        <v>13075.54</v>
      </c>
      <c r="I199" s="6">
        <v>435.46493091379307</v>
      </c>
      <c r="J199" s="6">
        <v>435.46493091379307</v>
      </c>
      <c r="K199" s="5">
        <v>13075.54</v>
      </c>
      <c r="L199" s="4">
        <v>0</v>
      </c>
      <c r="M199" s="2">
        <v>714.77448042333879</v>
      </c>
      <c r="N199" s="1">
        <v>48</v>
      </c>
      <c r="O199" s="3">
        <v>78013.824447225372</v>
      </c>
      <c r="P199" s="2">
        <v>640.24977064575125</v>
      </c>
      <c r="Q199" s="2">
        <v>-105.73861548729519</v>
      </c>
      <c r="R199" s="2">
        <v>1535.2875763339728</v>
      </c>
      <c r="S199" s="2">
        <v>435.46493091379307</v>
      </c>
      <c r="T199">
        <v>435.46493091379313</v>
      </c>
    </row>
    <row r="200" spans="2:20" x14ac:dyDescent="0.25">
      <c r="B200" s="10">
        <v>897</v>
      </c>
      <c r="C200" s="10">
        <v>8</v>
      </c>
      <c r="D200" s="9" t="s">
        <v>322</v>
      </c>
      <c r="E200" s="8">
        <v>192.1529106058494</v>
      </c>
      <c r="F200" s="7">
        <v>312807.77</v>
      </c>
      <c r="G200" s="7">
        <v>0</v>
      </c>
      <c r="H200" s="7">
        <v>312807.77</v>
      </c>
      <c r="I200" s="6">
        <v>1627.9106520621069</v>
      </c>
      <c r="J200" s="6">
        <v>1535.2875763339728</v>
      </c>
      <c r="K200" s="5">
        <v>295009.97640957305</v>
      </c>
      <c r="L200" s="4">
        <v>0</v>
      </c>
      <c r="M200" s="2">
        <v>714.77448042333879</v>
      </c>
      <c r="N200" s="1">
        <v>48</v>
      </c>
      <c r="O200" s="3">
        <v>833817.66795510578</v>
      </c>
      <c r="P200" s="2">
        <v>640.24977064575125</v>
      </c>
      <c r="Q200" s="2">
        <v>-105.73861548729519</v>
      </c>
      <c r="R200" s="2">
        <v>1535.2875763339728</v>
      </c>
      <c r="S200" s="2">
        <v>1535.2875763339728</v>
      </c>
      <c r="T200">
        <v>1438.6698665052518</v>
      </c>
    </row>
    <row r="201" spans="2:20" x14ac:dyDescent="0.25">
      <c r="B201" s="10">
        <v>905</v>
      </c>
      <c r="C201" s="10">
        <v>8</v>
      </c>
      <c r="D201" s="9" t="s">
        <v>389</v>
      </c>
      <c r="E201" s="8">
        <v>96.983421399710679</v>
      </c>
      <c r="F201" s="7">
        <v>50616.33</v>
      </c>
      <c r="G201" s="7">
        <v>0</v>
      </c>
      <c r="H201" s="7">
        <v>50616.33</v>
      </c>
      <c r="I201" s="6">
        <v>521.90703596017909</v>
      </c>
      <c r="J201" s="6">
        <v>521.90703596017909</v>
      </c>
      <c r="K201" s="5">
        <v>50616.33</v>
      </c>
      <c r="L201" s="4">
        <v>0</v>
      </c>
      <c r="M201" s="2">
        <v>714.77448042333879</v>
      </c>
      <c r="N201" s="1">
        <v>48</v>
      </c>
      <c r="O201" s="3">
        <v>37197.851133749988</v>
      </c>
      <c r="P201" s="2">
        <v>640.24977064575125</v>
      </c>
      <c r="Q201" s="2">
        <v>-105.73861548729519</v>
      </c>
      <c r="R201" s="2">
        <v>1535.2875763339728</v>
      </c>
      <c r="S201" s="2">
        <v>521.90703596017909</v>
      </c>
      <c r="T201">
        <v>521.90703596017909</v>
      </c>
    </row>
    <row r="202" spans="2:20" x14ac:dyDescent="0.25">
      <c r="B202" s="10">
        <v>907</v>
      </c>
      <c r="C202" s="10">
        <v>8</v>
      </c>
      <c r="D202" s="9" t="s">
        <v>324</v>
      </c>
      <c r="E202" s="8">
        <v>15.256753571312275</v>
      </c>
      <c r="F202" s="7">
        <v>46128.6</v>
      </c>
      <c r="G202" s="7">
        <v>4805.87</v>
      </c>
      <c r="H202" s="7">
        <v>41322.729999999996</v>
      </c>
      <c r="I202" s="6">
        <v>2708.4877399934117</v>
      </c>
      <c r="J202" s="6">
        <v>1535.2875763339728</v>
      </c>
      <c r="K202" s="5">
        <v>23423.504213224707</v>
      </c>
      <c r="L202" s="4">
        <v>0</v>
      </c>
      <c r="M202" s="2">
        <v>714.77448042333879</v>
      </c>
      <c r="N202" s="1">
        <v>48</v>
      </c>
      <c r="O202" s="3">
        <v>3974892.5613855245</v>
      </c>
      <c r="P202" s="2">
        <v>640.24977064575125</v>
      </c>
      <c r="Q202" s="2">
        <v>-105.73861548729519</v>
      </c>
      <c r="R202" s="2">
        <v>1535.2875763339728</v>
      </c>
      <c r="S202" s="2">
        <v>1535.2875763339728</v>
      </c>
      <c r="T202">
        <v>1438.6698665052518</v>
      </c>
    </row>
    <row r="203" spans="2:20" x14ac:dyDescent="0.25">
      <c r="B203" s="10">
        <v>918</v>
      </c>
      <c r="C203" s="10">
        <v>8</v>
      </c>
      <c r="D203" s="9" t="s">
        <v>325</v>
      </c>
      <c r="E203" s="8">
        <v>74.50951183857714</v>
      </c>
      <c r="F203" s="7">
        <v>46026.35</v>
      </c>
      <c r="G203" s="7">
        <v>0</v>
      </c>
      <c r="H203" s="7">
        <v>46026.35</v>
      </c>
      <c r="I203" s="6">
        <v>617.72448730726956</v>
      </c>
      <c r="J203" s="6">
        <v>617.72448730726956</v>
      </c>
      <c r="K203" s="5">
        <v>46026.35</v>
      </c>
      <c r="L203" s="4">
        <v>0</v>
      </c>
      <c r="M203" s="2">
        <v>714.77448042333879</v>
      </c>
      <c r="N203" s="1">
        <v>48</v>
      </c>
      <c r="O203" s="3">
        <v>9418.701163829086</v>
      </c>
      <c r="P203" s="2">
        <v>640.24977064575125</v>
      </c>
      <c r="Q203" s="2">
        <v>-105.73861548729519</v>
      </c>
      <c r="R203" s="2">
        <v>1535.2875763339728</v>
      </c>
      <c r="S203" s="2">
        <v>617.72448730726956</v>
      </c>
      <c r="T203">
        <v>617.72448730726956</v>
      </c>
    </row>
    <row r="204" spans="2:20" x14ac:dyDescent="0.25">
      <c r="B204" s="10">
        <v>922</v>
      </c>
      <c r="C204" s="10">
        <v>8</v>
      </c>
      <c r="D204" s="9" t="s">
        <v>326</v>
      </c>
      <c r="E204" s="8">
        <v>102.08</v>
      </c>
      <c r="F204" s="7">
        <v>117989.75</v>
      </c>
      <c r="G204" s="7">
        <v>7422.11</v>
      </c>
      <c r="H204" s="7">
        <v>110567.64</v>
      </c>
      <c r="I204" s="6">
        <v>1083.1469435736676</v>
      </c>
      <c r="J204" s="6">
        <v>1083.1469435736676</v>
      </c>
      <c r="K204" s="5">
        <v>110567.63999999998</v>
      </c>
      <c r="L204" s="4">
        <v>0</v>
      </c>
      <c r="M204" s="2">
        <v>714.77448042333879</v>
      </c>
      <c r="N204" s="1">
        <v>48</v>
      </c>
      <c r="O204" s="3">
        <v>135698.27160744037</v>
      </c>
      <c r="P204" s="2">
        <v>640.24977064575125</v>
      </c>
      <c r="Q204" s="2">
        <v>-105.73861548729519</v>
      </c>
      <c r="R204" s="2">
        <v>1535.2875763339728</v>
      </c>
      <c r="S204" s="2">
        <v>1083.1469435736676</v>
      </c>
      <c r="T204">
        <v>1083.1469435736676</v>
      </c>
    </row>
    <row r="205" spans="2:20" x14ac:dyDescent="0.25">
      <c r="B205" s="10">
        <v>924</v>
      </c>
      <c r="C205" s="10">
        <v>8</v>
      </c>
      <c r="D205" s="9" t="s">
        <v>327</v>
      </c>
      <c r="E205" s="8">
        <v>179.63418090414251</v>
      </c>
      <c r="F205" s="7">
        <v>41892.31</v>
      </c>
      <c r="G205" s="7">
        <v>0</v>
      </c>
      <c r="H205" s="7">
        <v>41892.31</v>
      </c>
      <c r="I205" s="6">
        <v>233.20901283456087</v>
      </c>
      <c r="J205" s="6">
        <v>233.20901283456087</v>
      </c>
      <c r="K205" s="5">
        <v>41892.31</v>
      </c>
      <c r="L205" s="4">
        <v>0</v>
      </c>
      <c r="M205" s="2">
        <v>714.77448042333879</v>
      </c>
      <c r="N205" s="1">
        <v>48</v>
      </c>
      <c r="O205" s="3">
        <v>231905.29957399829</v>
      </c>
      <c r="P205" s="2">
        <v>640.24977064575125</v>
      </c>
      <c r="Q205" s="2">
        <v>-105.73861548729519</v>
      </c>
      <c r="R205" s="2">
        <v>1535.2875763339728</v>
      </c>
      <c r="S205" s="2">
        <v>233.20901283456087</v>
      </c>
      <c r="T205">
        <v>233.20901283456087</v>
      </c>
    </row>
    <row r="206" spans="2:20" x14ac:dyDescent="0.25">
      <c r="B206" s="10">
        <v>929</v>
      </c>
      <c r="C206" s="10">
        <v>8</v>
      </c>
      <c r="D206" s="9" t="s">
        <v>328</v>
      </c>
      <c r="E206" s="8">
        <v>17.160382423941183</v>
      </c>
      <c r="F206" s="7">
        <v>20476.349999999999</v>
      </c>
      <c r="G206" s="7">
        <v>0</v>
      </c>
      <c r="H206" s="7">
        <v>20476.349999999999</v>
      </c>
      <c r="I206" s="6">
        <v>1193.2338973653971</v>
      </c>
      <c r="J206" s="6">
        <v>1193.2338973653971</v>
      </c>
      <c r="K206" s="5">
        <v>20476.349999999999</v>
      </c>
      <c r="L206" s="4">
        <v>0</v>
      </c>
      <c r="M206" s="2">
        <v>714.77448042333879</v>
      </c>
      <c r="N206" s="1">
        <v>48</v>
      </c>
      <c r="O206" s="3">
        <v>228923.41366053437</v>
      </c>
      <c r="P206" s="2">
        <v>640.24977064575125</v>
      </c>
      <c r="Q206" s="2">
        <v>-105.73861548729519</v>
      </c>
      <c r="R206" s="2">
        <v>1535.2875763339728</v>
      </c>
      <c r="S206" s="2">
        <v>1193.2338973653971</v>
      </c>
      <c r="T206">
        <v>1193.2338973653971</v>
      </c>
    </row>
    <row r="207" spans="2:20" x14ac:dyDescent="0.25">
      <c r="B207" s="10">
        <v>955</v>
      </c>
      <c r="C207" s="10">
        <v>8</v>
      </c>
      <c r="D207" s="9" t="s">
        <v>329</v>
      </c>
      <c r="E207" s="8">
        <v>39.610698116169019</v>
      </c>
      <c r="F207" s="7">
        <v>21265.72</v>
      </c>
      <c r="G207" s="7">
        <v>0</v>
      </c>
      <c r="H207" s="7">
        <v>21265.72</v>
      </c>
      <c r="I207" s="6">
        <v>536.86809400916297</v>
      </c>
      <c r="J207" s="6">
        <v>536.86809400916297</v>
      </c>
      <c r="K207" s="5">
        <v>21265.720000000005</v>
      </c>
      <c r="L207" s="4">
        <v>0</v>
      </c>
      <c r="M207" s="2">
        <v>714.77448042333879</v>
      </c>
      <c r="N207" s="1">
        <v>48</v>
      </c>
      <c r="O207" s="3">
        <v>31650.682326950042</v>
      </c>
      <c r="P207" s="2">
        <v>640.24977064575125</v>
      </c>
      <c r="Q207" s="2">
        <v>-105.73861548729519</v>
      </c>
      <c r="R207" s="2">
        <v>1535.2875763339728</v>
      </c>
      <c r="S207" s="2">
        <v>536.86809400916297</v>
      </c>
      <c r="T207">
        <v>536.86809400916297</v>
      </c>
    </row>
    <row r="208" spans="2:20" x14ac:dyDescent="0.25">
      <c r="B208" s="10">
        <v>974</v>
      </c>
      <c r="C208" s="10">
        <v>8</v>
      </c>
      <c r="D208" s="9" t="s">
        <v>331</v>
      </c>
      <c r="E208" s="8">
        <v>13.963025224865442</v>
      </c>
      <c r="F208" s="7">
        <v>13591.91</v>
      </c>
      <c r="G208" s="7">
        <v>0</v>
      </c>
      <c r="H208" s="7">
        <v>13591.91</v>
      </c>
      <c r="I208" s="6">
        <v>973.4215745593184</v>
      </c>
      <c r="J208" s="6">
        <v>973.4215745593184</v>
      </c>
      <c r="K208" s="5">
        <v>13591.91</v>
      </c>
      <c r="L208" s="4">
        <v>0</v>
      </c>
      <c r="M208" s="2">
        <v>714.77448042333879</v>
      </c>
      <c r="N208" s="1">
        <v>48</v>
      </c>
      <c r="O208" s="3">
        <v>66898.319304986304</v>
      </c>
      <c r="P208" s="2">
        <v>640.24977064575125</v>
      </c>
      <c r="Q208" s="2">
        <v>-105.73861548729519</v>
      </c>
      <c r="R208" s="2">
        <v>1535.2875763339728</v>
      </c>
      <c r="S208" s="2">
        <v>973.4215745593184</v>
      </c>
      <c r="T208">
        <v>1438.6698665052518</v>
      </c>
    </row>
    <row r="209" spans="2:20" x14ac:dyDescent="0.25">
      <c r="B209" s="10">
        <v>978</v>
      </c>
      <c r="C209" s="10">
        <v>8</v>
      </c>
      <c r="D209" s="9" t="s">
        <v>332</v>
      </c>
      <c r="E209" s="8">
        <v>32.990072834394198</v>
      </c>
      <c r="F209" s="7">
        <v>55594.11</v>
      </c>
      <c r="G209" s="7">
        <v>0</v>
      </c>
      <c r="H209" s="7">
        <v>55594.11</v>
      </c>
      <c r="I209" s="6">
        <v>1685.1769403200497</v>
      </c>
      <c r="J209" s="6">
        <v>1535.2875763339728</v>
      </c>
      <c r="K209" s="5">
        <v>50649.248964998304</v>
      </c>
      <c r="L209" s="4">
        <v>0</v>
      </c>
      <c r="M209" s="2">
        <v>714.77448042333879</v>
      </c>
      <c r="N209" s="1">
        <v>48</v>
      </c>
      <c r="O209" s="3">
        <v>941680.93417358759</v>
      </c>
      <c r="P209" s="2">
        <v>640.24977064575125</v>
      </c>
      <c r="Q209" s="2">
        <v>-105.73861548729519</v>
      </c>
      <c r="R209" s="2">
        <v>1535.2875763339728</v>
      </c>
      <c r="S209" s="2">
        <v>1535.2875763339728</v>
      </c>
      <c r="T209">
        <v>1438.6698665052518</v>
      </c>
    </row>
    <row r="210" spans="2:20" x14ac:dyDescent="0.25">
      <c r="B210" s="10">
        <v>985</v>
      </c>
      <c r="C210" s="10">
        <v>8</v>
      </c>
      <c r="D210" s="9" t="s">
        <v>333</v>
      </c>
      <c r="E210" s="8">
        <v>28.092386951416906</v>
      </c>
      <c r="F210" s="7">
        <v>44543.53</v>
      </c>
      <c r="G210" s="7">
        <v>0</v>
      </c>
      <c r="H210" s="7">
        <v>44543.53</v>
      </c>
      <c r="I210" s="6">
        <v>1585.6085877299702</v>
      </c>
      <c r="J210" s="6">
        <v>1535.2875763339728</v>
      </c>
      <c r="K210" s="5">
        <v>43129.892676076983</v>
      </c>
      <c r="L210" s="4">
        <v>0</v>
      </c>
      <c r="M210" s="2">
        <v>714.77448042333879</v>
      </c>
      <c r="N210" s="1">
        <v>48</v>
      </c>
      <c r="O210" s="3">
        <v>758352.04244853754</v>
      </c>
      <c r="P210" s="2">
        <v>640.24977064575125</v>
      </c>
      <c r="Q210" s="2">
        <v>-105.73861548729519</v>
      </c>
      <c r="R210" s="2">
        <v>1535.2875763339728</v>
      </c>
      <c r="S210" s="2">
        <v>1535.2875763339728</v>
      </c>
      <c r="T210">
        <v>1438.6698665052518</v>
      </c>
    </row>
    <row r="211" spans="2:20" x14ac:dyDescent="0.25">
      <c r="B211" s="10">
        <v>990</v>
      </c>
      <c r="C211" s="10">
        <v>8</v>
      </c>
      <c r="D211" s="9" t="s">
        <v>0</v>
      </c>
      <c r="E211" s="8">
        <v>4.9993359673409694</v>
      </c>
      <c r="F211" s="7">
        <v>5540.96</v>
      </c>
      <c r="G211" s="7">
        <v>0</v>
      </c>
      <c r="H211" s="7">
        <v>5540.96</v>
      </c>
      <c r="I211" s="6">
        <v>1108.3391946845109</v>
      </c>
      <c r="J211" s="6">
        <v>1108.3391946845109</v>
      </c>
      <c r="K211" s="5">
        <v>5540.96</v>
      </c>
      <c r="L211" s="4">
        <v>0</v>
      </c>
      <c r="M211" s="2">
        <v>714.77448042333879</v>
      </c>
      <c r="N211" s="1">
        <v>48</v>
      </c>
      <c r="O211" s="3">
        <v>154893.18431147802</v>
      </c>
      <c r="P211" s="2">
        <v>640.24977064575125</v>
      </c>
      <c r="Q211" s="2">
        <v>-105.73861548729519</v>
      </c>
      <c r="R211" s="2">
        <v>1535.2875763339728</v>
      </c>
      <c r="S211" s="2">
        <v>1108.3391946845109</v>
      </c>
      <c r="T211">
        <v>1108.3391946845109</v>
      </c>
    </row>
    <row r="212" spans="2:20" x14ac:dyDescent="0.25">
      <c r="B212" s="10">
        <v>100</v>
      </c>
      <c r="C212" s="10">
        <v>9</v>
      </c>
      <c r="D212" s="9" t="s">
        <v>334</v>
      </c>
      <c r="E212" s="8">
        <v>43.119622894198969</v>
      </c>
      <c r="F212" s="7">
        <v>28918.84</v>
      </c>
      <c r="G212" s="7">
        <v>0</v>
      </c>
      <c r="H212" s="7">
        <v>28918.84</v>
      </c>
      <c r="I212" s="6">
        <v>670.66542003294171</v>
      </c>
      <c r="J212" s="6">
        <v>670.66542003294171</v>
      </c>
      <c r="K212" s="5">
        <v>28918.84</v>
      </c>
      <c r="L212" s="4">
        <v>0</v>
      </c>
      <c r="M212" s="2">
        <v>501.71939107556835</v>
      </c>
      <c r="N212" s="1">
        <v>31</v>
      </c>
      <c r="O212" s="3">
        <v>28542.760700465638</v>
      </c>
      <c r="P212" s="2">
        <v>348.15812326323481</v>
      </c>
      <c r="Q212" s="2">
        <v>55.536803150499736</v>
      </c>
      <c r="R212" s="2">
        <v>947.90197900063697</v>
      </c>
      <c r="S212" s="2">
        <v>670.66542003294171</v>
      </c>
      <c r="T212">
        <v>670.66542003294182</v>
      </c>
    </row>
    <row r="213" spans="2:20" x14ac:dyDescent="0.25">
      <c r="B213" s="10">
        <v>159</v>
      </c>
      <c r="C213" s="10">
        <v>9</v>
      </c>
      <c r="D213" s="9" t="s">
        <v>335</v>
      </c>
      <c r="E213" s="8">
        <v>992.27115989119886</v>
      </c>
      <c r="F213" s="7">
        <v>258358.16</v>
      </c>
      <c r="G213" s="7">
        <v>0</v>
      </c>
      <c r="H213" s="7">
        <v>258358.16</v>
      </c>
      <c r="I213" s="6">
        <v>260.37052213462357</v>
      </c>
      <c r="J213" s="6">
        <v>260.37052213462357</v>
      </c>
      <c r="K213" s="5">
        <v>258358.16</v>
      </c>
      <c r="L213" s="4">
        <v>0</v>
      </c>
      <c r="M213" s="2">
        <v>501.71939107556835</v>
      </c>
      <c r="N213" s="1">
        <v>31</v>
      </c>
      <c r="O213" s="3">
        <v>58249.27653907334</v>
      </c>
      <c r="P213" s="2">
        <v>348.15812326323481</v>
      </c>
      <c r="Q213" s="2">
        <v>55.536803150499736</v>
      </c>
      <c r="R213" s="2">
        <v>947.90197900063697</v>
      </c>
      <c r="S213" s="2">
        <v>260.37052213462357</v>
      </c>
      <c r="T213">
        <v>260.37052213462357</v>
      </c>
    </row>
    <row r="214" spans="2:20" x14ac:dyDescent="0.25">
      <c r="B214" s="10">
        <v>173</v>
      </c>
      <c r="C214" s="10">
        <v>9</v>
      </c>
      <c r="D214" s="9" t="s">
        <v>390</v>
      </c>
      <c r="E214" s="8">
        <v>338.07</v>
      </c>
      <c r="F214" s="7">
        <v>141461.51999999999</v>
      </c>
      <c r="G214" s="7">
        <v>80</v>
      </c>
      <c r="H214" s="7">
        <v>141381.51999999999</v>
      </c>
      <c r="I214" s="6">
        <v>418.20191084686599</v>
      </c>
      <c r="J214" s="6">
        <v>418.20191084686599</v>
      </c>
      <c r="K214" s="5">
        <v>141381.51999999999</v>
      </c>
      <c r="L214" s="4">
        <v>0</v>
      </c>
      <c r="M214" s="2">
        <v>501.71939107556835</v>
      </c>
      <c r="N214" s="1">
        <v>31</v>
      </c>
      <c r="O214" s="3">
        <v>6975.1695037516911</v>
      </c>
      <c r="P214" s="2">
        <v>348.15812326323481</v>
      </c>
      <c r="Q214" s="2">
        <v>55.536803150499736</v>
      </c>
      <c r="R214" s="2">
        <v>947.90197900063697</v>
      </c>
      <c r="S214" s="2">
        <v>418.20191084686599</v>
      </c>
      <c r="T214">
        <v>418.20191084686599</v>
      </c>
    </row>
    <row r="215" spans="2:20" x14ac:dyDescent="0.25">
      <c r="B215" s="10">
        <v>204</v>
      </c>
      <c r="C215" s="10">
        <v>9</v>
      </c>
      <c r="D215" s="9" t="s">
        <v>337</v>
      </c>
      <c r="E215" s="8">
        <v>627.73547552952311</v>
      </c>
      <c r="F215" s="7">
        <v>318579.27</v>
      </c>
      <c r="G215" s="7">
        <v>2655</v>
      </c>
      <c r="H215" s="7">
        <v>315924.27</v>
      </c>
      <c r="I215" s="6">
        <v>503.27611281408571</v>
      </c>
      <c r="J215" s="6">
        <v>503.27611281408571</v>
      </c>
      <c r="K215" s="5">
        <v>315924.27</v>
      </c>
      <c r="L215" s="4">
        <v>0</v>
      </c>
      <c r="M215" s="2">
        <v>501.71939107556835</v>
      </c>
      <c r="N215" s="1">
        <v>31</v>
      </c>
      <c r="O215" s="3">
        <v>2.4233825711724917</v>
      </c>
      <c r="P215" s="2">
        <v>348.15812326323481</v>
      </c>
      <c r="Q215" s="2">
        <v>55.536803150499736</v>
      </c>
      <c r="R215" s="2">
        <v>947.90197900063697</v>
      </c>
      <c r="S215" s="2">
        <v>503.27611281408571</v>
      </c>
      <c r="T215">
        <v>507.50560135423933</v>
      </c>
    </row>
    <row r="216" spans="2:20" x14ac:dyDescent="0.25">
      <c r="B216" s="10">
        <v>218</v>
      </c>
      <c r="C216" s="10">
        <v>9</v>
      </c>
      <c r="D216" s="9" t="s">
        <v>338</v>
      </c>
      <c r="E216" s="8">
        <v>319.21822856899524</v>
      </c>
      <c r="F216" s="7">
        <v>209180.21</v>
      </c>
      <c r="G216" s="7">
        <v>1997.36</v>
      </c>
      <c r="H216" s="7">
        <v>207182.85</v>
      </c>
      <c r="I216" s="6">
        <v>649.03201464643143</v>
      </c>
      <c r="J216" s="6">
        <v>649.03201464643143</v>
      </c>
      <c r="K216" s="5">
        <v>207182.85</v>
      </c>
      <c r="L216" s="4">
        <v>0</v>
      </c>
      <c r="M216" s="2">
        <v>501.71939107556835</v>
      </c>
      <c r="N216" s="1">
        <v>31</v>
      </c>
      <c r="O216" s="3">
        <v>21701.009063330806</v>
      </c>
      <c r="P216" s="2">
        <v>348.15812326323481</v>
      </c>
      <c r="Q216" s="2">
        <v>55.536803150499736</v>
      </c>
      <c r="R216" s="2">
        <v>947.90197900063697</v>
      </c>
      <c r="S216" s="2">
        <v>649.03201464643143</v>
      </c>
      <c r="T216">
        <v>545.3169702278135</v>
      </c>
    </row>
    <row r="217" spans="2:20" x14ac:dyDescent="0.25">
      <c r="B217" s="10">
        <v>230</v>
      </c>
      <c r="C217" s="10">
        <v>9</v>
      </c>
      <c r="D217" s="9" t="s">
        <v>339</v>
      </c>
      <c r="E217" s="8">
        <v>163.25927640482976</v>
      </c>
      <c r="F217" s="7">
        <v>70365.97</v>
      </c>
      <c r="G217" s="7">
        <v>2725.04</v>
      </c>
      <c r="H217" s="7">
        <v>67640.930000000008</v>
      </c>
      <c r="I217" s="6">
        <v>414.31599777688933</v>
      </c>
      <c r="J217" s="6">
        <v>414.31599777688933</v>
      </c>
      <c r="K217" s="5">
        <v>67640.930000000008</v>
      </c>
      <c r="L217" s="4">
        <v>0</v>
      </c>
      <c r="M217" s="2">
        <v>501.71939107556835</v>
      </c>
      <c r="N217" s="1">
        <v>31</v>
      </c>
      <c r="O217" s="3">
        <v>7639.3531601235691</v>
      </c>
      <c r="P217" s="2">
        <v>348.15812326323481</v>
      </c>
      <c r="Q217" s="2">
        <v>55.536803150499736</v>
      </c>
      <c r="R217" s="2">
        <v>947.90197900063697</v>
      </c>
      <c r="S217" s="2">
        <v>414.31599777688933</v>
      </c>
      <c r="T217">
        <v>414.31599777688933</v>
      </c>
    </row>
    <row r="218" spans="2:20" x14ac:dyDescent="0.25">
      <c r="B218" s="10">
        <v>277</v>
      </c>
      <c r="C218" s="10">
        <v>9</v>
      </c>
      <c r="D218" s="9" t="s">
        <v>340</v>
      </c>
      <c r="E218" s="8">
        <v>125.81508169195435</v>
      </c>
      <c r="F218" s="7">
        <v>55785.74</v>
      </c>
      <c r="G218" s="7">
        <v>0</v>
      </c>
      <c r="H218" s="7">
        <v>55785.74</v>
      </c>
      <c r="I218" s="6">
        <v>443.39469680261232</v>
      </c>
      <c r="J218" s="6">
        <v>443.39469680261232</v>
      </c>
      <c r="K218" s="5">
        <v>55785.74</v>
      </c>
      <c r="L218" s="4">
        <v>0</v>
      </c>
      <c r="M218" s="2">
        <v>501.71939107556835</v>
      </c>
      <c r="N218" s="1">
        <v>31</v>
      </c>
      <c r="O218" s="3">
        <v>3401.7699620337908</v>
      </c>
      <c r="P218" s="2">
        <v>348.15812326323481</v>
      </c>
      <c r="Q218" s="2">
        <v>55.536803150499736</v>
      </c>
      <c r="R218" s="2">
        <v>947.90197900063697</v>
      </c>
      <c r="S218" s="2">
        <v>443.39469680261232</v>
      </c>
      <c r="T218">
        <v>443.39469680261232</v>
      </c>
    </row>
    <row r="219" spans="2:20" x14ac:dyDescent="0.25">
      <c r="B219" s="10">
        <v>279</v>
      </c>
      <c r="C219" s="10">
        <v>9</v>
      </c>
      <c r="D219" s="9" t="s">
        <v>341</v>
      </c>
      <c r="E219" s="8">
        <v>503.99960010864407</v>
      </c>
      <c r="F219" s="7">
        <v>115030.22</v>
      </c>
      <c r="G219" s="7">
        <v>16</v>
      </c>
      <c r="H219" s="7">
        <v>115014.22</v>
      </c>
      <c r="I219" s="6">
        <v>228.20299852461608</v>
      </c>
      <c r="J219" s="6">
        <v>228.20299852461608</v>
      </c>
      <c r="K219" s="5">
        <v>115014.22</v>
      </c>
      <c r="L219" s="4">
        <v>0</v>
      </c>
      <c r="M219" s="2">
        <v>501.71939107556835</v>
      </c>
      <c r="N219" s="1">
        <v>31</v>
      </c>
      <c r="O219" s="3">
        <v>74811.216994086615</v>
      </c>
      <c r="P219" s="2">
        <v>348.15812326323481</v>
      </c>
      <c r="Q219" s="2">
        <v>55.536803150499736</v>
      </c>
      <c r="R219" s="2">
        <v>947.90197900063697</v>
      </c>
      <c r="S219" s="2">
        <v>228.20299852461608</v>
      </c>
      <c r="T219">
        <v>228.20299852461608</v>
      </c>
    </row>
    <row r="220" spans="2:20" x14ac:dyDescent="0.25">
      <c r="B220" s="10">
        <v>331</v>
      </c>
      <c r="C220" s="10">
        <v>9</v>
      </c>
      <c r="D220" s="9" t="s">
        <v>342</v>
      </c>
      <c r="E220" s="8">
        <v>418.59203148060845</v>
      </c>
      <c r="F220" s="7">
        <v>199865.29</v>
      </c>
      <c r="G220" s="7">
        <v>9301.82</v>
      </c>
      <c r="H220" s="7">
        <v>190563.47</v>
      </c>
      <c r="I220" s="6">
        <v>455.24868050152543</v>
      </c>
      <c r="J220" s="6">
        <v>455.24868050152543</v>
      </c>
      <c r="K220" s="5">
        <v>190563.47</v>
      </c>
      <c r="L220" s="4">
        <v>0</v>
      </c>
      <c r="M220" s="2">
        <v>501.71939107556835</v>
      </c>
      <c r="N220" s="1">
        <v>31</v>
      </c>
      <c r="O220" s="3">
        <v>2159.5269412564649</v>
      </c>
      <c r="P220" s="2">
        <v>348.15812326323481</v>
      </c>
      <c r="Q220" s="2">
        <v>55.536803150499736</v>
      </c>
      <c r="R220" s="2">
        <v>947.90197900063697</v>
      </c>
      <c r="S220" s="2">
        <v>455.24868050152543</v>
      </c>
      <c r="T220">
        <v>377.94242639085832</v>
      </c>
    </row>
    <row r="221" spans="2:20" x14ac:dyDescent="0.25">
      <c r="B221" s="10">
        <v>369</v>
      </c>
      <c r="C221" s="10">
        <v>9</v>
      </c>
      <c r="D221" s="9" t="s">
        <v>343</v>
      </c>
      <c r="E221" s="8">
        <v>352.96</v>
      </c>
      <c r="F221" s="7">
        <v>361616.1</v>
      </c>
      <c r="G221" s="7">
        <v>0</v>
      </c>
      <c r="H221" s="7">
        <v>361616.1</v>
      </c>
      <c r="I221" s="6">
        <v>1024.5243087035358</v>
      </c>
      <c r="J221" s="6">
        <v>947.90197900063697</v>
      </c>
      <c r="K221" s="5">
        <v>334571.48250806483</v>
      </c>
      <c r="L221" s="4">
        <v>0</v>
      </c>
      <c r="M221" s="2">
        <v>501.71939107556835</v>
      </c>
      <c r="N221" s="1">
        <v>31</v>
      </c>
      <c r="O221" s="3">
        <v>273324.98189598572</v>
      </c>
      <c r="P221" s="2">
        <v>348.15812326323481</v>
      </c>
      <c r="Q221" s="2">
        <v>55.536803150499736</v>
      </c>
      <c r="R221" s="2">
        <v>947.90197900063697</v>
      </c>
      <c r="S221" s="2">
        <v>947.90197900063697</v>
      </c>
      <c r="T221">
        <v>936.70708843520356</v>
      </c>
    </row>
    <row r="222" spans="2:20" x14ac:dyDescent="0.25">
      <c r="B222" s="10">
        <v>416</v>
      </c>
      <c r="C222" s="10">
        <v>9</v>
      </c>
      <c r="D222" s="9" t="s">
        <v>344</v>
      </c>
      <c r="E222" s="8">
        <v>75.193339678841909</v>
      </c>
      <c r="F222" s="7">
        <v>45775.71</v>
      </c>
      <c r="G222" s="7">
        <v>82.5</v>
      </c>
      <c r="H222" s="7">
        <v>45693.21</v>
      </c>
      <c r="I222" s="6">
        <v>607.67629413935003</v>
      </c>
      <c r="J222" s="6">
        <v>607.67629413935003</v>
      </c>
      <c r="K222" s="5">
        <v>45693.21</v>
      </c>
      <c r="L222" s="4">
        <v>0</v>
      </c>
      <c r="M222" s="2">
        <v>501.71939107556835</v>
      </c>
      <c r="N222" s="1">
        <v>31</v>
      </c>
      <c r="O222" s="3">
        <v>11226.865306867629</v>
      </c>
      <c r="P222" s="2">
        <v>348.15812326323481</v>
      </c>
      <c r="Q222" s="2">
        <v>55.536803150499736</v>
      </c>
      <c r="R222" s="2">
        <v>947.90197900063697</v>
      </c>
      <c r="S222" s="2">
        <v>607.67629413935003</v>
      </c>
      <c r="T222">
        <v>607.67629413935003</v>
      </c>
    </row>
    <row r="223" spans="2:20" x14ac:dyDescent="0.25">
      <c r="B223" s="10">
        <v>420</v>
      </c>
      <c r="C223" s="10">
        <v>9</v>
      </c>
      <c r="D223" s="9" t="s">
        <v>345</v>
      </c>
      <c r="E223" s="8">
        <v>360.38651273628551</v>
      </c>
      <c r="F223" s="7">
        <v>104159.16</v>
      </c>
      <c r="G223" s="7">
        <v>286.74</v>
      </c>
      <c r="H223" s="7">
        <v>103872.42</v>
      </c>
      <c r="I223" s="6">
        <v>288.22504818877371</v>
      </c>
      <c r="J223" s="6">
        <v>288.22504818877371</v>
      </c>
      <c r="K223" s="5">
        <v>103872.42</v>
      </c>
      <c r="L223" s="4">
        <v>0</v>
      </c>
      <c r="M223" s="2">
        <v>501.71939107556835</v>
      </c>
      <c r="N223" s="1">
        <v>31</v>
      </c>
      <c r="O223" s="3">
        <v>45579.834444664244</v>
      </c>
      <c r="P223" s="2">
        <v>348.15812326323481</v>
      </c>
      <c r="Q223" s="2">
        <v>55.536803150499736</v>
      </c>
      <c r="R223" s="2">
        <v>947.90197900063697</v>
      </c>
      <c r="S223" s="2">
        <v>288.22504818877371</v>
      </c>
      <c r="T223">
        <v>288.22504818877371</v>
      </c>
    </row>
    <row r="224" spans="2:20" x14ac:dyDescent="0.25">
      <c r="B224" s="10">
        <v>508</v>
      </c>
      <c r="C224" s="10">
        <v>9</v>
      </c>
      <c r="D224" s="9" t="s">
        <v>346</v>
      </c>
      <c r="E224" s="8">
        <v>69.861330708128875</v>
      </c>
      <c r="F224" s="7">
        <v>47806.74</v>
      </c>
      <c r="G224" s="7">
        <v>0</v>
      </c>
      <c r="H224" s="7">
        <v>47806.74</v>
      </c>
      <c r="I224" s="6">
        <v>684.30903785285807</v>
      </c>
      <c r="J224" s="6">
        <v>684.30903785285807</v>
      </c>
      <c r="K224" s="5">
        <v>47806.74</v>
      </c>
      <c r="L224" s="4">
        <v>0</v>
      </c>
      <c r="M224" s="2">
        <v>501.71939107556835</v>
      </c>
      <c r="N224" s="1">
        <v>31</v>
      </c>
      <c r="O224" s="3">
        <v>33338.979110255423</v>
      </c>
      <c r="P224" s="2">
        <v>348.15812326323481</v>
      </c>
      <c r="Q224" s="2">
        <v>55.536803150499736</v>
      </c>
      <c r="R224" s="2">
        <v>947.90197900063697</v>
      </c>
      <c r="S224" s="2">
        <v>684.30903785285807</v>
      </c>
      <c r="T224">
        <v>684.30903785285807</v>
      </c>
    </row>
    <row r="225" spans="2:20" x14ac:dyDescent="0.25">
      <c r="B225" s="10">
        <v>512</v>
      </c>
      <c r="C225" s="10">
        <v>9</v>
      </c>
      <c r="D225" s="9" t="s">
        <v>347</v>
      </c>
      <c r="E225" s="8">
        <v>262.22949490801233</v>
      </c>
      <c r="F225" s="7">
        <v>252155.35</v>
      </c>
      <c r="G225" s="7">
        <v>7488</v>
      </c>
      <c r="H225" s="7">
        <v>244667.35</v>
      </c>
      <c r="I225" s="6">
        <v>933.0275760391753</v>
      </c>
      <c r="J225" s="6">
        <v>933.0275760391753</v>
      </c>
      <c r="K225" s="5">
        <v>244667.35</v>
      </c>
      <c r="L225" s="4">
        <v>0</v>
      </c>
      <c r="M225" s="2">
        <v>501.71939107556835</v>
      </c>
      <c r="N225" s="1">
        <v>31</v>
      </c>
      <c r="O225" s="3">
        <v>186026.75041660099</v>
      </c>
      <c r="P225" s="2">
        <v>348.15812326323481</v>
      </c>
      <c r="Q225" s="2">
        <v>55.536803150499736</v>
      </c>
      <c r="R225" s="2">
        <v>947.90197900063697</v>
      </c>
      <c r="S225" s="2">
        <v>933.0275760391753</v>
      </c>
      <c r="T225">
        <v>933.0275760391753</v>
      </c>
    </row>
    <row r="226" spans="2:20" x14ac:dyDescent="0.25">
      <c r="B226" s="10">
        <v>516</v>
      </c>
      <c r="C226" s="10">
        <v>9</v>
      </c>
      <c r="D226" s="9" t="s">
        <v>348</v>
      </c>
      <c r="E226" s="8">
        <v>310.39999999999998</v>
      </c>
      <c r="F226" s="7">
        <v>226131.67</v>
      </c>
      <c r="G226" s="7">
        <v>5086</v>
      </c>
      <c r="H226" s="7">
        <v>221045.67</v>
      </c>
      <c r="I226" s="6">
        <v>712.13166881443306</v>
      </c>
      <c r="J226" s="6">
        <v>712.13166881443306</v>
      </c>
      <c r="K226" s="5">
        <v>221045.67</v>
      </c>
      <c r="L226" s="4">
        <v>0</v>
      </c>
      <c r="M226" s="2">
        <v>501.71939107556835</v>
      </c>
      <c r="N226" s="1">
        <v>31</v>
      </c>
      <c r="O226" s="3">
        <v>44273.32662325714</v>
      </c>
      <c r="P226" s="2">
        <v>348.15812326323481</v>
      </c>
      <c r="Q226" s="2">
        <v>55.536803150499736</v>
      </c>
      <c r="R226" s="2">
        <v>947.90197900063697</v>
      </c>
      <c r="S226" s="2">
        <v>712.13166881443306</v>
      </c>
      <c r="T226">
        <v>712.13166881443306</v>
      </c>
    </row>
    <row r="227" spans="2:20" x14ac:dyDescent="0.25">
      <c r="B227" s="10">
        <v>521</v>
      </c>
      <c r="C227" s="10">
        <v>9</v>
      </c>
      <c r="D227" s="9" t="s">
        <v>349</v>
      </c>
      <c r="E227" s="8">
        <v>145.10087497077248</v>
      </c>
      <c r="F227" s="7">
        <v>329659.02</v>
      </c>
      <c r="G227" s="7">
        <v>26.55</v>
      </c>
      <c r="H227" s="7">
        <v>329632.47000000003</v>
      </c>
      <c r="I227" s="6">
        <v>2271.7469489167283</v>
      </c>
      <c r="J227" s="6">
        <v>947.90197900063697</v>
      </c>
      <c r="K227" s="5">
        <v>137541.40653951923</v>
      </c>
      <c r="L227" s="4">
        <v>0</v>
      </c>
      <c r="M227" s="2">
        <v>501.71939107556835</v>
      </c>
      <c r="N227" s="1">
        <v>31</v>
      </c>
      <c r="O227" s="3">
        <v>3132997.5555171408</v>
      </c>
      <c r="P227" s="2">
        <v>348.15812326323481</v>
      </c>
      <c r="Q227" s="2">
        <v>55.536803150499736</v>
      </c>
      <c r="R227" s="2">
        <v>947.90197900063697</v>
      </c>
      <c r="S227" s="2">
        <v>947.90197900063697</v>
      </c>
      <c r="T227">
        <v>936.70708843520356</v>
      </c>
    </row>
    <row r="228" spans="2:20" x14ac:dyDescent="0.25">
      <c r="B228" s="10">
        <v>522</v>
      </c>
      <c r="C228" s="10">
        <v>9</v>
      </c>
      <c r="D228" s="9" t="s">
        <v>350</v>
      </c>
      <c r="E228" s="8">
        <v>102.38011678774603</v>
      </c>
      <c r="F228" s="7">
        <v>92161.55</v>
      </c>
      <c r="G228" s="7">
        <v>12</v>
      </c>
      <c r="H228" s="7">
        <v>92149.55</v>
      </c>
      <c r="I228" s="6">
        <v>900.07271813377599</v>
      </c>
      <c r="J228" s="6">
        <v>900.07271813377599</v>
      </c>
      <c r="K228" s="5">
        <v>92149.55</v>
      </c>
      <c r="L228" s="4">
        <v>0</v>
      </c>
      <c r="M228" s="2">
        <v>501.71939107556835</v>
      </c>
      <c r="N228" s="1">
        <v>31</v>
      </c>
      <c r="O228" s="3">
        <v>158685.37317834335</v>
      </c>
      <c r="P228" s="2">
        <v>348.15812326323481</v>
      </c>
      <c r="Q228" s="2">
        <v>55.536803150499736</v>
      </c>
      <c r="R228" s="2">
        <v>947.90197900063697</v>
      </c>
      <c r="S228" s="2">
        <v>900.07271813377599</v>
      </c>
      <c r="T228">
        <v>900.07271813377599</v>
      </c>
    </row>
    <row r="229" spans="2:20" x14ac:dyDescent="0.25">
      <c r="B229" s="10">
        <v>523</v>
      </c>
      <c r="C229" s="10">
        <v>9</v>
      </c>
      <c r="D229" s="9" t="s">
        <v>351</v>
      </c>
      <c r="E229" s="8">
        <v>993.57561830440773</v>
      </c>
      <c r="F229" s="7">
        <v>216084.48000000001</v>
      </c>
      <c r="G229" s="7">
        <v>250</v>
      </c>
      <c r="H229" s="7">
        <v>215834.48</v>
      </c>
      <c r="I229" s="6">
        <v>217.23004874891515</v>
      </c>
      <c r="J229" s="6">
        <v>217.23004874891515</v>
      </c>
      <c r="K229" s="5">
        <v>215834.48</v>
      </c>
      <c r="L229" s="4">
        <v>0</v>
      </c>
      <c r="M229" s="2">
        <v>501.71939107556835</v>
      </c>
      <c r="N229" s="1">
        <v>31</v>
      </c>
      <c r="O229" s="3">
        <v>80934.185897451651</v>
      </c>
      <c r="P229" s="2">
        <v>348.15812326323481</v>
      </c>
      <c r="Q229" s="2">
        <v>55.536803150499736</v>
      </c>
      <c r="R229" s="2">
        <v>947.90197900063697</v>
      </c>
      <c r="S229" s="2">
        <v>217.23004874891515</v>
      </c>
      <c r="T229">
        <v>217.23004874891518</v>
      </c>
    </row>
    <row r="230" spans="2:20" x14ac:dyDescent="0.25">
      <c r="B230" s="10">
        <v>527</v>
      </c>
      <c r="C230" s="10">
        <v>9</v>
      </c>
      <c r="D230" s="9" t="s">
        <v>352</v>
      </c>
      <c r="E230" s="8">
        <v>216.73646169688556</v>
      </c>
      <c r="F230" s="7">
        <v>138023.98000000001</v>
      </c>
      <c r="G230" s="7">
        <v>1217.4000000000001</v>
      </c>
      <c r="H230" s="7">
        <v>136806.58000000002</v>
      </c>
      <c r="I230" s="6">
        <v>631.21165183239623</v>
      </c>
      <c r="J230" s="6">
        <v>631.21165183239623</v>
      </c>
      <c r="K230" s="5">
        <v>136806.58000000002</v>
      </c>
      <c r="L230" s="4">
        <v>0</v>
      </c>
      <c r="M230" s="2">
        <v>501.71939107556835</v>
      </c>
      <c r="N230" s="1">
        <v>31</v>
      </c>
      <c r="O230" s="3">
        <v>16768.245595914304</v>
      </c>
      <c r="P230" s="2">
        <v>348.15812326323481</v>
      </c>
      <c r="Q230" s="2">
        <v>55.536803150499736</v>
      </c>
      <c r="R230" s="2">
        <v>947.90197900063697</v>
      </c>
      <c r="S230" s="2">
        <v>631.21165183239623</v>
      </c>
      <c r="T230">
        <v>631.21165183239623</v>
      </c>
    </row>
    <row r="231" spans="2:20" x14ac:dyDescent="0.25">
      <c r="B231" s="10">
        <v>543</v>
      </c>
      <c r="C231" s="10">
        <v>9</v>
      </c>
      <c r="D231" s="9" t="s">
        <v>353</v>
      </c>
      <c r="E231" s="8">
        <v>109.69317832214544</v>
      </c>
      <c r="F231" s="7">
        <v>17769.099999999999</v>
      </c>
      <c r="G231" s="7">
        <v>0</v>
      </c>
      <c r="H231" s="7">
        <v>17769.099999999999</v>
      </c>
      <c r="I231" s="6">
        <v>161.98910699638901</v>
      </c>
      <c r="J231" s="6">
        <v>161.98910699638901</v>
      </c>
      <c r="K231" s="5">
        <v>17769.099999999999</v>
      </c>
      <c r="L231" s="4">
        <v>0</v>
      </c>
      <c r="M231" s="2">
        <v>501.71939107556835</v>
      </c>
      <c r="N231" s="1">
        <v>31</v>
      </c>
      <c r="O231" s="3">
        <v>115416.6659205199</v>
      </c>
      <c r="P231" s="2">
        <v>348.15812326323481</v>
      </c>
      <c r="Q231" s="2">
        <v>55.536803150499736</v>
      </c>
      <c r="R231" s="2">
        <v>947.90197900063697</v>
      </c>
      <c r="S231" s="2">
        <v>161.98910699638901</v>
      </c>
      <c r="T231">
        <v>161.98910699638904</v>
      </c>
    </row>
    <row r="232" spans="2:20" x14ac:dyDescent="0.25">
      <c r="B232" s="1">
        <v>547</v>
      </c>
      <c r="C232" s="1">
        <v>9</v>
      </c>
      <c r="D232" t="s">
        <v>354</v>
      </c>
      <c r="E232" s="8">
        <v>267.84797229829576</v>
      </c>
      <c r="F232" s="7">
        <v>107190.29</v>
      </c>
      <c r="G232" s="7">
        <v>0</v>
      </c>
      <c r="H232" s="7">
        <v>107190.29</v>
      </c>
      <c r="I232" s="6">
        <v>400.19078389969957</v>
      </c>
      <c r="J232" s="6">
        <v>400.19078389969957</v>
      </c>
      <c r="K232" s="5">
        <v>107190.29</v>
      </c>
      <c r="L232" s="4">
        <v>0</v>
      </c>
      <c r="M232" s="2">
        <v>501.71939107556835</v>
      </c>
      <c r="N232" s="1">
        <v>31</v>
      </c>
      <c r="O232" s="3">
        <v>10308.058075071875</v>
      </c>
      <c r="P232" s="2">
        <v>348.15812326323481</v>
      </c>
      <c r="Q232" s="2">
        <v>55.536803150499736</v>
      </c>
      <c r="R232" s="2">
        <v>947.90197900063697</v>
      </c>
      <c r="S232" s="2">
        <v>400.19078389969957</v>
      </c>
      <c r="T232">
        <v>400.19078389969957</v>
      </c>
    </row>
    <row r="233" spans="2:20" x14ac:dyDescent="0.25">
      <c r="B233" s="1">
        <v>552</v>
      </c>
      <c r="C233" s="1">
        <v>9</v>
      </c>
      <c r="D233" t="s">
        <v>355</v>
      </c>
      <c r="E233" s="8">
        <v>157.69</v>
      </c>
      <c r="F233" s="7">
        <v>86459.07</v>
      </c>
      <c r="G233" s="7">
        <v>114</v>
      </c>
      <c r="H233" s="7">
        <v>86345.07</v>
      </c>
      <c r="I233" s="6">
        <v>547.56211554315439</v>
      </c>
      <c r="J233" s="6">
        <v>547.56211554315439</v>
      </c>
      <c r="K233" s="5">
        <v>86345.070000000022</v>
      </c>
      <c r="L233" s="4">
        <v>0</v>
      </c>
      <c r="M233" s="2">
        <v>501.71939107556835</v>
      </c>
      <c r="N233" s="1">
        <v>31</v>
      </c>
      <c r="O233" s="3">
        <v>2101.5553866110117</v>
      </c>
      <c r="P233" s="2">
        <v>348.15812326323481</v>
      </c>
      <c r="Q233" s="2">
        <v>55.536803150499736</v>
      </c>
      <c r="R233" s="2">
        <v>947.90197900063697</v>
      </c>
      <c r="S233" s="2">
        <v>547.56211554315439</v>
      </c>
      <c r="T233">
        <v>547.56211554315439</v>
      </c>
    </row>
    <row r="234" spans="2:20" x14ac:dyDescent="0.25">
      <c r="B234" s="1">
        <v>567</v>
      </c>
      <c r="C234" s="1">
        <v>9</v>
      </c>
      <c r="D234" t="s">
        <v>356</v>
      </c>
      <c r="E234" s="8">
        <v>345.20368649905589</v>
      </c>
      <c r="F234" s="7">
        <v>214683.99</v>
      </c>
      <c r="G234" s="7">
        <v>0</v>
      </c>
      <c r="H234" s="7">
        <v>214683.99</v>
      </c>
      <c r="I234" s="6">
        <v>621.9052646200148</v>
      </c>
      <c r="J234" s="6">
        <v>621.9052646200148</v>
      </c>
      <c r="K234" s="5">
        <v>214683.99</v>
      </c>
      <c r="L234" s="4">
        <v>0</v>
      </c>
      <c r="M234" s="2">
        <v>501.71939107556835</v>
      </c>
      <c r="N234" s="1">
        <v>31</v>
      </c>
      <c r="O234" s="3">
        <v>14444.644199641674</v>
      </c>
      <c r="P234" s="2">
        <v>348.15812326323481</v>
      </c>
      <c r="Q234" s="2">
        <v>55.536803150499736</v>
      </c>
      <c r="R234" s="2">
        <v>947.90197900063697</v>
      </c>
      <c r="S234" s="2">
        <v>621.9052646200148</v>
      </c>
      <c r="T234">
        <v>621.9052646200148</v>
      </c>
    </row>
    <row r="235" spans="2:20" x14ac:dyDescent="0.25">
      <c r="B235" s="1">
        <v>629</v>
      </c>
      <c r="C235" s="1">
        <v>9</v>
      </c>
      <c r="D235" t="s">
        <v>357</v>
      </c>
      <c r="E235" s="8">
        <v>290.37732735999128</v>
      </c>
      <c r="F235" s="7">
        <v>217896.35</v>
      </c>
      <c r="G235" s="7">
        <v>4075.67</v>
      </c>
      <c r="H235" s="7">
        <v>213820.68</v>
      </c>
      <c r="I235" s="6">
        <v>736.35459746111223</v>
      </c>
      <c r="J235" s="6">
        <v>736.35459746111223</v>
      </c>
      <c r="K235" s="5">
        <v>213820.68</v>
      </c>
      <c r="L235" s="4">
        <v>0</v>
      </c>
      <c r="M235" s="2">
        <v>501.71939107556835</v>
      </c>
      <c r="N235" s="1">
        <v>31</v>
      </c>
      <c r="O235" s="3">
        <v>55053.680075586773</v>
      </c>
      <c r="P235" s="2">
        <v>348.15812326323481</v>
      </c>
      <c r="Q235" s="2">
        <v>55.536803150499736</v>
      </c>
      <c r="R235" s="2">
        <v>947.90197900063697</v>
      </c>
      <c r="S235" s="2">
        <v>736.35459746111223</v>
      </c>
      <c r="T235">
        <v>748.62370274006275</v>
      </c>
    </row>
    <row r="236" spans="2:20" x14ac:dyDescent="0.25">
      <c r="B236" s="1">
        <v>630</v>
      </c>
      <c r="C236" s="1">
        <v>9</v>
      </c>
      <c r="D236" t="s">
        <v>358</v>
      </c>
      <c r="E236" s="8">
        <v>177.63814288391026</v>
      </c>
      <c r="F236" s="7">
        <v>132282.18</v>
      </c>
      <c r="G236" s="7">
        <v>6933.63</v>
      </c>
      <c r="H236" s="7">
        <v>125348.54999999999</v>
      </c>
      <c r="I236" s="6">
        <v>705.6398359327452</v>
      </c>
      <c r="J236" s="6">
        <v>705.6398359327452</v>
      </c>
      <c r="K236" s="5">
        <v>125348.54999999999</v>
      </c>
      <c r="L236" s="4">
        <v>0</v>
      </c>
      <c r="M236" s="2">
        <v>501.71939107556835</v>
      </c>
      <c r="N236" s="1">
        <v>31</v>
      </c>
      <c r="O236" s="3">
        <v>41583.547830748903</v>
      </c>
      <c r="P236" s="2">
        <v>348.15812326323481</v>
      </c>
      <c r="Q236" s="2">
        <v>55.536803150499736</v>
      </c>
      <c r="R236" s="2">
        <v>947.90197900063697</v>
      </c>
      <c r="S236" s="2">
        <v>705.6398359327452</v>
      </c>
      <c r="T236">
        <v>705.6398359327452</v>
      </c>
    </row>
    <row r="237" spans="2:20" x14ac:dyDescent="0.25">
      <c r="B237" s="1">
        <v>695</v>
      </c>
      <c r="C237" s="1">
        <v>9</v>
      </c>
      <c r="D237" t="s">
        <v>359</v>
      </c>
      <c r="E237" s="8">
        <v>35.621696565025509</v>
      </c>
      <c r="F237" s="7">
        <v>13485.03</v>
      </c>
      <c r="G237" s="7">
        <v>0</v>
      </c>
      <c r="H237" s="7">
        <v>13485.03</v>
      </c>
      <c r="I237" s="6">
        <v>378.56226121582381</v>
      </c>
      <c r="J237" s="6">
        <v>378.56226121582381</v>
      </c>
      <c r="K237" s="5">
        <v>13485.03</v>
      </c>
      <c r="L237" s="4">
        <v>0</v>
      </c>
      <c r="M237" s="2">
        <v>501.71939107556835</v>
      </c>
      <c r="N237" s="1">
        <v>31</v>
      </c>
      <c r="O237" s="3">
        <v>15167.678635289982</v>
      </c>
      <c r="P237" s="2">
        <v>348.15812326323481</v>
      </c>
      <c r="Q237" s="2">
        <v>55.536803150499736</v>
      </c>
      <c r="R237" s="2">
        <v>947.90197900063697</v>
      </c>
      <c r="S237" s="2">
        <v>378.56226121582381</v>
      </c>
      <c r="T237">
        <v>378.56226121582387</v>
      </c>
    </row>
    <row r="238" spans="2:20" x14ac:dyDescent="0.25">
      <c r="B238" s="1">
        <v>771</v>
      </c>
      <c r="C238" s="1">
        <v>9</v>
      </c>
      <c r="D238" t="s">
        <v>360</v>
      </c>
      <c r="E238" s="8">
        <v>181.02955933495303</v>
      </c>
      <c r="F238" s="7">
        <v>63376.55</v>
      </c>
      <c r="G238" s="7">
        <v>0</v>
      </c>
      <c r="H238" s="7">
        <v>63376.55</v>
      </c>
      <c r="I238" s="6">
        <v>350.08951152964175</v>
      </c>
      <c r="J238" s="6">
        <v>350.08951152964175</v>
      </c>
      <c r="K238" s="5">
        <v>63376.55000000001</v>
      </c>
      <c r="L238" s="4">
        <v>0</v>
      </c>
      <c r="M238" s="2">
        <v>501.71939107556835</v>
      </c>
      <c r="N238" s="1">
        <v>31</v>
      </c>
      <c r="O238" s="3">
        <v>22991.620371112211</v>
      </c>
      <c r="P238" s="2">
        <v>348.15812326323481</v>
      </c>
      <c r="Q238" s="2">
        <v>55.536803150499736</v>
      </c>
      <c r="R238" s="2">
        <v>947.90197900063697</v>
      </c>
      <c r="S238" s="2">
        <v>350.08951152964175</v>
      </c>
      <c r="T238">
        <v>323.51480347115876</v>
      </c>
    </row>
    <row r="239" spans="2:20" x14ac:dyDescent="0.25">
      <c r="B239" s="1">
        <v>936</v>
      </c>
      <c r="C239" s="1">
        <v>9</v>
      </c>
      <c r="D239" t="s">
        <v>362</v>
      </c>
      <c r="E239" s="8">
        <v>34.939906270824778</v>
      </c>
      <c r="F239" s="7">
        <v>51395.07</v>
      </c>
      <c r="G239" s="7">
        <v>0</v>
      </c>
      <c r="H239" s="7">
        <v>51395.07</v>
      </c>
      <c r="I239" s="6">
        <v>1470.9561497282971</v>
      </c>
      <c r="J239" s="6">
        <v>947.90197900063697</v>
      </c>
      <c r="K239" s="5">
        <v>33119.60630021157</v>
      </c>
      <c r="L239" s="4">
        <v>0</v>
      </c>
      <c r="M239" s="2">
        <v>501.71939107556835</v>
      </c>
      <c r="N239" s="1">
        <v>31</v>
      </c>
      <c r="O239" s="3">
        <v>939419.89432364784</v>
      </c>
      <c r="P239" s="2">
        <v>348.15812326323481</v>
      </c>
      <c r="Q239" s="2">
        <v>55.536803150499736</v>
      </c>
      <c r="R239" s="2">
        <v>947.90197900063697</v>
      </c>
      <c r="S239" s="2">
        <v>947.90197900063697</v>
      </c>
      <c r="T239">
        <v>936.70708843520356</v>
      </c>
    </row>
    <row r="240" spans="2:20" x14ac:dyDescent="0.25">
      <c r="B240" s="1">
        <v>952</v>
      </c>
      <c r="C240" s="1">
        <v>9</v>
      </c>
      <c r="D240" t="s">
        <v>363</v>
      </c>
      <c r="E240" s="8">
        <v>76.450104358247401</v>
      </c>
      <c r="F240" s="7">
        <v>92443.12</v>
      </c>
      <c r="G240" s="7">
        <v>8191.3899999999994</v>
      </c>
      <c r="H240" s="7">
        <v>84251.73</v>
      </c>
      <c r="I240" s="6">
        <v>1102.0485937493813</v>
      </c>
      <c r="J240" s="6">
        <v>947.90197900063697</v>
      </c>
      <c r="K240" s="5">
        <v>72467.205215987939</v>
      </c>
      <c r="L240" s="4">
        <v>0</v>
      </c>
      <c r="M240" s="2">
        <v>501.71939107556835</v>
      </c>
      <c r="N240" s="1">
        <v>31</v>
      </c>
      <c r="O240" s="3">
        <v>360395.15158297593</v>
      </c>
      <c r="P240" s="2">
        <v>348.15812326323481</v>
      </c>
      <c r="Q240" s="2">
        <v>55.536803150499736</v>
      </c>
      <c r="R240" s="2">
        <v>947.90197900063697</v>
      </c>
      <c r="S240" s="2">
        <v>947.90197900063697</v>
      </c>
      <c r="T240">
        <v>936.70708843520356</v>
      </c>
    </row>
    <row r="241" spans="2:20" x14ac:dyDescent="0.25">
      <c r="B241" s="1">
        <v>982</v>
      </c>
      <c r="C241" s="1">
        <v>9</v>
      </c>
      <c r="D241" t="s">
        <v>364</v>
      </c>
      <c r="E241" s="8">
        <v>72.709809455197856</v>
      </c>
      <c r="F241" s="7">
        <v>31311.42</v>
      </c>
      <c r="G241" s="7">
        <v>0</v>
      </c>
      <c r="H241" s="7">
        <v>31311.42</v>
      </c>
      <c r="I241" s="6">
        <v>430.63542917539053</v>
      </c>
      <c r="J241" s="6">
        <v>430.63542917539053</v>
      </c>
      <c r="K241" s="5">
        <v>31311.42</v>
      </c>
      <c r="L241" s="4">
        <v>0</v>
      </c>
      <c r="M241" s="2">
        <v>501.71939107556835</v>
      </c>
      <c r="N241" s="1">
        <v>31</v>
      </c>
      <c r="O241" s="3">
        <v>5052.9296394259327</v>
      </c>
      <c r="P241" s="2">
        <v>348.15812326323481</v>
      </c>
      <c r="Q241" s="2">
        <v>55.536803150499736</v>
      </c>
      <c r="R241" s="2">
        <v>947.90197900063697</v>
      </c>
      <c r="S241" s="2">
        <v>430.63542917539053</v>
      </c>
      <c r="T241">
        <v>430.63542917539064</v>
      </c>
    </row>
    <row r="242" spans="2:20" x14ac:dyDescent="0.25">
      <c r="B242" s="1">
        <v>987</v>
      </c>
      <c r="C242" s="1">
        <v>9</v>
      </c>
      <c r="D242" t="s">
        <v>365</v>
      </c>
      <c r="E242" s="8">
        <v>234.96879046502553</v>
      </c>
      <c r="F242" s="7">
        <v>28116.76</v>
      </c>
      <c r="G242" s="7">
        <v>0</v>
      </c>
      <c r="H242" s="7">
        <v>28116.76</v>
      </c>
      <c r="I242" s="6">
        <v>119.66167908663215</v>
      </c>
      <c r="J242" s="6">
        <v>119.66167908663215</v>
      </c>
      <c r="K242" s="5">
        <v>28116.76</v>
      </c>
      <c r="L242" s="4">
        <v>0</v>
      </c>
      <c r="M242" s="2">
        <v>501.71939107556835</v>
      </c>
      <c r="N242" s="1">
        <v>31</v>
      </c>
      <c r="O242" s="3">
        <v>145968.09529022092</v>
      </c>
      <c r="P242" s="2">
        <v>348.15812326323481</v>
      </c>
      <c r="Q242" s="2">
        <v>55.536803150499736</v>
      </c>
      <c r="R242" s="2">
        <v>947.90197900063697</v>
      </c>
      <c r="S242" s="2">
        <v>119.66167908663215</v>
      </c>
      <c r="T242">
        <v>119.66167908663213</v>
      </c>
    </row>
  </sheetData>
  <conditionalFormatting sqref="E6:S242">
    <cfRule type="expression" dxfId="3" priority="4">
      <formula>$C6&lt;&gt;$C5</formula>
    </cfRule>
  </conditionalFormatting>
  <conditionalFormatting sqref="B6:D231">
    <cfRule type="expression" dxfId="2" priority="3">
      <formula>$C6&lt;&gt;$C5</formula>
    </cfRule>
  </conditionalFormatting>
  <conditionalFormatting sqref="J6:J242">
    <cfRule type="expression" dxfId="1" priority="2">
      <formula>$J6&lt;$I6=TRUE</formula>
    </cfRule>
  </conditionalFormatting>
  <conditionalFormatting sqref="T6:T160">
    <cfRule type="expression" dxfId="0" priority="1">
      <formula>$C6&lt;&gt;$C5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99FF"/>
  </sheetPr>
  <dimension ref="A1:L248"/>
  <sheetViews>
    <sheetView workbookViewId="0">
      <selection activeCell="C17" sqref="C17"/>
    </sheetView>
  </sheetViews>
  <sheetFormatPr defaultRowHeight="15" x14ac:dyDescent="0.25"/>
  <cols>
    <col min="3" max="3" width="43.42578125" customWidth="1"/>
    <col min="4" max="4" width="12" customWidth="1"/>
    <col min="5" max="5" width="10.85546875" customWidth="1"/>
    <col min="6" max="7" width="11.5703125" customWidth="1"/>
    <col min="8" max="8" width="10.85546875" customWidth="1"/>
    <col min="9" max="9" width="10.42578125" customWidth="1"/>
    <col min="10" max="11" width="11.5703125" customWidth="1"/>
    <col min="12" max="12" width="14.85546875" customWidth="1"/>
  </cols>
  <sheetData>
    <row r="1" spans="1:12" x14ac:dyDescent="0.25">
      <c r="D1" s="234">
        <v>0.16666666666666666</v>
      </c>
      <c r="E1" s="234">
        <v>8.3333333333333329E-2</v>
      </c>
      <c r="F1" s="234">
        <v>8.3333333333333329E-2</v>
      </c>
      <c r="G1" s="234">
        <v>0.16666666666666666</v>
      </c>
      <c r="H1" s="234">
        <v>0.16666666666666666</v>
      </c>
      <c r="I1" s="234">
        <v>0.1111111111111111</v>
      </c>
      <c r="J1" s="234">
        <v>0.1111111111111111</v>
      </c>
      <c r="K1" s="234">
        <v>0.1111111111111111</v>
      </c>
    </row>
    <row r="2" spans="1:12" ht="15.75" thickBot="1" x14ac:dyDescent="0.3">
      <c r="A2" s="209" t="s">
        <v>111</v>
      </c>
      <c r="B2" s="1"/>
      <c r="D2" s="210">
        <v>0.16666666666666666</v>
      </c>
      <c r="E2" s="210">
        <v>8.3333333333333329E-2</v>
      </c>
      <c r="F2" s="210">
        <v>8.3333333333333329E-2</v>
      </c>
      <c r="G2" s="210">
        <v>0.16666666666666666</v>
      </c>
      <c r="H2" s="210">
        <v>0.16666666666666666</v>
      </c>
      <c r="I2" s="210">
        <v>0.1111111111111111</v>
      </c>
      <c r="J2" s="210">
        <v>0.1111111111111111</v>
      </c>
      <c r="K2" s="210">
        <v>0.1111111111111111</v>
      </c>
      <c r="L2" s="210">
        <f>SUM(D2:K2)</f>
        <v>1</v>
      </c>
    </row>
    <row r="3" spans="1:12" ht="15.75" thickBot="1" x14ac:dyDescent="0.3">
      <c r="A3" s="211" t="s">
        <v>11</v>
      </c>
      <c r="B3" s="211" t="s">
        <v>10</v>
      </c>
      <c r="C3" s="211" t="s">
        <v>112</v>
      </c>
      <c r="D3" s="212">
        <v>1</v>
      </c>
      <c r="E3" s="212">
        <v>2</v>
      </c>
      <c r="F3" s="212">
        <v>3</v>
      </c>
      <c r="G3" s="212" t="s">
        <v>113</v>
      </c>
      <c r="H3" s="212" t="s">
        <v>114</v>
      </c>
      <c r="I3" s="212">
        <v>5</v>
      </c>
      <c r="J3" s="212">
        <v>6</v>
      </c>
      <c r="K3" s="212">
        <v>7</v>
      </c>
      <c r="L3" s="235" t="s">
        <v>118</v>
      </c>
    </row>
    <row r="4" spans="1:12" x14ac:dyDescent="0.25">
      <c r="A4" s="12">
        <v>1</v>
      </c>
      <c r="B4" s="12">
        <v>1</v>
      </c>
      <c r="C4" s="11" t="s">
        <v>125</v>
      </c>
      <c r="D4" s="236">
        <v>1</v>
      </c>
      <c r="E4" s="237">
        <v>1</v>
      </c>
      <c r="F4" s="237">
        <v>0.75</v>
      </c>
      <c r="G4" s="237">
        <v>0.99771428571428578</v>
      </c>
      <c r="H4" s="237">
        <v>1</v>
      </c>
      <c r="I4" s="236">
        <v>1</v>
      </c>
      <c r="J4" s="237">
        <v>1</v>
      </c>
      <c r="K4" s="236">
        <v>1</v>
      </c>
      <c r="L4" s="22">
        <f>(D4*$D$2+E4*$E$2+F4*$F$2+G4*$G$2+H4*$H$2+I4*$I$2+J4*$J$2+K4*$K$2)</f>
        <v>0.97878571428571437</v>
      </c>
    </row>
    <row r="5" spans="1:12" x14ac:dyDescent="0.25">
      <c r="A5" s="10">
        <v>20</v>
      </c>
      <c r="B5" s="10">
        <v>1</v>
      </c>
      <c r="C5" s="9" t="s">
        <v>126</v>
      </c>
      <c r="D5" s="236">
        <v>0.5</v>
      </c>
      <c r="E5" s="237">
        <v>1</v>
      </c>
      <c r="F5" s="237">
        <v>1</v>
      </c>
      <c r="G5" s="237">
        <v>0.49885714285714289</v>
      </c>
      <c r="H5" s="237">
        <v>0.5</v>
      </c>
      <c r="I5" s="236">
        <v>1</v>
      </c>
      <c r="J5" s="237">
        <v>1</v>
      </c>
      <c r="K5" s="236">
        <v>1</v>
      </c>
      <c r="L5" s="22">
        <f t="shared" ref="L5:L68" si="0">(D5*$D$2+E5*$E$2+F5*$F$2+G5*$G$2+H5*$H$2+I5*$I$2+J5*$J$2+K5*$K$2)</f>
        <v>0.74980952380952393</v>
      </c>
    </row>
    <row r="6" spans="1:12" x14ac:dyDescent="0.25">
      <c r="A6" s="10">
        <v>50</v>
      </c>
      <c r="B6" s="10">
        <v>1</v>
      </c>
      <c r="C6" s="9" t="s">
        <v>127</v>
      </c>
      <c r="D6" s="236">
        <v>1</v>
      </c>
      <c r="E6" s="237">
        <v>0.83333333333333337</v>
      </c>
      <c r="F6" s="237">
        <v>1</v>
      </c>
      <c r="G6" s="237">
        <v>0.49885714285714289</v>
      </c>
      <c r="H6" s="237">
        <v>0.5</v>
      </c>
      <c r="I6" s="236">
        <v>1</v>
      </c>
      <c r="J6" s="237">
        <v>1</v>
      </c>
      <c r="K6" s="236">
        <v>1</v>
      </c>
      <c r="L6" s="22">
        <f t="shared" si="0"/>
        <v>0.81925396825396835</v>
      </c>
    </row>
    <row r="7" spans="1:12" x14ac:dyDescent="0.25">
      <c r="A7" s="10">
        <v>97</v>
      </c>
      <c r="B7" s="10">
        <v>1</v>
      </c>
      <c r="C7" s="9" t="s">
        <v>128</v>
      </c>
      <c r="D7" s="236">
        <v>0.66666666666666663</v>
      </c>
      <c r="E7" s="237">
        <v>1</v>
      </c>
      <c r="F7" s="237">
        <v>0.87499999999999989</v>
      </c>
      <c r="G7" s="237">
        <v>0.49885714285714289</v>
      </c>
      <c r="H7" s="237">
        <v>1</v>
      </c>
      <c r="I7" s="236">
        <v>1</v>
      </c>
      <c r="J7" s="237">
        <v>1</v>
      </c>
      <c r="K7" s="236">
        <v>1</v>
      </c>
      <c r="L7" s="22">
        <f t="shared" si="0"/>
        <v>0.85050396825396835</v>
      </c>
    </row>
    <row r="8" spans="1:12" x14ac:dyDescent="0.25">
      <c r="A8" s="10">
        <v>172</v>
      </c>
      <c r="B8" s="10">
        <v>1</v>
      </c>
      <c r="C8" s="9" t="s">
        <v>129</v>
      </c>
      <c r="D8" s="236">
        <v>1</v>
      </c>
      <c r="E8" s="237">
        <v>1</v>
      </c>
      <c r="F8" s="237">
        <v>0.375</v>
      </c>
      <c r="G8" s="237">
        <v>0.74828571428571433</v>
      </c>
      <c r="H8" s="237">
        <v>0.75</v>
      </c>
      <c r="I8" s="236">
        <v>1</v>
      </c>
      <c r="J8" s="237">
        <v>1</v>
      </c>
      <c r="K8" s="236">
        <v>1</v>
      </c>
      <c r="L8" s="22">
        <f t="shared" si="0"/>
        <v>0.86429761904761926</v>
      </c>
    </row>
    <row r="9" spans="1:12" x14ac:dyDescent="0.25">
      <c r="A9" s="10">
        <v>270</v>
      </c>
      <c r="B9" s="10">
        <v>1</v>
      </c>
      <c r="C9" s="9" t="s">
        <v>130</v>
      </c>
      <c r="D9" s="236">
        <v>1</v>
      </c>
      <c r="E9" s="237">
        <v>1</v>
      </c>
      <c r="F9" s="237">
        <v>0.87499999999999989</v>
      </c>
      <c r="G9" s="237">
        <v>0.49885714285714289</v>
      </c>
      <c r="H9" s="237">
        <v>0.25</v>
      </c>
      <c r="I9" s="236">
        <v>1</v>
      </c>
      <c r="J9" s="237">
        <v>1</v>
      </c>
      <c r="K9" s="236">
        <v>1</v>
      </c>
      <c r="L9" s="22">
        <f t="shared" si="0"/>
        <v>0.78105952380952393</v>
      </c>
    </row>
    <row r="10" spans="1:12" x14ac:dyDescent="0.25">
      <c r="A10" s="10">
        <v>6</v>
      </c>
      <c r="B10" s="10">
        <v>2</v>
      </c>
      <c r="C10" s="9" t="s">
        <v>131</v>
      </c>
      <c r="D10" s="236">
        <v>1</v>
      </c>
      <c r="E10" s="237">
        <v>1</v>
      </c>
      <c r="F10" s="237">
        <v>0.75</v>
      </c>
      <c r="G10" s="237">
        <v>0.49885714285714289</v>
      </c>
      <c r="H10" s="237">
        <v>0.25</v>
      </c>
      <c r="I10" s="236">
        <v>1</v>
      </c>
      <c r="J10" s="237">
        <v>1</v>
      </c>
      <c r="K10" s="236">
        <v>1</v>
      </c>
      <c r="L10" s="22">
        <f t="shared" si="0"/>
        <v>0.77064285714285718</v>
      </c>
    </row>
    <row r="11" spans="1:12" x14ac:dyDescent="0.25">
      <c r="A11" s="10">
        <v>18</v>
      </c>
      <c r="B11" s="10">
        <v>2</v>
      </c>
      <c r="C11" s="9" t="s">
        <v>132</v>
      </c>
      <c r="D11" s="236">
        <v>1</v>
      </c>
      <c r="E11" s="237">
        <v>1</v>
      </c>
      <c r="F11" s="237">
        <v>0.625</v>
      </c>
      <c r="G11" s="237">
        <v>0.24942857142857144</v>
      </c>
      <c r="H11" s="237">
        <v>0.75</v>
      </c>
      <c r="I11" s="236">
        <v>1</v>
      </c>
      <c r="J11" s="237">
        <v>1</v>
      </c>
      <c r="K11" s="236">
        <v>1</v>
      </c>
      <c r="L11" s="22">
        <f t="shared" si="0"/>
        <v>0.80198809523809533</v>
      </c>
    </row>
    <row r="12" spans="1:12" x14ac:dyDescent="0.25">
      <c r="A12" s="10">
        <v>53</v>
      </c>
      <c r="B12" s="10">
        <v>2</v>
      </c>
      <c r="C12" s="9" t="s">
        <v>133</v>
      </c>
      <c r="D12" s="236">
        <v>1</v>
      </c>
      <c r="E12" s="237">
        <v>1</v>
      </c>
      <c r="F12" s="237">
        <v>1</v>
      </c>
      <c r="G12" s="237">
        <v>0.24942857142857144</v>
      </c>
      <c r="H12" s="237">
        <v>0.5</v>
      </c>
      <c r="I12" s="236">
        <v>1</v>
      </c>
      <c r="J12" s="237">
        <v>0.66666666666666663</v>
      </c>
      <c r="K12" s="236">
        <v>1</v>
      </c>
      <c r="L12" s="22">
        <f t="shared" si="0"/>
        <v>0.75453439153439139</v>
      </c>
    </row>
    <row r="13" spans="1:12" x14ac:dyDescent="0.25">
      <c r="A13" s="10">
        <v>335</v>
      </c>
      <c r="B13" s="10">
        <v>2</v>
      </c>
      <c r="C13" s="9" t="s">
        <v>134</v>
      </c>
      <c r="D13" s="236">
        <v>0.66666666666666663</v>
      </c>
      <c r="E13" s="237">
        <v>1</v>
      </c>
      <c r="F13" s="237">
        <v>0.75</v>
      </c>
      <c r="G13" s="237">
        <v>0.99771428571428578</v>
      </c>
      <c r="H13" s="237">
        <v>0.5</v>
      </c>
      <c r="I13" s="236">
        <v>1</v>
      </c>
      <c r="J13" s="237">
        <v>1</v>
      </c>
      <c r="K13" s="236">
        <v>1</v>
      </c>
      <c r="L13" s="22">
        <f t="shared" si="0"/>
        <v>0.83989682539682553</v>
      </c>
    </row>
    <row r="14" spans="1:12" x14ac:dyDescent="0.25">
      <c r="A14" s="10">
        <v>357</v>
      </c>
      <c r="B14" s="10">
        <v>2</v>
      </c>
      <c r="C14" s="9" t="s">
        <v>135</v>
      </c>
      <c r="D14" s="238">
        <v>1</v>
      </c>
      <c r="E14" s="239">
        <v>1</v>
      </c>
      <c r="F14" s="239">
        <v>1</v>
      </c>
      <c r="G14" s="239">
        <v>0.99771428571428578</v>
      </c>
      <c r="H14" s="239">
        <v>0.5</v>
      </c>
      <c r="I14" s="238">
        <v>1</v>
      </c>
      <c r="J14" s="239">
        <v>1</v>
      </c>
      <c r="K14" s="238">
        <v>1</v>
      </c>
      <c r="L14" s="22">
        <f t="shared" si="0"/>
        <v>0.91628571428571437</v>
      </c>
    </row>
    <row r="15" spans="1:12" x14ac:dyDescent="0.25">
      <c r="A15" s="10">
        <v>441</v>
      </c>
      <c r="B15" s="10">
        <v>2</v>
      </c>
      <c r="C15" s="9" t="s">
        <v>136</v>
      </c>
      <c r="D15" s="238">
        <v>0.33333333333333331</v>
      </c>
      <c r="E15" s="239">
        <v>0.83333333333333337</v>
      </c>
      <c r="F15" s="239">
        <v>0.375</v>
      </c>
      <c r="G15" s="239">
        <v>0.49885714285714289</v>
      </c>
      <c r="H15" s="239">
        <v>0.75</v>
      </c>
      <c r="I15" s="238">
        <v>1</v>
      </c>
      <c r="J15" s="239">
        <v>1</v>
      </c>
      <c r="K15" s="238">
        <v>1</v>
      </c>
      <c r="L15" s="22">
        <f t="shared" si="0"/>
        <v>0.69772619047619044</v>
      </c>
    </row>
    <row r="16" spans="1:12" x14ac:dyDescent="0.25">
      <c r="A16" s="10">
        <v>14</v>
      </c>
      <c r="B16" s="10">
        <v>3</v>
      </c>
      <c r="C16" s="9" t="s">
        <v>137</v>
      </c>
      <c r="D16" s="238">
        <v>1</v>
      </c>
      <c r="E16" s="239">
        <v>0.83333333333333337</v>
      </c>
      <c r="F16" s="239">
        <v>0.75</v>
      </c>
      <c r="G16" s="239">
        <v>0.74828571428571433</v>
      </c>
      <c r="H16" s="239">
        <v>0.5</v>
      </c>
      <c r="I16" s="238">
        <v>1</v>
      </c>
      <c r="J16" s="239">
        <v>1</v>
      </c>
      <c r="K16" s="238">
        <v>1</v>
      </c>
      <c r="L16" s="22">
        <f t="shared" si="0"/>
        <v>0.83999206349206368</v>
      </c>
    </row>
    <row r="17" spans="1:12" x14ac:dyDescent="0.25">
      <c r="A17" s="10">
        <v>36</v>
      </c>
      <c r="B17" s="10">
        <v>3</v>
      </c>
      <c r="C17" s="9" t="s">
        <v>138</v>
      </c>
      <c r="D17" s="238">
        <v>0.83333333333333337</v>
      </c>
      <c r="E17" s="239">
        <v>1</v>
      </c>
      <c r="F17" s="239">
        <v>1</v>
      </c>
      <c r="G17" s="239">
        <v>0</v>
      </c>
      <c r="H17" s="239">
        <v>0.25</v>
      </c>
      <c r="I17" s="238">
        <v>1</v>
      </c>
      <c r="J17" s="239">
        <v>0.66666666666666663</v>
      </c>
      <c r="K17" s="238">
        <v>1</v>
      </c>
      <c r="L17" s="22">
        <f t="shared" si="0"/>
        <v>0.6435185185185186</v>
      </c>
    </row>
    <row r="18" spans="1:12" x14ac:dyDescent="0.25">
      <c r="A18" s="10">
        <v>55</v>
      </c>
      <c r="B18" s="10">
        <v>3</v>
      </c>
      <c r="C18" s="9" t="s">
        <v>139</v>
      </c>
      <c r="D18" s="238">
        <v>0</v>
      </c>
      <c r="E18" s="239">
        <v>0</v>
      </c>
      <c r="F18" s="239">
        <v>0</v>
      </c>
      <c r="G18" s="239">
        <v>0.49885714285714289</v>
      </c>
      <c r="H18" s="239">
        <v>0.25</v>
      </c>
      <c r="I18" s="238">
        <v>0</v>
      </c>
      <c r="J18" s="239">
        <v>0.33333333333333331</v>
      </c>
      <c r="K18" s="238">
        <v>1</v>
      </c>
      <c r="L18" s="22">
        <f t="shared" si="0"/>
        <v>0.27295767195767195</v>
      </c>
    </row>
    <row r="19" spans="1:12" x14ac:dyDescent="0.25">
      <c r="A19" s="10">
        <v>103</v>
      </c>
      <c r="B19" s="10">
        <v>3</v>
      </c>
      <c r="C19" s="9" t="s">
        <v>140</v>
      </c>
      <c r="D19" s="238">
        <v>0.83333333333333337</v>
      </c>
      <c r="E19" s="239">
        <v>0.83333333333333337</v>
      </c>
      <c r="F19" s="239">
        <v>0.5</v>
      </c>
      <c r="G19" s="239">
        <v>0.24942857142857144</v>
      </c>
      <c r="H19" s="239">
        <v>0.5</v>
      </c>
      <c r="I19" s="238">
        <v>0.375</v>
      </c>
      <c r="J19" s="239">
        <v>1</v>
      </c>
      <c r="K19" s="238">
        <v>1</v>
      </c>
      <c r="L19" s="22">
        <f t="shared" si="0"/>
        <v>0.63879365079365091</v>
      </c>
    </row>
    <row r="20" spans="1:12" x14ac:dyDescent="0.25">
      <c r="A20" s="10">
        <v>123</v>
      </c>
      <c r="B20" s="10">
        <v>3</v>
      </c>
      <c r="C20" s="9" t="s">
        <v>141</v>
      </c>
      <c r="D20" s="238">
        <v>1</v>
      </c>
      <c r="E20" s="239">
        <v>1</v>
      </c>
      <c r="F20" s="239">
        <v>0.625</v>
      </c>
      <c r="G20" s="239">
        <v>0</v>
      </c>
      <c r="H20" s="239">
        <v>0.75</v>
      </c>
      <c r="I20" s="238">
        <v>1</v>
      </c>
      <c r="J20" s="239">
        <v>1</v>
      </c>
      <c r="K20" s="238">
        <v>0.5</v>
      </c>
      <c r="L20" s="22">
        <f t="shared" si="0"/>
        <v>0.70486111111111116</v>
      </c>
    </row>
    <row r="21" spans="1:12" x14ac:dyDescent="0.25">
      <c r="A21" s="10">
        <v>179</v>
      </c>
      <c r="B21" s="10">
        <v>3</v>
      </c>
      <c r="C21" s="9" t="s">
        <v>142</v>
      </c>
      <c r="D21" s="238">
        <v>0.66666666666666663</v>
      </c>
      <c r="E21" s="239">
        <v>0.66666666666666663</v>
      </c>
      <c r="F21" s="239">
        <v>0.5</v>
      </c>
      <c r="G21" s="239">
        <v>0.49885714285714289</v>
      </c>
      <c r="H21" s="239">
        <v>0.5</v>
      </c>
      <c r="I21" s="238">
        <v>1</v>
      </c>
      <c r="J21" s="239">
        <v>0.66666666666666663</v>
      </c>
      <c r="K21" s="238">
        <v>1</v>
      </c>
      <c r="L21" s="22">
        <f t="shared" si="0"/>
        <v>0.67110582010581998</v>
      </c>
    </row>
    <row r="22" spans="1:12" x14ac:dyDescent="0.25">
      <c r="A22" s="10">
        <v>293</v>
      </c>
      <c r="B22" s="10">
        <v>3</v>
      </c>
      <c r="C22" s="9" t="s">
        <v>143</v>
      </c>
      <c r="D22" s="238">
        <v>1</v>
      </c>
      <c r="E22" s="239">
        <v>1</v>
      </c>
      <c r="F22" s="239">
        <v>1</v>
      </c>
      <c r="G22" s="239">
        <v>0.99771428571428578</v>
      </c>
      <c r="H22" s="239">
        <v>0.75</v>
      </c>
      <c r="I22" s="238">
        <v>1</v>
      </c>
      <c r="J22" s="239">
        <v>1</v>
      </c>
      <c r="K22" s="238">
        <v>1</v>
      </c>
      <c r="L22" s="22">
        <f t="shared" si="0"/>
        <v>0.95795238095238111</v>
      </c>
    </row>
    <row r="23" spans="1:12" x14ac:dyDescent="0.25">
      <c r="A23" s="10">
        <v>12</v>
      </c>
      <c r="B23" s="10">
        <v>4</v>
      </c>
      <c r="C23" s="9" t="s">
        <v>144</v>
      </c>
      <c r="D23" s="238">
        <v>1</v>
      </c>
      <c r="E23" s="239">
        <v>1</v>
      </c>
      <c r="F23" s="239">
        <v>1</v>
      </c>
      <c r="G23" s="239">
        <v>0.49885714285714289</v>
      </c>
      <c r="H23" s="239">
        <v>0</v>
      </c>
      <c r="I23" s="238">
        <v>1</v>
      </c>
      <c r="J23" s="239">
        <v>1</v>
      </c>
      <c r="K23" s="238">
        <v>1</v>
      </c>
      <c r="L23" s="22">
        <f t="shared" si="0"/>
        <v>0.74980952380952393</v>
      </c>
    </row>
    <row r="24" spans="1:12" x14ac:dyDescent="0.25">
      <c r="A24" s="10">
        <v>21</v>
      </c>
      <c r="B24" s="10">
        <v>4</v>
      </c>
      <c r="C24" s="9" t="s">
        <v>145</v>
      </c>
      <c r="D24" s="238">
        <v>1</v>
      </c>
      <c r="E24" s="239">
        <v>1</v>
      </c>
      <c r="F24" s="239">
        <v>0.87499999999999989</v>
      </c>
      <c r="G24" s="239">
        <v>0</v>
      </c>
      <c r="H24" s="239">
        <v>0.5</v>
      </c>
      <c r="I24" s="238">
        <v>1</v>
      </c>
      <c r="J24" s="239">
        <v>1</v>
      </c>
      <c r="K24" s="238">
        <v>1</v>
      </c>
      <c r="L24" s="22">
        <f t="shared" si="0"/>
        <v>0.73958333333333326</v>
      </c>
    </row>
    <row r="25" spans="1:12" x14ac:dyDescent="0.25">
      <c r="A25" s="10">
        <v>34</v>
      </c>
      <c r="B25" s="10">
        <v>4</v>
      </c>
      <c r="C25" s="9" t="s">
        <v>146</v>
      </c>
      <c r="D25" s="238">
        <v>0.33333333333333331</v>
      </c>
      <c r="E25" s="239">
        <v>0.33333333333333331</v>
      </c>
      <c r="F25" s="239">
        <v>0.375</v>
      </c>
      <c r="G25" s="239">
        <v>0.74828571428571433</v>
      </c>
      <c r="H25" s="239">
        <v>0.25</v>
      </c>
      <c r="I25" s="238">
        <v>1</v>
      </c>
      <c r="J25" s="239">
        <v>0.66666666666666663</v>
      </c>
      <c r="K25" s="238">
        <v>1</v>
      </c>
      <c r="L25" s="22">
        <f t="shared" si="0"/>
        <v>0.57726058201058206</v>
      </c>
    </row>
    <row r="26" spans="1:12" x14ac:dyDescent="0.25">
      <c r="A26" s="10">
        <v>87</v>
      </c>
      <c r="B26" s="10">
        <v>4</v>
      </c>
      <c r="C26" s="9" t="s">
        <v>147</v>
      </c>
      <c r="D26" s="238">
        <v>1</v>
      </c>
      <c r="E26" s="239">
        <v>1</v>
      </c>
      <c r="F26" s="239">
        <v>0.5</v>
      </c>
      <c r="G26" s="239">
        <v>0.74828571428571433</v>
      </c>
      <c r="H26" s="239">
        <v>0.75</v>
      </c>
      <c r="I26" s="238">
        <v>1</v>
      </c>
      <c r="J26" s="239">
        <v>1</v>
      </c>
      <c r="K26" s="238">
        <v>1</v>
      </c>
      <c r="L26" s="22">
        <f t="shared" si="0"/>
        <v>0.87471428571428578</v>
      </c>
    </row>
    <row r="27" spans="1:12" x14ac:dyDescent="0.25">
      <c r="A27" s="10">
        <v>88</v>
      </c>
      <c r="B27" s="10">
        <v>4</v>
      </c>
      <c r="C27" s="9" t="s">
        <v>148</v>
      </c>
      <c r="D27" s="238">
        <v>1</v>
      </c>
      <c r="E27" s="239">
        <v>0.83333333333333337</v>
      </c>
      <c r="F27" s="239">
        <v>0.87499999999999989</v>
      </c>
      <c r="G27" s="239">
        <v>0.99771428571428578</v>
      </c>
      <c r="H27" s="239">
        <v>1</v>
      </c>
      <c r="I27" s="238">
        <v>1</v>
      </c>
      <c r="J27" s="239">
        <v>0.83333333333333337</v>
      </c>
      <c r="K27" s="238">
        <v>1</v>
      </c>
      <c r="L27" s="22">
        <f t="shared" si="0"/>
        <v>0.95679497354497345</v>
      </c>
    </row>
    <row r="28" spans="1:12" x14ac:dyDescent="0.25">
      <c r="A28" s="10">
        <v>89</v>
      </c>
      <c r="B28" s="10">
        <v>4</v>
      </c>
      <c r="C28" s="9" t="s">
        <v>149</v>
      </c>
      <c r="D28" s="238">
        <v>0.66666666666666663</v>
      </c>
      <c r="E28" s="239">
        <v>1</v>
      </c>
      <c r="F28" s="239">
        <v>0.5</v>
      </c>
      <c r="G28" s="239">
        <v>0.99771428571428578</v>
      </c>
      <c r="H28" s="239">
        <v>0</v>
      </c>
      <c r="I28" s="238">
        <v>1</v>
      </c>
      <c r="J28" s="239">
        <v>0.66666666666666663</v>
      </c>
      <c r="K28" s="238">
        <v>1</v>
      </c>
      <c r="L28" s="22">
        <f t="shared" si="0"/>
        <v>0.69869312169312159</v>
      </c>
    </row>
    <row r="29" spans="1:12" x14ac:dyDescent="0.25">
      <c r="A29" s="10">
        <v>143</v>
      </c>
      <c r="B29" s="10">
        <v>4</v>
      </c>
      <c r="C29" s="9" t="s">
        <v>150</v>
      </c>
      <c r="D29" s="238">
        <v>0.83333333333333337</v>
      </c>
      <c r="E29" s="239">
        <v>0.83333333333333337</v>
      </c>
      <c r="F29" s="239">
        <v>0.5</v>
      </c>
      <c r="G29" s="239">
        <v>0.24942857142857144</v>
      </c>
      <c r="H29" s="239">
        <v>1</v>
      </c>
      <c r="I29" s="238">
        <v>1</v>
      </c>
      <c r="J29" s="239">
        <v>1</v>
      </c>
      <c r="K29" s="238">
        <v>1</v>
      </c>
      <c r="L29" s="22">
        <f t="shared" si="0"/>
        <v>0.79157142857142859</v>
      </c>
    </row>
    <row r="30" spans="1:12" x14ac:dyDescent="0.25">
      <c r="A30" s="10">
        <v>183</v>
      </c>
      <c r="B30" s="10">
        <v>4</v>
      </c>
      <c r="C30" s="9" t="s">
        <v>151</v>
      </c>
      <c r="D30" s="238">
        <v>1</v>
      </c>
      <c r="E30" s="239">
        <v>1</v>
      </c>
      <c r="F30" s="239">
        <v>1</v>
      </c>
      <c r="G30" s="239">
        <v>0.74828571428571433</v>
      </c>
      <c r="H30" s="239">
        <v>0.5</v>
      </c>
      <c r="I30" s="238">
        <v>1</v>
      </c>
      <c r="J30" s="239">
        <v>1</v>
      </c>
      <c r="K30" s="238">
        <v>1</v>
      </c>
      <c r="L30" s="22">
        <f t="shared" si="0"/>
        <v>0.87471428571428578</v>
      </c>
    </row>
    <row r="31" spans="1:12" x14ac:dyDescent="0.25">
      <c r="A31" s="10">
        <v>186</v>
      </c>
      <c r="B31" s="10">
        <v>4</v>
      </c>
      <c r="C31" s="9" t="s">
        <v>152</v>
      </c>
      <c r="D31" s="238">
        <v>1</v>
      </c>
      <c r="E31" s="239">
        <v>1</v>
      </c>
      <c r="F31" s="239">
        <v>0.75</v>
      </c>
      <c r="G31" s="239">
        <v>0.74828571428571433</v>
      </c>
      <c r="H31" s="239">
        <v>0.25</v>
      </c>
      <c r="I31" s="238">
        <v>1</v>
      </c>
      <c r="J31" s="239">
        <v>0.66666666666666663</v>
      </c>
      <c r="K31" s="238">
        <v>1</v>
      </c>
      <c r="L31" s="22">
        <f t="shared" si="0"/>
        <v>0.77517724867724858</v>
      </c>
    </row>
    <row r="32" spans="1:12" x14ac:dyDescent="0.25">
      <c r="A32" s="10">
        <v>190</v>
      </c>
      <c r="B32" s="10">
        <v>4</v>
      </c>
      <c r="C32" s="9" t="s">
        <v>153</v>
      </c>
      <c r="D32" s="238">
        <v>1</v>
      </c>
      <c r="E32" s="239">
        <v>1</v>
      </c>
      <c r="F32" s="239">
        <v>0.25</v>
      </c>
      <c r="G32" s="239">
        <v>0.24942857142857144</v>
      </c>
      <c r="H32" s="239">
        <v>0.5</v>
      </c>
      <c r="I32" s="238">
        <v>1</v>
      </c>
      <c r="J32" s="239">
        <v>0.33333333333333331</v>
      </c>
      <c r="K32" s="238">
        <v>0.5</v>
      </c>
      <c r="L32" s="22">
        <f t="shared" si="0"/>
        <v>0.59944179894179883</v>
      </c>
    </row>
    <row r="33" spans="1:12" x14ac:dyDescent="0.25">
      <c r="A33" s="10">
        <v>324</v>
      </c>
      <c r="B33" s="10">
        <v>4</v>
      </c>
      <c r="C33" s="9" t="s">
        <v>154</v>
      </c>
      <c r="D33" s="238">
        <v>1</v>
      </c>
      <c r="E33" s="239">
        <v>1</v>
      </c>
      <c r="F33" s="239">
        <v>0.625</v>
      </c>
      <c r="G33" s="239">
        <v>0.49885714285714289</v>
      </c>
      <c r="H33" s="239">
        <v>0.5</v>
      </c>
      <c r="I33" s="238">
        <v>1</v>
      </c>
      <c r="J33" s="239">
        <v>1</v>
      </c>
      <c r="K33" s="238">
        <v>1</v>
      </c>
      <c r="L33" s="22">
        <f t="shared" si="0"/>
        <v>0.80189285714285718</v>
      </c>
    </row>
    <row r="34" spans="1:12" x14ac:dyDescent="0.25">
      <c r="A34" s="10">
        <v>429</v>
      </c>
      <c r="B34" s="10">
        <v>4</v>
      </c>
      <c r="C34" s="9" t="s">
        <v>155</v>
      </c>
      <c r="D34" s="238">
        <v>1</v>
      </c>
      <c r="E34" s="239">
        <v>0.83333333333333337</v>
      </c>
      <c r="F34" s="239">
        <v>0.75</v>
      </c>
      <c r="G34" s="239">
        <v>0</v>
      </c>
      <c r="H34" s="239">
        <v>0.75</v>
      </c>
      <c r="I34" s="238">
        <v>0.25</v>
      </c>
      <c r="J34" s="239">
        <v>1</v>
      </c>
      <c r="K34" s="238">
        <v>1</v>
      </c>
      <c r="L34" s="22">
        <f t="shared" si="0"/>
        <v>0.67361111111111116</v>
      </c>
    </row>
    <row r="35" spans="1:12" x14ac:dyDescent="0.25">
      <c r="A35" s="10">
        <v>601</v>
      </c>
      <c r="B35" s="10">
        <v>4</v>
      </c>
      <c r="C35" s="9" t="s">
        <v>156</v>
      </c>
      <c r="D35" s="238">
        <v>1</v>
      </c>
      <c r="E35" s="239">
        <v>1</v>
      </c>
      <c r="F35" s="239">
        <v>0.625</v>
      </c>
      <c r="G35" s="239">
        <v>0.49885714285714289</v>
      </c>
      <c r="H35" s="239">
        <v>0.25</v>
      </c>
      <c r="I35" s="238">
        <v>1</v>
      </c>
      <c r="J35" s="239">
        <v>0.5</v>
      </c>
      <c r="K35" s="238">
        <v>1</v>
      </c>
      <c r="L35" s="22">
        <f t="shared" si="0"/>
        <v>0.70467063492063486</v>
      </c>
    </row>
    <row r="36" spans="1:12" x14ac:dyDescent="0.25">
      <c r="A36" s="10">
        <v>760</v>
      </c>
      <c r="B36" s="10">
        <v>4</v>
      </c>
      <c r="C36" s="9" t="s">
        <v>157</v>
      </c>
      <c r="D36" s="238">
        <v>1</v>
      </c>
      <c r="E36" s="239">
        <v>0.83333333333333337</v>
      </c>
      <c r="F36" s="239">
        <v>0.75</v>
      </c>
      <c r="G36" s="239">
        <v>0.74828571428571433</v>
      </c>
      <c r="H36" s="239">
        <v>0.75</v>
      </c>
      <c r="I36" s="238">
        <v>1</v>
      </c>
      <c r="J36" s="239">
        <v>1</v>
      </c>
      <c r="K36" s="238">
        <v>1</v>
      </c>
      <c r="L36" s="22">
        <f t="shared" si="0"/>
        <v>0.8816587301587302</v>
      </c>
    </row>
    <row r="37" spans="1:12" x14ac:dyDescent="0.25">
      <c r="A37" s="10">
        <v>878</v>
      </c>
      <c r="B37" s="10">
        <v>4</v>
      </c>
      <c r="C37" s="9" t="s">
        <v>158</v>
      </c>
      <c r="D37" s="238">
        <v>0.83333333333333337</v>
      </c>
      <c r="E37" s="239">
        <v>0.83333333333333337</v>
      </c>
      <c r="F37" s="239">
        <v>0.75</v>
      </c>
      <c r="G37" s="239">
        <v>0.49885714285714289</v>
      </c>
      <c r="H37" s="239">
        <v>1</v>
      </c>
      <c r="I37" s="238">
        <v>0.9</v>
      </c>
      <c r="J37" s="239">
        <v>1</v>
      </c>
      <c r="K37" s="238">
        <v>1</v>
      </c>
      <c r="L37" s="22">
        <f t="shared" si="0"/>
        <v>0.84286507936507937</v>
      </c>
    </row>
    <row r="38" spans="1:12" x14ac:dyDescent="0.25">
      <c r="A38" s="10">
        <v>8</v>
      </c>
      <c r="B38" s="10">
        <v>5</v>
      </c>
      <c r="C38" s="9" t="s">
        <v>159</v>
      </c>
      <c r="D38" s="238">
        <v>0</v>
      </c>
      <c r="E38" s="239">
        <v>1</v>
      </c>
      <c r="F38" s="239">
        <v>0.625</v>
      </c>
      <c r="G38" s="239">
        <v>0.49885714285714289</v>
      </c>
      <c r="H38" s="239">
        <v>0.5</v>
      </c>
      <c r="I38" s="238">
        <v>0.83333333333333337</v>
      </c>
      <c r="J38" s="239">
        <v>0.5</v>
      </c>
      <c r="K38" s="238">
        <v>1</v>
      </c>
      <c r="L38" s="22">
        <f t="shared" si="0"/>
        <v>0.56115211640211649</v>
      </c>
    </row>
    <row r="39" spans="1:12" x14ac:dyDescent="0.25">
      <c r="A39" s="10">
        <v>41</v>
      </c>
      <c r="B39" s="10">
        <v>5</v>
      </c>
      <c r="C39" s="9" t="s">
        <v>160</v>
      </c>
      <c r="D39" s="238">
        <v>0.66666666666666663</v>
      </c>
      <c r="E39" s="239">
        <v>0</v>
      </c>
      <c r="F39" s="239">
        <v>0</v>
      </c>
      <c r="G39" s="239">
        <v>0.74828571428571433</v>
      </c>
      <c r="H39" s="239">
        <v>0.75</v>
      </c>
      <c r="I39" s="238">
        <v>0</v>
      </c>
      <c r="J39" s="239">
        <v>0</v>
      </c>
      <c r="K39" s="238">
        <v>0.5</v>
      </c>
      <c r="L39" s="22">
        <f t="shared" si="0"/>
        <v>0.41638095238095241</v>
      </c>
    </row>
    <row r="40" spans="1:12" x14ac:dyDescent="0.25">
      <c r="A40" s="10">
        <v>56</v>
      </c>
      <c r="B40" s="10">
        <v>5</v>
      </c>
      <c r="C40" s="9" t="s">
        <v>161</v>
      </c>
      <c r="D40" s="238">
        <v>0.83333333333333337</v>
      </c>
      <c r="E40" s="239">
        <v>0.83333333333333337</v>
      </c>
      <c r="F40" s="239">
        <v>0.5</v>
      </c>
      <c r="G40" s="239">
        <v>0.99771428571428578</v>
      </c>
      <c r="H40" s="239">
        <v>0.75</v>
      </c>
      <c r="I40" s="238">
        <v>1</v>
      </c>
      <c r="J40" s="239">
        <v>1</v>
      </c>
      <c r="K40" s="238">
        <v>1</v>
      </c>
      <c r="L40" s="22">
        <f t="shared" si="0"/>
        <v>0.87461904761904763</v>
      </c>
    </row>
    <row r="41" spans="1:12" x14ac:dyDescent="0.25">
      <c r="A41" s="10">
        <v>67</v>
      </c>
      <c r="B41" s="10">
        <v>5</v>
      </c>
      <c r="C41" s="9" t="s">
        <v>162</v>
      </c>
      <c r="D41" s="238">
        <v>1</v>
      </c>
      <c r="E41" s="239">
        <v>0.66666666666666663</v>
      </c>
      <c r="F41" s="239">
        <v>0.5</v>
      </c>
      <c r="G41" s="239">
        <v>0.24942857142857144</v>
      </c>
      <c r="H41" s="239">
        <v>0.75</v>
      </c>
      <c r="I41" s="238">
        <v>1</v>
      </c>
      <c r="J41" s="239">
        <v>0.66666666666666663</v>
      </c>
      <c r="K41" s="238">
        <v>0.5</v>
      </c>
      <c r="L41" s="22">
        <f t="shared" si="0"/>
        <v>0.67120105820105824</v>
      </c>
    </row>
    <row r="42" spans="1:12" x14ac:dyDescent="0.25">
      <c r="A42" s="10">
        <v>157</v>
      </c>
      <c r="B42" s="10">
        <v>5</v>
      </c>
      <c r="C42" s="9" t="s">
        <v>163</v>
      </c>
      <c r="D42" s="238">
        <v>1</v>
      </c>
      <c r="E42" s="239">
        <v>0.66666666666666663</v>
      </c>
      <c r="F42" s="239">
        <v>0</v>
      </c>
      <c r="G42" s="239">
        <v>0.49885714285714289</v>
      </c>
      <c r="H42" s="239">
        <v>0.5</v>
      </c>
      <c r="I42" s="238">
        <v>0.25</v>
      </c>
      <c r="J42" s="239">
        <v>0.5</v>
      </c>
      <c r="K42" s="238">
        <v>1</v>
      </c>
      <c r="L42" s="22">
        <f t="shared" si="0"/>
        <v>0.58314285714285718</v>
      </c>
    </row>
    <row r="43" spans="1:12" x14ac:dyDescent="0.25">
      <c r="A43" s="10">
        <v>214</v>
      </c>
      <c r="B43" s="10">
        <v>5</v>
      </c>
      <c r="C43" s="9" t="s">
        <v>164</v>
      </c>
      <c r="D43" s="238">
        <v>0.33333333333333331</v>
      </c>
      <c r="E43" s="239">
        <v>0.16666666666666666</v>
      </c>
      <c r="F43" s="239">
        <v>0.5</v>
      </c>
      <c r="G43" s="239">
        <v>0.49885714285714289</v>
      </c>
      <c r="H43" s="239">
        <v>0</v>
      </c>
      <c r="I43" s="238">
        <v>1</v>
      </c>
      <c r="J43" s="239">
        <v>0.5</v>
      </c>
      <c r="K43" s="238">
        <v>1</v>
      </c>
      <c r="L43" s="22">
        <f t="shared" si="0"/>
        <v>0.47203174603174597</v>
      </c>
    </row>
    <row r="44" spans="1:12" x14ac:dyDescent="0.25">
      <c r="A44" s="10">
        <v>223</v>
      </c>
      <c r="B44" s="10">
        <v>5</v>
      </c>
      <c r="C44" s="9" t="s">
        <v>165</v>
      </c>
      <c r="D44" s="238">
        <v>0.33333333333333331</v>
      </c>
      <c r="E44" s="239">
        <v>0</v>
      </c>
      <c r="F44" s="239">
        <v>0.5</v>
      </c>
      <c r="G44" s="239">
        <v>0.24942857142857144</v>
      </c>
      <c r="H44" s="239">
        <v>0</v>
      </c>
      <c r="I44" s="238">
        <v>0.5</v>
      </c>
      <c r="J44" s="239">
        <v>0</v>
      </c>
      <c r="K44" s="238">
        <v>1</v>
      </c>
      <c r="L44" s="22">
        <f t="shared" si="0"/>
        <v>0.30546031746031743</v>
      </c>
    </row>
    <row r="45" spans="1:12" x14ac:dyDescent="0.25">
      <c r="A45" s="10">
        <v>224</v>
      </c>
      <c r="B45" s="10">
        <v>5</v>
      </c>
      <c r="C45" s="9" t="s">
        <v>166</v>
      </c>
      <c r="D45" s="238">
        <v>0.16666666666666666</v>
      </c>
      <c r="E45" s="239">
        <v>0.33333333333333331</v>
      </c>
      <c r="F45" s="239">
        <v>0</v>
      </c>
      <c r="G45" s="239">
        <v>0.24942857142857144</v>
      </c>
      <c r="H45" s="239">
        <v>0.5</v>
      </c>
      <c r="I45" s="238">
        <v>0</v>
      </c>
      <c r="J45" s="239">
        <v>0.5</v>
      </c>
      <c r="K45" s="238">
        <v>0.5</v>
      </c>
      <c r="L45" s="22">
        <f t="shared" si="0"/>
        <v>0.29157142857142854</v>
      </c>
    </row>
    <row r="46" spans="1:12" x14ac:dyDescent="0.25">
      <c r="A46" s="10">
        <v>233</v>
      </c>
      <c r="B46" s="10">
        <v>5</v>
      </c>
      <c r="C46" s="9" t="s">
        <v>167</v>
      </c>
      <c r="D46" s="238">
        <v>0</v>
      </c>
      <c r="E46" s="239">
        <v>0.83333333333333337</v>
      </c>
      <c r="F46" s="239">
        <v>0.87499999999999989</v>
      </c>
      <c r="G46" s="239">
        <v>0</v>
      </c>
      <c r="H46" s="239">
        <v>0.75</v>
      </c>
      <c r="I46" s="238">
        <v>0.83333333333333337</v>
      </c>
      <c r="J46" s="239">
        <v>0.33333333333333331</v>
      </c>
      <c r="K46" s="238">
        <v>1</v>
      </c>
      <c r="L46" s="22">
        <f t="shared" si="0"/>
        <v>0.50810185185185186</v>
      </c>
    </row>
    <row r="47" spans="1:12" x14ac:dyDescent="0.25">
      <c r="A47" s="10">
        <v>272</v>
      </c>
      <c r="B47" s="10">
        <v>5</v>
      </c>
      <c r="C47" s="83" t="s">
        <v>168</v>
      </c>
      <c r="D47" s="238">
        <v>0.5</v>
      </c>
      <c r="E47" s="239">
        <v>0.66666666666666663</v>
      </c>
      <c r="F47" s="239">
        <v>0.5</v>
      </c>
      <c r="G47" s="239">
        <v>0.99771428571428578</v>
      </c>
      <c r="H47" s="239">
        <v>0.5</v>
      </c>
      <c r="I47" s="238">
        <v>0.9</v>
      </c>
      <c r="J47" s="239">
        <v>0.33333333333333331</v>
      </c>
      <c r="K47" s="238">
        <v>1</v>
      </c>
      <c r="L47" s="22">
        <f t="shared" si="0"/>
        <v>0.67832275132275144</v>
      </c>
    </row>
    <row r="48" spans="1:12" x14ac:dyDescent="0.25">
      <c r="A48" s="10">
        <v>427</v>
      </c>
      <c r="B48" s="10">
        <v>5</v>
      </c>
      <c r="C48" s="9" t="s">
        <v>169</v>
      </c>
      <c r="D48" s="238">
        <v>0.16666666666666666</v>
      </c>
      <c r="E48" s="239">
        <v>0.33333333333333331</v>
      </c>
      <c r="F48" s="239">
        <v>0.75</v>
      </c>
      <c r="G48" s="239">
        <v>0.24942857142857144</v>
      </c>
      <c r="H48" s="239">
        <v>0.25</v>
      </c>
      <c r="I48" s="238">
        <v>0.5</v>
      </c>
      <c r="J48" s="239">
        <v>0</v>
      </c>
      <c r="K48" s="238">
        <v>1</v>
      </c>
      <c r="L48" s="22">
        <f t="shared" si="0"/>
        <v>0.36796031746031743</v>
      </c>
    </row>
    <row r="49" spans="1:12" x14ac:dyDescent="0.25">
      <c r="A49" s="10">
        <v>524</v>
      </c>
      <c r="B49" s="10">
        <v>5</v>
      </c>
      <c r="C49" s="9" t="s">
        <v>170</v>
      </c>
      <c r="D49" s="238">
        <v>1</v>
      </c>
      <c r="E49" s="239">
        <v>0</v>
      </c>
      <c r="F49" s="239">
        <v>1</v>
      </c>
      <c r="G49" s="239">
        <v>0.49885714285714289</v>
      </c>
      <c r="H49" s="239">
        <v>0.25</v>
      </c>
      <c r="I49" s="238">
        <v>1</v>
      </c>
      <c r="J49" s="239">
        <v>1</v>
      </c>
      <c r="K49" s="238">
        <v>1</v>
      </c>
      <c r="L49" s="22">
        <f t="shared" si="0"/>
        <v>0.70814285714285718</v>
      </c>
    </row>
    <row r="50" spans="1:12" x14ac:dyDescent="0.25">
      <c r="A50" s="10">
        <v>565</v>
      </c>
      <c r="B50" s="10">
        <v>5</v>
      </c>
      <c r="C50" s="9" t="s">
        <v>171</v>
      </c>
      <c r="D50" s="238">
        <v>0.83333333333333337</v>
      </c>
      <c r="E50" s="239">
        <v>0.83333333333333337</v>
      </c>
      <c r="F50" s="239">
        <v>0.87499999999999989</v>
      </c>
      <c r="G50" s="239">
        <v>0.24942857142857144</v>
      </c>
      <c r="H50" s="239">
        <v>0</v>
      </c>
      <c r="I50" s="238">
        <v>1</v>
      </c>
      <c r="J50" s="239">
        <v>0.83333333333333337</v>
      </c>
      <c r="K50" s="238">
        <v>1</v>
      </c>
      <c r="L50" s="22">
        <f t="shared" si="0"/>
        <v>0.63763624338624347</v>
      </c>
    </row>
    <row r="51" spans="1:12" x14ac:dyDescent="0.25">
      <c r="A51" s="10">
        <v>613</v>
      </c>
      <c r="B51" s="10">
        <v>5</v>
      </c>
      <c r="C51" s="9" t="s">
        <v>172</v>
      </c>
      <c r="D51" s="238">
        <v>0.33333333333333331</v>
      </c>
      <c r="E51" s="239">
        <v>0.5</v>
      </c>
      <c r="F51" s="239">
        <v>0</v>
      </c>
      <c r="G51" s="239">
        <v>0.49885714285714289</v>
      </c>
      <c r="H51" s="239">
        <v>0</v>
      </c>
      <c r="I51" s="238">
        <v>0.75</v>
      </c>
      <c r="J51" s="239">
        <v>0</v>
      </c>
      <c r="K51" s="238">
        <v>0.5</v>
      </c>
      <c r="L51" s="22">
        <f t="shared" si="0"/>
        <v>0.31925396825396823</v>
      </c>
    </row>
    <row r="52" spans="1:12" x14ac:dyDescent="0.25">
      <c r="A52" s="10">
        <v>696</v>
      </c>
      <c r="B52" s="10">
        <v>5</v>
      </c>
      <c r="C52" s="9" t="s">
        <v>173</v>
      </c>
      <c r="D52" s="238">
        <v>0.16666666666666666</v>
      </c>
      <c r="E52" s="239">
        <v>0</v>
      </c>
      <c r="F52" s="239">
        <v>0.125</v>
      </c>
      <c r="G52" s="239">
        <v>0.49885714285714289</v>
      </c>
      <c r="H52" s="239">
        <v>0.25</v>
      </c>
      <c r="I52" s="238">
        <v>0.75</v>
      </c>
      <c r="J52" s="239">
        <v>0</v>
      </c>
      <c r="K52" s="238">
        <v>1</v>
      </c>
      <c r="L52" s="22">
        <f t="shared" si="0"/>
        <v>0.35744841269841265</v>
      </c>
    </row>
    <row r="53" spans="1:12" x14ac:dyDescent="0.25">
      <c r="A53" s="10">
        <v>731</v>
      </c>
      <c r="B53" s="10">
        <v>5</v>
      </c>
      <c r="C53" s="9" t="s">
        <v>174</v>
      </c>
      <c r="D53" s="238">
        <v>0</v>
      </c>
      <c r="E53" s="239">
        <v>0.66666666666666663</v>
      </c>
      <c r="F53" s="239">
        <v>1</v>
      </c>
      <c r="G53" s="239">
        <v>0.99771428571428578</v>
      </c>
      <c r="H53" s="239">
        <v>0.5</v>
      </c>
      <c r="I53" s="238">
        <v>0.5</v>
      </c>
      <c r="J53" s="239">
        <v>1</v>
      </c>
      <c r="K53" s="238">
        <v>1</v>
      </c>
      <c r="L53" s="22">
        <f t="shared" si="0"/>
        <v>0.66628571428571437</v>
      </c>
    </row>
    <row r="54" spans="1:12" x14ac:dyDescent="0.25">
      <c r="A54" s="10">
        <v>732</v>
      </c>
      <c r="B54" s="10">
        <v>5</v>
      </c>
      <c r="C54" s="9" t="s">
        <v>175</v>
      </c>
      <c r="D54" s="238">
        <v>0.33333333333333331</v>
      </c>
      <c r="E54" s="239">
        <v>0</v>
      </c>
      <c r="F54" s="239">
        <v>0</v>
      </c>
      <c r="G54" s="239">
        <v>0.49885714285714289</v>
      </c>
      <c r="H54" s="239">
        <v>0.5</v>
      </c>
      <c r="I54" s="238">
        <v>0</v>
      </c>
      <c r="J54" s="239">
        <v>0.16666666666666666</v>
      </c>
      <c r="K54" s="238">
        <v>1</v>
      </c>
      <c r="L54" s="22">
        <f t="shared" si="0"/>
        <v>0.35166137566137567</v>
      </c>
    </row>
    <row r="55" spans="1:12" x14ac:dyDescent="0.25">
      <c r="A55" s="10">
        <v>754</v>
      </c>
      <c r="B55" s="10">
        <v>5</v>
      </c>
      <c r="C55" s="9" t="s">
        <v>176</v>
      </c>
      <c r="D55" s="238">
        <v>0</v>
      </c>
      <c r="E55" s="239">
        <v>0</v>
      </c>
      <c r="F55" s="239">
        <v>0</v>
      </c>
      <c r="G55" s="239">
        <v>0.24942857142857144</v>
      </c>
      <c r="H55" s="239">
        <v>0.5</v>
      </c>
      <c r="I55" s="238">
        <v>0</v>
      </c>
      <c r="J55" s="239">
        <v>0</v>
      </c>
      <c r="K55" s="238">
        <v>1</v>
      </c>
      <c r="L55" s="22">
        <f t="shared" si="0"/>
        <v>0.23601587301587301</v>
      </c>
    </row>
    <row r="56" spans="1:12" x14ac:dyDescent="0.25">
      <c r="A56" s="10">
        <v>885</v>
      </c>
      <c r="B56" s="10">
        <v>5</v>
      </c>
      <c r="C56" s="9" t="s">
        <v>177</v>
      </c>
      <c r="D56" s="238">
        <v>0.66666666666666663</v>
      </c>
      <c r="E56" s="239">
        <v>0.83333333333333337</v>
      </c>
      <c r="F56" s="239">
        <v>0.5</v>
      </c>
      <c r="G56" s="239">
        <v>0.49885714285714289</v>
      </c>
      <c r="H56" s="239">
        <v>0.5</v>
      </c>
      <c r="I56" s="238">
        <v>1</v>
      </c>
      <c r="J56" s="239">
        <v>0.5</v>
      </c>
      <c r="K56" s="238">
        <v>1</v>
      </c>
      <c r="L56" s="22">
        <f t="shared" si="0"/>
        <v>0.66647619047619044</v>
      </c>
    </row>
    <row r="57" spans="1:12" x14ac:dyDescent="0.25">
      <c r="A57" s="10">
        <v>909</v>
      </c>
      <c r="B57" s="10">
        <v>5</v>
      </c>
      <c r="C57" s="9" t="s">
        <v>178</v>
      </c>
      <c r="D57" s="238">
        <v>1</v>
      </c>
      <c r="E57" s="239">
        <v>0.83333333333333337</v>
      </c>
      <c r="F57" s="239">
        <v>0.87499999999999989</v>
      </c>
      <c r="G57" s="239">
        <v>0.24942857142857144</v>
      </c>
      <c r="H57" s="239">
        <v>0.5</v>
      </c>
      <c r="I57" s="238">
        <v>1</v>
      </c>
      <c r="J57" s="239">
        <v>1</v>
      </c>
      <c r="K57" s="238">
        <v>1</v>
      </c>
      <c r="L57" s="22">
        <f t="shared" si="0"/>
        <v>0.76726587301587301</v>
      </c>
    </row>
    <row r="58" spans="1:12" x14ac:dyDescent="0.25">
      <c r="A58" s="10">
        <v>923</v>
      </c>
      <c r="B58" s="10">
        <v>5</v>
      </c>
      <c r="C58" s="9" t="s">
        <v>179</v>
      </c>
      <c r="D58" s="238">
        <v>1</v>
      </c>
      <c r="E58" s="239">
        <v>0</v>
      </c>
      <c r="F58" s="239">
        <v>0</v>
      </c>
      <c r="G58" s="239">
        <v>0.49885714285714289</v>
      </c>
      <c r="H58" s="239">
        <v>0</v>
      </c>
      <c r="I58" s="238">
        <v>0</v>
      </c>
      <c r="J58" s="239">
        <v>0.5</v>
      </c>
      <c r="K58" s="238">
        <v>0.5</v>
      </c>
      <c r="L58" s="22">
        <f t="shared" si="0"/>
        <v>0.36092063492063498</v>
      </c>
    </row>
    <row r="59" spans="1:12" x14ac:dyDescent="0.25">
      <c r="A59" s="10">
        <v>394</v>
      </c>
      <c r="B59" s="10">
        <v>6</v>
      </c>
      <c r="C59" s="9" t="s">
        <v>180</v>
      </c>
      <c r="D59" s="238">
        <v>0.66666666666666663</v>
      </c>
      <c r="E59" s="239">
        <v>0.5</v>
      </c>
      <c r="F59" s="239">
        <v>0.25</v>
      </c>
      <c r="G59" s="239">
        <v>0.49885714285714289</v>
      </c>
      <c r="H59" s="239">
        <v>0.75</v>
      </c>
      <c r="I59" s="238">
        <v>1</v>
      </c>
      <c r="J59" s="239">
        <v>0.66666666666666663</v>
      </c>
      <c r="K59" s="238">
        <v>1</v>
      </c>
      <c r="L59" s="22">
        <f t="shared" si="0"/>
        <v>0.67805026455026463</v>
      </c>
    </row>
    <row r="60" spans="1:12" x14ac:dyDescent="0.25">
      <c r="A60" s="10">
        <v>414</v>
      </c>
      <c r="B60" s="10">
        <v>6</v>
      </c>
      <c r="C60" s="9" t="s">
        <v>181</v>
      </c>
      <c r="D60" s="238">
        <v>0</v>
      </c>
      <c r="E60" s="239">
        <v>0.66666666666666663</v>
      </c>
      <c r="F60" s="239">
        <v>0.625</v>
      </c>
      <c r="G60" s="239">
        <v>0</v>
      </c>
      <c r="H60" s="239">
        <v>0.5</v>
      </c>
      <c r="I60" s="238">
        <v>1</v>
      </c>
      <c r="J60" s="239">
        <v>1</v>
      </c>
      <c r="K60" s="238">
        <v>1</v>
      </c>
      <c r="L60" s="22">
        <f t="shared" si="0"/>
        <v>0.52430555555555558</v>
      </c>
    </row>
    <row r="61" spans="1:12" x14ac:dyDescent="0.25">
      <c r="A61" s="10">
        <v>426</v>
      </c>
      <c r="B61" s="10">
        <v>6</v>
      </c>
      <c r="C61" s="9" t="s">
        <v>182</v>
      </c>
      <c r="D61" s="238">
        <v>0</v>
      </c>
      <c r="E61" s="239">
        <v>0</v>
      </c>
      <c r="F61" s="239">
        <v>0</v>
      </c>
      <c r="G61" s="239">
        <v>0</v>
      </c>
      <c r="H61" s="239">
        <v>1</v>
      </c>
      <c r="I61" s="238">
        <v>0</v>
      </c>
      <c r="J61" s="239">
        <v>0</v>
      </c>
      <c r="K61" s="238">
        <v>0.5</v>
      </c>
      <c r="L61" s="22">
        <f t="shared" si="0"/>
        <v>0.22222222222222221</v>
      </c>
    </row>
    <row r="62" spans="1:12" x14ac:dyDescent="0.25">
      <c r="A62" s="10">
        <v>430</v>
      </c>
      <c r="B62" s="10">
        <v>6</v>
      </c>
      <c r="C62" s="9" t="s">
        <v>183</v>
      </c>
      <c r="D62" s="238">
        <v>0</v>
      </c>
      <c r="E62" s="239">
        <v>0</v>
      </c>
      <c r="F62" s="239">
        <v>0.25</v>
      </c>
      <c r="G62" s="239">
        <v>0.74828571428571433</v>
      </c>
      <c r="H62" s="239">
        <v>0.5</v>
      </c>
      <c r="I62" s="238">
        <v>0</v>
      </c>
      <c r="J62" s="239">
        <v>0.16666666666666666</v>
      </c>
      <c r="K62" s="238">
        <v>0.5</v>
      </c>
      <c r="L62" s="22">
        <f t="shared" si="0"/>
        <v>0.30295502645502648</v>
      </c>
    </row>
    <row r="63" spans="1:12" x14ac:dyDescent="0.25">
      <c r="A63" s="10">
        <v>562</v>
      </c>
      <c r="B63" s="10">
        <v>6</v>
      </c>
      <c r="C63" s="9" t="s">
        <v>184</v>
      </c>
      <c r="D63" s="238">
        <v>0.16666666666666666</v>
      </c>
      <c r="E63" s="239">
        <v>1</v>
      </c>
      <c r="F63" s="239">
        <v>0.375</v>
      </c>
      <c r="G63" s="239">
        <v>0</v>
      </c>
      <c r="H63" s="239">
        <v>0</v>
      </c>
      <c r="I63" s="238">
        <v>1</v>
      </c>
      <c r="J63" s="239">
        <v>0.83333333333333337</v>
      </c>
      <c r="K63" s="238">
        <v>1</v>
      </c>
      <c r="L63" s="22">
        <f t="shared" si="0"/>
        <v>0.45717592592592587</v>
      </c>
    </row>
    <row r="64" spans="1:12" x14ac:dyDescent="0.25">
      <c r="A64" s="10">
        <v>603</v>
      </c>
      <c r="B64" s="10">
        <v>6</v>
      </c>
      <c r="C64" s="9" t="s">
        <v>185</v>
      </c>
      <c r="D64" s="238">
        <v>0.16666666666666666</v>
      </c>
      <c r="E64" s="239">
        <v>0.83333333333333337</v>
      </c>
      <c r="F64" s="239">
        <v>0</v>
      </c>
      <c r="G64" s="239">
        <v>0</v>
      </c>
      <c r="H64" s="239">
        <v>0</v>
      </c>
      <c r="I64" s="238">
        <v>0</v>
      </c>
      <c r="J64" s="239">
        <v>0.83333333333333337</v>
      </c>
      <c r="K64" s="238">
        <v>0.5</v>
      </c>
      <c r="L64" s="22">
        <f t="shared" si="0"/>
        <v>0.24537037037037038</v>
      </c>
    </row>
    <row r="65" spans="1:12" x14ac:dyDescent="0.25">
      <c r="A65" s="10">
        <v>618</v>
      </c>
      <c r="B65" s="10">
        <v>6</v>
      </c>
      <c r="C65" s="9" t="s">
        <v>186</v>
      </c>
      <c r="D65" s="238">
        <v>0</v>
      </c>
      <c r="E65" s="239">
        <v>0</v>
      </c>
      <c r="F65" s="239">
        <v>0.625</v>
      </c>
      <c r="G65" s="239">
        <v>0</v>
      </c>
      <c r="H65" s="239">
        <v>0</v>
      </c>
      <c r="I65" s="238">
        <v>1</v>
      </c>
      <c r="J65" s="239">
        <v>0.33333333333333331</v>
      </c>
      <c r="K65" s="238">
        <v>0</v>
      </c>
      <c r="L65" s="22">
        <f t="shared" si="0"/>
        <v>0.20023148148148145</v>
      </c>
    </row>
    <row r="66" spans="1:12" x14ac:dyDescent="0.25">
      <c r="A66" s="10">
        <v>620</v>
      </c>
      <c r="B66" s="10">
        <v>6</v>
      </c>
      <c r="C66" s="9" t="s">
        <v>187</v>
      </c>
      <c r="D66" s="238">
        <v>0.66666666666666663</v>
      </c>
      <c r="E66" s="239">
        <v>0</v>
      </c>
      <c r="F66" s="239">
        <v>0</v>
      </c>
      <c r="G66" s="239">
        <v>0.49885714285714289</v>
      </c>
      <c r="H66" s="239">
        <v>0.5</v>
      </c>
      <c r="I66" s="238">
        <v>0</v>
      </c>
      <c r="J66" s="239">
        <v>0.33333333333333331</v>
      </c>
      <c r="K66" s="238">
        <v>1</v>
      </c>
      <c r="L66" s="22">
        <f t="shared" si="0"/>
        <v>0.42573544973544969</v>
      </c>
    </row>
    <row r="67" spans="1:12" x14ac:dyDescent="0.25">
      <c r="A67" s="10">
        <v>622</v>
      </c>
      <c r="B67" s="10">
        <v>6</v>
      </c>
      <c r="C67" s="9" t="s">
        <v>188</v>
      </c>
      <c r="D67" s="238">
        <v>0</v>
      </c>
      <c r="E67" s="239">
        <v>0</v>
      </c>
      <c r="F67" s="239">
        <v>0</v>
      </c>
      <c r="G67" s="239">
        <v>0.49885714285714289</v>
      </c>
      <c r="H67" s="239">
        <v>0.5</v>
      </c>
      <c r="I67" s="238">
        <v>0</v>
      </c>
      <c r="J67" s="239">
        <v>0</v>
      </c>
      <c r="K67" s="238">
        <v>1</v>
      </c>
      <c r="L67" s="22">
        <f t="shared" si="0"/>
        <v>0.2775873015873016</v>
      </c>
    </row>
    <row r="68" spans="1:12" x14ac:dyDescent="0.25">
      <c r="A68" s="10">
        <v>623</v>
      </c>
      <c r="B68" s="10">
        <v>6</v>
      </c>
      <c r="C68" s="9" t="s">
        <v>189</v>
      </c>
      <c r="D68" s="238">
        <v>0</v>
      </c>
      <c r="E68" s="239">
        <v>0.5</v>
      </c>
      <c r="F68" s="239">
        <v>0.125</v>
      </c>
      <c r="G68" s="239">
        <v>0.24942857142857144</v>
      </c>
      <c r="H68" s="239">
        <v>1</v>
      </c>
      <c r="I68" s="238">
        <v>0.25</v>
      </c>
      <c r="J68" s="239">
        <v>0</v>
      </c>
      <c r="K68" s="238">
        <v>0.5</v>
      </c>
      <c r="L68" s="22">
        <f t="shared" si="0"/>
        <v>0.34365476190476196</v>
      </c>
    </row>
    <row r="69" spans="1:12" x14ac:dyDescent="0.25">
      <c r="A69" s="10">
        <v>626</v>
      </c>
      <c r="B69" s="10">
        <v>6</v>
      </c>
      <c r="C69" s="9" t="s">
        <v>190</v>
      </c>
      <c r="D69" s="238">
        <v>0</v>
      </c>
      <c r="E69" s="239">
        <v>0</v>
      </c>
      <c r="F69" s="239">
        <v>0</v>
      </c>
      <c r="G69" s="239">
        <v>0.49885714285714289</v>
      </c>
      <c r="H69" s="239">
        <v>0</v>
      </c>
      <c r="I69" s="238">
        <v>0</v>
      </c>
      <c r="J69" s="239">
        <v>0</v>
      </c>
      <c r="K69" s="238">
        <v>0.5</v>
      </c>
      <c r="L69" s="22">
        <f t="shared" ref="L69:L132" si="1">(D69*$D$2+E69*$E$2+F69*$F$2+G69*$G$2+H69*$H$2+I69*$I$2+J69*$J$2+K69*$K$2)</f>
        <v>0.13869841269841271</v>
      </c>
    </row>
    <row r="70" spans="1:12" x14ac:dyDescent="0.25">
      <c r="A70" s="10">
        <v>627</v>
      </c>
      <c r="B70" s="10">
        <v>6</v>
      </c>
      <c r="C70" s="9" t="s">
        <v>191</v>
      </c>
      <c r="D70" s="238">
        <v>0</v>
      </c>
      <c r="E70" s="239">
        <v>0</v>
      </c>
      <c r="F70" s="239">
        <v>0</v>
      </c>
      <c r="G70" s="239">
        <v>0.49885714285714289</v>
      </c>
      <c r="H70" s="239">
        <v>0.75</v>
      </c>
      <c r="I70" s="238">
        <v>0</v>
      </c>
      <c r="J70" s="239">
        <v>0</v>
      </c>
      <c r="K70" s="238">
        <v>0.5</v>
      </c>
      <c r="L70" s="22">
        <f t="shared" si="1"/>
        <v>0.26369841269841265</v>
      </c>
    </row>
    <row r="71" spans="1:12" x14ac:dyDescent="0.25">
      <c r="A71" s="10">
        <v>634</v>
      </c>
      <c r="B71" s="10">
        <v>6</v>
      </c>
      <c r="C71" s="9" t="s">
        <v>192</v>
      </c>
      <c r="D71" s="238">
        <v>0.33333333333333331</v>
      </c>
      <c r="E71" s="239">
        <v>1</v>
      </c>
      <c r="F71" s="239">
        <v>0.5</v>
      </c>
      <c r="G71" s="239">
        <v>0.74828571428571433</v>
      </c>
      <c r="H71" s="239">
        <v>0</v>
      </c>
      <c r="I71" s="238">
        <v>1</v>
      </c>
      <c r="J71" s="239">
        <v>0.66666666666666663</v>
      </c>
      <c r="K71" s="238">
        <v>1</v>
      </c>
      <c r="L71" s="22">
        <f t="shared" si="1"/>
        <v>0.60156613756613753</v>
      </c>
    </row>
    <row r="72" spans="1:12" x14ac:dyDescent="0.25">
      <c r="A72" s="10">
        <v>694</v>
      </c>
      <c r="B72" s="10">
        <v>6</v>
      </c>
      <c r="C72" s="9" t="s">
        <v>38</v>
      </c>
      <c r="D72" s="238">
        <v>1</v>
      </c>
      <c r="E72" s="239">
        <v>0.66666666666666663</v>
      </c>
      <c r="F72" s="239">
        <v>0.25</v>
      </c>
      <c r="G72" s="239">
        <v>0.99771428571428578</v>
      </c>
      <c r="H72" s="239">
        <v>0</v>
      </c>
      <c r="I72" s="238">
        <v>1</v>
      </c>
      <c r="J72" s="239">
        <v>0.66666666666666663</v>
      </c>
      <c r="K72" s="238">
        <v>1</v>
      </c>
      <c r="L72" s="22">
        <f t="shared" si="1"/>
        <v>0.70563756613756601</v>
      </c>
    </row>
    <row r="73" spans="1:12" x14ac:dyDescent="0.25">
      <c r="A73" s="10">
        <v>697</v>
      </c>
      <c r="B73" s="10">
        <v>6</v>
      </c>
      <c r="C73" s="9" t="s">
        <v>193</v>
      </c>
      <c r="D73" s="238">
        <v>0</v>
      </c>
      <c r="E73" s="239">
        <v>0</v>
      </c>
      <c r="F73" s="239">
        <v>0</v>
      </c>
      <c r="G73" s="239">
        <v>0</v>
      </c>
      <c r="H73" s="239">
        <v>0.5</v>
      </c>
      <c r="I73" s="238">
        <v>0</v>
      </c>
      <c r="J73" s="239">
        <v>0</v>
      </c>
      <c r="K73" s="238">
        <v>0</v>
      </c>
      <c r="L73" s="22">
        <f t="shared" si="1"/>
        <v>8.3333333333333329E-2</v>
      </c>
    </row>
    <row r="74" spans="1:12" x14ac:dyDescent="0.25">
      <c r="A74" s="10">
        <v>710</v>
      </c>
      <c r="B74" s="10">
        <v>6</v>
      </c>
      <c r="C74" s="9" t="s">
        <v>194</v>
      </c>
      <c r="D74" s="238">
        <v>0</v>
      </c>
      <c r="E74" s="239">
        <v>0</v>
      </c>
      <c r="F74" s="239">
        <v>0</v>
      </c>
      <c r="G74" s="239">
        <v>0</v>
      </c>
      <c r="H74" s="239">
        <v>0</v>
      </c>
      <c r="I74" s="238">
        <v>0</v>
      </c>
      <c r="J74" s="239">
        <v>0</v>
      </c>
      <c r="K74" s="238">
        <v>0</v>
      </c>
      <c r="L74" s="22">
        <f t="shared" si="1"/>
        <v>0</v>
      </c>
    </row>
    <row r="75" spans="1:12" x14ac:dyDescent="0.25">
      <c r="A75" s="10">
        <v>715</v>
      </c>
      <c r="B75" s="10">
        <v>6</v>
      </c>
      <c r="C75" s="9" t="s">
        <v>195</v>
      </c>
      <c r="D75" s="238">
        <v>0</v>
      </c>
      <c r="E75" s="239">
        <v>0</v>
      </c>
      <c r="F75" s="239">
        <v>0</v>
      </c>
      <c r="G75" s="239">
        <v>0</v>
      </c>
      <c r="H75" s="239">
        <v>0</v>
      </c>
      <c r="I75" s="238">
        <v>0.25</v>
      </c>
      <c r="J75" s="239">
        <v>0</v>
      </c>
      <c r="K75" s="238">
        <v>0.5</v>
      </c>
      <c r="L75" s="22">
        <f t="shared" si="1"/>
        <v>8.3333333333333329E-2</v>
      </c>
    </row>
    <row r="76" spans="1:12" x14ac:dyDescent="0.25">
      <c r="A76" s="10">
        <v>743</v>
      </c>
      <c r="B76" s="10">
        <v>6</v>
      </c>
      <c r="C76" s="9" t="s">
        <v>196</v>
      </c>
      <c r="D76" s="238">
        <v>1</v>
      </c>
      <c r="E76" s="239">
        <v>0.66666666666666663</v>
      </c>
      <c r="F76" s="239">
        <v>0.625</v>
      </c>
      <c r="G76" s="239">
        <v>0.99771428571428578</v>
      </c>
      <c r="H76" s="239">
        <v>0</v>
      </c>
      <c r="I76" s="238">
        <v>0.5</v>
      </c>
      <c r="J76" s="239">
        <v>1</v>
      </c>
      <c r="K76" s="238">
        <v>1</v>
      </c>
      <c r="L76" s="22">
        <f t="shared" si="1"/>
        <v>0.71836904761904763</v>
      </c>
    </row>
    <row r="77" spans="1:12" x14ac:dyDescent="0.25">
      <c r="A77" s="10">
        <v>747</v>
      </c>
      <c r="B77" s="10">
        <v>6</v>
      </c>
      <c r="C77" s="9" t="s">
        <v>197</v>
      </c>
      <c r="D77" s="238">
        <v>0.33333333333333331</v>
      </c>
      <c r="E77" s="239">
        <v>0.83333333333333337</v>
      </c>
      <c r="F77" s="239">
        <v>0.25</v>
      </c>
      <c r="G77" s="239">
        <v>0.49885714285714289</v>
      </c>
      <c r="H77" s="239">
        <v>0</v>
      </c>
      <c r="I77" s="238">
        <v>0.5</v>
      </c>
      <c r="J77" s="239">
        <v>0.66666666666666663</v>
      </c>
      <c r="K77" s="238">
        <v>1</v>
      </c>
      <c r="L77" s="22">
        <f t="shared" si="1"/>
        <v>0.4697169312169312</v>
      </c>
    </row>
    <row r="78" spans="1:12" x14ac:dyDescent="0.25">
      <c r="A78" s="10">
        <v>758</v>
      </c>
      <c r="B78" s="10">
        <v>6</v>
      </c>
      <c r="C78" s="9" t="s">
        <v>198</v>
      </c>
      <c r="D78" s="238">
        <v>1</v>
      </c>
      <c r="E78" s="239">
        <v>1</v>
      </c>
      <c r="F78" s="239">
        <v>0.75</v>
      </c>
      <c r="G78" s="239">
        <v>0.24942857142857144</v>
      </c>
      <c r="H78" s="239">
        <v>0</v>
      </c>
      <c r="I78" s="238">
        <v>1</v>
      </c>
      <c r="J78" s="239">
        <v>1</v>
      </c>
      <c r="K78" s="238">
        <v>1</v>
      </c>
      <c r="L78" s="22">
        <f t="shared" si="1"/>
        <v>0.68740476190476185</v>
      </c>
    </row>
    <row r="79" spans="1:12" x14ac:dyDescent="0.25">
      <c r="A79" s="10">
        <v>765</v>
      </c>
      <c r="B79" s="10">
        <v>6</v>
      </c>
      <c r="C79" s="9" t="s">
        <v>199</v>
      </c>
      <c r="D79" s="238">
        <v>0.16666666666666666</v>
      </c>
      <c r="E79" s="239">
        <v>0</v>
      </c>
      <c r="F79" s="239">
        <v>0</v>
      </c>
      <c r="G79" s="239">
        <v>0.49885714285714289</v>
      </c>
      <c r="H79" s="239">
        <v>0</v>
      </c>
      <c r="I79" s="238">
        <v>0.5</v>
      </c>
      <c r="J79" s="239">
        <v>0.16666666666666666</v>
      </c>
      <c r="K79" s="238">
        <v>1</v>
      </c>
      <c r="L79" s="22">
        <f t="shared" si="1"/>
        <v>0.29610582010582009</v>
      </c>
    </row>
    <row r="80" spans="1:12" x14ac:dyDescent="0.25">
      <c r="A80" s="10">
        <v>770</v>
      </c>
      <c r="B80" s="10">
        <v>6</v>
      </c>
      <c r="C80" s="9" t="s">
        <v>200</v>
      </c>
      <c r="D80" s="238">
        <v>0</v>
      </c>
      <c r="E80" s="239">
        <v>0</v>
      </c>
      <c r="F80" s="239">
        <v>0</v>
      </c>
      <c r="G80" s="239">
        <v>0.74828571428571433</v>
      </c>
      <c r="H80" s="239">
        <v>0.75</v>
      </c>
      <c r="I80" s="238">
        <v>0.5</v>
      </c>
      <c r="J80" s="239">
        <v>0</v>
      </c>
      <c r="K80" s="238">
        <v>1</v>
      </c>
      <c r="L80" s="22">
        <f t="shared" si="1"/>
        <v>0.41638095238095235</v>
      </c>
    </row>
    <row r="81" spans="1:12" x14ac:dyDescent="0.25">
      <c r="A81" s="10">
        <v>774</v>
      </c>
      <c r="B81" s="10">
        <v>6</v>
      </c>
      <c r="C81" s="9" t="s">
        <v>201</v>
      </c>
      <c r="D81" s="238">
        <v>1</v>
      </c>
      <c r="E81" s="239">
        <v>0.66666666666666663</v>
      </c>
      <c r="F81" s="239">
        <v>1</v>
      </c>
      <c r="G81" s="239">
        <v>0.49885714285714289</v>
      </c>
      <c r="H81" s="239">
        <v>0.5</v>
      </c>
      <c r="I81" s="238">
        <v>1</v>
      </c>
      <c r="J81" s="239">
        <v>1</v>
      </c>
      <c r="K81" s="238">
        <v>1</v>
      </c>
      <c r="L81" s="22">
        <f t="shared" si="1"/>
        <v>0.80536507936507928</v>
      </c>
    </row>
    <row r="82" spans="1:12" x14ac:dyDescent="0.25">
      <c r="A82" s="10">
        <v>794</v>
      </c>
      <c r="B82" s="10">
        <v>6</v>
      </c>
      <c r="C82" s="9" t="s">
        <v>202</v>
      </c>
      <c r="D82" s="238">
        <v>0.16666666666666666</v>
      </c>
      <c r="E82" s="239">
        <v>0.83333333333333337</v>
      </c>
      <c r="F82" s="239">
        <v>1</v>
      </c>
      <c r="G82" s="239">
        <v>0.99771428571428578</v>
      </c>
      <c r="H82" s="239">
        <v>0</v>
      </c>
      <c r="I82" s="238">
        <v>1</v>
      </c>
      <c r="J82" s="239">
        <v>0.83333333333333337</v>
      </c>
      <c r="K82" s="238">
        <v>0.5</v>
      </c>
      <c r="L82" s="22">
        <f t="shared" si="1"/>
        <v>0.60610052910052914</v>
      </c>
    </row>
    <row r="83" spans="1:12" x14ac:dyDescent="0.25">
      <c r="A83" s="10">
        <v>806</v>
      </c>
      <c r="B83" s="10">
        <v>6</v>
      </c>
      <c r="C83" s="9" t="s">
        <v>203</v>
      </c>
      <c r="D83" s="238">
        <v>0.5</v>
      </c>
      <c r="E83" s="239">
        <v>0.33333333333333331</v>
      </c>
      <c r="F83" s="239">
        <v>0</v>
      </c>
      <c r="G83" s="239">
        <v>0.49885714285714289</v>
      </c>
      <c r="H83" s="239">
        <v>0</v>
      </c>
      <c r="I83" s="238">
        <v>0</v>
      </c>
      <c r="J83" s="239">
        <v>0</v>
      </c>
      <c r="K83" s="238">
        <v>1</v>
      </c>
      <c r="L83" s="22">
        <f t="shared" si="1"/>
        <v>0.30536507936507934</v>
      </c>
    </row>
    <row r="84" spans="1:12" x14ac:dyDescent="0.25">
      <c r="A84" s="10">
        <v>811</v>
      </c>
      <c r="B84" s="10">
        <v>6</v>
      </c>
      <c r="C84" s="9" t="s">
        <v>204</v>
      </c>
      <c r="D84" s="238">
        <v>0</v>
      </c>
      <c r="E84" s="239">
        <v>0.83333333333333337</v>
      </c>
      <c r="F84" s="239">
        <v>1</v>
      </c>
      <c r="G84" s="239">
        <v>0.49885714285714289</v>
      </c>
      <c r="H84" s="239">
        <v>0.5</v>
      </c>
      <c r="I84" s="238">
        <v>1</v>
      </c>
      <c r="J84" s="239">
        <v>1</v>
      </c>
      <c r="K84" s="238">
        <v>1</v>
      </c>
      <c r="L84" s="22">
        <f t="shared" si="1"/>
        <v>0.6525873015873016</v>
      </c>
    </row>
    <row r="85" spans="1:12" x14ac:dyDescent="0.25">
      <c r="A85" s="10">
        <v>824</v>
      </c>
      <c r="B85" s="10">
        <v>6</v>
      </c>
      <c r="C85" s="9" t="s">
        <v>205</v>
      </c>
      <c r="D85" s="238">
        <v>0.66666666666666663</v>
      </c>
      <c r="E85" s="239">
        <v>0.66666666666666663</v>
      </c>
      <c r="F85" s="239">
        <v>0</v>
      </c>
      <c r="G85" s="239">
        <v>0.24942857142857144</v>
      </c>
      <c r="H85" s="239">
        <v>0</v>
      </c>
      <c r="I85" s="238">
        <v>0.5</v>
      </c>
      <c r="J85" s="239">
        <v>0</v>
      </c>
      <c r="K85" s="238">
        <v>1</v>
      </c>
      <c r="L85" s="22">
        <f t="shared" si="1"/>
        <v>0.37490476190476191</v>
      </c>
    </row>
    <row r="86" spans="1:12" x14ac:dyDescent="0.25">
      <c r="A86" s="10">
        <v>826</v>
      </c>
      <c r="B86" s="10">
        <v>6</v>
      </c>
      <c r="C86" s="9" t="s">
        <v>206</v>
      </c>
      <c r="D86" s="238">
        <v>0.5</v>
      </c>
      <c r="E86" s="239">
        <v>0.83333333333333337</v>
      </c>
      <c r="F86" s="239">
        <v>0</v>
      </c>
      <c r="G86" s="239">
        <v>0.49885714285714289</v>
      </c>
      <c r="H86" s="239">
        <v>0</v>
      </c>
      <c r="I86" s="238">
        <v>0</v>
      </c>
      <c r="J86" s="239">
        <v>0</v>
      </c>
      <c r="K86" s="238">
        <v>1</v>
      </c>
      <c r="L86" s="22">
        <f t="shared" si="1"/>
        <v>0.34703174603174602</v>
      </c>
    </row>
    <row r="87" spans="1:12" x14ac:dyDescent="0.25">
      <c r="A87" s="10">
        <v>840</v>
      </c>
      <c r="B87" s="10">
        <v>6</v>
      </c>
      <c r="C87" s="9" t="s">
        <v>207</v>
      </c>
      <c r="D87" s="238">
        <v>0.83333333333333337</v>
      </c>
      <c r="E87" s="239">
        <v>0.83333333333333337</v>
      </c>
      <c r="F87" s="239">
        <v>0.25</v>
      </c>
      <c r="G87" s="239">
        <v>0.24942857142857144</v>
      </c>
      <c r="H87" s="239">
        <v>0.5</v>
      </c>
      <c r="I87" s="238">
        <v>1</v>
      </c>
      <c r="J87" s="239">
        <v>0.16666666666666666</v>
      </c>
      <c r="K87" s="238">
        <v>0.5</v>
      </c>
      <c r="L87" s="22">
        <f t="shared" si="1"/>
        <v>0.53925661375661382</v>
      </c>
    </row>
    <row r="88" spans="1:12" x14ac:dyDescent="0.25">
      <c r="A88" s="10">
        <v>843</v>
      </c>
      <c r="B88" s="10">
        <v>6</v>
      </c>
      <c r="C88" s="9" t="s">
        <v>208</v>
      </c>
      <c r="D88" s="238">
        <v>0.5</v>
      </c>
      <c r="E88" s="239">
        <v>0.83333333333333337</v>
      </c>
      <c r="F88" s="239">
        <v>0</v>
      </c>
      <c r="G88" s="239">
        <v>0</v>
      </c>
      <c r="H88" s="239">
        <v>0</v>
      </c>
      <c r="I88" s="238">
        <v>0.5</v>
      </c>
      <c r="J88" s="239">
        <v>0</v>
      </c>
      <c r="K88" s="238">
        <v>1</v>
      </c>
      <c r="L88" s="22">
        <f t="shared" si="1"/>
        <v>0.31944444444444442</v>
      </c>
    </row>
    <row r="89" spans="1:12" x14ac:dyDescent="0.25">
      <c r="A89" s="10">
        <v>846</v>
      </c>
      <c r="B89" s="10">
        <v>6</v>
      </c>
      <c r="C89" s="9" t="s">
        <v>209</v>
      </c>
      <c r="D89" s="238">
        <v>0.5</v>
      </c>
      <c r="E89" s="239">
        <v>0.66666666666666663</v>
      </c>
      <c r="F89" s="239">
        <v>0</v>
      </c>
      <c r="G89" s="239">
        <v>0.24942857142857144</v>
      </c>
      <c r="H89" s="239">
        <v>0</v>
      </c>
      <c r="I89" s="238">
        <v>0</v>
      </c>
      <c r="J89" s="239">
        <v>0</v>
      </c>
      <c r="K89" s="238">
        <v>1</v>
      </c>
      <c r="L89" s="22">
        <f t="shared" si="1"/>
        <v>0.29157142857142859</v>
      </c>
    </row>
    <row r="90" spans="1:12" x14ac:dyDescent="0.25">
      <c r="A90" s="10">
        <v>888</v>
      </c>
      <c r="B90" s="10">
        <v>6</v>
      </c>
      <c r="C90" s="9" t="s">
        <v>210</v>
      </c>
      <c r="D90" s="238">
        <v>1</v>
      </c>
      <c r="E90" s="239">
        <v>0</v>
      </c>
      <c r="F90" s="239">
        <v>0.375</v>
      </c>
      <c r="G90" s="239">
        <v>0</v>
      </c>
      <c r="H90" s="239">
        <v>0.5</v>
      </c>
      <c r="I90" s="238">
        <v>0.25</v>
      </c>
      <c r="J90" s="239">
        <v>0.66666666666666663</v>
      </c>
      <c r="K90" s="238">
        <v>0.5</v>
      </c>
      <c r="L90" s="22">
        <f t="shared" si="1"/>
        <v>0.43865740740740744</v>
      </c>
    </row>
    <row r="91" spans="1:12" x14ac:dyDescent="0.25">
      <c r="A91" s="10">
        <v>889</v>
      </c>
      <c r="B91" s="10">
        <v>6</v>
      </c>
      <c r="C91" s="9" t="s">
        <v>211</v>
      </c>
      <c r="D91" s="238">
        <v>0.83333333333333337</v>
      </c>
      <c r="E91" s="239">
        <v>0.5</v>
      </c>
      <c r="F91" s="239">
        <v>0.5</v>
      </c>
      <c r="G91" s="239">
        <v>0.99771428571428578</v>
      </c>
      <c r="H91" s="239">
        <v>0.5</v>
      </c>
      <c r="I91" s="238">
        <v>1</v>
      </c>
      <c r="J91" s="239">
        <v>0</v>
      </c>
      <c r="K91" s="238">
        <v>0.5</v>
      </c>
      <c r="L91" s="22">
        <f t="shared" si="1"/>
        <v>0.63850793650793647</v>
      </c>
    </row>
    <row r="92" spans="1:12" x14ac:dyDescent="0.25">
      <c r="A92" s="10">
        <v>891</v>
      </c>
      <c r="B92" s="10">
        <v>6</v>
      </c>
      <c r="C92" s="9" t="s">
        <v>212</v>
      </c>
      <c r="D92" s="238">
        <v>0</v>
      </c>
      <c r="E92" s="239">
        <v>0</v>
      </c>
      <c r="F92" s="239">
        <v>0</v>
      </c>
      <c r="G92" s="239">
        <v>0.99771428571428578</v>
      </c>
      <c r="H92" s="239">
        <v>1</v>
      </c>
      <c r="I92" s="238">
        <v>0</v>
      </c>
      <c r="J92" s="239">
        <v>0</v>
      </c>
      <c r="K92" s="238">
        <v>1</v>
      </c>
      <c r="L92" s="22">
        <f t="shared" si="1"/>
        <v>0.44406349206349205</v>
      </c>
    </row>
    <row r="93" spans="1:12" x14ac:dyDescent="0.25">
      <c r="A93" s="10">
        <v>904</v>
      </c>
      <c r="B93" s="10">
        <v>6</v>
      </c>
      <c r="C93" s="9" t="s">
        <v>213</v>
      </c>
      <c r="D93" s="238">
        <v>0</v>
      </c>
      <c r="E93" s="239">
        <v>0</v>
      </c>
      <c r="F93" s="239">
        <v>0</v>
      </c>
      <c r="G93" s="239">
        <v>0</v>
      </c>
      <c r="H93" s="239">
        <v>0.5</v>
      </c>
      <c r="I93" s="238">
        <v>0</v>
      </c>
      <c r="J93" s="239">
        <v>0</v>
      </c>
      <c r="K93" s="238">
        <v>0</v>
      </c>
      <c r="L93" s="22">
        <f t="shared" si="1"/>
        <v>8.3333333333333329E-2</v>
      </c>
    </row>
    <row r="94" spans="1:12" ht="30" x14ac:dyDescent="0.25">
      <c r="A94" s="10">
        <v>906</v>
      </c>
      <c r="B94" s="10">
        <v>6</v>
      </c>
      <c r="C94" s="9" t="s">
        <v>214</v>
      </c>
      <c r="D94" s="238">
        <v>1</v>
      </c>
      <c r="E94" s="239">
        <v>0.83333333333333337</v>
      </c>
      <c r="F94" s="239">
        <v>0.375</v>
      </c>
      <c r="G94" s="239">
        <v>0.24942857142857144</v>
      </c>
      <c r="H94" s="239">
        <v>0.5</v>
      </c>
      <c r="I94" s="238">
        <v>1</v>
      </c>
      <c r="J94" s="239">
        <v>0.83333333333333337</v>
      </c>
      <c r="K94" s="238">
        <v>1</v>
      </c>
      <c r="L94" s="22">
        <f t="shared" si="1"/>
        <v>0.70708068783068789</v>
      </c>
    </row>
    <row r="95" spans="1:12" x14ac:dyDescent="0.25">
      <c r="A95" s="10">
        <v>917</v>
      </c>
      <c r="B95" s="10">
        <v>6</v>
      </c>
      <c r="C95" s="9" t="s">
        <v>215</v>
      </c>
      <c r="D95" s="238">
        <v>0</v>
      </c>
      <c r="E95" s="239">
        <v>0.66666666666666663</v>
      </c>
      <c r="F95" s="239">
        <v>0</v>
      </c>
      <c r="G95" s="239">
        <v>0.24942857142857144</v>
      </c>
      <c r="H95" s="239">
        <v>0</v>
      </c>
      <c r="I95" s="238">
        <v>0.7</v>
      </c>
      <c r="J95" s="239">
        <v>0</v>
      </c>
      <c r="K95" s="238">
        <v>0.5</v>
      </c>
      <c r="L95" s="22">
        <f t="shared" si="1"/>
        <v>0.23046031746031745</v>
      </c>
    </row>
    <row r="96" spans="1:12" x14ac:dyDescent="0.25">
      <c r="A96" s="10">
        <v>957</v>
      </c>
      <c r="B96" s="10">
        <v>6</v>
      </c>
      <c r="C96" s="9" t="s">
        <v>216</v>
      </c>
      <c r="D96" s="238">
        <v>0</v>
      </c>
      <c r="E96" s="239">
        <v>0</v>
      </c>
      <c r="F96" s="239">
        <v>0.625</v>
      </c>
      <c r="G96" s="239">
        <v>0.99771428571428578</v>
      </c>
      <c r="H96" s="239">
        <v>1</v>
      </c>
      <c r="I96" s="238">
        <v>0.25</v>
      </c>
      <c r="J96" s="239">
        <v>0</v>
      </c>
      <c r="K96" s="238">
        <v>0.5</v>
      </c>
      <c r="L96" s="22">
        <f t="shared" si="1"/>
        <v>0.46836904761904763</v>
      </c>
    </row>
    <row r="97" spans="1:12" x14ac:dyDescent="0.25">
      <c r="A97" s="10">
        <v>959</v>
      </c>
      <c r="B97" s="10">
        <v>6</v>
      </c>
      <c r="C97" s="9" t="s">
        <v>217</v>
      </c>
      <c r="D97" s="238">
        <v>0.16666666666666666</v>
      </c>
      <c r="E97" s="239">
        <v>0.66666666666666663</v>
      </c>
      <c r="F97" s="239">
        <v>0</v>
      </c>
      <c r="G97" s="239">
        <v>0.74828571428571433</v>
      </c>
      <c r="H97" s="239">
        <v>1</v>
      </c>
      <c r="I97" s="238">
        <v>1</v>
      </c>
      <c r="J97" s="239">
        <v>0.33333333333333331</v>
      </c>
      <c r="K97" s="238">
        <v>1</v>
      </c>
      <c r="L97" s="22">
        <f t="shared" si="1"/>
        <v>0.63397354497354486</v>
      </c>
    </row>
    <row r="98" spans="1:12" x14ac:dyDescent="0.25">
      <c r="A98" s="10">
        <v>969</v>
      </c>
      <c r="B98" s="10">
        <v>6</v>
      </c>
      <c r="C98" s="9" t="s">
        <v>218</v>
      </c>
      <c r="D98" s="238">
        <v>0</v>
      </c>
      <c r="E98" s="239">
        <v>0</v>
      </c>
      <c r="F98" s="239">
        <v>0.5</v>
      </c>
      <c r="G98" s="239">
        <v>0</v>
      </c>
      <c r="H98" s="239">
        <v>0</v>
      </c>
      <c r="I98" s="238">
        <v>1</v>
      </c>
      <c r="J98" s="239">
        <v>0</v>
      </c>
      <c r="K98" s="238">
        <v>1</v>
      </c>
      <c r="L98" s="22">
        <f t="shared" si="1"/>
        <v>0.26388888888888884</v>
      </c>
    </row>
    <row r="99" spans="1:12" x14ac:dyDescent="0.25">
      <c r="A99" s="10">
        <v>970</v>
      </c>
      <c r="B99" s="10">
        <v>6</v>
      </c>
      <c r="C99" s="9" t="s">
        <v>219</v>
      </c>
      <c r="D99" s="238">
        <v>0</v>
      </c>
      <c r="E99" s="239">
        <v>0</v>
      </c>
      <c r="F99" s="239">
        <v>0</v>
      </c>
      <c r="G99" s="239">
        <v>0.24942857142857144</v>
      </c>
      <c r="H99" s="239">
        <v>1</v>
      </c>
      <c r="I99" s="238">
        <v>0</v>
      </c>
      <c r="J99" s="239">
        <v>0</v>
      </c>
      <c r="K99" s="238">
        <v>1</v>
      </c>
      <c r="L99" s="22">
        <f t="shared" si="1"/>
        <v>0.31934920634920633</v>
      </c>
    </row>
    <row r="100" spans="1:12" x14ac:dyDescent="0.25">
      <c r="A100" s="170">
        <v>980</v>
      </c>
      <c r="B100" s="170">
        <v>6</v>
      </c>
      <c r="C100" s="171" t="s">
        <v>220</v>
      </c>
      <c r="D100" s="238">
        <v>0</v>
      </c>
      <c r="E100" s="239">
        <v>0</v>
      </c>
      <c r="F100" s="239">
        <v>0</v>
      </c>
      <c r="G100" s="239">
        <v>0.99771428571428578</v>
      </c>
      <c r="H100" s="239">
        <v>0.5</v>
      </c>
      <c r="I100" s="238">
        <v>0</v>
      </c>
      <c r="J100" s="239">
        <v>0</v>
      </c>
      <c r="K100" s="238">
        <v>0.5</v>
      </c>
      <c r="L100" s="22">
        <f t="shared" si="1"/>
        <v>0.30517460317460321</v>
      </c>
    </row>
    <row r="101" spans="1:12" x14ac:dyDescent="0.25">
      <c r="A101" s="170">
        <v>986</v>
      </c>
      <c r="B101" s="170">
        <v>6</v>
      </c>
      <c r="C101" s="171" t="s">
        <v>221</v>
      </c>
      <c r="D101" s="238">
        <v>0</v>
      </c>
      <c r="E101" s="239">
        <v>0</v>
      </c>
      <c r="F101" s="239">
        <v>0</v>
      </c>
      <c r="G101" s="239">
        <v>0</v>
      </c>
      <c r="H101" s="239">
        <v>0</v>
      </c>
      <c r="I101" s="238">
        <v>0</v>
      </c>
      <c r="J101" s="239">
        <v>0</v>
      </c>
      <c r="K101" s="238">
        <v>1</v>
      </c>
      <c r="L101" s="22">
        <f t="shared" si="1"/>
        <v>0.1111111111111111</v>
      </c>
    </row>
    <row r="102" spans="1:12" x14ac:dyDescent="0.25">
      <c r="A102" s="170">
        <v>988</v>
      </c>
      <c r="B102" s="170">
        <v>6</v>
      </c>
      <c r="C102" s="171" t="s">
        <v>222</v>
      </c>
      <c r="D102" s="238">
        <v>0</v>
      </c>
      <c r="E102" s="239">
        <v>0</v>
      </c>
      <c r="F102" s="239">
        <v>0.25</v>
      </c>
      <c r="G102" s="239">
        <v>0.24942857142857144</v>
      </c>
      <c r="H102" s="239">
        <v>0.75</v>
      </c>
      <c r="I102" s="238">
        <v>1</v>
      </c>
      <c r="J102" s="239">
        <v>0</v>
      </c>
      <c r="K102" s="238">
        <v>1</v>
      </c>
      <c r="L102" s="22">
        <f t="shared" si="1"/>
        <v>0.40962698412698412</v>
      </c>
    </row>
    <row r="103" spans="1:12" x14ac:dyDescent="0.25">
      <c r="A103" s="170">
        <v>989</v>
      </c>
      <c r="B103" s="170">
        <v>6</v>
      </c>
      <c r="C103" s="171" t="s">
        <v>223</v>
      </c>
      <c r="D103" s="238">
        <v>0</v>
      </c>
      <c r="E103" s="239">
        <v>0.83333333333333337</v>
      </c>
      <c r="F103" s="239">
        <v>0.375</v>
      </c>
      <c r="G103" s="239">
        <v>0.99771428571428578</v>
      </c>
      <c r="H103" s="239">
        <v>0.5</v>
      </c>
      <c r="I103" s="238">
        <v>1</v>
      </c>
      <c r="J103" s="239">
        <v>0.33333333333333331</v>
      </c>
      <c r="K103" s="238">
        <v>0.5</v>
      </c>
      <c r="L103" s="22">
        <f t="shared" si="1"/>
        <v>0.55401719576719577</v>
      </c>
    </row>
    <row r="104" spans="1:12" x14ac:dyDescent="0.25">
      <c r="A104" s="10">
        <v>39</v>
      </c>
      <c r="B104" s="10">
        <v>7</v>
      </c>
      <c r="C104" s="9" t="s">
        <v>224</v>
      </c>
      <c r="D104" s="238">
        <v>0.33333333333333331</v>
      </c>
      <c r="E104" s="239">
        <v>0.16666666666666666</v>
      </c>
      <c r="F104" s="239">
        <v>0.125</v>
      </c>
      <c r="G104" s="239">
        <v>0.74828571428571433</v>
      </c>
      <c r="H104" s="239">
        <v>0.75</v>
      </c>
      <c r="I104" s="238">
        <v>1</v>
      </c>
      <c r="J104" s="239">
        <v>0.5</v>
      </c>
      <c r="K104" s="238">
        <v>0.5</v>
      </c>
      <c r="L104" s="22">
        <f t="shared" si="1"/>
        <v>0.55179761904761904</v>
      </c>
    </row>
    <row r="105" spans="1:12" x14ac:dyDescent="0.25">
      <c r="A105" s="10">
        <v>59</v>
      </c>
      <c r="B105" s="10">
        <v>7</v>
      </c>
      <c r="C105" s="9" t="s">
        <v>225</v>
      </c>
      <c r="D105" s="238">
        <v>0</v>
      </c>
      <c r="E105" s="239">
        <v>0</v>
      </c>
      <c r="F105" s="239">
        <v>0</v>
      </c>
      <c r="G105" s="239">
        <v>0.24942857142857144</v>
      </c>
      <c r="H105" s="239">
        <v>0</v>
      </c>
      <c r="I105" s="238">
        <v>0.25</v>
      </c>
      <c r="J105" s="239">
        <v>0</v>
      </c>
      <c r="K105" s="238">
        <v>0.5</v>
      </c>
      <c r="L105" s="22">
        <f t="shared" si="1"/>
        <v>0.12490476190476191</v>
      </c>
    </row>
    <row r="106" spans="1:12" x14ac:dyDescent="0.25">
      <c r="A106" s="10">
        <v>128</v>
      </c>
      <c r="B106" s="10">
        <v>7</v>
      </c>
      <c r="C106" s="9" t="s">
        <v>226</v>
      </c>
      <c r="D106" s="238">
        <v>0</v>
      </c>
      <c r="E106" s="239">
        <v>0</v>
      </c>
      <c r="F106" s="239">
        <v>0</v>
      </c>
      <c r="G106" s="239">
        <v>0.24942857142857144</v>
      </c>
      <c r="H106" s="239">
        <v>0.5</v>
      </c>
      <c r="I106" s="238">
        <v>0</v>
      </c>
      <c r="J106" s="239">
        <v>0</v>
      </c>
      <c r="K106" s="238">
        <v>0.5</v>
      </c>
      <c r="L106" s="22">
        <f t="shared" si="1"/>
        <v>0.18046031746031746</v>
      </c>
    </row>
    <row r="107" spans="1:12" x14ac:dyDescent="0.25">
      <c r="A107" s="10">
        <v>152</v>
      </c>
      <c r="B107" s="10">
        <v>7</v>
      </c>
      <c r="C107" s="9" t="s">
        <v>227</v>
      </c>
      <c r="D107" s="238">
        <v>0</v>
      </c>
      <c r="E107" s="239">
        <v>0</v>
      </c>
      <c r="F107" s="239">
        <v>0</v>
      </c>
      <c r="G107" s="239">
        <v>0.24942857142857144</v>
      </c>
      <c r="H107" s="239">
        <v>0.5</v>
      </c>
      <c r="I107" s="238">
        <v>0</v>
      </c>
      <c r="J107" s="239">
        <v>0</v>
      </c>
      <c r="K107" s="238">
        <v>0.5</v>
      </c>
      <c r="L107" s="22">
        <f t="shared" si="1"/>
        <v>0.18046031746031746</v>
      </c>
    </row>
    <row r="108" spans="1:12" x14ac:dyDescent="0.25">
      <c r="A108" s="10">
        <v>162</v>
      </c>
      <c r="B108" s="10">
        <v>7</v>
      </c>
      <c r="C108" s="9" t="s">
        <v>228</v>
      </c>
      <c r="D108" s="238">
        <v>1</v>
      </c>
      <c r="E108" s="239">
        <v>0.83333333333333337</v>
      </c>
      <c r="F108" s="239">
        <v>0.75</v>
      </c>
      <c r="G108" s="239">
        <v>0.99771428571428578</v>
      </c>
      <c r="H108" s="239">
        <v>0.75</v>
      </c>
      <c r="I108" s="238">
        <v>1</v>
      </c>
      <c r="J108" s="239">
        <v>1</v>
      </c>
      <c r="K108" s="238">
        <v>1</v>
      </c>
      <c r="L108" s="22">
        <f t="shared" si="1"/>
        <v>0.92323015873015879</v>
      </c>
    </row>
    <row r="109" spans="1:12" x14ac:dyDescent="0.25">
      <c r="A109" s="10">
        <v>166</v>
      </c>
      <c r="B109" s="10">
        <v>7</v>
      </c>
      <c r="C109" s="9" t="s">
        <v>229</v>
      </c>
      <c r="D109" s="238">
        <v>0.33333333333333331</v>
      </c>
      <c r="E109" s="239">
        <v>0.83333333333333337</v>
      </c>
      <c r="F109" s="239">
        <v>0.75</v>
      </c>
      <c r="G109" s="239">
        <v>0.49885714285714289</v>
      </c>
      <c r="H109" s="239">
        <v>0.75</v>
      </c>
      <c r="I109" s="238">
        <v>1</v>
      </c>
      <c r="J109" s="239">
        <v>0.66666666666666663</v>
      </c>
      <c r="K109" s="238">
        <v>1</v>
      </c>
      <c r="L109" s="22">
        <f t="shared" si="1"/>
        <v>0.69193915343915346</v>
      </c>
    </row>
    <row r="110" spans="1:12" x14ac:dyDescent="0.25">
      <c r="A110" s="10">
        <v>192</v>
      </c>
      <c r="B110" s="10">
        <v>7</v>
      </c>
      <c r="C110" s="9" t="s">
        <v>230</v>
      </c>
      <c r="D110" s="238">
        <v>0</v>
      </c>
      <c r="E110" s="239">
        <v>1</v>
      </c>
      <c r="F110" s="239">
        <v>0.125</v>
      </c>
      <c r="G110" s="239">
        <v>0</v>
      </c>
      <c r="H110" s="239">
        <v>0.5</v>
      </c>
      <c r="I110" s="238">
        <v>1</v>
      </c>
      <c r="J110" s="239">
        <v>0.66666666666666663</v>
      </c>
      <c r="K110" s="238">
        <v>1</v>
      </c>
      <c r="L110" s="22">
        <f t="shared" si="1"/>
        <v>0.47337962962962959</v>
      </c>
    </row>
    <row r="111" spans="1:12" x14ac:dyDescent="0.25">
      <c r="A111" s="10">
        <v>205</v>
      </c>
      <c r="B111" s="10">
        <v>7</v>
      </c>
      <c r="C111" s="9" t="s">
        <v>231</v>
      </c>
      <c r="D111" s="238">
        <v>0.66666666666666663</v>
      </c>
      <c r="E111" s="239">
        <v>0.66666666666666663</v>
      </c>
      <c r="F111" s="239">
        <v>0.75</v>
      </c>
      <c r="G111" s="239">
        <v>0.49885714285714289</v>
      </c>
      <c r="H111" s="239">
        <v>0.25</v>
      </c>
      <c r="I111" s="238">
        <v>1</v>
      </c>
      <c r="J111" s="239">
        <v>1</v>
      </c>
      <c r="K111" s="238">
        <v>1</v>
      </c>
      <c r="L111" s="22">
        <f t="shared" si="1"/>
        <v>0.68730952380952393</v>
      </c>
    </row>
    <row r="112" spans="1:12" x14ac:dyDescent="0.25">
      <c r="A112" s="10">
        <v>212</v>
      </c>
      <c r="B112" s="10">
        <v>7</v>
      </c>
      <c r="C112" s="9" t="s">
        <v>232</v>
      </c>
      <c r="D112" s="238">
        <v>0.16666666666666666</v>
      </c>
      <c r="E112" s="239">
        <v>0</v>
      </c>
      <c r="F112" s="239">
        <v>0</v>
      </c>
      <c r="G112" s="239">
        <v>0.24942857142857144</v>
      </c>
      <c r="H112" s="239">
        <v>0.5</v>
      </c>
      <c r="I112" s="238">
        <v>0</v>
      </c>
      <c r="J112" s="239">
        <v>0.33333333333333331</v>
      </c>
      <c r="K112" s="238">
        <v>0.5</v>
      </c>
      <c r="L112" s="22">
        <f t="shared" si="1"/>
        <v>0.24527513227513228</v>
      </c>
    </row>
    <row r="113" spans="1:12" x14ac:dyDescent="0.25">
      <c r="A113" s="10">
        <v>216</v>
      </c>
      <c r="B113" s="10">
        <v>7</v>
      </c>
      <c r="C113" s="9" t="s">
        <v>233</v>
      </c>
      <c r="D113" s="238">
        <v>0.16666666666666666</v>
      </c>
      <c r="E113" s="239">
        <v>1</v>
      </c>
      <c r="F113" s="239">
        <v>0.5</v>
      </c>
      <c r="G113" s="239">
        <v>0.49885714285714289</v>
      </c>
      <c r="H113" s="239">
        <v>0.5</v>
      </c>
      <c r="I113" s="238">
        <v>1</v>
      </c>
      <c r="J113" s="239">
        <v>1</v>
      </c>
      <c r="K113" s="238">
        <v>1</v>
      </c>
      <c r="L113" s="22">
        <f t="shared" si="1"/>
        <v>0.6525873015873016</v>
      </c>
    </row>
    <row r="114" spans="1:12" x14ac:dyDescent="0.25">
      <c r="A114" s="10">
        <v>229</v>
      </c>
      <c r="B114" s="10">
        <v>7</v>
      </c>
      <c r="C114" s="9" t="s">
        <v>234</v>
      </c>
      <c r="D114" s="238">
        <v>0.33333333333333331</v>
      </c>
      <c r="E114" s="239">
        <v>1</v>
      </c>
      <c r="F114" s="239">
        <v>0.625</v>
      </c>
      <c r="G114" s="239">
        <v>0.49885714285714289</v>
      </c>
      <c r="H114" s="239">
        <v>0.75</v>
      </c>
      <c r="I114" s="238">
        <v>0.70000000000000007</v>
      </c>
      <c r="J114" s="239">
        <v>0.66666666666666663</v>
      </c>
      <c r="K114" s="238">
        <v>1</v>
      </c>
      <c r="L114" s="22">
        <f t="shared" si="1"/>
        <v>0.66207804232804235</v>
      </c>
    </row>
    <row r="115" spans="1:12" x14ac:dyDescent="0.25">
      <c r="A115" s="10">
        <v>236</v>
      </c>
      <c r="B115" s="10">
        <v>7</v>
      </c>
      <c r="C115" s="9" t="s">
        <v>235</v>
      </c>
      <c r="D115" s="238">
        <v>0.83333333333333337</v>
      </c>
      <c r="E115" s="239">
        <v>0.33333333333333331</v>
      </c>
      <c r="F115" s="239">
        <v>0</v>
      </c>
      <c r="G115" s="239">
        <v>0.49885714285714289</v>
      </c>
      <c r="H115" s="239">
        <v>0.5</v>
      </c>
      <c r="I115" s="238">
        <v>0.33333333333333331</v>
      </c>
      <c r="J115" s="239">
        <v>0.66666666666666663</v>
      </c>
      <c r="K115" s="238">
        <v>0.5</v>
      </c>
      <c r="L115" s="22">
        <f t="shared" si="1"/>
        <v>0.49980952380952381</v>
      </c>
    </row>
    <row r="116" spans="1:12" x14ac:dyDescent="0.25">
      <c r="A116" s="10">
        <v>239</v>
      </c>
      <c r="B116" s="10">
        <v>7</v>
      </c>
      <c r="C116" s="9" t="s">
        <v>236</v>
      </c>
      <c r="D116" s="238">
        <v>0.83333333333333337</v>
      </c>
      <c r="E116" s="239">
        <v>1</v>
      </c>
      <c r="F116" s="239">
        <v>0.5</v>
      </c>
      <c r="G116" s="239">
        <v>0.99771428571428578</v>
      </c>
      <c r="H116" s="239">
        <v>0.5</v>
      </c>
      <c r="I116" s="238">
        <v>1</v>
      </c>
      <c r="J116" s="239">
        <v>0.66666666666666663</v>
      </c>
      <c r="K116" s="238">
        <v>0.5</v>
      </c>
      <c r="L116" s="22">
        <f t="shared" si="1"/>
        <v>0.75424867724867728</v>
      </c>
    </row>
    <row r="117" spans="1:12" x14ac:dyDescent="0.25">
      <c r="A117" s="10">
        <v>249</v>
      </c>
      <c r="B117" s="10">
        <v>7</v>
      </c>
      <c r="C117" s="9" t="s">
        <v>237</v>
      </c>
      <c r="D117" s="238">
        <v>1</v>
      </c>
      <c r="E117" s="239">
        <v>1</v>
      </c>
      <c r="F117" s="239">
        <v>1</v>
      </c>
      <c r="G117" s="239">
        <v>0.49885714285714289</v>
      </c>
      <c r="H117" s="239">
        <v>0.5</v>
      </c>
      <c r="I117" s="238">
        <v>0.5</v>
      </c>
      <c r="J117" s="239">
        <v>1</v>
      </c>
      <c r="K117" s="238">
        <v>1</v>
      </c>
      <c r="L117" s="22">
        <f t="shared" si="1"/>
        <v>0.7775873015873016</v>
      </c>
    </row>
    <row r="118" spans="1:12" x14ac:dyDescent="0.25">
      <c r="A118" s="10">
        <v>271</v>
      </c>
      <c r="B118" s="10">
        <v>7</v>
      </c>
      <c r="C118" s="9" t="s">
        <v>238</v>
      </c>
      <c r="D118" s="238">
        <v>0.33333333333333331</v>
      </c>
      <c r="E118" s="239">
        <v>0</v>
      </c>
      <c r="F118" s="239">
        <v>0.5</v>
      </c>
      <c r="G118" s="239">
        <v>0.99771428571428578</v>
      </c>
      <c r="H118" s="239">
        <v>0.25</v>
      </c>
      <c r="I118" s="238">
        <v>0.66666666666666663</v>
      </c>
      <c r="J118" s="239">
        <v>0.83333333333333337</v>
      </c>
      <c r="K118" s="238">
        <v>1</v>
      </c>
      <c r="L118" s="22">
        <f t="shared" si="1"/>
        <v>0.58295238095238089</v>
      </c>
    </row>
    <row r="119" spans="1:12" x14ac:dyDescent="0.25">
      <c r="A119" s="10">
        <v>275</v>
      </c>
      <c r="B119" s="10">
        <v>7</v>
      </c>
      <c r="C119" s="9" t="s">
        <v>239</v>
      </c>
      <c r="D119" s="238">
        <v>0.33333333333333331</v>
      </c>
      <c r="E119" s="239">
        <v>0</v>
      </c>
      <c r="F119" s="239">
        <v>0</v>
      </c>
      <c r="G119" s="239">
        <v>0</v>
      </c>
      <c r="H119" s="239">
        <v>1</v>
      </c>
      <c r="I119" s="238">
        <v>0</v>
      </c>
      <c r="J119" s="239">
        <v>0.5</v>
      </c>
      <c r="K119" s="238">
        <v>0.5</v>
      </c>
      <c r="L119" s="22">
        <f t="shared" si="1"/>
        <v>0.33333333333333337</v>
      </c>
    </row>
    <row r="120" spans="1:12" x14ac:dyDescent="0.25">
      <c r="A120" s="10">
        <v>282</v>
      </c>
      <c r="B120" s="10">
        <v>7</v>
      </c>
      <c r="C120" s="9" t="s">
        <v>240</v>
      </c>
      <c r="D120" s="238">
        <v>0</v>
      </c>
      <c r="E120" s="239">
        <v>0</v>
      </c>
      <c r="F120" s="239">
        <v>0</v>
      </c>
      <c r="G120" s="239">
        <v>0.24942857142857144</v>
      </c>
      <c r="H120" s="239">
        <v>0.75</v>
      </c>
      <c r="I120" s="238">
        <v>0</v>
      </c>
      <c r="J120" s="239">
        <v>0</v>
      </c>
      <c r="K120" s="238">
        <v>1</v>
      </c>
      <c r="L120" s="22">
        <f t="shared" si="1"/>
        <v>0.27768253968253964</v>
      </c>
    </row>
    <row r="121" spans="1:12" x14ac:dyDescent="0.25">
      <c r="A121" s="10">
        <v>287</v>
      </c>
      <c r="B121" s="10">
        <v>7</v>
      </c>
      <c r="C121" s="9" t="s">
        <v>241</v>
      </c>
      <c r="D121" s="238">
        <v>0</v>
      </c>
      <c r="E121" s="239">
        <v>0</v>
      </c>
      <c r="F121" s="239">
        <v>0</v>
      </c>
      <c r="G121" s="239">
        <v>0.49885714285714289</v>
      </c>
      <c r="H121" s="239">
        <v>0.75</v>
      </c>
      <c r="I121" s="238">
        <v>0</v>
      </c>
      <c r="J121" s="239">
        <v>0</v>
      </c>
      <c r="K121" s="238">
        <v>1</v>
      </c>
      <c r="L121" s="22">
        <f t="shared" si="1"/>
        <v>0.31925396825396823</v>
      </c>
    </row>
    <row r="122" spans="1:12" x14ac:dyDescent="0.25">
      <c r="A122" s="10">
        <v>290</v>
      </c>
      <c r="B122" s="10">
        <v>7</v>
      </c>
      <c r="C122" s="9" t="s">
        <v>242</v>
      </c>
      <c r="D122" s="238">
        <v>0.83333333333333337</v>
      </c>
      <c r="E122" s="239">
        <v>0.5</v>
      </c>
      <c r="F122" s="239">
        <v>0.5</v>
      </c>
      <c r="G122" s="239">
        <v>0.49885714285714289</v>
      </c>
      <c r="H122" s="239">
        <v>0.5</v>
      </c>
      <c r="I122" s="238">
        <v>1</v>
      </c>
      <c r="J122" s="239">
        <v>0.83333333333333337</v>
      </c>
      <c r="K122" s="238">
        <v>1</v>
      </c>
      <c r="L122" s="22">
        <f t="shared" si="1"/>
        <v>0.70351322751322742</v>
      </c>
    </row>
    <row r="123" spans="1:12" x14ac:dyDescent="0.25">
      <c r="A123" s="10">
        <v>294</v>
      </c>
      <c r="B123" s="10">
        <v>7</v>
      </c>
      <c r="C123" s="9" t="s">
        <v>243</v>
      </c>
      <c r="D123" s="238">
        <v>0.66666666666666663</v>
      </c>
      <c r="E123" s="239">
        <v>0</v>
      </c>
      <c r="F123" s="239">
        <v>0.375</v>
      </c>
      <c r="G123" s="239">
        <v>0.99771428571428578</v>
      </c>
      <c r="H123" s="239">
        <v>0.5</v>
      </c>
      <c r="I123" s="238">
        <v>1</v>
      </c>
      <c r="J123" s="239">
        <v>1</v>
      </c>
      <c r="K123" s="238">
        <v>1</v>
      </c>
      <c r="L123" s="22">
        <f t="shared" si="1"/>
        <v>0.72531349206349205</v>
      </c>
    </row>
    <row r="124" spans="1:12" x14ac:dyDescent="0.25">
      <c r="A124" s="10">
        <v>296</v>
      </c>
      <c r="B124" s="10">
        <v>7</v>
      </c>
      <c r="C124" s="9" t="s">
        <v>244</v>
      </c>
      <c r="D124" s="238">
        <v>0</v>
      </c>
      <c r="E124" s="239">
        <v>0</v>
      </c>
      <c r="F124" s="239">
        <v>0.375</v>
      </c>
      <c r="G124" s="239">
        <v>0.24942857142857144</v>
      </c>
      <c r="H124" s="239">
        <v>0</v>
      </c>
      <c r="I124" s="238">
        <v>1</v>
      </c>
      <c r="J124" s="239">
        <v>0.16666666666666666</v>
      </c>
      <c r="K124" s="238">
        <v>1</v>
      </c>
      <c r="L124" s="22">
        <f t="shared" si="1"/>
        <v>0.31356216931216929</v>
      </c>
    </row>
    <row r="125" spans="1:12" x14ac:dyDescent="0.25">
      <c r="A125" s="10">
        <v>301</v>
      </c>
      <c r="B125" s="10">
        <v>7</v>
      </c>
      <c r="C125" s="9" t="s">
        <v>245</v>
      </c>
      <c r="D125" s="238">
        <v>0.83333333333333337</v>
      </c>
      <c r="E125" s="239">
        <v>0</v>
      </c>
      <c r="F125" s="239">
        <v>0.5</v>
      </c>
      <c r="G125" s="239">
        <v>0.24942857142857144</v>
      </c>
      <c r="H125" s="239">
        <v>0.75</v>
      </c>
      <c r="I125" s="238">
        <v>0.66666666666666663</v>
      </c>
      <c r="J125" s="239">
        <v>0.66666666666666663</v>
      </c>
      <c r="K125" s="238">
        <v>1</v>
      </c>
      <c r="L125" s="22">
        <f t="shared" si="1"/>
        <v>0.60638624338624336</v>
      </c>
    </row>
    <row r="126" spans="1:12" x14ac:dyDescent="0.25">
      <c r="A126" s="10">
        <v>321</v>
      </c>
      <c r="B126" s="10">
        <v>7</v>
      </c>
      <c r="C126" s="9" t="s">
        <v>246</v>
      </c>
      <c r="D126" s="238">
        <v>0.66666666666666663</v>
      </c>
      <c r="E126" s="239">
        <v>0.83333333333333337</v>
      </c>
      <c r="F126" s="239">
        <v>0.625</v>
      </c>
      <c r="G126" s="239">
        <v>0</v>
      </c>
      <c r="H126" s="239">
        <v>0</v>
      </c>
      <c r="I126" s="238">
        <v>0.5</v>
      </c>
      <c r="J126" s="239">
        <v>0.33333333333333331</v>
      </c>
      <c r="K126" s="238">
        <v>1</v>
      </c>
      <c r="L126" s="22">
        <f t="shared" si="1"/>
        <v>0.43634259259259256</v>
      </c>
    </row>
    <row r="127" spans="1:12" x14ac:dyDescent="0.25">
      <c r="A127" s="10">
        <v>325</v>
      </c>
      <c r="B127" s="10">
        <v>7</v>
      </c>
      <c r="C127" s="9" t="s">
        <v>247</v>
      </c>
      <c r="D127" s="238">
        <v>0.33333333333333331</v>
      </c>
      <c r="E127" s="239">
        <v>0</v>
      </c>
      <c r="F127" s="239">
        <v>0.25</v>
      </c>
      <c r="G127" s="239">
        <v>0.49885714285714289</v>
      </c>
      <c r="H127" s="239">
        <v>0.25</v>
      </c>
      <c r="I127" s="238">
        <v>0.5</v>
      </c>
      <c r="J127" s="239">
        <v>0</v>
      </c>
      <c r="K127" s="238">
        <v>0.5</v>
      </c>
      <c r="L127" s="22">
        <f t="shared" si="1"/>
        <v>0.31230952380952381</v>
      </c>
    </row>
    <row r="128" spans="1:12" x14ac:dyDescent="0.25">
      <c r="A128" s="10">
        <v>346</v>
      </c>
      <c r="B128" s="10">
        <v>7</v>
      </c>
      <c r="C128" s="9" t="s">
        <v>248</v>
      </c>
      <c r="D128" s="238">
        <v>0</v>
      </c>
      <c r="E128" s="239">
        <v>0</v>
      </c>
      <c r="F128" s="239">
        <v>0</v>
      </c>
      <c r="G128" s="239">
        <v>0</v>
      </c>
      <c r="H128" s="239">
        <v>0.5</v>
      </c>
      <c r="I128" s="238">
        <v>0</v>
      </c>
      <c r="J128" s="239">
        <v>0</v>
      </c>
      <c r="K128" s="238">
        <v>1</v>
      </c>
      <c r="L128" s="22">
        <f t="shared" si="1"/>
        <v>0.19444444444444442</v>
      </c>
    </row>
    <row r="129" spans="1:12" x14ac:dyDescent="0.25">
      <c r="A129" s="10">
        <v>358</v>
      </c>
      <c r="B129" s="10">
        <v>7</v>
      </c>
      <c r="C129" s="9" t="s">
        <v>249</v>
      </c>
      <c r="D129" s="238">
        <v>0</v>
      </c>
      <c r="E129" s="239">
        <v>0.83333333333333337</v>
      </c>
      <c r="F129" s="239">
        <v>1</v>
      </c>
      <c r="G129" s="239">
        <v>0.24942857142857144</v>
      </c>
      <c r="H129" s="239">
        <v>0.5</v>
      </c>
      <c r="I129" s="238">
        <v>1</v>
      </c>
      <c r="J129" s="239">
        <v>0.66666666666666663</v>
      </c>
      <c r="K129" s="238">
        <v>1</v>
      </c>
      <c r="L129" s="22">
        <f t="shared" si="1"/>
        <v>0.57397883597883603</v>
      </c>
    </row>
    <row r="130" spans="1:12" x14ac:dyDescent="0.25">
      <c r="A130" s="10">
        <v>361</v>
      </c>
      <c r="B130" s="10">
        <v>7</v>
      </c>
      <c r="C130" s="9" t="s">
        <v>250</v>
      </c>
      <c r="D130" s="238">
        <v>1</v>
      </c>
      <c r="E130" s="239">
        <v>0</v>
      </c>
      <c r="F130" s="239">
        <v>0</v>
      </c>
      <c r="G130" s="239">
        <v>0.24942857142857144</v>
      </c>
      <c r="H130" s="239">
        <v>1</v>
      </c>
      <c r="I130" s="238">
        <v>0.16666666666666666</v>
      </c>
      <c r="J130" s="239">
        <v>0</v>
      </c>
      <c r="K130" s="238">
        <v>1</v>
      </c>
      <c r="L130" s="22">
        <f t="shared" si="1"/>
        <v>0.50453439153439139</v>
      </c>
    </row>
    <row r="131" spans="1:12" x14ac:dyDescent="0.25">
      <c r="A131" s="10">
        <v>376</v>
      </c>
      <c r="B131" s="10">
        <v>7</v>
      </c>
      <c r="C131" s="9" t="s">
        <v>251</v>
      </c>
      <c r="D131" s="238">
        <v>0.16666666666666666</v>
      </c>
      <c r="E131" s="239">
        <v>0</v>
      </c>
      <c r="F131" s="239">
        <v>0</v>
      </c>
      <c r="G131" s="239">
        <v>0.49885714285714289</v>
      </c>
      <c r="H131" s="239">
        <v>0.75</v>
      </c>
      <c r="I131" s="238">
        <v>0.33333333333333331</v>
      </c>
      <c r="J131" s="239">
        <v>0</v>
      </c>
      <c r="K131" s="238">
        <v>1</v>
      </c>
      <c r="L131" s="22">
        <f t="shared" si="1"/>
        <v>0.38406878306878306</v>
      </c>
    </row>
    <row r="132" spans="1:12" x14ac:dyDescent="0.25">
      <c r="A132" s="10">
        <v>382</v>
      </c>
      <c r="B132" s="10">
        <v>7</v>
      </c>
      <c r="C132" s="9" t="s">
        <v>252</v>
      </c>
      <c r="D132" s="238">
        <v>0.66666666666666663</v>
      </c>
      <c r="E132" s="239">
        <v>0.83333333333333337</v>
      </c>
      <c r="F132" s="239">
        <v>0.625</v>
      </c>
      <c r="G132" s="239">
        <v>0</v>
      </c>
      <c r="H132" s="239">
        <v>0.75</v>
      </c>
      <c r="I132" s="238">
        <v>1</v>
      </c>
      <c r="J132" s="239">
        <v>0.83333333333333337</v>
      </c>
      <c r="K132" s="238">
        <v>1</v>
      </c>
      <c r="L132" s="22">
        <f t="shared" si="1"/>
        <v>0.67245370370370372</v>
      </c>
    </row>
    <row r="133" spans="1:12" x14ac:dyDescent="0.25">
      <c r="A133" s="10">
        <v>389</v>
      </c>
      <c r="B133" s="10">
        <v>7</v>
      </c>
      <c r="C133" s="9" t="s">
        <v>253</v>
      </c>
      <c r="D133" s="238">
        <v>0</v>
      </c>
      <c r="E133" s="239">
        <v>0</v>
      </c>
      <c r="F133" s="239">
        <v>0</v>
      </c>
      <c r="G133" s="239">
        <v>0.99771428571428578</v>
      </c>
      <c r="H133" s="239">
        <v>1</v>
      </c>
      <c r="I133" s="238">
        <v>0</v>
      </c>
      <c r="J133" s="239">
        <v>0.66666666666666663</v>
      </c>
      <c r="K133" s="238">
        <v>0.5</v>
      </c>
      <c r="L133" s="22">
        <f t="shared" ref="L133:L196" si="2">(D133*$D$2+E133*$E$2+F133*$F$2+G133*$G$2+H133*$H$2+I133*$I$2+J133*$J$2+K133*$K$2)</f>
        <v>0.46258201058201054</v>
      </c>
    </row>
    <row r="134" spans="1:12" x14ac:dyDescent="0.25">
      <c r="A134" s="10">
        <v>434</v>
      </c>
      <c r="B134" s="10">
        <v>7</v>
      </c>
      <c r="C134" s="9" t="s">
        <v>254</v>
      </c>
      <c r="D134" s="238">
        <v>0</v>
      </c>
      <c r="E134" s="239">
        <v>0</v>
      </c>
      <c r="F134" s="239">
        <v>0.25</v>
      </c>
      <c r="G134" s="239">
        <v>0.24942857142857144</v>
      </c>
      <c r="H134" s="239">
        <v>0.5</v>
      </c>
      <c r="I134" s="238">
        <v>0.25</v>
      </c>
      <c r="J134" s="239">
        <v>0</v>
      </c>
      <c r="K134" s="238">
        <v>1</v>
      </c>
      <c r="L134" s="22">
        <f t="shared" si="2"/>
        <v>0.28462698412698412</v>
      </c>
    </row>
    <row r="135" spans="1:12" x14ac:dyDescent="0.25">
      <c r="A135" s="10">
        <v>437</v>
      </c>
      <c r="B135" s="10">
        <v>7</v>
      </c>
      <c r="C135" s="9" t="s">
        <v>255</v>
      </c>
      <c r="D135" s="238">
        <v>0</v>
      </c>
      <c r="E135" s="239">
        <v>0</v>
      </c>
      <c r="F135" s="239">
        <v>0.5</v>
      </c>
      <c r="G135" s="239">
        <v>0</v>
      </c>
      <c r="H135" s="239">
        <v>0</v>
      </c>
      <c r="I135" s="238">
        <v>0.25</v>
      </c>
      <c r="J135" s="239">
        <v>0.33333333333333331</v>
      </c>
      <c r="K135" s="238">
        <v>1</v>
      </c>
      <c r="L135" s="22">
        <f t="shared" si="2"/>
        <v>0.21759259259259259</v>
      </c>
    </row>
    <row r="136" spans="1:12" x14ac:dyDescent="0.25">
      <c r="A136" s="10">
        <v>502</v>
      </c>
      <c r="B136" s="10">
        <v>7</v>
      </c>
      <c r="C136" s="9" t="s">
        <v>256</v>
      </c>
      <c r="D136" s="238">
        <v>0</v>
      </c>
      <c r="E136" s="239">
        <v>0</v>
      </c>
      <c r="F136" s="239">
        <v>0.375</v>
      </c>
      <c r="G136" s="239">
        <v>0</v>
      </c>
      <c r="H136" s="239">
        <v>0.5</v>
      </c>
      <c r="I136" s="238">
        <v>1</v>
      </c>
      <c r="J136" s="239">
        <v>0.66666666666666663</v>
      </c>
      <c r="K136" s="238">
        <v>1</v>
      </c>
      <c r="L136" s="22">
        <f t="shared" si="2"/>
        <v>0.41087962962962959</v>
      </c>
    </row>
    <row r="137" spans="1:12" x14ac:dyDescent="0.25">
      <c r="A137" s="10">
        <v>503</v>
      </c>
      <c r="B137" s="10">
        <v>7</v>
      </c>
      <c r="C137" s="9" t="s">
        <v>257</v>
      </c>
      <c r="D137" s="238">
        <v>0.5</v>
      </c>
      <c r="E137" s="239">
        <v>0.83333333333333337</v>
      </c>
      <c r="F137" s="239">
        <v>0.87499999999999989</v>
      </c>
      <c r="G137" s="239">
        <v>0</v>
      </c>
      <c r="H137" s="239">
        <v>0.5</v>
      </c>
      <c r="I137" s="238">
        <v>1</v>
      </c>
      <c r="J137" s="239">
        <v>1</v>
      </c>
      <c r="K137" s="238">
        <v>1</v>
      </c>
      <c r="L137" s="22">
        <f t="shared" si="2"/>
        <v>0.64236111111111116</v>
      </c>
    </row>
    <row r="138" spans="1:12" x14ac:dyDescent="0.25">
      <c r="A138" s="10">
        <v>510</v>
      </c>
      <c r="B138" s="10">
        <v>7</v>
      </c>
      <c r="C138" s="9" t="s">
        <v>258</v>
      </c>
      <c r="D138" s="238">
        <v>0.5</v>
      </c>
      <c r="E138" s="239">
        <v>0</v>
      </c>
      <c r="F138" s="239">
        <v>0</v>
      </c>
      <c r="G138" s="239">
        <v>0</v>
      </c>
      <c r="H138" s="239">
        <v>0.5</v>
      </c>
      <c r="I138" s="238">
        <v>0.5</v>
      </c>
      <c r="J138" s="239">
        <v>0.66666666666666663</v>
      </c>
      <c r="K138" s="238">
        <v>0.5</v>
      </c>
      <c r="L138" s="22">
        <f t="shared" si="2"/>
        <v>0.35185185185185186</v>
      </c>
    </row>
    <row r="139" spans="1:12" x14ac:dyDescent="0.25">
      <c r="A139" s="10">
        <v>531</v>
      </c>
      <c r="B139" s="10">
        <v>7</v>
      </c>
      <c r="C139" s="9" t="s">
        <v>259</v>
      </c>
      <c r="D139" s="238">
        <v>1</v>
      </c>
      <c r="E139" s="239">
        <v>0.83333333333333337</v>
      </c>
      <c r="F139" s="239">
        <v>0.375</v>
      </c>
      <c r="G139" s="239">
        <v>0.49885714285714289</v>
      </c>
      <c r="H139" s="239">
        <v>0.5</v>
      </c>
      <c r="I139" s="238">
        <v>1</v>
      </c>
      <c r="J139" s="239">
        <v>1</v>
      </c>
      <c r="K139" s="238">
        <v>1</v>
      </c>
      <c r="L139" s="22">
        <f t="shared" si="2"/>
        <v>0.76717063492063486</v>
      </c>
    </row>
    <row r="140" spans="1:12" x14ac:dyDescent="0.25">
      <c r="A140" s="10">
        <v>550</v>
      </c>
      <c r="B140" s="10">
        <v>7</v>
      </c>
      <c r="C140" s="9" t="s">
        <v>260</v>
      </c>
      <c r="D140" s="238">
        <v>0.66666666666666663</v>
      </c>
      <c r="E140" s="239">
        <v>0.83333333333333337</v>
      </c>
      <c r="F140" s="239">
        <v>0.625</v>
      </c>
      <c r="G140" s="239">
        <v>0.99771428571428578</v>
      </c>
      <c r="H140" s="239">
        <v>0.5</v>
      </c>
      <c r="I140" s="238">
        <v>0.5</v>
      </c>
      <c r="J140" s="239">
        <v>0.66666666666666663</v>
      </c>
      <c r="K140" s="238">
        <v>1</v>
      </c>
      <c r="L140" s="22">
        <f t="shared" si="2"/>
        <v>0.72299867724867717</v>
      </c>
    </row>
    <row r="141" spans="1:12" x14ac:dyDescent="0.25">
      <c r="A141" s="10">
        <v>551</v>
      </c>
      <c r="B141" s="10">
        <v>7</v>
      </c>
      <c r="C141" s="9" t="s">
        <v>261</v>
      </c>
      <c r="D141" s="238">
        <v>0</v>
      </c>
      <c r="E141" s="239">
        <v>0.83333333333333337</v>
      </c>
      <c r="F141" s="239">
        <v>0.25</v>
      </c>
      <c r="G141" s="239">
        <v>0.49885714285714289</v>
      </c>
      <c r="H141" s="239">
        <v>0</v>
      </c>
      <c r="I141" s="238">
        <v>1</v>
      </c>
      <c r="J141" s="239">
        <v>0.83333333333333337</v>
      </c>
      <c r="K141" s="238">
        <v>1</v>
      </c>
      <c r="L141" s="22">
        <f t="shared" si="2"/>
        <v>0.48823544973544969</v>
      </c>
    </row>
    <row r="142" spans="1:12" x14ac:dyDescent="0.25">
      <c r="A142" s="10">
        <v>555</v>
      </c>
      <c r="B142" s="10">
        <v>7</v>
      </c>
      <c r="C142" s="9" t="s">
        <v>262</v>
      </c>
      <c r="D142" s="238">
        <v>0.83333333333333337</v>
      </c>
      <c r="E142" s="239">
        <v>0.66666666666666663</v>
      </c>
      <c r="F142" s="239">
        <v>1</v>
      </c>
      <c r="G142" s="239">
        <v>0.99771428571428578</v>
      </c>
      <c r="H142" s="239">
        <v>0.5</v>
      </c>
      <c r="I142" s="238">
        <v>1</v>
      </c>
      <c r="J142" s="239">
        <v>0.83333333333333337</v>
      </c>
      <c r="K142" s="238">
        <v>1</v>
      </c>
      <c r="L142" s="22">
        <f t="shared" si="2"/>
        <v>0.84221164021164019</v>
      </c>
    </row>
    <row r="143" spans="1:12" x14ac:dyDescent="0.25">
      <c r="A143" s="10">
        <v>556</v>
      </c>
      <c r="B143" s="10">
        <v>7</v>
      </c>
      <c r="C143" s="9" t="s">
        <v>263</v>
      </c>
      <c r="D143" s="238">
        <v>0.83333333333333337</v>
      </c>
      <c r="E143" s="239">
        <v>0.83333333333333337</v>
      </c>
      <c r="F143" s="239">
        <v>0.75</v>
      </c>
      <c r="G143" s="239">
        <v>0.24942857142857144</v>
      </c>
      <c r="H143" s="239">
        <v>0.5</v>
      </c>
      <c r="I143" s="238">
        <v>0.5</v>
      </c>
      <c r="J143" s="239">
        <v>1</v>
      </c>
      <c r="K143" s="238">
        <v>1</v>
      </c>
      <c r="L143" s="22">
        <f t="shared" si="2"/>
        <v>0.67351587301587301</v>
      </c>
    </row>
    <row r="144" spans="1:12" x14ac:dyDescent="0.25">
      <c r="A144" s="10">
        <v>558</v>
      </c>
      <c r="B144" s="10">
        <v>7</v>
      </c>
      <c r="C144" s="9" t="s">
        <v>264</v>
      </c>
      <c r="D144" s="238">
        <v>0.16666666666666666</v>
      </c>
      <c r="E144" s="239">
        <v>0</v>
      </c>
      <c r="F144" s="239">
        <v>0.25</v>
      </c>
      <c r="G144" s="239">
        <v>0.49885714285714289</v>
      </c>
      <c r="H144" s="239">
        <v>0</v>
      </c>
      <c r="I144" s="238">
        <v>1</v>
      </c>
      <c r="J144" s="239">
        <v>0</v>
      </c>
      <c r="K144" s="238">
        <v>1</v>
      </c>
      <c r="L144" s="22">
        <f t="shared" si="2"/>
        <v>0.35397619047619044</v>
      </c>
    </row>
    <row r="145" spans="1:12" x14ac:dyDescent="0.25">
      <c r="A145" s="10">
        <v>600</v>
      </c>
      <c r="B145" s="10">
        <v>7</v>
      </c>
      <c r="C145" s="9" t="s">
        <v>265</v>
      </c>
      <c r="D145" s="238">
        <v>0.66666666666666663</v>
      </c>
      <c r="E145" s="239">
        <v>0.66666666666666663</v>
      </c>
      <c r="F145" s="239">
        <v>0</v>
      </c>
      <c r="G145" s="239">
        <v>0.99771428571428578</v>
      </c>
      <c r="H145" s="239">
        <v>0.5</v>
      </c>
      <c r="I145" s="238">
        <v>0.5</v>
      </c>
      <c r="J145" s="239">
        <v>0.66666666666666663</v>
      </c>
      <c r="K145" s="238">
        <v>1</v>
      </c>
      <c r="L145" s="22">
        <f t="shared" si="2"/>
        <v>0.65702645502645507</v>
      </c>
    </row>
    <row r="146" spans="1:12" x14ac:dyDescent="0.25">
      <c r="A146" s="10">
        <v>604</v>
      </c>
      <c r="B146" s="10">
        <v>7</v>
      </c>
      <c r="C146" s="9" t="s">
        <v>266</v>
      </c>
      <c r="D146" s="238">
        <v>0.16666666666666666</v>
      </c>
      <c r="E146" s="239">
        <v>0.33333333333333331</v>
      </c>
      <c r="F146" s="239">
        <v>0.75</v>
      </c>
      <c r="G146" s="239">
        <v>0.49885714285714289</v>
      </c>
      <c r="H146" s="239">
        <v>0.5</v>
      </c>
      <c r="I146" s="238">
        <v>1</v>
      </c>
      <c r="J146" s="239">
        <v>0.66666666666666663</v>
      </c>
      <c r="K146" s="238">
        <v>1</v>
      </c>
      <c r="L146" s="22">
        <f t="shared" si="2"/>
        <v>0.5808280423280423</v>
      </c>
    </row>
    <row r="147" spans="1:12" x14ac:dyDescent="0.25">
      <c r="A147" s="10">
        <v>612</v>
      </c>
      <c r="B147" s="10">
        <v>7</v>
      </c>
      <c r="C147" s="9" t="s">
        <v>267</v>
      </c>
      <c r="D147" s="238">
        <v>0</v>
      </c>
      <c r="E147" s="239">
        <v>1</v>
      </c>
      <c r="F147" s="239">
        <v>0</v>
      </c>
      <c r="G147" s="239">
        <v>0.49885714285714289</v>
      </c>
      <c r="H147" s="239">
        <v>0.75</v>
      </c>
      <c r="I147" s="238">
        <v>1</v>
      </c>
      <c r="J147" s="239">
        <v>0.33333333333333331</v>
      </c>
      <c r="K147" s="238">
        <v>1</v>
      </c>
      <c r="L147" s="22">
        <f t="shared" si="2"/>
        <v>0.55073544973544974</v>
      </c>
    </row>
    <row r="148" spans="1:12" x14ac:dyDescent="0.25">
      <c r="A148" s="10">
        <v>711</v>
      </c>
      <c r="B148" s="10">
        <v>7</v>
      </c>
      <c r="C148" s="9" t="s">
        <v>269</v>
      </c>
      <c r="D148" s="238">
        <v>1</v>
      </c>
      <c r="E148" s="239">
        <v>0</v>
      </c>
      <c r="F148" s="239">
        <v>0.75</v>
      </c>
      <c r="G148" s="239">
        <v>0.99771428571428578</v>
      </c>
      <c r="H148" s="239">
        <v>0.5</v>
      </c>
      <c r="I148" s="238">
        <v>1</v>
      </c>
      <c r="J148" s="239">
        <v>0</v>
      </c>
      <c r="K148" s="238">
        <v>0.5</v>
      </c>
      <c r="L148" s="22">
        <f t="shared" si="2"/>
        <v>0.64545238095238089</v>
      </c>
    </row>
    <row r="149" spans="1:12" x14ac:dyDescent="0.25">
      <c r="A149" s="10">
        <v>712</v>
      </c>
      <c r="B149" s="10">
        <v>7</v>
      </c>
      <c r="C149" s="9" t="s">
        <v>270</v>
      </c>
      <c r="D149" s="238">
        <v>1</v>
      </c>
      <c r="E149" s="239">
        <v>0.5</v>
      </c>
      <c r="F149" s="239">
        <v>0.375</v>
      </c>
      <c r="G149" s="239">
        <v>0.99771428571428578</v>
      </c>
      <c r="H149" s="239">
        <v>0.5</v>
      </c>
      <c r="I149" s="238">
        <v>0.5</v>
      </c>
      <c r="J149" s="239">
        <v>0.16666666666666666</v>
      </c>
      <c r="K149" s="238">
        <v>1</v>
      </c>
      <c r="L149" s="22">
        <f t="shared" si="2"/>
        <v>0.67438756613756601</v>
      </c>
    </row>
    <row r="150" spans="1:12" x14ac:dyDescent="0.25">
      <c r="A150" s="10">
        <v>718</v>
      </c>
      <c r="B150" s="10">
        <v>7</v>
      </c>
      <c r="C150" s="9" t="s">
        <v>271</v>
      </c>
      <c r="D150" s="238">
        <v>0.16666666666666666</v>
      </c>
      <c r="E150" s="239">
        <v>0.5</v>
      </c>
      <c r="F150" s="239">
        <v>0</v>
      </c>
      <c r="G150" s="239">
        <v>0</v>
      </c>
      <c r="H150" s="239">
        <v>0</v>
      </c>
      <c r="I150" s="238">
        <v>0</v>
      </c>
      <c r="J150" s="239">
        <v>0.5</v>
      </c>
      <c r="K150" s="238">
        <v>1</v>
      </c>
      <c r="L150" s="22">
        <f t="shared" si="2"/>
        <v>0.2361111111111111</v>
      </c>
    </row>
    <row r="151" spans="1:12" x14ac:dyDescent="0.25">
      <c r="A151" s="10">
        <v>736</v>
      </c>
      <c r="B151" s="10">
        <v>7</v>
      </c>
      <c r="C151" s="9" t="s">
        <v>272</v>
      </c>
      <c r="D151" s="238">
        <v>0</v>
      </c>
      <c r="E151" s="239">
        <v>0.16666666666666666</v>
      </c>
      <c r="F151" s="239">
        <v>0.25</v>
      </c>
      <c r="G151" s="239">
        <v>0.24942857142857144</v>
      </c>
      <c r="H151" s="239">
        <v>0.5</v>
      </c>
      <c r="I151" s="238">
        <v>0</v>
      </c>
      <c r="J151" s="239">
        <v>0.33333333333333331</v>
      </c>
      <c r="K151" s="238">
        <v>1</v>
      </c>
      <c r="L151" s="22">
        <f t="shared" si="2"/>
        <v>0.30777513227513226</v>
      </c>
    </row>
    <row r="152" spans="1:12" x14ac:dyDescent="0.25">
      <c r="A152" s="10">
        <v>757</v>
      </c>
      <c r="B152" s="10">
        <v>7</v>
      </c>
      <c r="C152" s="9" t="s">
        <v>273</v>
      </c>
      <c r="D152" s="238">
        <v>1</v>
      </c>
      <c r="E152" s="239">
        <v>0.83333333333333337</v>
      </c>
      <c r="F152" s="239">
        <v>0.87499999999999989</v>
      </c>
      <c r="G152" s="239">
        <v>0.49885714285714289</v>
      </c>
      <c r="H152" s="239">
        <v>0</v>
      </c>
      <c r="I152" s="238">
        <v>1</v>
      </c>
      <c r="J152" s="239">
        <v>1</v>
      </c>
      <c r="K152" s="238">
        <v>1</v>
      </c>
      <c r="L152" s="22">
        <f t="shared" si="2"/>
        <v>0.72550396825396835</v>
      </c>
    </row>
    <row r="153" spans="1:12" x14ac:dyDescent="0.25">
      <c r="A153" s="10">
        <v>786</v>
      </c>
      <c r="B153" s="10">
        <v>7</v>
      </c>
      <c r="C153" s="9" t="s">
        <v>274</v>
      </c>
      <c r="D153" s="238">
        <v>1</v>
      </c>
      <c r="E153" s="239">
        <v>0.83333333333333337</v>
      </c>
      <c r="F153" s="239">
        <v>0.75</v>
      </c>
      <c r="G153" s="239">
        <v>0.49885714285714289</v>
      </c>
      <c r="H153" s="239">
        <v>0</v>
      </c>
      <c r="I153" s="238">
        <v>1</v>
      </c>
      <c r="J153" s="239">
        <v>1</v>
      </c>
      <c r="K153" s="238">
        <v>1</v>
      </c>
      <c r="L153" s="22">
        <f t="shared" si="2"/>
        <v>0.7150873015873016</v>
      </c>
    </row>
    <row r="154" spans="1:12" x14ac:dyDescent="0.25">
      <c r="A154" s="10">
        <v>854</v>
      </c>
      <c r="B154" s="10">
        <v>7</v>
      </c>
      <c r="C154" s="9" t="s">
        <v>275</v>
      </c>
      <c r="D154" s="238">
        <v>1</v>
      </c>
      <c r="E154" s="239">
        <v>1</v>
      </c>
      <c r="F154" s="239">
        <v>0.87499999999999989</v>
      </c>
      <c r="G154" s="239">
        <v>0.49885714285714289</v>
      </c>
      <c r="H154" s="239">
        <v>0.25</v>
      </c>
      <c r="I154" s="238">
        <v>1</v>
      </c>
      <c r="J154" s="239">
        <v>0.83333333333333337</v>
      </c>
      <c r="K154" s="238">
        <v>1</v>
      </c>
      <c r="L154" s="22">
        <f t="shared" si="2"/>
        <v>0.76254100529100532</v>
      </c>
    </row>
    <row r="155" spans="1:12" x14ac:dyDescent="0.25">
      <c r="A155" s="10">
        <v>855</v>
      </c>
      <c r="B155" s="10">
        <v>7</v>
      </c>
      <c r="C155" s="9" t="s">
        <v>276</v>
      </c>
      <c r="D155" s="238">
        <v>0</v>
      </c>
      <c r="E155" s="239">
        <v>0</v>
      </c>
      <c r="F155" s="239">
        <v>0.125</v>
      </c>
      <c r="G155" s="239">
        <v>0.49885714285714289</v>
      </c>
      <c r="H155" s="239">
        <v>0.25</v>
      </c>
      <c r="I155" s="238">
        <v>0</v>
      </c>
      <c r="J155" s="239">
        <v>0</v>
      </c>
      <c r="K155" s="238">
        <v>0.5</v>
      </c>
      <c r="L155" s="22">
        <f t="shared" si="2"/>
        <v>0.19078174603174602</v>
      </c>
    </row>
    <row r="156" spans="1:12" x14ac:dyDescent="0.25">
      <c r="A156" s="10">
        <v>862</v>
      </c>
      <c r="B156" s="10">
        <v>7</v>
      </c>
      <c r="C156" s="9" t="s">
        <v>277</v>
      </c>
      <c r="D156" s="238">
        <v>0.33333333333333331</v>
      </c>
      <c r="E156" s="239">
        <v>0</v>
      </c>
      <c r="F156" s="239">
        <v>0</v>
      </c>
      <c r="G156" s="239">
        <v>0</v>
      </c>
      <c r="H156" s="239">
        <v>1</v>
      </c>
      <c r="I156" s="238">
        <v>0</v>
      </c>
      <c r="J156" s="239">
        <v>0.66666666666666663</v>
      </c>
      <c r="K156" s="238">
        <v>1</v>
      </c>
      <c r="L156" s="22">
        <f t="shared" si="2"/>
        <v>0.40740740740740738</v>
      </c>
    </row>
    <row r="157" spans="1:12" x14ac:dyDescent="0.25">
      <c r="A157" s="10">
        <v>958</v>
      </c>
      <c r="B157" s="10">
        <v>7</v>
      </c>
      <c r="C157" s="9" t="s">
        <v>278</v>
      </c>
      <c r="D157" s="238">
        <v>0</v>
      </c>
      <c r="E157" s="239">
        <v>0</v>
      </c>
      <c r="F157" s="239">
        <v>0.125</v>
      </c>
      <c r="G157" s="239">
        <v>0.99771428571428578</v>
      </c>
      <c r="H157" s="239">
        <v>1</v>
      </c>
      <c r="I157" s="238">
        <v>0.25</v>
      </c>
      <c r="J157" s="239">
        <v>0.16666666666666666</v>
      </c>
      <c r="K157" s="238">
        <v>1</v>
      </c>
      <c r="L157" s="22">
        <f t="shared" si="2"/>
        <v>0.50077645502645507</v>
      </c>
    </row>
    <row r="158" spans="1:12" x14ac:dyDescent="0.25">
      <c r="A158" s="10">
        <v>967</v>
      </c>
      <c r="B158" s="10">
        <v>7</v>
      </c>
      <c r="C158" s="9" t="s">
        <v>279</v>
      </c>
      <c r="D158" s="238">
        <v>0</v>
      </c>
      <c r="E158" s="239">
        <v>0</v>
      </c>
      <c r="F158" s="239">
        <v>0.125</v>
      </c>
      <c r="G158" s="239">
        <v>0.74828571428571433</v>
      </c>
      <c r="H158" s="239">
        <v>0.25</v>
      </c>
      <c r="I158" s="238">
        <v>0.25</v>
      </c>
      <c r="J158" s="239">
        <v>0.16666666666666666</v>
      </c>
      <c r="K158" s="238">
        <v>0.5</v>
      </c>
      <c r="L158" s="22">
        <f t="shared" si="2"/>
        <v>0.2786494708994709</v>
      </c>
    </row>
    <row r="159" spans="1:12" x14ac:dyDescent="0.25">
      <c r="A159" s="10">
        <v>971</v>
      </c>
      <c r="B159" s="10">
        <v>7</v>
      </c>
      <c r="C159" s="9" t="s">
        <v>280</v>
      </c>
      <c r="D159" s="238">
        <v>1</v>
      </c>
      <c r="E159" s="239">
        <v>0.16666666666666666</v>
      </c>
      <c r="F159" s="239">
        <v>0.125</v>
      </c>
      <c r="G159" s="239">
        <v>0.24942857142857144</v>
      </c>
      <c r="H159" s="239">
        <v>0.75</v>
      </c>
      <c r="I159" s="238">
        <v>0</v>
      </c>
      <c r="J159" s="239">
        <v>1</v>
      </c>
      <c r="K159" s="238">
        <v>1</v>
      </c>
      <c r="L159" s="22">
        <f t="shared" si="2"/>
        <v>0.57976587301587301</v>
      </c>
    </row>
    <row r="160" spans="1:12" x14ac:dyDescent="0.25">
      <c r="A160" s="10">
        <v>975</v>
      </c>
      <c r="B160" s="10">
        <v>7</v>
      </c>
      <c r="C160" s="9" t="s">
        <v>281</v>
      </c>
      <c r="D160" s="238">
        <v>0</v>
      </c>
      <c r="E160" s="239">
        <v>0.66666666666666663</v>
      </c>
      <c r="F160" s="239">
        <v>0.25</v>
      </c>
      <c r="G160" s="239">
        <v>0.24942857142857144</v>
      </c>
      <c r="H160" s="239">
        <v>0</v>
      </c>
      <c r="I160" s="238">
        <v>0</v>
      </c>
      <c r="J160" s="239">
        <v>0</v>
      </c>
      <c r="K160" s="238">
        <v>0.5</v>
      </c>
      <c r="L160" s="22">
        <f t="shared" si="2"/>
        <v>0.17351587301587301</v>
      </c>
    </row>
    <row r="161" spans="1:12" x14ac:dyDescent="0.25">
      <c r="A161" s="10">
        <v>976</v>
      </c>
      <c r="B161" s="10">
        <v>7</v>
      </c>
      <c r="C161" s="83" t="s">
        <v>282</v>
      </c>
      <c r="D161" s="238">
        <v>0</v>
      </c>
      <c r="E161" s="239">
        <v>0.33333333333333331</v>
      </c>
      <c r="F161" s="239">
        <v>0</v>
      </c>
      <c r="G161" s="239">
        <v>0</v>
      </c>
      <c r="H161" s="239">
        <v>0</v>
      </c>
      <c r="I161" s="238">
        <v>0</v>
      </c>
      <c r="J161" s="239">
        <v>0</v>
      </c>
      <c r="K161" s="238">
        <v>1</v>
      </c>
      <c r="L161" s="22">
        <f t="shared" si="2"/>
        <v>0.1388888888888889</v>
      </c>
    </row>
    <row r="162" spans="1:12" x14ac:dyDescent="0.25">
      <c r="A162" s="10">
        <v>977</v>
      </c>
      <c r="B162" s="10">
        <v>7</v>
      </c>
      <c r="C162" s="9" t="s">
        <v>39</v>
      </c>
      <c r="D162" s="238">
        <v>0</v>
      </c>
      <c r="E162" s="239">
        <v>0</v>
      </c>
      <c r="F162" s="239">
        <v>0</v>
      </c>
      <c r="G162" s="239">
        <v>0.99771428571428578</v>
      </c>
      <c r="H162" s="239">
        <v>1</v>
      </c>
      <c r="I162" s="238">
        <v>0</v>
      </c>
      <c r="J162" s="239">
        <v>0</v>
      </c>
      <c r="K162" s="238">
        <v>0</v>
      </c>
      <c r="L162" s="22">
        <f t="shared" si="2"/>
        <v>0.33295238095238094</v>
      </c>
    </row>
    <row r="163" spans="1:12" x14ac:dyDescent="0.25">
      <c r="A163" s="170">
        <v>979</v>
      </c>
      <c r="B163" s="170">
        <v>7</v>
      </c>
      <c r="C163" s="171" t="s">
        <v>283</v>
      </c>
      <c r="D163" s="238">
        <v>0</v>
      </c>
      <c r="E163" s="239">
        <v>0.33333333333333331</v>
      </c>
      <c r="F163" s="239">
        <v>0.375</v>
      </c>
      <c r="G163" s="239">
        <v>0</v>
      </c>
      <c r="H163" s="239">
        <v>0</v>
      </c>
      <c r="I163" s="238">
        <v>1</v>
      </c>
      <c r="J163" s="239">
        <v>1</v>
      </c>
      <c r="K163" s="238">
        <v>1</v>
      </c>
      <c r="L163" s="22">
        <f t="shared" si="2"/>
        <v>0.3923611111111111</v>
      </c>
    </row>
    <row r="164" spans="1:12" x14ac:dyDescent="0.25">
      <c r="A164" s="170">
        <v>981</v>
      </c>
      <c r="B164" s="170">
        <v>7</v>
      </c>
      <c r="C164" s="171" t="s">
        <v>284</v>
      </c>
      <c r="D164" s="238">
        <v>0</v>
      </c>
      <c r="E164" s="239">
        <v>0</v>
      </c>
      <c r="F164" s="239">
        <v>0</v>
      </c>
      <c r="G164" s="239">
        <v>0.99771428571428578</v>
      </c>
      <c r="H164" s="239">
        <v>0</v>
      </c>
      <c r="I164" s="238">
        <v>0</v>
      </c>
      <c r="J164" s="239">
        <v>0</v>
      </c>
      <c r="K164" s="238">
        <v>1</v>
      </c>
      <c r="L164" s="22">
        <f t="shared" si="2"/>
        <v>0.27739682539682542</v>
      </c>
    </row>
    <row r="165" spans="1:12" x14ac:dyDescent="0.25">
      <c r="A165" s="170">
        <v>983</v>
      </c>
      <c r="B165" s="170">
        <v>7</v>
      </c>
      <c r="C165" s="171" t="s">
        <v>285</v>
      </c>
      <c r="D165" s="238">
        <v>0</v>
      </c>
      <c r="E165" s="239">
        <v>0.33333333333333331</v>
      </c>
      <c r="F165" s="239">
        <v>0</v>
      </c>
      <c r="G165" s="239">
        <v>0.99771428571428578</v>
      </c>
      <c r="H165" s="239">
        <v>0.5</v>
      </c>
      <c r="I165" s="238">
        <v>0</v>
      </c>
      <c r="J165" s="239">
        <v>0</v>
      </c>
      <c r="K165" s="238">
        <v>1</v>
      </c>
      <c r="L165" s="22">
        <f t="shared" si="2"/>
        <v>0.38850793650793647</v>
      </c>
    </row>
    <row r="166" spans="1:12" x14ac:dyDescent="0.25">
      <c r="A166" s="10">
        <v>188</v>
      </c>
      <c r="B166" s="10">
        <v>8</v>
      </c>
      <c r="C166" s="9" t="s">
        <v>286</v>
      </c>
      <c r="D166" s="238">
        <v>1</v>
      </c>
      <c r="E166" s="239">
        <v>1</v>
      </c>
      <c r="F166" s="239">
        <v>0.75</v>
      </c>
      <c r="G166" s="239">
        <v>0.74828571428571433</v>
      </c>
      <c r="H166" s="239">
        <v>0.25</v>
      </c>
      <c r="I166" s="238">
        <v>1</v>
      </c>
      <c r="J166" s="239">
        <v>0.66666666666666663</v>
      </c>
      <c r="K166" s="238">
        <v>1</v>
      </c>
      <c r="L166" s="22">
        <f t="shared" si="2"/>
        <v>0.77517724867724858</v>
      </c>
    </row>
    <row r="167" spans="1:12" x14ac:dyDescent="0.25">
      <c r="A167" s="10">
        <v>232</v>
      </c>
      <c r="B167" s="10">
        <v>8</v>
      </c>
      <c r="C167" s="9" t="s">
        <v>287</v>
      </c>
      <c r="D167" s="238">
        <v>0.16666666666666666</v>
      </c>
      <c r="E167" s="239">
        <v>0</v>
      </c>
      <c r="F167" s="239">
        <v>0</v>
      </c>
      <c r="G167" s="239">
        <v>0.49885714285714289</v>
      </c>
      <c r="H167" s="239">
        <v>0</v>
      </c>
      <c r="I167" s="238">
        <v>0</v>
      </c>
      <c r="J167" s="239">
        <v>0</v>
      </c>
      <c r="K167" s="238">
        <v>1</v>
      </c>
      <c r="L167" s="22">
        <f t="shared" si="2"/>
        <v>0.22203174603174602</v>
      </c>
    </row>
    <row r="168" spans="1:12" x14ac:dyDescent="0.25">
      <c r="A168" s="10">
        <v>245</v>
      </c>
      <c r="B168" s="10">
        <v>8</v>
      </c>
      <c r="C168" s="9" t="s">
        <v>288</v>
      </c>
      <c r="D168" s="238">
        <v>0</v>
      </c>
      <c r="E168" s="239">
        <v>0</v>
      </c>
      <c r="F168" s="239">
        <v>0.375</v>
      </c>
      <c r="G168" s="239">
        <v>0.99771428571428578</v>
      </c>
      <c r="H168" s="239">
        <v>0</v>
      </c>
      <c r="I168" s="238">
        <v>1</v>
      </c>
      <c r="J168" s="239">
        <v>0.5</v>
      </c>
      <c r="K168" s="238">
        <v>1</v>
      </c>
      <c r="L168" s="22">
        <f t="shared" si="2"/>
        <v>0.4753134920634921</v>
      </c>
    </row>
    <row r="169" spans="1:12" x14ac:dyDescent="0.25">
      <c r="A169" s="10">
        <v>372</v>
      </c>
      <c r="B169" s="10">
        <v>8</v>
      </c>
      <c r="C169" s="9" t="s">
        <v>289</v>
      </c>
      <c r="D169" s="238">
        <v>0</v>
      </c>
      <c r="E169" s="239">
        <v>0</v>
      </c>
      <c r="F169" s="239">
        <v>0.25</v>
      </c>
      <c r="G169" s="239">
        <v>0.99771428571428578</v>
      </c>
      <c r="H169" s="239">
        <v>0</v>
      </c>
      <c r="I169" s="238">
        <v>0.5</v>
      </c>
      <c r="J169" s="239">
        <v>0</v>
      </c>
      <c r="K169" s="238">
        <v>0.5</v>
      </c>
      <c r="L169" s="22">
        <f t="shared" si="2"/>
        <v>0.29823015873015873</v>
      </c>
    </row>
    <row r="170" spans="1:12" x14ac:dyDescent="0.25">
      <c r="A170" s="10">
        <v>375</v>
      </c>
      <c r="B170" s="10">
        <v>8</v>
      </c>
      <c r="C170" s="9" t="s">
        <v>290</v>
      </c>
      <c r="D170" s="238">
        <v>0</v>
      </c>
      <c r="E170" s="239">
        <v>0</v>
      </c>
      <c r="F170" s="239">
        <v>0</v>
      </c>
      <c r="G170" s="239">
        <v>0.49885714285714289</v>
      </c>
      <c r="H170" s="239">
        <v>0</v>
      </c>
      <c r="I170" s="238">
        <v>0</v>
      </c>
      <c r="J170" s="239">
        <v>0</v>
      </c>
      <c r="K170" s="238">
        <v>0.5</v>
      </c>
      <c r="L170" s="22">
        <f t="shared" si="2"/>
        <v>0.13869841269841271</v>
      </c>
    </row>
    <row r="171" spans="1:12" x14ac:dyDescent="0.25">
      <c r="A171" s="10">
        <v>404</v>
      </c>
      <c r="B171" s="10">
        <v>8</v>
      </c>
      <c r="C171" s="9" t="s">
        <v>291</v>
      </c>
      <c r="D171" s="238">
        <v>0</v>
      </c>
      <c r="E171" s="239">
        <v>0.66666666666666663</v>
      </c>
      <c r="F171" s="239">
        <v>0.625</v>
      </c>
      <c r="G171" s="239">
        <v>0.99771428571428578</v>
      </c>
      <c r="H171" s="239">
        <v>0.5</v>
      </c>
      <c r="I171" s="238">
        <v>0.25</v>
      </c>
      <c r="J171" s="239">
        <v>0</v>
      </c>
      <c r="K171" s="238">
        <v>0.5</v>
      </c>
      <c r="L171" s="22">
        <f t="shared" si="2"/>
        <v>0.44059126984126984</v>
      </c>
    </row>
    <row r="172" spans="1:12" x14ac:dyDescent="0.25">
      <c r="A172" s="10">
        <v>413</v>
      </c>
      <c r="B172" s="10">
        <v>8</v>
      </c>
      <c r="C172" s="9" t="s">
        <v>292</v>
      </c>
      <c r="D172" s="238">
        <v>1</v>
      </c>
      <c r="E172" s="239">
        <v>0.83333333333333337</v>
      </c>
      <c r="F172" s="239">
        <v>0.25</v>
      </c>
      <c r="G172" s="239">
        <v>0.74828571428571433</v>
      </c>
      <c r="H172" s="239">
        <v>0.5</v>
      </c>
      <c r="I172" s="238">
        <v>1</v>
      </c>
      <c r="J172" s="239">
        <v>0.5</v>
      </c>
      <c r="K172" s="238">
        <v>1</v>
      </c>
      <c r="L172" s="22">
        <f t="shared" si="2"/>
        <v>0.74276984126984136</v>
      </c>
    </row>
    <row r="173" spans="1:12" x14ac:dyDescent="0.25">
      <c r="A173" s="10">
        <v>537</v>
      </c>
      <c r="B173" s="10">
        <v>8</v>
      </c>
      <c r="C173" s="9" t="s">
        <v>293</v>
      </c>
      <c r="D173" s="238">
        <v>0.16666666666666666</v>
      </c>
      <c r="E173" s="239">
        <v>0.16666666666666666</v>
      </c>
      <c r="F173" s="239">
        <v>0</v>
      </c>
      <c r="G173" s="239">
        <v>0.49885714285714289</v>
      </c>
      <c r="H173" s="239">
        <v>0.5</v>
      </c>
      <c r="I173" s="238">
        <v>0</v>
      </c>
      <c r="J173" s="239">
        <v>0</v>
      </c>
      <c r="K173" s="238">
        <v>0.5</v>
      </c>
      <c r="L173" s="22">
        <f t="shared" si="2"/>
        <v>0.26369841269841265</v>
      </c>
    </row>
    <row r="174" spans="1:12" x14ac:dyDescent="0.25">
      <c r="A174" s="10">
        <v>545</v>
      </c>
      <c r="B174" s="10">
        <v>8</v>
      </c>
      <c r="C174" s="9" t="s">
        <v>294</v>
      </c>
      <c r="D174" s="238">
        <v>0.33333333333333331</v>
      </c>
      <c r="E174" s="239">
        <v>0</v>
      </c>
      <c r="F174" s="239">
        <v>0</v>
      </c>
      <c r="G174" s="239">
        <v>0.24942857142857144</v>
      </c>
      <c r="H174" s="239">
        <v>0.75</v>
      </c>
      <c r="I174" s="238">
        <v>1</v>
      </c>
      <c r="J174" s="239">
        <v>0.16666666666666666</v>
      </c>
      <c r="K174" s="238">
        <v>0.5</v>
      </c>
      <c r="L174" s="22">
        <f t="shared" si="2"/>
        <v>0.40731216931216929</v>
      </c>
    </row>
    <row r="175" spans="1:12" x14ac:dyDescent="0.25">
      <c r="A175" s="10">
        <v>605</v>
      </c>
      <c r="B175" s="10">
        <v>8</v>
      </c>
      <c r="C175" s="9" t="s">
        <v>295</v>
      </c>
      <c r="D175" s="238">
        <v>0.33333333333333331</v>
      </c>
      <c r="E175" s="239">
        <v>0.16666666666666666</v>
      </c>
      <c r="F175" s="239">
        <v>0</v>
      </c>
      <c r="G175" s="239">
        <v>0</v>
      </c>
      <c r="H175" s="239">
        <v>0.5</v>
      </c>
      <c r="I175" s="238">
        <v>0</v>
      </c>
      <c r="J175" s="239">
        <v>0</v>
      </c>
      <c r="K175" s="238">
        <v>0</v>
      </c>
      <c r="L175" s="22">
        <f t="shared" si="2"/>
        <v>0.15277777777777779</v>
      </c>
    </row>
    <row r="176" spans="1:12" x14ac:dyDescent="0.25">
      <c r="A176" s="10">
        <v>607</v>
      </c>
      <c r="B176" s="10">
        <v>8</v>
      </c>
      <c r="C176" s="9" t="s">
        <v>296</v>
      </c>
      <c r="D176" s="238">
        <v>0.16666666666666666</v>
      </c>
      <c r="E176" s="239">
        <v>0.16666666666666666</v>
      </c>
      <c r="F176" s="239">
        <v>0</v>
      </c>
      <c r="G176" s="239">
        <v>0</v>
      </c>
      <c r="H176" s="239">
        <v>0.5</v>
      </c>
      <c r="I176" s="238">
        <v>0</v>
      </c>
      <c r="J176" s="239">
        <v>0</v>
      </c>
      <c r="K176" s="238">
        <v>0.5</v>
      </c>
      <c r="L176" s="22">
        <f t="shared" si="2"/>
        <v>0.18055555555555555</v>
      </c>
    </row>
    <row r="177" spans="1:12" x14ac:dyDescent="0.25">
      <c r="A177" s="10">
        <v>610</v>
      </c>
      <c r="B177" s="10">
        <v>8</v>
      </c>
      <c r="C177" s="9" t="s">
        <v>297</v>
      </c>
      <c r="D177" s="238">
        <v>0</v>
      </c>
      <c r="E177" s="239">
        <v>0</v>
      </c>
      <c r="F177" s="239">
        <v>0</v>
      </c>
      <c r="G177" s="239">
        <v>0.24942857142857144</v>
      </c>
      <c r="H177" s="239">
        <v>0.5</v>
      </c>
      <c r="I177" s="238">
        <v>0</v>
      </c>
      <c r="J177" s="239">
        <v>0</v>
      </c>
      <c r="K177" s="238">
        <v>0.5</v>
      </c>
      <c r="L177" s="22">
        <f t="shared" si="2"/>
        <v>0.18046031746031746</v>
      </c>
    </row>
    <row r="178" spans="1:12" x14ac:dyDescent="0.25">
      <c r="A178" s="10">
        <v>611</v>
      </c>
      <c r="B178" s="10">
        <v>8</v>
      </c>
      <c r="C178" s="9" t="s">
        <v>298</v>
      </c>
      <c r="D178" s="238">
        <v>0.16666666666666666</v>
      </c>
      <c r="E178" s="239">
        <v>0.33333333333333331</v>
      </c>
      <c r="F178" s="239">
        <v>0.5</v>
      </c>
      <c r="G178" s="239">
        <v>0</v>
      </c>
      <c r="H178" s="239">
        <v>0</v>
      </c>
      <c r="I178" s="238">
        <v>1</v>
      </c>
      <c r="J178" s="239">
        <v>0.16666666666666666</v>
      </c>
      <c r="K178" s="238">
        <v>1</v>
      </c>
      <c r="L178" s="22">
        <f t="shared" si="2"/>
        <v>0.33796296296296291</v>
      </c>
    </row>
    <row r="179" spans="1:12" x14ac:dyDescent="0.25">
      <c r="A179" s="10">
        <v>616</v>
      </c>
      <c r="B179" s="10">
        <v>8</v>
      </c>
      <c r="C179" s="9" t="s">
        <v>299</v>
      </c>
      <c r="D179" s="238">
        <v>0</v>
      </c>
      <c r="E179" s="239">
        <v>0.83333333333333337</v>
      </c>
      <c r="F179" s="239">
        <v>0.75</v>
      </c>
      <c r="G179" s="239">
        <v>0.49885714285714289</v>
      </c>
      <c r="H179" s="239">
        <v>0</v>
      </c>
      <c r="I179" s="238">
        <v>0.15</v>
      </c>
      <c r="J179" s="239">
        <v>0.66666666666666663</v>
      </c>
      <c r="K179" s="238">
        <v>1</v>
      </c>
      <c r="L179" s="22">
        <f t="shared" si="2"/>
        <v>0.41693915343915344</v>
      </c>
    </row>
    <row r="180" spans="1:12" x14ac:dyDescent="0.25">
      <c r="A180" s="10">
        <v>692</v>
      </c>
      <c r="B180" s="10">
        <v>8</v>
      </c>
      <c r="C180" s="9" t="s">
        <v>300</v>
      </c>
      <c r="D180" s="238">
        <v>0</v>
      </c>
      <c r="E180" s="239">
        <v>0</v>
      </c>
      <c r="F180" s="239">
        <v>0</v>
      </c>
      <c r="G180" s="239">
        <v>0.24942857142857144</v>
      </c>
      <c r="H180" s="239">
        <v>0.75</v>
      </c>
      <c r="I180" s="238">
        <v>0</v>
      </c>
      <c r="J180" s="239">
        <v>0</v>
      </c>
      <c r="K180" s="238">
        <v>0</v>
      </c>
      <c r="L180" s="22">
        <f t="shared" si="2"/>
        <v>0.16657142857142856</v>
      </c>
    </row>
    <row r="181" spans="1:12" x14ac:dyDescent="0.25">
      <c r="A181" s="10">
        <v>706</v>
      </c>
      <c r="B181" s="10">
        <v>8</v>
      </c>
      <c r="C181" s="9" t="s">
        <v>301</v>
      </c>
      <c r="D181" s="238">
        <v>0</v>
      </c>
      <c r="E181" s="239">
        <v>0</v>
      </c>
      <c r="F181" s="239">
        <v>0</v>
      </c>
      <c r="G181" s="239">
        <v>0.49885714285714289</v>
      </c>
      <c r="H181" s="239">
        <v>0.75</v>
      </c>
      <c r="I181" s="238">
        <v>0</v>
      </c>
      <c r="J181" s="239">
        <v>0</v>
      </c>
      <c r="K181" s="238">
        <v>1</v>
      </c>
      <c r="L181" s="22">
        <f t="shared" si="2"/>
        <v>0.31925396825396823</v>
      </c>
    </row>
    <row r="182" spans="1:12" x14ac:dyDescent="0.25">
      <c r="A182" s="10">
        <v>709</v>
      </c>
      <c r="B182" s="10">
        <v>8</v>
      </c>
      <c r="C182" s="9" t="s">
        <v>302</v>
      </c>
      <c r="D182" s="238">
        <v>0</v>
      </c>
      <c r="E182" s="239">
        <v>0</v>
      </c>
      <c r="F182" s="239">
        <v>0</v>
      </c>
      <c r="G182" s="239">
        <v>0.49885714285714289</v>
      </c>
      <c r="H182" s="239">
        <v>0.5</v>
      </c>
      <c r="I182" s="238">
        <v>0</v>
      </c>
      <c r="J182" s="239">
        <v>0</v>
      </c>
      <c r="K182" s="238">
        <v>1</v>
      </c>
      <c r="L182" s="22">
        <f t="shared" si="2"/>
        <v>0.2775873015873016</v>
      </c>
    </row>
    <row r="183" spans="1:12" x14ac:dyDescent="0.25">
      <c r="A183" s="10">
        <v>714</v>
      </c>
      <c r="B183" s="10">
        <v>8</v>
      </c>
      <c r="C183" s="9" t="s">
        <v>303</v>
      </c>
      <c r="D183" s="238">
        <v>0</v>
      </c>
      <c r="E183" s="239">
        <v>0</v>
      </c>
      <c r="F183" s="239">
        <v>0</v>
      </c>
      <c r="G183" s="239">
        <v>0.99771428571428578</v>
      </c>
      <c r="H183" s="239">
        <v>0.25</v>
      </c>
      <c r="I183" s="238">
        <v>0</v>
      </c>
      <c r="J183" s="239">
        <v>0</v>
      </c>
      <c r="K183" s="238">
        <v>1</v>
      </c>
      <c r="L183" s="22">
        <f t="shared" si="2"/>
        <v>0.31906349206349205</v>
      </c>
    </row>
    <row r="184" spans="1:12" x14ac:dyDescent="0.25">
      <c r="A184" s="10">
        <v>749</v>
      </c>
      <c r="B184" s="10">
        <v>8</v>
      </c>
      <c r="C184" s="9" t="s">
        <v>304</v>
      </c>
      <c r="D184" s="238">
        <v>0.33333333333333331</v>
      </c>
      <c r="E184" s="239">
        <v>0</v>
      </c>
      <c r="F184" s="239">
        <v>0.625</v>
      </c>
      <c r="G184" s="239">
        <v>0</v>
      </c>
      <c r="H184" s="239">
        <v>0.5</v>
      </c>
      <c r="I184" s="238">
        <v>1</v>
      </c>
      <c r="J184" s="239">
        <v>0</v>
      </c>
      <c r="K184" s="238">
        <v>0.5</v>
      </c>
      <c r="L184" s="22">
        <f t="shared" si="2"/>
        <v>0.35763888888888884</v>
      </c>
    </row>
    <row r="185" spans="1:12" x14ac:dyDescent="0.25">
      <c r="A185" s="10">
        <v>764</v>
      </c>
      <c r="B185" s="10">
        <v>8</v>
      </c>
      <c r="C185" s="9" t="s">
        <v>305</v>
      </c>
      <c r="D185" s="238">
        <v>0.33333333333333331</v>
      </c>
      <c r="E185" s="239">
        <v>0</v>
      </c>
      <c r="F185" s="239">
        <v>0</v>
      </c>
      <c r="G185" s="239">
        <v>0.24942857142857144</v>
      </c>
      <c r="H185" s="239">
        <v>0.75</v>
      </c>
      <c r="I185" s="238">
        <v>0</v>
      </c>
      <c r="J185" s="239">
        <v>0.66666666666666663</v>
      </c>
      <c r="K185" s="238">
        <v>0.5</v>
      </c>
      <c r="L185" s="22">
        <f t="shared" si="2"/>
        <v>0.35175661375661371</v>
      </c>
    </row>
    <row r="186" spans="1:12" x14ac:dyDescent="0.25">
      <c r="A186" s="10">
        <v>775</v>
      </c>
      <c r="B186" s="10">
        <v>8</v>
      </c>
      <c r="C186" s="9" t="s">
        <v>306</v>
      </c>
      <c r="D186" s="238">
        <v>0</v>
      </c>
      <c r="E186" s="239">
        <v>0.5</v>
      </c>
      <c r="F186" s="239">
        <v>0.125</v>
      </c>
      <c r="G186" s="239">
        <v>0.49885714285714289</v>
      </c>
      <c r="H186" s="239">
        <v>0.5</v>
      </c>
      <c r="I186" s="238">
        <v>0</v>
      </c>
      <c r="J186" s="239">
        <v>0.16666666666666666</v>
      </c>
      <c r="K186" s="238">
        <v>1</v>
      </c>
      <c r="L186" s="22">
        <f t="shared" si="2"/>
        <v>0.34818915343915346</v>
      </c>
    </row>
    <row r="187" spans="1:12" x14ac:dyDescent="0.25">
      <c r="A187" s="10">
        <v>790</v>
      </c>
      <c r="B187" s="10">
        <v>8</v>
      </c>
      <c r="C187" s="9" t="s">
        <v>307</v>
      </c>
      <c r="D187" s="238">
        <v>0.33333333333333331</v>
      </c>
      <c r="E187" s="239">
        <v>0.16666666666666666</v>
      </c>
      <c r="F187" s="239">
        <v>0</v>
      </c>
      <c r="G187" s="239">
        <v>0</v>
      </c>
      <c r="H187" s="239">
        <v>0.5</v>
      </c>
      <c r="I187" s="238">
        <v>0</v>
      </c>
      <c r="J187" s="239">
        <v>0</v>
      </c>
      <c r="K187" s="238">
        <v>0.5</v>
      </c>
      <c r="L187" s="22">
        <f t="shared" si="2"/>
        <v>0.20833333333333334</v>
      </c>
    </row>
    <row r="188" spans="1:12" x14ac:dyDescent="0.25">
      <c r="A188" s="10">
        <v>796</v>
      </c>
      <c r="B188" s="10">
        <v>8</v>
      </c>
      <c r="C188" s="9" t="s">
        <v>308</v>
      </c>
      <c r="D188" s="238">
        <v>0.66666666666666663</v>
      </c>
      <c r="E188" s="239">
        <v>0.66666666666666663</v>
      </c>
      <c r="F188" s="239">
        <v>0</v>
      </c>
      <c r="G188" s="239">
        <v>0</v>
      </c>
      <c r="H188" s="239">
        <v>0</v>
      </c>
      <c r="I188" s="238">
        <v>0</v>
      </c>
      <c r="J188" s="239">
        <v>0</v>
      </c>
      <c r="K188" s="238">
        <v>0.5</v>
      </c>
      <c r="L188" s="22">
        <f t="shared" si="2"/>
        <v>0.22222222222222221</v>
      </c>
    </row>
    <row r="189" spans="1:12" x14ac:dyDescent="0.25">
      <c r="A189" s="10">
        <v>797</v>
      </c>
      <c r="B189" s="10">
        <v>8</v>
      </c>
      <c r="C189" s="9" t="s">
        <v>309</v>
      </c>
      <c r="D189" s="238">
        <v>0</v>
      </c>
      <c r="E189" s="239">
        <v>0</v>
      </c>
      <c r="F189" s="239">
        <v>0.125</v>
      </c>
      <c r="G189" s="239">
        <v>0.49885714285714289</v>
      </c>
      <c r="H189" s="239">
        <v>0</v>
      </c>
      <c r="I189" s="238">
        <v>0.5</v>
      </c>
      <c r="J189" s="239">
        <v>0</v>
      </c>
      <c r="K189" s="238">
        <v>0.5</v>
      </c>
      <c r="L189" s="22">
        <f t="shared" si="2"/>
        <v>0.20467063492063492</v>
      </c>
    </row>
    <row r="190" spans="1:12" x14ac:dyDescent="0.25">
      <c r="A190" s="10">
        <v>801</v>
      </c>
      <c r="B190" s="10">
        <v>8</v>
      </c>
      <c r="C190" s="9" t="s">
        <v>310</v>
      </c>
      <c r="D190" s="238">
        <v>0</v>
      </c>
      <c r="E190" s="239">
        <v>0.5</v>
      </c>
      <c r="F190" s="239">
        <v>0</v>
      </c>
      <c r="G190" s="239">
        <v>0.49885714285714289</v>
      </c>
      <c r="H190" s="239">
        <v>0.5</v>
      </c>
      <c r="I190" s="238">
        <v>0</v>
      </c>
      <c r="J190" s="239">
        <v>1</v>
      </c>
      <c r="K190" s="238">
        <v>0.5</v>
      </c>
      <c r="L190" s="22">
        <f t="shared" si="2"/>
        <v>0.37480952380952381</v>
      </c>
    </row>
    <row r="191" spans="1:12" x14ac:dyDescent="0.25">
      <c r="A191" s="10">
        <v>810</v>
      </c>
      <c r="B191" s="10">
        <v>8</v>
      </c>
      <c r="C191" s="9" t="s">
        <v>311</v>
      </c>
      <c r="D191" s="238">
        <v>1</v>
      </c>
      <c r="E191" s="239">
        <v>0.83333333333333337</v>
      </c>
      <c r="F191" s="239">
        <v>0.375</v>
      </c>
      <c r="G191" s="239">
        <v>0.99771428571428578</v>
      </c>
      <c r="H191" s="239">
        <v>0</v>
      </c>
      <c r="I191" s="238">
        <v>0</v>
      </c>
      <c r="J191" s="239">
        <v>0.33333333333333331</v>
      </c>
      <c r="K191" s="238">
        <v>0.5</v>
      </c>
      <c r="L191" s="22">
        <f t="shared" si="2"/>
        <v>0.52623941798941798</v>
      </c>
    </row>
    <row r="192" spans="1:12" x14ac:dyDescent="0.25">
      <c r="A192" s="10">
        <v>812</v>
      </c>
      <c r="B192" s="10">
        <v>8</v>
      </c>
      <c r="C192" s="9" t="s">
        <v>312</v>
      </c>
      <c r="D192" s="238">
        <v>0</v>
      </c>
      <c r="E192" s="239">
        <v>0.33333333333333331</v>
      </c>
      <c r="F192" s="239">
        <v>0</v>
      </c>
      <c r="G192" s="239">
        <v>0.99771428571428578</v>
      </c>
      <c r="H192" s="239">
        <v>0</v>
      </c>
      <c r="I192" s="238">
        <v>0</v>
      </c>
      <c r="J192" s="239">
        <v>1</v>
      </c>
      <c r="K192" s="238">
        <v>1</v>
      </c>
      <c r="L192" s="22">
        <f t="shared" si="2"/>
        <v>0.41628571428571426</v>
      </c>
    </row>
    <row r="193" spans="1:12" x14ac:dyDescent="0.25">
      <c r="A193" s="10">
        <v>818</v>
      </c>
      <c r="B193" s="10">
        <v>8</v>
      </c>
      <c r="C193" s="9" t="s">
        <v>313</v>
      </c>
      <c r="D193" s="238">
        <v>0</v>
      </c>
      <c r="E193" s="239">
        <v>0</v>
      </c>
      <c r="F193" s="239">
        <v>0</v>
      </c>
      <c r="G193" s="239">
        <v>0</v>
      </c>
      <c r="H193" s="239">
        <v>0.5</v>
      </c>
      <c r="I193" s="238">
        <v>0</v>
      </c>
      <c r="J193" s="239">
        <v>0</v>
      </c>
      <c r="K193" s="238">
        <v>0.5</v>
      </c>
      <c r="L193" s="22">
        <f t="shared" si="2"/>
        <v>0.1388888888888889</v>
      </c>
    </row>
    <row r="194" spans="1:12" ht="30" x14ac:dyDescent="0.25">
      <c r="A194" s="10">
        <v>833</v>
      </c>
      <c r="B194" s="10">
        <v>8</v>
      </c>
      <c r="C194" s="9" t="s">
        <v>314</v>
      </c>
      <c r="D194" s="238">
        <v>0</v>
      </c>
      <c r="E194" s="239">
        <v>0.33333333333333331</v>
      </c>
      <c r="F194" s="239">
        <v>0.375</v>
      </c>
      <c r="G194" s="239">
        <v>0</v>
      </c>
      <c r="H194" s="239">
        <v>0.5</v>
      </c>
      <c r="I194" s="238">
        <v>0</v>
      </c>
      <c r="J194" s="239">
        <v>0.33333333333333331</v>
      </c>
      <c r="K194" s="238">
        <v>0.5</v>
      </c>
      <c r="L194" s="22">
        <f t="shared" si="2"/>
        <v>0.23495370370370369</v>
      </c>
    </row>
    <row r="195" spans="1:12" x14ac:dyDescent="0.25">
      <c r="A195" s="10">
        <v>834</v>
      </c>
      <c r="B195" s="10">
        <v>8</v>
      </c>
      <c r="C195" s="9" t="s">
        <v>315</v>
      </c>
      <c r="D195" s="238">
        <v>1</v>
      </c>
      <c r="E195" s="239">
        <v>0</v>
      </c>
      <c r="F195" s="239">
        <v>0</v>
      </c>
      <c r="G195" s="239">
        <v>0.99771428571428578</v>
      </c>
      <c r="H195" s="239">
        <v>0.5</v>
      </c>
      <c r="I195" s="238">
        <v>0</v>
      </c>
      <c r="J195" s="239">
        <v>1</v>
      </c>
      <c r="K195" s="238">
        <v>0.5</v>
      </c>
      <c r="L195" s="22">
        <f t="shared" si="2"/>
        <v>0.58295238095238089</v>
      </c>
    </row>
    <row r="196" spans="1:12" x14ac:dyDescent="0.25">
      <c r="A196" s="10">
        <v>837</v>
      </c>
      <c r="B196" s="10">
        <v>8</v>
      </c>
      <c r="C196" s="9" t="s">
        <v>316</v>
      </c>
      <c r="D196" s="238">
        <v>1</v>
      </c>
      <c r="E196" s="239">
        <v>0</v>
      </c>
      <c r="F196" s="239">
        <v>0</v>
      </c>
      <c r="G196" s="239">
        <v>0.99771428571428578</v>
      </c>
      <c r="H196" s="239">
        <v>0.5</v>
      </c>
      <c r="I196" s="238">
        <v>0</v>
      </c>
      <c r="J196" s="239">
        <v>0.5</v>
      </c>
      <c r="K196" s="238">
        <v>0.5</v>
      </c>
      <c r="L196" s="22">
        <f t="shared" si="2"/>
        <v>0.52739682539682542</v>
      </c>
    </row>
    <row r="197" spans="1:12" x14ac:dyDescent="0.25">
      <c r="A197" s="10">
        <v>847</v>
      </c>
      <c r="B197" s="10">
        <v>8</v>
      </c>
      <c r="C197" s="9" t="s">
        <v>317</v>
      </c>
      <c r="D197" s="238">
        <v>0</v>
      </c>
      <c r="E197" s="239">
        <v>0</v>
      </c>
      <c r="F197" s="239">
        <v>0</v>
      </c>
      <c r="G197" s="239">
        <v>0.99771428571428578</v>
      </c>
      <c r="H197" s="239">
        <v>0</v>
      </c>
      <c r="I197" s="238">
        <v>0</v>
      </c>
      <c r="J197" s="239">
        <v>0</v>
      </c>
      <c r="K197" s="238">
        <v>0.5</v>
      </c>
      <c r="L197" s="22">
        <f t="shared" ref="L197:L246" si="3">(D197*$D$2+E197*$E$2+F197*$F$2+G197*$G$2+H197*$H$2+I197*$I$2+J197*$J$2+K197*$K$2)</f>
        <v>0.22184126984126984</v>
      </c>
    </row>
    <row r="198" spans="1:12" x14ac:dyDescent="0.25">
      <c r="A198" s="10">
        <v>866</v>
      </c>
      <c r="B198" s="10">
        <v>8</v>
      </c>
      <c r="C198" s="9" t="s">
        <v>318</v>
      </c>
      <c r="D198" s="238">
        <v>0.83333333333333337</v>
      </c>
      <c r="E198" s="239">
        <v>0</v>
      </c>
      <c r="F198" s="239">
        <v>0.125</v>
      </c>
      <c r="G198" s="239">
        <v>0.99771428571428578</v>
      </c>
      <c r="H198" s="239">
        <v>1</v>
      </c>
      <c r="I198" s="238">
        <v>0</v>
      </c>
      <c r="J198" s="239">
        <v>0</v>
      </c>
      <c r="K198" s="238">
        <v>0.5</v>
      </c>
      <c r="L198" s="22">
        <f t="shared" si="3"/>
        <v>0.53781349206349205</v>
      </c>
    </row>
    <row r="199" spans="1:12" x14ac:dyDescent="0.25">
      <c r="A199" s="10">
        <v>871</v>
      </c>
      <c r="B199" s="10">
        <v>8</v>
      </c>
      <c r="C199" s="9" t="s">
        <v>319</v>
      </c>
      <c r="D199" s="238">
        <v>0</v>
      </c>
      <c r="E199" s="239">
        <v>0</v>
      </c>
      <c r="F199" s="239">
        <v>0</v>
      </c>
      <c r="G199" s="239">
        <v>0</v>
      </c>
      <c r="H199" s="239">
        <v>0.25</v>
      </c>
      <c r="I199" s="238">
        <v>0</v>
      </c>
      <c r="J199" s="239">
        <v>0</v>
      </c>
      <c r="K199" s="238">
        <v>0.5</v>
      </c>
      <c r="L199" s="22">
        <f t="shared" si="3"/>
        <v>9.722222222222221E-2</v>
      </c>
    </row>
    <row r="200" spans="1:12" x14ac:dyDescent="0.25">
      <c r="A200" s="10">
        <v>873</v>
      </c>
      <c r="B200" s="10">
        <v>8</v>
      </c>
      <c r="C200" s="9" t="s">
        <v>320</v>
      </c>
      <c r="D200" s="238">
        <v>0</v>
      </c>
      <c r="E200" s="239">
        <v>0</v>
      </c>
      <c r="F200" s="239">
        <v>0.25</v>
      </c>
      <c r="G200" s="239">
        <v>0</v>
      </c>
      <c r="H200" s="239">
        <v>0.5</v>
      </c>
      <c r="I200" s="238">
        <v>1</v>
      </c>
      <c r="J200" s="239">
        <v>0.33333333333333331</v>
      </c>
      <c r="K200" s="238">
        <v>0.5</v>
      </c>
      <c r="L200" s="22">
        <f t="shared" si="3"/>
        <v>0.30787037037037035</v>
      </c>
    </row>
    <row r="201" spans="1:12" x14ac:dyDescent="0.25">
      <c r="A201" s="10">
        <v>895</v>
      </c>
      <c r="B201" s="10">
        <v>8</v>
      </c>
      <c r="C201" s="9" t="s">
        <v>321</v>
      </c>
      <c r="D201" s="238">
        <v>0</v>
      </c>
      <c r="E201" s="239">
        <v>0</v>
      </c>
      <c r="F201" s="239">
        <v>0</v>
      </c>
      <c r="G201" s="239">
        <v>0.24942857142857144</v>
      </c>
      <c r="H201" s="239">
        <v>0.5</v>
      </c>
      <c r="I201" s="238">
        <v>0</v>
      </c>
      <c r="J201" s="239">
        <v>0</v>
      </c>
      <c r="K201" s="238">
        <v>0</v>
      </c>
      <c r="L201" s="22">
        <f t="shared" si="3"/>
        <v>0.12490476190476191</v>
      </c>
    </row>
    <row r="202" spans="1:12" x14ac:dyDescent="0.25">
      <c r="A202" s="10">
        <v>897</v>
      </c>
      <c r="B202" s="10">
        <v>8</v>
      </c>
      <c r="C202" s="9" t="s">
        <v>322</v>
      </c>
      <c r="D202" s="238">
        <v>0</v>
      </c>
      <c r="E202" s="239">
        <v>0</v>
      </c>
      <c r="F202" s="239">
        <v>0.75</v>
      </c>
      <c r="G202" s="239">
        <v>0.24942857142857144</v>
      </c>
      <c r="H202" s="239">
        <v>0</v>
      </c>
      <c r="I202" s="238">
        <v>0.5</v>
      </c>
      <c r="J202" s="239">
        <v>0.66666666666666663</v>
      </c>
      <c r="K202" s="238">
        <v>1</v>
      </c>
      <c r="L202" s="22">
        <f t="shared" si="3"/>
        <v>0.34481216931216929</v>
      </c>
    </row>
    <row r="203" spans="1:12" x14ac:dyDescent="0.25">
      <c r="A203" s="10">
        <v>905</v>
      </c>
      <c r="B203" s="10">
        <v>8</v>
      </c>
      <c r="C203" s="9" t="s">
        <v>323</v>
      </c>
      <c r="D203" s="238">
        <v>0.33333333333333331</v>
      </c>
      <c r="E203" s="239">
        <v>0</v>
      </c>
      <c r="F203" s="239">
        <v>0</v>
      </c>
      <c r="G203" s="239">
        <v>0</v>
      </c>
      <c r="H203" s="239">
        <v>0.5</v>
      </c>
      <c r="I203" s="238">
        <v>0</v>
      </c>
      <c r="J203" s="239">
        <v>0</v>
      </c>
      <c r="K203" s="238">
        <v>0.5</v>
      </c>
      <c r="L203" s="22">
        <f t="shared" si="3"/>
        <v>0.19444444444444445</v>
      </c>
    </row>
    <row r="204" spans="1:12" x14ac:dyDescent="0.25">
      <c r="A204" s="10">
        <v>907</v>
      </c>
      <c r="B204" s="10">
        <v>8</v>
      </c>
      <c r="C204" s="9" t="s">
        <v>324</v>
      </c>
      <c r="D204" s="238">
        <v>0</v>
      </c>
      <c r="E204" s="239">
        <v>0</v>
      </c>
      <c r="F204" s="239">
        <v>0.25</v>
      </c>
      <c r="G204" s="239">
        <v>0</v>
      </c>
      <c r="H204" s="239">
        <v>0</v>
      </c>
      <c r="I204" s="238">
        <v>0</v>
      </c>
      <c r="J204" s="239">
        <v>0</v>
      </c>
      <c r="K204" s="238">
        <v>0.5</v>
      </c>
      <c r="L204" s="22">
        <f t="shared" si="3"/>
        <v>7.6388888888888881E-2</v>
      </c>
    </row>
    <row r="205" spans="1:12" x14ac:dyDescent="0.25">
      <c r="A205" s="10">
        <v>918</v>
      </c>
      <c r="B205" s="10">
        <v>8</v>
      </c>
      <c r="C205" s="9" t="s">
        <v>325</v>
      </c>
      <c r="D205" s="238">
        <v>1</v>
      </c>
      <c r="E205" s="239">
        <v>0.16666666666666666</v>
      </c>
      <c r="F205" s="239">
        <v>0.125</v>
      </c>
      <c r="G205" s="239">
        <v>0.49885714285714289</v>
      </c>
      <c r="H205" s="239">
        <v>0.25</v>
      </c>
      <c r="I205" s="238">
        <v>0.5</v>
      </c>
      <c r="J205" s="239">
        <v>0</v>
      </c>
      <c r="K205" s="238">
        <v>0.5</v>
      </c>
      <c r="L205" s="22">
        <f t="shared" si="3"/>
        <v>0.42689285714285718</v>
      </c>
    </row>
    <row r="206" spans="1:12" x14ac:dyDescent="0.25">
      <c r="A206" s="10">
        <v>922</v>
      </c>
      <c r="B206" s="10">
        <v>8</v>
      </c>
      <c r="C206" s="9" t="s">
        <v>326</v>
      </c>
      <c r="D206" s="238">
        <v>1</v>
      </c>
      <c r="E206" s="239">
        <v>1</v>
      </c>
      <c r="F206" s="239">
        <v>0.75</v>
      </c>
      <c r="G206" s="239">
        <v>0.99771428571428578</v>
      </c>
      <c r="H206" s="239">
        <v>0.25</v>
      </c>
      <c r="I206" s="238">
        <v>1</v>
      </c>
      <c r="J206" s="239">
        <v>0.83333333333333337</v>
      </c>
      <c r="K206" s="238">
        <v>0.5</v>
      </c>
      <c r="L206" s="22">
        <f t="shared" si="3"/>
        <v>0.77971164021164019</v>
      </c>
    </row>
    <row r="207" spans="1:12" x14ac:dyDescent="0.25">
      <c r="A207" s="10">
        <v>924</v>
      </c>
      <c r="B207" s="10">
        <v>8</v>
      </c>
      <c r="C207" s="9" t="s">
        <v>327</v>
      </c>
      <c r="D207" s="238">
        <v>0.33333333333333331</v>
      </c>
      <c r="E207" s="239">
        <v>0.66666666666666663</v>
      </c>
      <c r="F207" s="239">
        <v>0.125</v>
      </c>
      <c r="G207" s="239">
        <v>0.24942857142857144</v>
      </c>
      <c r="H207" s="239">
        <v>0.5</v>
      </c>
      <c r="I207" s="238">
        <v>0.5</v>
      </c>
      <c r="J207" s="239">
        <v>0</v>
      </c>
      <c r="K207" s="238">
        <v>0.5</v>
      </c>
      <c r="L207" s="22">
        <f t="shared" si="3"/>
        <v>0.3575436507936508</v>
      </c>
    </row>
    <row r="208" spans="1:12" x14ac:dyDescent="0.25">
      <c r="A208" s="10">
        <v>929</v>
      </c>
      <c r="B208" s="10">
        <v>8</v>
      </c>
      <c r="C208" s="9" t="s">
        <v>328</v>
      </c>
      <c r="D208" s="238">
        <v>0.33333333333333331</v>
      </c>
      <c r="E208" s="239">
        <v>0</v>
      </c>
      <c r="F208" s="239">
        <v>0.125</v>
      </c>
      <c r="G208" s="239">
        <v>0</v>
      </c>
      <c r="H208" s="239">
        <v>0.5</v>
      </c>
      <c r="I208" s="238">
        <v>1</v>
      </c>
      <c r="J208" s="239">
        <v>0</v>
      </c>
      <c r="K208" s="238">
        <v>0.5</v>
      </c>
      <c r="L208" s="22">
        <f t="shared" si="3"/>
        <v>0.31597222222222221</v>
      </c>
    </row>
    <row r="209" spans="1:12" x14ac:dyDescent="0.25">
      <c r="A209" s="10">
        <v>955</v>
      </c>
      <c r="B209" s="10">
        <v>8</v>
      </c>
      <c r="C209" s="9" t="s">
        <v>329</v>
      </c>
      <c r="D209" s="238">
        <v>0</v>
      </c>
      <c r="E209" s="239">
        <v>0</v>
      </c>
      <c r="F209" s="239">
        <v>0</v>
      </c>
      <c r="G209" s="239">
        <v>0</v>
      </c>
      <c r="H209" s="239">
        <v>0.5</v>
      </c>
      <c r="I209" s="238">
        <v>0</v>
      </c>
      <c r="J209" s="239">
        <v>0</v>
      </c>
      <c r="K209" s="238">
        <v>0.5</v>
      </c>
      <c r="L209" s="22">
        <f t="shared" si="3"/>
        <v>0.1388888888888889</v>
      </c>
    </row>
    <row r="210" spans="1:12" x14ac:dyDescent="0.25">
      <c r="A210" s="10">
        <v>973</v>
      </c>
      <c r="B210" s="10">
        <v>8</v>
      </c>
      <c r="C210" s="9" t="s">
        <v>330</v>
      </c>
      <c r="D210" s="238">
        <v>0.5</v>
      </c>
      <c r="E210" s="239">
        <v>0</v>
      </c>
      <c r="F210" s="239">
        <v>0</v>
      </c>
      <c r="G210" s="239">
        <v>0</v>
      </c>
      <c r="H210" s="239">
        <v>0</v>
      </c>
      <c r="I210" s="238">
        <v>0</v>
      </c>
      <c r="J210" s="239">
        <v>0</v>
      </c>
      <c r="K210" s="238">
        <v>0.5</v>
      </c>
      <c r="L210" s="22">
        <f t="shared" si="3"/>
        <v>0.1388888888888889</v>
      </c>
    </row>
    <row r="211" spans="1:12" x14ac:dyDescent="0.25">
      <c r="A211" s="10">
        <v>974</v>
      </c>
      <c r="B211" s="10">
        <v>8</v>
      </c>
      <c r="C211" s="9" t="s">
        <v>331</v>
      </c>
      <c r="D211" s="238">
        <v>0</v>
      </c>
      <c r="E211" s="239">
        <v>0</v>
      </c>
      <c r="F211" s="239">
        <v>0</v>
      </c>
      <c r="G211" s="239">
        <v>0</v>
      </c>
      <c r="H211" s="239">
        <v>0</v>
      </c>
      <c r="I211" s="238">
        <v>0</v>
      </c>
      <c r="J211" s="239">
        <v>0</v>
      </c>
      <c r="K211" s="238">
        <v>0</v>
      </c>
      <c r="L211" s="22">
        <f t="shared" si="3"/>
        <v>0</v>
      </c>
    </row>
    <row r="212" spans="1:12" x14ac:dyDescent="0.25">
      <c r="A212" s="10">
        <v>978</v>
      </c>
      <c r="B212" s="10">
        <v>8</v>
      </c>
      <c r="C212" s="9" t="s">
        <v>332</v>
      </c>
      <c r="D212" s="238">
        <v>0</v>
      </c>
      <c r="E212" s="239">
        <v>0</v>
      </c>
      <c r="F212" s="239">
        <v>0</v>
      </c>
      <c r="G212" s="239">
        <v>0</v>
      </c>
      <c r="H212" s="239">
        <v>0</v>
      </c>
      <c r="I212" s="238">
        <v>0.5</v>
      </c>
      <c r="J212" s="239">
        <v>0</v>
      </c>
      <c r="K212" s="238">
        <v>1</v>
      </c>
      <c r="L212" s="22">
        <f t="shared" si="3"/>
        <v>0.16666666666666666</v>
      </c>
    </row>
    <row r="213" spans="1:12" x14ac:dyDescent="0.25">
      <c r="A213" s="170">
        <v>985</v>
      </c>
      <c r="B213" s="170">
        <v>8</v>
      </c>
      <c r="C213" s="171" t="s">
        <v>333</v>
      </c>
      <c r="D213" s="238">
        <v>0</v>
      </c>
      <c r="E213" s="239">
        <v>0</v>
      </c>
      <c r="F213" s="239">
        <v>0</v>
      </c>
      <c r="G213" s="239">
        <v>0</v>
      </c>
      <c r="H213" s="239">
        <v>0</v>
      </c>
      <c r="I213" s="238">
        <v>0</v>
      </c>
      <c r="J213" s="239">
        <v>0</v>
      </c>
      <c r="K213" s="238">
        <v>1</v>
      </c>
      <c r="L213" s="22">
        <f t="shared" si="3"/>
        <v>0.1111111111111111</v>
      </c>
    </row>
    <row r="214" spans="1:12" x14ac:dyDescent="0.25">
      <c r="A214" s="170">
        <v>990</v>
      </c>
      <c r="B214" s="170">
        <v>8</v>
      </c>
      <c r="C214" s="171" t="s">
        <v>0</v>
      </c>
      <c r="D214" s="238">
        <v>0.5</v>
      </c>
      <c r="E214" s="239">
        <v>0</v>
      </c>
      <c r="F214" s="239">
        <v>0</v>
      </c>
      <c r="G214" s="239">
        <v>0</v>
      </c>
      <c r="H214" s="239">
        <v>0</v>
      </c>
      <c r="I214" s="238">
        <v>0</v>
      </c>
      <c r="J214" s="239">
        <v>0</v>
      </c>
      <c r="K214" s="238">
        <v>0</v>
      </c>
      <c r="L214" s="22">
        <f t="shared" si="3"/>
        <v>8.3333333333333329E-2</v>
      </c>
    </row>
    <row r="215" spans="1:12" x14ac:dyDescent="0.25">
      <c r="A215" s="10">
        <v>100</v>
      </c>
      <c r="B215" s="10">
        <v>9</v>
      </c>
      <c r="C215" s="9" t="s">
        <v>334</v>
      </c>
      <c r="D215" s="238">
        <v>0</v>
      </c>
      <c r="E215" s="239">
        <v>0</v>
      </c>
      <c r="F215" s="239">
        <v>0</v>
      </c>
      <c r="G215" s="239">
        <v>0</v>
      </c>
      <c r="H215" s="239">
        <v>0</v>
      </c>
      <c r="I215" s="238">
        <v>0</v>
      </c>
      <c r="J215" s="239">
        <v>0.16666666666666666</v>
      </c>
      <c r="K215" s="238">
        <v>0.5</v>
      </c>
      <c r="L215" s="22">
        <f t="shared" si="3"/>
        <v>7.407407407407407E-2</v>
      </c>
    </row>
    <row r="216" spans="1:12" x14ac:dyDescent="0.25">
      <c r="A216" s="10">
        <v>159</v>
      </c>
      <c r="B216" s="10">
        <v>9</v>
      </c>
      <c r="C216" s="9" t="s">
        <v>335</v>
      </c>
      <c r="D216" s="238">
        <v>0</v>
      </c>
      <c r="E216" s="239">
        <v>0</v>
      </c>
      <c r="F216" s="239">
        <v>0.5</v>
      </c>
      <c r="G216" s="239">
        <v>0.74828571428571433</v>
      </c>
      <c r="H216" s="239">
        <v>0.75</v>
      </c>
      <c r="I216" s="238">
        <v>1</v>
      </c>
      <c r="J216" s="239">
        <v>0.66666666666666663</v>
      </c>
      <c r="K216" s="238">
        <v>0.5</v>
      </c>
      <c r="L216" s="22">
        <f t="shared" si="3"/>
        <v>0.53212169312169311</v>
      </c>
    </row>
    <row r="217" spans="1:12" x14ac:dyDescent="0.25">
      <c r="A217" s="10">
        <v>173</v>
      </c>
      <c r="B217" s="10">
        <v>9</v>
      </c>
      <c r="C217" s="9" t="s">
        <v>336</v>
      </c>
      <c r="D217" s="238">
        <v>0.83333333333333337</v>
      </c>
      <c r="E217" s="239">
        <v>0.5</v>
      </c>
      <c r="F217" s="239">
        <v>0.625</v>
      </c>
      <c r="G217" s="239">
        <v>0.74828571428571433</v>
      </c>
      <c r="H217" s="239">
        <v>0.25</v>
      </c>
      <c r="I217" s="238">
        <v>1</v>
      </c>
      <c r="J217" s="239">
        <v>0</v>
      </c>
      <c r="K217" s="238">
        <v>1</v>
      </c>
      <c r="L217" s="22">
        <f t="shared" si="3"/>
        <v>0.62124206349206346</v>
      </c>
    </row>
    <row r="218" spans="1:12" x14ac:dyDescent="0.25">
      <c r="A218" s="10">
        <v>204</v>
      </c>
      <c r="B218" s="10">
        <v>9</v>
      </c>
      <c r="C218" s="9" t="s">
        <v>337</v>
      </c>
      <c r="D218" s="238">
        <v>1</v>
      </c>
      <c r="E218" s="239">
        <v>0.83333333333333337</v>
      </c>
      <c r="F218" s="239">
        <v>0.125</v>
      </c>
      <c r="G218" s="239">
        <v>0.24942857142857144</v>
      </c>
      <c r="H218" s="239">
        <v>0.25</v>
      </c>
      <c r="I218" s="238">
        <v>0.75</v>
      </c>
      <c r="J218" s="239">
        <v>0.66666666666666663</v>
      </c>
      <c r="K218" s="238">
        <v>0.5</v>
      </c>
      <c r="L218" s="22">
        <f t="shared" si="3"/>
        <v>0.54272883597883592</v>
      </c>
    </row>
    <row r="219" spans="1:12" x14ac:dyDescent="0.25">
      <c r="A219" s="10">
        <v>218</v>
      </c>
      <c r="B219" s="10">
        <v>9</v>
      </c>
      <c r="C219" s="9" t="s">
        <v>338</v>
      </c>
      <c r="D219" s="238">
        <v>0.66666666666666663</v>
      </c>
      <c r="E219" s="239">
        <v>0</v>
      </c>
      <c r="F219" s="239">
        <v>0.5</v>
      </c>
      <c r="G219" s="239">
        <v>0</v>
      </c>
      <c r="H219" s="239">
        <v>0</v>
      </c>
      <c r="I219" s="238">
        <v>1</v>
      </c>
      <c r="J219" s="239">
        <v>0.66666666666666663</v>
      </c>
      <c r="K219" s="238">
        <v>1</v>
      </c>
      <c r="L219" s="22">
        <f t="shared" si="3"/>
        <v>0.44907407407407401</v>
      </c>
    </row>
    <row r="220" spans="1:12" x14ac:dyDescent="0.25">
      <c r="A220" s="10">
        <v>230</v>
      </c>
      <c r="B220" s="10">
        <v>9</v>
      </c>
      <c r="C220" s="9" t="s">
        <v>339</v>
      </c>
      <c r="D220" s="238">
        <v>0.66666666666666663</v>
      </c>
      <c r="E220" s="239">
        <v>0</v>
      </c>
      <c r="F220" s="239">
        <v>0</v>
      </c>
      <c r="G220" s="239">
        <v>0</v>
      </c>
      <c r="H220" s="239">
        <v>0.25</v>
      </c>
      <c r="I220" s="238">
        <v>0.25</v>
      </c>
      <c r="J220" s="239">
        <v>0.66666666666666663</v>
      </c>
      <c r="K220" s="238">
        <v>0.5</v>
      </c>
      <c r="L220" s="22">
        <f t="shared" si="3"/>
        <v>0.31018518518518512</v>
      </c>
    </row>
    <row r="221" spans="1:12" x14ac:dyDescent="0.25">
      <c r="A221" s="10">
        <v>277</v>
      </c>
      <c r="B221" s="10">
        <v>9</v>
      </c>
      <c r="C221" s="9" t="s">
        <v>340</v>
      </c>
      <c r="D221" s="238">
        <v>0</v>
      </c>
      <c r="E221" s="239">
        <v>0</v>
      </c>
      <c r="F221" s="239">
        <v>0</v>
      </c>
      <c r="G221" s="239">
        <v>0.49885714285714289</v>
      </c>
      <c r="H221" s="239">
        <v>0.25</v>
      </c>
      <c r="I221" s="238">
        <v>0</v>
      </c>
      <c r="J221" s="239">
        <v>0.83333333333333337</v>
      </c>
      <c r="K221" s="238">
        <v>0.5</v>
      </c>
      <c r="L221" s="22">
        <f t="shared" si="3"/>
        <v>0.27295767195767195</v>
      </c>
    </row>
    <row r="222" spans="1:12" x14ac:dyDescent="0.25">
      <c r="A222" s="10">
        <v>279</v>
      </c>
      <c r="B222" s="10">
        <v>9</v>
      </c>
      <c r="C222" s="9" t="s">
        <v>341</v>
      </c>
      <c r="D222" s="238">
        <v>0.83333333333333337</v>
      </c>
      <c r="E222" s="239">
        <v>0</v>
      </c>
      <c r="F222" s="239">
        <v>0.125</v>
      </c>
      <c r="G222" s="239">
        <v>0.49885714285714289</v>
      </c>
      <c r="H222" s="239">
        <v>0.75</v>
      </c>
      <c r="I222" s="238">
        <v>0</v>
      </c>
      <c r="J222" s="239">
        <v>0.5</v>
      </c>
      <c r="K222" s="238">
        <v>0.5</v>
      </c>
      <c r="L222" s="22">
        <f t="shared" si="3"/>
        <v>0.46855952380952381</v>
      </c>
    </row>
    <row r="223" spans="1:12" x14ac:dyDescent="0.25">
      <c r="A223" s="10">
        <v>331</v>
      </c>
      <c r="B223" s="10">
        <v>9</v>
      </c>
      <c r="C223" s="9" t="s">
        <v>342</v>
      </c>
      <c r="D223" s="238">
        <v>0</v>
      </c>
      <c r="E223" s="239">
        <v>0.83333333333333337</v>
      </c>
      <c r="F223" s="239">
        <v>0.125</v>
      </c>
      <c r="G223" s="239">
        <v>0.74828571428571433</v>
      </c>
      <c r="H223" s="239">
        <v>1</v>
      </c>
      <c r="I223" s="238">
        <v>0</v>
      </c>
      <c r="J223" s="239">
        <v>1</v>
      </c>
      <c r="K223" s="238">
        <v>0.5</v>
      </c>
      <c r="L223" s="22">
        <f t="shared" si="3"/>
        <v>0.53790873015873009</v>
      </c>
    </row>
    <row r="224" spans="1:12" x14ac:dyDescent="0.25">
      <c r="A224" s="10">
        <v>369</v>
      </c>
      <c r="B224" s="10">
        <v>9</v>
      </c>
      <c r="C224" s="9" t="s">
        <v>343</v>
      </c>
      <c r="D224" s="238">
        <v>0.33333333333333331</v>
      </c>
      <c r="E224" s="239">
        <v>0.66666666666666663</v>
      </c>
      <c r="F224" s="239">
        <v>0.625</v>
      </c>
      <c r="G224" s="239">
        <v>0.74828571428571433</v>
      </c>
      <c r="H224" s="239">
        <v>0</v>
      </c>
      <c r="I224" s="238">
        <v>1</v>
      </c>
      <c r="J224" s="239">
        <v>0.83333333333333337</v>
      </c>
      <c r="K224" s="238">
        <v>1</v>
      </c>
      <c r="L224" s="22">
        <f t="shared" si="3"/>
        <v>0.60272354497354486</v>
      </c>
    </row>
    <row r="225" spans="1:12" x14ac:dyDescent="0.25">
      <c r="A225" s="10">
        <v>416</v>
      </c>
      <c r="B225" s="10">
        <v>9</v>
      </c>
      <c r="C225" s="9" t="s">
        <v>344</v>
      </c>
      <c r="D225" s="238">
        <v>0</v>
      </c>
      <c r="E225" s="239">
        <v>0.83333333333333337</v>
      </c>
      <c r="F225" s="239">
        <v>1</v>
      </c>
      <c r="G225" s="239">
        <v>0</v>
      </c>
      <c r="H225" s="239">
        <v>0</v>
      </c>
      <c r="I225" s="238">
        <v>1</v>
      </c>
      <c r="J225" s="239">
        <v>0.83333333333333337</v>
      </c>
      <c r="K225" s="238">
        <v>0.5</v>
      </c>
      <c r="L225" s="22">
        <f t="shared" si="3"/>
        <v>0.41203703703703709</v>
      </c>
    </row>
    <row r="226" spans="1:12" x14ac:dyDescent="0.25">
      <c r="A226" s="10">
        <v>420</v>
      </c>
      <c r="B226" s="10">
        <v>9</v>
      </c>
      <c r="C226" s="9" t="s">
        <v>345</v>
      </c>
      <c r="D226" s="238">
        <v>0.83333333333333337</v>
      </c>
      <c r="E226" s="239">
        <v>0.33333333333333331</v>
      </c>
      <c r="F226" s="239">
        <v>0.125</v>
      </c>
      <c r="G226" s="239">
        <v>0.74828571428571433</v>
      </c>
      <c r="H226" s="239">
        <v>0.75</v>
      </c>
      <c r="I226" s="238">
        <v>0.3</v>
      </c>
      <c r="J226" s="239">
        <v>0.33333333333333331</v>
      </c>
      <c r="K226" s="238">
        <v>0.5</v>
      </c>
      <c r="L226" s="22">
        <f t="shared" si="3"/>
        <v>0.55272354497354492</v>
      </c>
    </row>
    <row r="227" spans="1:12" x14ac:dyDescent="0.25">
      <c r="A227" s="10">
        <v>508</v>
      </c>
      <c r="B227" s="10">
        <v>9</v>
      </c>
      <c r="C227" s="9" t="s">
        <v>346</v>
      </c>
      <c r="D227" s="238">
        <v>0.16666666666666666</v>
      </c>
      <c r="E227" s="239">
        <v>0.5</v>
      </c>
      <c r="F227" s="239">
        <v>0.5</v>
      </c>
      <c r="G227" s="239">
        <v>0.74828571428571433</v>
      </c>
      <c r="H227" s="239">
        <v>0.25</v>
      </c>
      <c r="I227" s="238">
        <v>0</v>
      </c>
      <c r="J227" s="239">
        <v>0.16666666666666666</v>
      </c>
      <c r="K227" s="238">
        <v>1</v>
      </c>
      <c r="L227" s="22">
        <f t="shared" si="3"/>
        <v>0.40712169312169316</v>
      </c>
    </row>
    <row r="228" spans="1:12" x14ac:dyDescent="0.25">
      <c r="A228" s="10">
        <v>512</v>
      </c>
      <c r="B228" s="10">
        <v>9</v>
      </c>
      <c r="C228" s="9" t="s">
        <v>347</v>
      </c>
      <c r="D228" s="238">
        <v>0.33333333333333331</v>
      </c>
      <c r="E228" s="239">
        <v>0.66666666666666663</v>
      </c>
      <c r="F228" s="239">
        <v>0.75</v>
      </c>
      <c r="G228" s="239">
        <v>0</v>
      </c>
      <c r="H228" s="239">
        <v>0</v>
      </c>
      <c r="I228" s="238">
        <v>1</v>
      </c>
      <c r="J228" s="239">
        <v>0.66666666666666663</v>
      </c>
      <c r="K228" s="238">
        <v>1</v>
      </c>
      <c r="L228" s="22">
        <f t="shared" si="3"/>
        <v>0.46990740740740738</v>
      </c>
    </row>
    <row r="229" spans="1:12" x14ac:dyDescent="0.25">
      <c r="A229" s="10">
        <v>516</v>
      </c>
      <c r="B229" s="10">
        <v>9</v>
      </c>
      <c r="C229" s="9" t="s">
        <v>348</v>
      </c>
      <c r="D229" s="238">
        <v>0.5</v>
      </c>
      <c r="E229" s="239">
        <v>0.66666666666666663</v>
      </c>
      <c r="F229" s="239">
        <v>0.5</v>
      </c>
      <c r="G229" s="239">
        <v>0.24942857142857144</v>
      </c>
      <c r="H229" s="239">
        <v>0.25</v>
      </c>
      <c r="I229" s="238">
        <v>1</v>
      </c>
      <c r="J229" s="239">
        <v>0.33333333333333331</v>
      </c>
      <c r="K229" s="238">
        <v>1</v>
      </c>
      <c r="L229" s="22">
        <f t="shared" si="3"/>
        <v>0.52305291005290999</v>
      </c>
    </row>
    <row r="230" spans="1:12" x14ac:dyDescent="0.25">
      <c r="A230" s="10">
        <v>521</v>
      </c>
      <c r="B230" s="10">
        <v>9</v>
      </c>
      <c r="C230" s="9" t="s">
        <v>349</v>
      </c>
      <c r="D230" s="238">
        <v>0</v>
      </c>
      <c r="E230" s="239">
        <v>0</v>
      </c>
      <c r="F230" s="239">
        <v>0</v>
      </c>
      <c r="G230" s="239">
        <v>0.49885714285714289</v>
      </c>
      <c r="H230" s="239">
        <v>0</v>
      </c>
      <c r="I230" s="238">
        <v>0</v>
      </c>
      <c r="J230" s="239">
        <v>1</v>
      </c>
      <c r="K230" s="238">
        <v>0.5</v>
      </c>
      <c r="L230" s="22">
        <f t="shared" si="3"/>
        <v>0.24980952380952379</v>
      </c>
    </row>
    <row r="231" spans="1:12" x14ac:dyDescent="0.25">
      <c r="A231" s="10">
        <v>522</v>
      </c>
      <c r="B231" s="10">
        <v>9</v>
      </c>
      <c r="C231" s="9" t="s">
        <v>350</v>
      </c>
      <c r="D231" s="238">
        <v>0.83333333333333337</v>
      </c>
      <c r="E231" s="239">
        <v>0.5</v>
      </c>
      <c r="F231" s="239">
        <v>0.625</v>
      </c>
      <c r="G231" s="239">
        <v>0</v>
      </c>
      <c r="H231" s="239">
        <v>0</v>
      </c>
      <c r="I231" s="238">
        <v>1</v>
      </c>
      <c r="J231" s="239">
        <v>1</v>
      </c>
      <c r="K231" s="238">
        <v>1</v>
      </c>
      <c r="L231" s="22">
        <f t="shared" si="3"/>
        <v>0.56597222222222221</v>
      </c>
    </row>
    <row r="232" spans="1:12" x14ac:dyDescent="0.25">
      <c r="A232" s="10">
        <v>523</v>
      </c>
      <c r="B232" s="10">
        <v>9</v>
      </c>
      <c r="C232" s="9" t="s">
        <v>351</v>
      </c>
      <c r="D232" s="238">
        <v>0.83333333333333337</v>
      </c>
      <c r="E232" s="239">
        <v>1</v>
      </c>
      <c r="F232" s="239">
        <v>0.625</v>
      </c>
      <c r="G232" s="239">
        <v>0.74828571428571433</v>
      </c>
      <c r="H232" s="239">
        <v>0.75</v>
      </c>
      <c r="I232" s="238">
        <v>1</v>
      </c>
      <c r="J232" s="239">
        <v>1</v>
      </c>
      <c r="K232" s="238">
        <v>1</v>
      </c>
      <c r="L232" s="22">
        <f t="shared" si="3"/>
        <v>0.85735317460317462</v>
      </c>
    </row>
    <row r="233" spans="1:12" x14ac:dyDescent="0.25">
      <c r="A233" s="10">
        <v>527</v>
      </c>
      <c r="B233" s="10">
        <v>9</v>
      </c>
      <c r="C233" s="9" t="s">
        <v>352</v>
      </c>
      <c r="D233" s="238">
        <v>0.66666666666666663</v>
      </c>
      <c r="E233" s="239">
        <v>0.5</v>
      </c>
      <c r="F233" s="239">
        <v>0.25</v>
      </c>
      <c r="G233" s="239">
        <v>0.49885714285714289</v>
      </c>
      <c r="H233" s="239">
        <v>0.5</v>
      </c>
      <c r="I233" s="238">
        <v>1</v>
      </c>
      <c r="J233" s="239">
        <v>0</v>
      </c>
      <c r="K233" s="238">
        <v>1</v>
      </c>
      <c r="L233" s="22">
        <f t="shared" si="3"/>
        <v>0.5623095238095237</v>
      </c>
    </row>
    <row r="234" spans="1:12" x14ac:dyDescent="0.25">
      <c r="A234" s="10">
        <v>543</v>
      </c>
      <c r="B234" s="10">
        <v>9</v>
      </c>
      <c r="C234" s="9" t="s">
        <v>353</v>
      </c>
      <c r="D234" s="238">
        <v>0</v>
      </c>
      <c r="E234" s="239">
        <v>0</v>
      </c>
      <c r="F234" s="239">
        <v>0</v>
      </c>
      <c r="G234" s="239">
        <v>0</v>
      </c>
      <c r="H234" s="239">
        <v>0.75</v>
      </c>
      <c r="I234" s="238">
        <v>0.75</v>
      </c>
      <c r="J234" s="239">
        <v>0</v>
      </c>
      <c r="K234" s="238">
        <v>0.5</v>
      </c>
      <c r="L234" s="22">
        <f t="shared" si="3"/>
        <v>0.26388888888888884</v>
      </c>
    </row>
    <row r="235" spans="1:12" x14ac:dyDescent="0.25">
      <c r="A235" s="93">
        <v>547</v>
      </c>
      <c r="B235" s="93">
        <v>9</v>
      </c>
      <c r="C235" s="94" t="s">
        <v>354</v>
      </c>
      <c r="D235" s="238">
        <v>0</v>
      </c>
      <c r="E235" s="239">
        <v>0.83333333333333337</v>
      </c>
      <c r="F235" s="239">
        <v>1</v>
      </c>
      <c r="G235" s="239">
        <v>0.49885714285714289</v>
      </c>
      <c r="H235" s="239">
        <v>0.5</v>
      </c>
      <c r="I235" s="238">
        <v>1</v>
      </c>
      <c r="J235" s="239">
        <v>0.5</v>
      </c>
      <c r="K235" s="238">
        <v>0.5</v>
      </c>
      <c r="L235" s="22">
        <f t="shared" si="3"/>
        <v>0.54147619047619044</v>
      </c>
    </row>
    <row r="236" spans="1:12" x14ac:dyDescent="0.25">
      <c r="A236" s="93">
        <v>552</v>
      </c>
      <c r="B236" s="93">
        <v>9</v>
      </c>
      <c r="C236" s="94" t="s">
        <v>355</v>
      </c>
      <c r="D236" s="238">
        <v>1</v>
      </c>
      <c r="E236" s="239">
        <v>0.83333333333333337</v>
      </c>
      <c r="F236" s="239">
        <v>0.125</v>
      </c>
      <c r="G236" s="239">
        <v>0.24942857142857144</v>
      </c>
      <c r="H236" s="239">
        <v>0</v>
      </c>
      <c r="I236" s="238">
        <v>1</v>
      </c>
      <c r="J236" s="239">
        <v>0.16666666666666666</v>
      </c>
      <c r="K236" s="238">
        <v>1</v>
      </c>
      <c r="L236" s="22">
        <f t="shared" si="3"/>
        <v>0.52883994708994697</v>
      </c>
    </row>
    <row r="237" spans="1:12" x14ac:dyDescent="0.25">
      <c r="A237" s="93">
        <v>567</v>
      </c>
      <c r="B237" s="93">
        <v>9</v>
      </c>
      <c r="C237" s="94" t="s">
        <v>356</v>
      </c>
      <c r="D237" s="238">
        <v>0</v>
      </c>
      <c r="E237" s="239">
        <v>0.83333333333333337</v>
      </c>
      <c r="F237" s="239">
        <v>1</v>
      </c>
      <c r="G237" s="239">
        <v>0.49885714285714289</v>
      </c>
      <c r="H237" s="239">
        <v>0</v>
      </c>
      <c r="I237" s="238">
        <v>1</v>
      </c>
      <c r="J237" s="239">
        <v>0.83333333333333337</v>
      </c>
      <c r="K237" s="238">
        <v>0.5</v>
      </c>
      <c r="L237" s="22">
        <f t="shared" si="3"/>
        <v>0.49517989417989416</v>
      </c>
    </row>
    <row r="238" spans="1:12" x14ac:dyDescent="0.25">
      <c r="A238" s="93">
        <v>629</v>
      </c>
      <c r="B238" s="93">
        <v>9</v>
      </c>
      <c r="C238" s="94" t="s">
        <v>357</v>
      </c>
      <c r="D238" s="238">
        <v>0</v>
      </c>
      <c r="E238" s="239">
        <v>0</v>
      </c>
      <c r="F238" s="239">
        <v>0</v>
      </c>
      <c r="G238" s="239">
        <v>0.49885714285714289</v>
      </c>
      <c r="H238" s="239">
        <v>0</v>
      </c>
      <c r="I238" s="238">
        <v>1</v>
      </c>
      <c r="J238" s="239">
        <v>0</v>
      </c>
      <c r="K238" s="238">
        <v>0.5</v>
      </c>
      <c r="L238" s="22">
        <f t="shared" si="3"/>
        <v>0.24980952380952379</v>
      </c>
    </row>
    <row r="239" spans="1:12" x14ac:dyDescent="0.25">
      <c r="A239" s="93">
        <v>630</v>
      </c>
      <c r="B239" s="93">
        <v>9</v>
      </c>
      <c r="C239" s="94" t="s">
        <v>358</v>
      </c>
      <c r="D239" s="238">
        <v>0.33333333333333331</v>
      </c>
      <c r="E239" s="239">
        <v>1</v>
      </c>
      <c r="F239" s="239">
        <v>0.375</v>
      </c>
      <c r="G239" s="239">
        <v>0.74828571428571433</v>
      </c>
      <c r="H239" s="239">
        <v>0</v>
      </c>
      <c r="I239" s="238">
        <v>1</v>
      </c>
      <c r="J239" s="239">
        <v>0.83333333333333337</v>
      </c>
      <c r="K239" s="238">
        <v>1</v>
      </c>
      <c r="L239" s="22">
        <f t="shared" si="3"/>
        <v>0.6096679894179895</v>
      </c>
    </row>
    <row r="240" spans="1:12" ht="30" x14ac:dyDescent="0.25">
      <c r="A240" s="93">
        <v>695</v>
      </c>
      <c r="B240" s="93">
        <v>9</v>
      </c>
      <c r="C240" s="94" t="s">
        <v>359</v>
      </c>
      <c r="D240" s="238">
        <v>0</v>
      </c>
      <c r="E240" s="239">
        <v>0</v>
      </c>
      <c r="F240" s="239">
        <v>0</v>
      </c>
      <c r="G240" s="239">
        <v>0</v>
      </c>
      <c r="H240" s="239">
        <v>0.25</v>
      </c>
      <c r="I240" s="238">
        <v>0</v>
      </c>
      <c r="J240" s="239">
        <v>0</v>
      </c>
      <c r="K240" s="238">
        <v>0</v>
      </c>
      <c r="L240" s="22">
        <f t="shared" si="3"/>
        <v>4.1666666666666664E-2</v>
      </c>
    </row>
    <row r="241" spans="1:12" x14ac:dyDescent="0.25">
      <c r="A241" s="93">
        <v>771</v>
      </c>
      <c r="B241" s="93">
        <v>9</v>
      </c>
      <c r="C241" s="94" t="s">
        <v>360</v>
      </c>
      <c r="D241" s="238">
        <v>0</v>
      </c>
      <c r="E241" s="239">
        <v>0</v>
      </c>
      <c r="F241" s="239">
        <v>0.375</v>
      </c>
      <c r="G241" s="239">
        <v>0.74828571428571433</v>
      </c>
      <c r="H241" s="239">
        <v>0.5</v>
      </c>
      <c r="I241" s="238">
        <v>0.25</v>
      </c>
      <c r="J241" s="239">
        <v>0.83333333333333337</v>
      </c>
      <c r="K241" s="238">
        <v>1</v>
      </c>
      <c r="L241" s="22">
        <f t="shared" si="3"/>
        <v>0.47077910052910049</v>
      </c>
    </row>
    <row r="242" spans="1:12" x14ac:dyDescent="0.25">
      <c r="A242" s="93">
        <v>830</v>
      </c>
      <c r="B242" s="93">
        <v>9</v>
      </c>
      <c r="C242" s="94" t="s">
        <v>361</v>
      </c>
      <c r="D242" s="238">
        <v>0</v>
      </c>
      <c r="E242" s="239">
        <v>0.66666666666666663</v>
      </c>
      <c r="F242" s="239">
        <v>0.25</v>
      </c>
      <c r="G242" s="239">
        <v>0.49885714285714289</v>
      </c>
      <c r="H242" s="239">
        <v>1</v>
      </c>
      <c r="I242" s="238">
        <v>1</v>
      </c>
      <c r="J242" s="239">
        <v>0</v>
      </c>
      <c r="K242" s="238">
        <v>0.5</v>
      </c>
      <c r="L242" s="22">
        <f t="shared" si="3"/>
        <v>0.49286507936507928</v>
      </c>
    </row>
    <row r="243" spans="1:12" x14ac:dyDescent="0.25">
      <c r="A243" s="93">
        <v>936</v>
      </c>
      <c r="B243" s="93">
        <v>9</v>
      </c>
      <c r="C243" s="94" t="s">
        <v>362</v>
      </c>
      <c r="D243" s="238">
        <v>0</v>
      </c>
      <c r="E243" s="239">
        <v>0</v>
      </c>
      <c r="F243" s="239">
        <v>0.625</v>
      </c>
      <c r="G243" s="239">
        <v>0</v>
      </c>
      <c r="H243" s="239">
        <v>0</v>
      </c>
      <c r="I243" s="238">
        <v>1</v>
      </c>
      <c r="J243" s="239">
        <v>0.33333333333333331</v>
      </c>
      <c r="K243" s="238">
        <v>1</v>
      </c>
      <c r="L243" s="22">
        <f t="shared" si="3"/>
        <v>0.31134259259259256</v>
      </c>
    </row>
    <row r="244" spans="1:12" x14ac:dyDescent="0.25">
      <c r="A244" s="93">
        <v>952</v>
      </c>
      <c r="B244" s="93">
        <v>9</v>
      </c>
      <c r="C244" s="94" t="s">
        <v>363</v>
      </c>
      <c r="D244" s="238">
        <v>0.83333333333333337</v>
      </c>
      <c r="E244" s="239">
        <v>0.83333333333333337</v>
      </c>
      <c r="F244" s="239">
        <v>0.5</v>
      </c>
      <c r="G244" s="239">
        <v>0.74828571428571433</v>
      </c>
      <c r="H244" s="239">
        <v>0</v>
      </c>
      <c r="I244" s="238">
        <v>0</v>
      </c>
      <c r="J244" s="239">
        <v>0.66666666666666663</v>
      </c>
      <c r="K244" s="238">
        <v>1</v>
      </c>
      <c r="L244" s="22">
        <f t="shared" si="3"/>
        <v>0.5598994708994709</v>
      </c>
    </row>
    <row r="245" spans="1:12" x14ac:dyDescent="0.25">
      <c r="A245" s="172">
        <v>982</v>
      </c>
      <c r="B245" s="172">
        <v>9</v>
      </c>
      <c r="C245" s="71" t="s">
        <v>364</v>
      </c>
      <c r="D245" s="238">
        <v>0</v>
      </c>
      <c r="E245" s="239">
        <v>0</v>
      </c>
      <c r="F245" s="239">
        <v>0</v>
      </c>
      <c r="G245" s="239">
        <v>0</v>
      </c>
      <c r="H245" s="239">
        <v>0.75</v>
      </c>
      <c r="I245" s="238">
        <v>0</v>
      </c>
      <c r="J245" s="239">
        <v>0</v>
      </c>
      <c r="K245" s="238">
        <v>0</v>
      </c>
      <c r="L245" s="22">
        <f t="shared" si="3"/>
        <v>0.125</v>
      </c>
    </row>
    <row r="246" spans="1:12" x14ac:dyDescent="0.25">
      <c r="A246" s="172">
        <v>987</v>
      </c>
      <c r="B246" s="172">
        <v>9</v>
      </c>
      <c r="C246" s="71" t="s">
        <v>365</v>
      </c>
      <c r="D246" s="238">
        <v>0.83333333333333337</v>
      </c>
      <c r="E246" s="239">
        <v>0.5</v>
      </c>
      <c r="F246" s="239">
        <v>0</v>
      </c>
      <c r="G246" s="239">
        <v>0</v>
      </c>
      <c r="H246" s="239">
        <v>0.75</v>
      </c>
      <c r="I246" s="238">
        <v>0</v>
      </c>
      <c r="J246" s="239">
        <v>0.66666666666666663</v>
      </c>
      <c r="K246" s="238">
        <v>1</v>
      </c>
      <c r="L246" s="22">
        <f t="shared" si="3"/>
        <v>0.49074074074074076</v>
      </c>
    </row>
    <row r="247" spans="1:12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</row>
    <row r="248" spans="1:12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Funding</vt:lpstr>
      <vt:lpstr>2016 Clerical PYA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Constantinou</dc:creator>
  <cp:lastModifiedBy>Ryan Pestana</cp:lastModifiedBy>
  <dcterms:created xsi:type="dcterms:W3CDTF">2017-01-16T13:40:47Z</dcterms:created>
  <dcterms:modified xsi:type="dcterms:W3CDTF">2018-06-26T17:49:08Z</dcterms:modified>
  <cp:contentStatus/>
</cp:coreProperties>
</file>