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Communications\Website and Intranet\Website\2. Content\Documents\Blue Box\"/>
    </mc:Choice>
  </mc:AlternateContent>
  <xr:revisionPtr revIDLastSave="0" documentId="8_{87EA5102-40B7-4747-A933-6C16345F96C9}" xr6:coauthVersionLast="45" xr6:coauthVersionMax="45" xr10:uidLastSave="{00000000-0000-0000-0000-000000000000}"/>
  <bookViews>
    <workbookView xWindow="-109" yWindow="-109" windowWidth="26301" windowHeight="14305" tabRatio="894" xr2:uid="{00000000-000D-0000-FFFF-FFFF00000000}"/>
  </bookViews>
  <sheets>
    <sheet name="2021 Funding" sheetId="4" r:id="rId1"/>
    <sheet name="Cost Bands for 2021 MFAM" sheetId="1" state="veryHidden" r:id="rId2"/>
    <sheet name="2019 Data Lockdown" sheetId="24" state="veryHidden" r:id="rId3"/>
    <sheet name="2019 Best Practice Scores" sheetId="9" state="veryHidden" r:id="rId4"/>
    <sheet name="Revised 2020 MFAM(2018 PYAs)" sheetId="18" state="veryHidden" r:id="rId5"/>
    <sheet name="Revised 2020 MFAM Cost Bands" sheetId="19" state="veryHidden" r:id="rId6"/>
    <sheet name="Revised 2018 Lockdown" sheetId="25" state="veryHidden" r:id="rId7"/>
    <sheet name="Revised 2019 MFAM(2017 PYAs)" sheetId="21" state="veryHidden" r:id="rId8"/>
    <sheet name="Revised 2019 MFAM Cost Bands" sheetId="22" state="veryHidden" r:id="rId9"/>
    <sheet name="Revised 2017 Lockdown" sheetId="26" state="veryHidden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'2019 Data Lockdown'!$B$4:$I$257</definedName>
    <definedName name="_xlnm._FilterDatabase" localSheetId="0" hidden="1">'2021 Funding'!$B$25:$AH$25</definedName>
    <definedName name="_xlnm._FilterDatabase" localSheetId="9" hidden="1">'Revised 2017 Lockdown'!$B$4:$I$249</definedName>
    <definedName name="_xlnm._FilterDatabase" localSheetId="6" hidden="1">'Revised 2018 Lockdown'!$B$4:$I$253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22" l="1" a="1"/>
  <c r="N7" i="22"/>
  <c r="N8" i="22" a="1"/>
  <c r="N8" i="22"/>
  <c r="N9" i="22" a="1"/>
  <c r="N9" i="22"/>
  <c r="N10" i="22" a="1"/>
  <c r="N10" i="22"/>
  <c r="N11" i="22" a="1"/>
  <c r="N11" i="22"/>
  <c r="N12" i="22" a="1"/>
  <c r="N12" i="22"/>
  <c r="N13" i="22" a="1"/>
  <c r="N13" i="22"/>
  <c r="N14" i="22" a="1"/>
  <c r="N14" i="22"/>
  <c r="N15" i="22" a="1"/>
  <c r="N15" i="22"/>
  <c r="N16" i="22" a="1"/>
  <c r="N16" i="22"/>
  <c r="N17" i="22" a="1"/>
  <c r="N17" i="22"/>
  <c r="N18" i="22" a="1"/>
  <c r="N18" i="22"/>
  <c r="N19" i="22" a="1"/>
  <c r="N19" i="22"/>
  <c r="N20" i="22" a="1"/>
  <c r="N20" i="22"/>
  <c r="N21" i="22" a="1"/>
  <c r="N21" i="22"/>
  <c r="N22" i="22" a="1"/>
  <c r="N22" i="22"/>
  <c r="N23" i="22" a="1"/>
  <c r="N23" i="22"/>
  <c r="N24" i="22" a="1"/>
  <c r="N24" i="22"/>
  <c r="N25" i="22" a="1"/>
  <c r="N25" i="22"/>
  <c r="N26" i="22" a="1"/>
  <c r="N26" i="22"/>
  <c r="N27" i="22" a="1"/>
  <c r="N27" i="22"/>
  <c r="N28" i="22" a="1"/>
  <c r="N28" i="22"/>
  <c r="N29" i="22" a="1"/>
  <c r="N29" i="22"/>
  <c r="N30" i="22" a="1"/>
  <c r="N30" i="22"/>
  <c r="N31" i="22" a="1"/>
  <c r="N31" i="22"/>
  <c r="N32" i="22" a="1"/>
  <c r="N32" i="22"/>
  <c r="N33" i="22" a="1"/>
  <c r="N33" i="22"/>
  <c r="N34" i="22" a="1"/>
  <c r="N34" i="22"/>
  <c r="N35" i="22" a="1"/>
  <c r="N35" i="22"/>
  <c r="N36" i="22" a="1"/>
  <c r="N36" i="22"/>
  <c r="N37" i="22" a="1"/>
  <c r="N37" i="22"/>
  <c r="N38" i="22" a="1"/>
  <c r="N38" i="22"/>
  <c r="N39" i="22" a="1"/>
  <c r="N39" i="22"/>
  <c r="N40" i="22" a="1"/>
  <c r="N40" i="22"/>
  <c r="N41" i="22" a="1"/>
  <c r="N41" i="22"/>
  <c r="N42" i="22" a="1"/>
  <c r="N42" i="22"/>
  <c r="N43" i="22" a="1"/>
  <c r="N43" i="22"/>
  <c r="N44" i="22" a="1"/>
  <c r="N44" i="22"/>
  <c r="N45" i="22" a="1"/>
  <c r="N45" i="22"/>
  <c r="N46" i="22" a="1"/>
  <c r="N46" i="22"/>
  <c r="N47" i="22" a="1"/>
  <c r="N47" i="22"/>
  <c r="N48" i="22" a="1"/>
  <c r="N48" i="22"/>
  <c r="N49" i="22" a="1"/>
  <c r="N49" i="22"/>
  <c r="N50" i="22" a="1"/>
  <c r="N50" i="22"/>
  <c r="N51" i="22" a="1"/>
  <c r="N51" i="22"/>
  <c r="N52" i="22" a="1"/>
  <c r="N52" i="22"/>
  <c r="N53" i="22" a="1"/>
  <c r="N53" i="22"/>
  <c r="N54" i="22" a="1"/>
  <c r="N54" i="22"/>
  <c r="N55" i="22" a="1"/>
  <c r="N55" i="22"/>
  <c r="N56" i="22" a="1"/>
  <c r="N56" i="22"/>
  <c r="N57" i="22" a="1"/>
  <c r="N57" i="22"/>
  <c r="N58" i="22" a="1"/>
  <c r="N58" i="22"/>
  <c r="N59" i="22" a="1"/>
  <c r="N59" i="22"/>
  <c r="N60" i="22" a="1"/>
  <c r="N60" i="22"/>
  <c r="N61" i="22" a="1"/>
  <c r="N61" i="22"/>
  <c r="N62" i="22" a="1"/>
  <c r="N62" i="22"/>
  <c r="N63" i="22" a="1"/>
  <c r="N63" i="22"/>
  <c r="N64" i="22" a="1"/>
  <c r="N64" i="22"/>
  <c r="N65" i="22" a="1"/>
  <c r="N65" i="22"/>
  <c r="N66" i="22" a="1"/>
  <c r="N66" i="22"/>
  <c r="N67" i="22" a="1"/>
  <c r="N67" i="22"/>
  <c r="N68" i="22" a="1"/>
  <c r="N68" i="22"/>
  <c r="N69" i="22" a="1"/>
  <c r="N69" i="22"/>
  <c r="N70" i="22" a="1"/>
  <c r="N70" i="22"/>
  <c r="N71" i="22" a="1"/>
  <c r="N71" i="22"/>
  <c r="N72" i="22" a="1"/>
  <c r="N72" i="22"/>
  <c r="N73" i="22" a="1"/>
  <c r="N73" i="22"/>
  <c r="N74" i="22" a="1"/>
  <c r="N74" i="22"/>
  <c r="N75" i="22" a="1"/>
  <c r="N75" i="22"/>
  <c r="N76" i="22" a="1"/>
  <c r="N76" i="22"/>
  <c r="N77" i="22" a="1"/>
  <c r="N77" i="22"/>
  <c r="N78" i="22" a="1"/>
  <c r="N78" i="22"/>
  <c r="N79" i="22" a="1"/>
  <c r="N79" i="22"/>
  <c r="N80" i="22" a="1"/>
  <c r="N80" i="22"/>
  <c r="N81" i="22" a="1"/>
  <c r="N81" i="22"/>
  <c r="N82" i="22" a="1"/>
  <c r="N82" i="22"/>
  <c r="N83" i="22" a="1"/>
  <c r="N83" i="22"/>
  <c r="N84" i="22" a="1"/>
  <c r="N84" i="22"/>
  <c r="N85" i="22" a="1"/>
  <c r="N85" i="22"/>
  <c r="N86" i="22" a="1"/>
  <c r="N86" i="22"/>
  <c r="N87" i="22" a="1"/>
  <c r="N87" i="22"/>
  <c r="N88" i="22" a="1"/>
  <c r="N88" i="22"/>
  <c r="N89" i="22" a="1"/>
  <c r="N89" i="22"/>
  <c r="N90" i="22" a="1"/>
  <c r="N90" i="22"/>
  <c r="N91" i="22" a="1"/>
  <c r="N91" i="22"/>
  <c r="N92" i="22" a="1"/>
  <c r="N92" i="22"/>
  <c r="N93" i="22" a="1"/>
  <c r="N93" i="22"/>
  <c r="N94" i="22" a="1"/>
  <c r="N94" i="22"/>
  <c r="N95" i="22" a="1"/>
  <c r="N95" i="22"/>
  <c r="N96" i="22" a="1"/>
  <c r="N96" i="22"/>
  <c r="N97" i="22" a="1"/>
  <c r="N97" i="22"/>
  <c r="N98" i="22" a="1"/>
  <c r="N98" i="22"/>
  <c r="N99" i="22" a="1"/>
  <c r="N99" i="22"/>
  <c r="N100" i="22" a="1"/>
  <c r="N100" i="22"/>
  <c r="N101" i="22" a="1"/>
  <c r="N101" i="22"/>
  <c r="N102" i="22" a="1"/>
  <c r="N102" i="22"/>
  <c r="N103" i="22" a="1"/>
  <c r="N103" i="22"/>
  <c r="N104" i="22" a="1"/>
  <c r="N104" i="22"/>
  <c r="N105" i="22" a="1"/>
  <c r="N105" i="22"/>
  <c r="N106" i="22" a="1"/>
  <c r="N106" i="22"/>
  <c r="N107" i="22" a="1"/>
  <c r="N107" i="22"/>
  <c r="N108" i="22" a="1"/>
  <c r="N108" i="22"/>
  <c r="N109" i="22" a="1"/>
  <c r="N109" i="22"/>
  <c r="N110" i="22" a="1"/>
  <c r="N110" i="22"/>
  <c r="N111" i="22" a="1"/>
  <c r="N111" i="22"/>
  <c r="N112" i="22" a="1"/>
  <c r="N112" i="22"/>
  <c r="N113" i="22" a="1"/>
  <c r="N113" i="22"/>
  <c r="N114" i="22" a="1"/>
  <c r="N114" i="22"/>
  <c r="N115" i="22" a="1"/>
  <c r="N115" i="22"/>
  <c r="N116" i="22" a="1"/>
  <c r="N116" i="22"/>
  <c r="N117" i="22" a="1"/>
  <c r="N117" i="22"/>
  <c r="N118" i="22" a="1"/>
  <c r="N118" i="22"/>
  <c r="N119" i="22" a="1"/>
  <c r="N119" i="22"/>
  <c r="N120" i="22" a="1"/>
  <c r="N120" i="22"/>
  <c r="N121" i="22" a="1"/>
  <c r="N121" i="22"/>
  <c r="N122" i="22" a="1"/>
  <c r="N122" i="22"/>
  <c r="N123" i="22" a="1"/>
  <c r="N123" i="22"/>
  <c r="N124" i="22" a="1"/>
  <c r="N124" i="22"/>
  <c r="N125" i="22" a="1"/>
  <c r="N125" i="22"/>
  <c r="N126" i="22" a="1"/>
  <c r="N126" i="22"/>
  <c r="N127" i="22" a="1"/>
  <c r="N127" i="22"/>
  <c r="N128" i="22" a="1"/>
  <c r="N128" i="22"/>
  <c r="N129" i="22" a="1"/>
  <c r="N129" i="22"/>
  <c r="N130" i="22" a="1"/>
  <c r="N130" i="22"/>
  <c r="N131" i="22" a="1"/>
  <c r="N131" i="22"/>
  <c r="N132" i="22" a="1"/>
  <c r="N132" i="22"/>
  <c r="N133" i="22" a="1"/>
  <c r="N133" i="22"/>
  <c r="N134" i="22" a="1"/>
  <c r="N134" i="22"/>
  <c r="N135" i="22" a="1"/>
  <c r="N135" i="22"/>
  <c r="N136" i="22" a="1"/>
  <c r="N136" i="22"/>
  <c r="N137" i="22" a="1"/>
  <c r="N137" i="22"/>
  <c r="N138" i="22" a="1"/>
  <c r="N138" i="22"/>
  <c r="N139" i="22" a="1"/>
  <c r="N139" i="22"/>
  <c r="N140" i="22" a="1"/>
  <c r="N140" i="22"/>
  <c r="N141" i="22" a="1"/>
  <c r="N141" i="22"/>
  <c r="N142" i="22" a="1"/>
  <c r="N142" i="22"/>
  <c r="N143" i="22" a="1"/>
  <c r="N143" i="22"/>
  <c r="N144" i="22" a="1"/>
  <c r="N144" i="22"/>
  <c r="N145" i="22" a="1"/>
  <c r="N145" i="22"/>
  <c r="N146" i="22" a="1"/>
  <c r="N146" i="22"/>
  <c r="N147" i="22" a="1"/>
  <c r="N147" i="22"/>
  <c r="N148" i="22" a="1"/>
  <c r="N148" i="22"/>
  <c r="N149" i="22" a="1"/>
  <c r="N149" i="22"/>
  <c r="N150" i="22" a="1"/>
  <c r="N150" i="22"/>
  <c r="N151" i="22" a="1"/>
  <c r="N151" i="22"/>
  <c r="N152" i="22" a="1"/>
  <c r="N152" i="22"/>
  <c r="N153" i="22" a="1"/>
  <c r="N153" i="22"/>
  <c r="N154" i="22" a="1"/>
  <c r="N154" i="22"/>
  <c r="N155" i="22" a="1"/>
  <c r="N155" i="22"/>
  <c r="N156" i="22" a="1"/>
  <c r="N156" i="22"/>
  <c r="N157" i="22" a="1"/>
  <c r="N157" i="22"/>
  <c r="N158" i="22" a="1"/>
  <c r="N158" i="22"/>
  <c r="N159" i="22" a="1"/>
  <c r="N159" i="22"/>
  <c r="N160" i="22" a="1"/>
  <c r="N160" i="22"/>
  <c r="N161" i="22" a="1"/>
  <c r="N161" i="22"/>
  <c r="N162" i="22" a="1"/>
  <c r="N162" i="22"/>
  <c r="N163" i="22" a="1"/>
  <c r="N163" i="22"/>
  <c r="N164" i="22" a="1"/>
  <c r="N164" i="22"/>
  <c r="N165" i="22" a="1"/>
  <c r="N165" i="22"/>
  <c r="N166" i="22" a="1"/>
  <c r="N166" i="22"/>
  <c r="N167" i="22" a="1"/>
  <c r="N167" i="22"/>
  <c r="N168" i="22" a="1"/>
  <c r="N168" i="22"/>
  <c r="N169" i="22" a="1"/>
  <c r="N169" i="22"/>
  <c r="N170" i="22" a="1"/>
  <c r="N170" i="22"/>
  <c r="N171" i="22" a="1"/>
  <c r="N171" i="22"/>
  <c r="N172" i="22" a="1"/>
  <c r="N172" i="22"/>
  <c r="N173" i="22" a="1"/>
  <c r="N173" i="22"/>
  <c r="N174" i="22" a="1"/>
  <c r="N174" i="22"/>
  <c r="N175" i="22" a="1"/>
  <c r="N175" i="22"/>
  <c r="N176" i="22" a="1"/>
  <c r="N176" i="22"/>
  <c r="N177" i="22" a="1"/>
  <c r="N177" i="22"/>
  <c r="N178" i="22" a="1"/>
  <c r="N178" i="22"/>
  <c r="N179" i="22" a="1"/>
  <c r="N179" i="22"/>
  <c r="N180" i="22" a="1"/>
  <c r="N180" i="22"/>
  <c r="N181" i="22" a="1"/>
  <c r="N181" i="22"/>
  <c r="N182" i="22" a="1"/>
  <c r="N182" i="22"/>
  <c r="N183" i="22" a="1"/>
  <c r="N183" i="22"/>
  <c r="N184" i="22" a="1"/>
  <c r="N184" i="22"/>
  <c r="N185" i="22" a="1"/>
  <c r="N185" i="22"/>
  <c r="N186" i="22" a="1"/>
  <c r="N186" i="22"/>
  <c r="N187" i="22" a="1"/>
  <c r="N187" i="22"/>
  <c r="N188" i="22" a="1"/>
  <c r="N188" i="22"/>
  <c r="N189" i="22" a="1"/>
  <c r="N189" i="22"/>
  <c r="N190" i="22" a="1"/>
  <c r="N190" i="22"/>
  <c r="N191" i="22" a="1"/>
  <c r="N191" i="22"/>
  <c r="N192" i="22" a="1"/>
  <c r="N192" i="22"/>
  <c r="N193" i="22" a="1"/>
  <c r="N193" i="22"/>
  <c r="N194" i="22" a="1"/>
  <c r="N194" i="22"/>
  <c r="N195" i="22" a="1"/>
  <c r="N195" i="22"/>
  <c r="N196" i="22" a="1"/>
  <c r="N196" i="22"/>
  <c r="N197" i="22" a="1"/>
  <c r="N197" i="22"/>
  <c r="N198" i="22" a="1"/>
  <c r="N198" i="22"/>
  <c r="N199" i="22" a="1"/>
  <c r="N199" i="22"/>
  <c r="N200" i="22" a="1"/>
  <c r="N200" i="22"/>
  <c r="N201" i="22" a="1"/>
  <c r="N201" i="22"/>
  <c r="N202" i="22" a="1"/>
  <c r="N202" i="22"/>
  <c r="N203" i="22" a="1"/>
  <c r="N203" i="22"/>
  <c r="N204" i="22" a="1"/>
  <c r="N204" i="22"/>
  <c r="N205" i="22" a="1"/>
  <c r="N205" i="22"/>
  <c r="N206" i="22" a="1"/>
  <c r="N206" i="22"/>
  <c r="N207" i="22" a="1"/>
  <c r="N207" i="22"/>
  <c r="N208" i="22" a="1"/>
  <c r="N208" i="22"/>
  <c r="N209" i="22" a="1"/>
  <c r="N209" i="22"/>
  <c r="N210" i="22" a="1"/>
  <c r="N210" i="22"/>
  <c r="N211" i="22" a="1"/>
  <c r="N211" i="22"/>
  <c r="N212" i="22" a="1"/>
  <c r="N212" i="22"/>
  <c r="N213" i="22" a="1"/>
  <c r="N213" i="22"/>
  <c r="N214" i="22" a="1"/>
  <c r="N214" i="22"/>
  <c r="N215" i="22" a="1"/>
  <c r="N215" i="22"/>
  <c r="N216" i="22" a="1"/>
  <c r="N216" i="22"/>
  <c r="N217" i="22" a="1"/>
  <c r="N217" i="22"/>
  <c r="N218" i="22" a="1"/>
  <c r="N218" i="22"/>
  <c r="N219" i="22" a="1"/>
  <c r="N219" i="22"/>
  <c r="N220" i="22" a="1"/>
  <c r="N220" i="22"/>
  <c r="N221" i="22" a="1"/>
  <c r="N221" i="22"/>
  <c r="N222" i="22" a="1"/>
  <c r="N222" i="22"/>
  <c r="N223" i="22" a="1"/>
  <c r="N223" i="22"/>
  <c r="N224" i="22" a="1"/>
  <c r="N224" i="22"/>
  <c r="N225" i="22" a="1"/>
  <c r="N225" i="22"/>
  <c r="N226" i="22" a="1"/>
  <c r="N226" i="22"/>
  <c r="N227" i="22" a="1"/>
  <c r="N227" i="22"/>
  <c r="N228" i="22" a="1"/>
  <c r="N228" i="22"/>
  <c r="N229" i="22" a="1"/>
  <c r="N229" i="22"/>
  <c r="N230" i="22" a="1"/>
  <c r="N230" i="22"/>
  <c r="N231" i="22" a="1"/>
  <c r="N231" i="22"/>
  <c r="N232" i="22" a="1"/>
  <c r="N232" i="22"/>
  <c r="N233" i="22" a="1"/>
  <c r="N233" i="22"/>
  <c r="N234" i="22" a="1"/>
  <c r="N234" i="22"/>
  <c r="N235" i="22" a="1"/>
  <c r="N235" i="22"/>
  <c r="N236" i="22" a="1"/>
  <c r="N236" i="22"/>
  <c r="N237" i="22" a="1"/>
  <c r="N237" i="22"/>
  <c r="N238" i="22" a="1"/>
  <c r="N238" i="22"/>
  <c r="N239" i="22" a="1"/>
  <c r="N239" i="22"/>
  <c r="N240" i="22" a="1"/>
  <c r="N240" i="22"/>
  <c r="N241" i="22" a="1"/>
  <c r="N241" i="22"/>
  <c r="N242" i="22" a="1"/>
  <c r="N242" i="22"/>
  <c r="N243" i="22" a="1"/>
  <c r="N243" i="22"/>
  <c r="N244" i="22" a="1"/>
  <c r="N244" i="22"/>
  <c r="N245" i="22" a="1"/>
  <c r="N245" i="22"/>
  <c r="N246" i="22" a="1"/>
  <c r="N246" i="22"/>
  <c r="N247" i="22" a="1"/>
  <c r="N247" i="22"/>
  <c r="N248" i="22" a="1"/>
  <c r="N248" i="22"/>
  <c r="N249" i="22" a="1"/>
  <c r="N249" i="22"/>
  <c r="N250" i="22" a="1"/>
  <c r="N250" i="22"/>
  <c r="N6" i="22" a="1"/>
  <c r="N6" i="22"/>
  <c r="N7" i="1" a="1"/>
  <c r="N7" i="1"/>
  <c r="N8" i="1" a="1"/>
  <c r="N8" i="1"/>
  <c r="N9" i="1" a="1"/>
  <c r="N9" i="1"/>
  <c r="N10" i="1" a="1"/>
  <c r="N10" i="1"/>
  <c r="N11" i="1" a="1"/>
  <c r="N11" i="1"/>
  <c r="N12" i="1" a="1"/>
  <c r="N12" i="1"/>
  <c r="N13" i="1" a="1"/>
  <c r="N13" i="1"/>
  <c r="N14" i="1" a="1"/>
  <c r="N14" i="1"/>
  <c r="N15" i="1" a="1"/>
  <c r="N15" i="1"/>
  <c r="N16" i="1" a="1"/>
  <c r="N16" i="1"/>
  <c r="N17" i="1" a="1"/>
  <c r="N17" i="1"/>
  <c r="N18" i="1" a="1"/>
  <c r="N18" i="1"/>
  <c r="N19" i="1" a="1"/>
  <c r="N19" i="1"/>
  <c r="N20" i="1" a="1"/>
  <c r="N20" i="1"/>
  <c r="N21" i="1" a="1"/>
  <c r="N21" i="1"/>
  <c r="N22" i="1" a="1"/>
  <c r="N22" i="1"/>
  <c r="N23" i="1" a="1"/>
  <c r="N23" i="1"/>
  <c r="N24" i="1" a="1"/>
  <c r="N24" i="1"/>
  <c r="N25" i="1" a="1"/>
  <c r="N25" i="1"/>
  <c r="N26" i="1" a="1"/>
  <c r="N26" i="1"/>
  <c r="N27" i="1" a="1"/>
  <c r="N27" i="1"/>
  <c r="N28" i="1" a="1"/>
  <c r="N28" i="1"/>
  <c r="N29" i="1" a="1"/>
  <c r="N29" i="1"/>
  <c r="N30" i="1" a="1"/>
  <c r="N30" i="1"/>
  <c r="N31" i="1" a="1"/>
  <c r="N31" i="1"/>
  <c r="N32" i="1" a="1"/>
  <c r="N32" i="1"/>
  <c r="N33" i="1" a="1"/>
  <c r="N33" i="1"/>
  <c r="N34" i="1" a="1"/>
  <c r="N34" i="1"/>
  <c r="N35" i="1" a="1"/>
  <c r="N35" i="1"/>
  <c r="N36" i="1" a="1"/>
  <c r="N36" i="1"/>
  <c r="N37" i="1" a="1"/>
  <c r="N37" i="1"/>
  <c r="N38" i="1" a="1"/>
  <c r="N38" i="1"/>
  <c r="N39" i="1" a="1"/>
  <c r="N39" i="1"/>
  <c r="N40" i="1" a="1"/>
  <c r="N40" i="1"/>
  <c r="N41" i="1" a="1"/>
  <c r="N41" i="1"/>
  <c r="N42" i="1" a="1"/>
  <c r="N42" i="1"/>
  <c r="N43" i="1" a="1"/>
  <c r="N43" i="1"/>
  <c r="N44" i="1" a="1"/>
  <c r="N44" i="1"/>
  <c r="N45" i="1" a="1"/>
  <c r="N45" i="1"/>
  <c r="N46" i="1" a="1"/>
  <c r="N46" i="1"/>
  <c r="N47" i="1" a="1"/>
  <c r="N47" i="1"/>
  <c r="N48" i="1" a="1"/>
  <c r="N48" i="1"/>
  <c r="N49" i="1" a="1"/>
  <c r="N49" i="1"/>
  <c r="N50" i="1" a="1"/>
  <c r="N50" i="1"/>
  <c r="N51" i="1" a="1"/>
  <c r="N51" i="1"/>
  <c r="N52" i="1" a="1"/>
  <c r="N52" i="1"/>
  <c r="N53" i="1" a="1"/>
  <c r="N53" i="1"/>
  <c r="N54" i="1" a="1"/>
  <c r="N54" i="1"/>
  <c r="N55" i="1" a="1"/>
  <c r="N55" i="1"/>
  <c r="N56" i="1" a="1"/>
  <c r="N56" i="1"/>
  <c r="N57" i="1" a="1"/>
  <c r="N57" i="1"/>
  <c r="N58" i="1" a="1"/>
  <c r="N58" i="1"/>
  <c r="N59" i="1" a="1"/>
  <c r="N59" i="1"/>
  <c r="N60" i="1" a="1"/>
  <c r="N60" i="1"/>
  <c r="N61" i="1" a="1"/>
  <c r="N61" i="1"/>
  <c r="N62" i="1" a="1"/>
  <c r="N62" i="1"/>
  <c r="N63" i="1" a="1"/>
  <c r="N63" i="1"/>
  <c r="N64" i="1" a="1"/>
  <c r="N64" i="1"/>
  <c r="N65" i="1" a="1"/>
  <c r="N65" i="1"/>
  <c r="N66" i="1" a="1"/>
  <c r="N66" i="1"/>
  <c r="N67" i="1" a="1"/>
  <c r="N67" i="1"/>
  <c r="N68" i="1" a="1"/>
  <c r="N68" i="1"/>
  <c r="N69" i="1" a="1"/>
  <c r="N69" i="1"/>
  <c r="N70" i="1" a="1"/>
  <c r="N70" i="1"/>
  <c r="N71" i="1" a="1"/>
  <c r="N71" i="1"/>
  <c r="N72" i="1" a="1"/>
  <c r="N72" i="1"/>
  <c r="N73" i="1" a="1"/>
  <c r="N73" i="1"/>
  <c r="N74" i="1" a="1"/>
  <c r="N74" i="1"/>
  <c r="N75" i="1" a="1"/>
  <c r="N75" i="1"/>
  <c r="N76" i="1" a="1"/>
  <c r="N76" i="1"/>
  <c r="N77" i="1" a="1"/>
  <c r="N77" i="1"/>
  <c r="N78" i="1" a="1"/>
  <c r="N78" i="1"/>
  <c r="N79" i="1" a="1"/>
  <c r="N79" i="1"/>
  <c r="N80" i="1" a="1"/>
  <c r="N80" i="1"/>
  <c r="N81" i="1" a="1"/>
  <c r="N81" i="1"/>
  <c r="N82" i="1" a="1"/>
  <c r="N82" i="1"/>
  <c r="N83" i="1" a="1"/>
  <c r="N83" i="1"/>
  <c r="N84" i="1" a="1"/>
  <c r="N84" i="1"/>
  <c r="N85" i="1" a="1"/>
  <c r="N85" i="1"/>
  <c r="N86" i="1" a="1"/>
  <c r="N86" i="1"/>
  <c r="N87" i="1" a="1"/>
  <c r="N87" i="1"/>
  <c r="N88" i="1" a="1"/>
  <c r="N88" i="1"/>
  <c r="N89" i="1" a="1"/>
  <c r="N89" i="1"/>
  <c r="N90" i="1" a="1"/>
  <c r="N90" i="1"/>
  <c r="N91" i="1" a="1"/>
  <c r="N91" i="1"/>
  <c r="N92" i="1" a="1"/>
  <c r="N92" i="1"/>
  <c r="N93" i="1" a="1"/>
  <c r="N93" i="1"/>
  <c r="N94" i="1" a="1"/>
  <c r="N94" i="1"/>
  <c r="N95" i="1" a="1"/>
  <c r="N95" i="1"/>
  <c r="N96" i="1" a="1"/>
  <c r="N96" i="1"/>
  <c r="N97" i="1" a="1"/>
  <c r="N97" i="1"/>
  <c r="N98" i="1" a="1"/>
  <c r="N98" i="1"/>
  <c r="N99" i="1" a="1"/>
  <c r="N99" i="1"/>
  <c r="N100" i="1" a="1"/>
  <c r="N100" i="1"/>
  <c r="N101" i="1" a="1"/>
  <c r="N101" i="1"/>
  <c r="N102" i="1" a="1"/>
  <c r="N102" i="1"/>
  <c r="N103" i="1" a="1"/>
  <c r="N103" i="1"/>
  <c r="N104" i="1" a="1"/>
  <c r="N104" i="1"/>
  <c r="N105" i="1" a="1"/>
  <c r="N105" i="1"/>
  <c r="N106" i="1" a="1"/>
  <c r="N106" i="1"/>
  <c r="N107" i="1" a="1"/>
  <c r="N107" i="1"/>
  <c r="N108" i="1" a="1"/>
  <c r="N108" i="1"/>
  <c r="N109" i="1" a="1"/>
  <c r="N109" i="1"/>
  <c r="N110" i="1" a="1"/>
  <c r="N110" i="1"/>
  <c r="N111" i="1" a="1"/>
  <c r="N111" i="1"/>
  <c r="N112" i="1" a="1"/>
  <c r="N112" i="1"/>
  <c r="N113" i="1" a="1"/>
  <c r="N113" i="1"/>
  <c r="N114" i="1" a="1"/>
  <c r="N114" i="1"/>
  <c r="N115" i="1" a="1"/>
  <c r="N115" i="1"/>
  <c r="N116" i="1" a="1"/>
  <c r="N116" i="1"/>
  <c r="N117" i="1" a="1"/>
  <c r="N117" i="1"/>
  <c r="N118" i="1" a="1"/>
  <c r="N118" i="1"/>
  <c r="N119" i="1" a="1"/>
  <c r="N119" i="1"/>
  <c r="N120" i="1" a="1"/>
  <c r="N120" i="1"/>
  <c r="N121" i="1" a="1"/>
  <c r="N121" i="1"/>
  <c r="N122" i="1" a="1"/>
  <c r="N122" i="1"/>
  <c r="N123" i="1" a="1"/>
  <c r="N123" i="1"/>
  <c r="N124" i="1" a="1"/>
  <c r="N124" i="1"/>
  <c r="N125" i="1" a="1"/>
  <c r="N125" i="1"/>
  <c r="N126" i="1" a="1"/>
  <c r="N126" i="1"/>
  <c r="N127" i="1" a="1"/>
  <c r="N127" i="1"/>
  <c r="N128" i="1" a="1"/>
  <c r="N128" i="1"/>
  <c r="N129" i="1" a="1"/>
  <c r="N129" i="1"/>
  <c r="N130" i="1" a="1"/>
  <c r="N130" i="1"/>
  <c r="N131" i="1" a="1"/>
  <c r="N131" i="1"/>
  <c r="N132" i="1" a="1"/>
  <c r="N132" i="1"/>
  <c r="N133" i="1" a="1"/>
  <c r="N133" i="1"/>
  <c r="N134" i="1" a="1"/>
  <c r="N134" i="1"/>
  <c r="N135" i="1" a="1"/>
  <c r="N135" i="1"/>
  <c r="N136" i="1" a="1"/>
  <c r="N136" i="1"/>
  <c r="N137" i="1" a="1"/>
  <c r="N137" i="1"/>
  <c r="N138" i="1" a="1"/>
  <c r="N138" i="1"/>
  <c r="N139" i="1" a="1"/>
  <c r="N139" i="1"/>
  <c r="N140" i="1" a="1"/>
  <c r="N140" i="1"/>
  <c r="N141" i="1" a="1"/>
  <c r="N141" i="1"/>
  <c r="N142" i="1" a="1"/>
  <c r="N142" i="1"/>
  <c r="N143" i="1" a="1"/>
  <c r="N143" i="1"/>
  <c r="N144" i="1" a="1"/>
  <c r="N144" i="1"/>
  <c r="N145" i="1" a="1"/>
  <c r="N145" i="1"/>
  <c r="N146" i="1" a="1"/>
  <c r="N146" i="1"/>
  <c r="N147" i="1" a="1"/>
  <c r="N147" i="1"/>
  <c r="N148" i="1" a="1"/>
  <c r="N148" i="1"/>
  <c r="N149" i="1" a="1"/>
  <c r="N149" i="1"/>
  <c r="N150" i="1" a="1"/>
  <c r="N150" i="1"/>
  <c r="N151" i="1" a="1"/>
  <c r="N151" i="1"/>
  <c r="N152" i="1" a="1"/>
  <c r="N152" i="1"/>
  <c r="N153" i="1" a="1"/>
  <c r="N153" i="1"/>
  <c r="N154" i="1" a="1"/>
  <c r="N154" i="1"/>
  <c r="N155" i="1" a="1"/>
  <c r="N155" i="1"/>
  <c r="N156" i="1" a="1"/>
  <c r="N156" i="1"/>
  <c r="N157" i="1" a="1"/>
  <c r="N157" i="1"/>
  <c r="N158" i="1" a="1"/>
  <c r="N158" i="1"/>
  <c r="N159" i="1" a="1"/>
  <c r="N159" i="1"/>
  <c r="N160" i="1" a="1"/>
  <c r="N160" i="1"/>
  <c r="N161" i="1" a="1"/>
  <c r="N161" i="1"/>
  <c r="N162" i="1" a="1"/>
  <c r="N162" i="1"/>
  <c r="N163" i="1" a="1"/>
  <c r="N163" i="1"/>
  <c r="N164" i="1" a="1"/>
  <c r="N164" i="1"/>
  <c r="N165" i="1" a="1"/>
  <c r="N165" i="1"/>
  <c r="N166" i="1" a="1"/>
  <c r="N166" i="1"/>
  <c r="N167" i="1" a="1"/>
  <c r="N167" i="1"/>
  <c r="N168" i="1" a="1"/>
  <c r="N168" i="1"/>
  <c r="N169" i="1" a="1"/>
  <c r="N169" i="1"/>
  <c r="N170" i="1" a="1"/>
  <c r="N170" i="1"/>
  <c r="N171" i="1" a="1"/>
  <c r="N171" i="1"/>
  <c r="N172" i="1" a="1"/>
  <c r="N172" i="1"/>
  <c r="N173" i="1" a="1"/>
  <c r="N173" i="1"/>
  <c r="N174" i="1" a="1"/>
  <c r="N174" i="1"/>
  <c r="N175" i="1" a="1"/>
  <c r="N175" i="1"/>
  <c r="N176" i="1" a="1"/>
  <c r="N176" i="1"/>
  <c r="N177" i="1" a="1"/>
  <c r="N177" i="1"/>
  <c r="N178" i="1" a="1"/>
  <c r="N178" i="1"/>
  <c r="N179" i="1" a="1"/>
  <c r="N179" i="1"/>
  <c r="N180" i="1" a="1"/>
  <c r="N180" i="1"/>
  <c r="N181" i="1" a="1"/>
  <c r="N181" i="1"/>
  <c r="N182" i="1" a="1"/>
  <c r="N182" i="1"/>
  <c r="N183" i="1" a="1"/>
  <c r="N183" i="1"/>
  <c r="N184" i="1" a="1"/>
  <c r="N184" i="1"/>
  <c r="N185" i="1" a="1"/>
  <c r="N185" i="1"/>
  <c r="N186" i="1" a="1"/>
  <c r="N186" i="1"/>
  <c r="N187" i="1" a="1"/>
  <c r="N187" i="1"/>
  <c r="N188" i="1" a="1"/>
  <c r="N188" i="1"/>
  <c r="N189" i="1" a="1"/>
  <c r="N189" i="1"/>
  <c r="N190" i="1" a="1"/>
  <c r="N190" i="1"/>
  <c r="N191" i="1" a="1"/>
  <c r="N191" i="1"/>
  <c r="N192" i="1" a="1"/>
  <c r="N192" i="1"/>
  <c r="N193" i="1" a="1"/>
  <c r="N193" i="1"/>
  <c r="N194" i="1" a="1"/>
  <c r="N194" i="1"/>
  <c r="N195" i="1" a="1"/>
  <c r="N195" i="1"/>
  <c r="N196" i="1" a="1"/>
  <c r="N196" i="1"/>
  <c r="N197" i="1" a="1"/>
  <c r="N197" i="1"/>
  <c r="N198" i="1" a="1"/>
  <c r="N198" i="1"/>
  <c r="N199" i="1" a="1"/>
  <c r="N199" i="1"/>
  <c r="N200" i="1" a="1"/>
  <c r="N200" i="1"/>
  <c r="N201" i="1" a="1"/>
  <c r="N201" i="1"/>
  <c r="N202" i="1" a="1"/>
  <c r="N202" i="1"/>
  <c r="N203" i="1" a="1"/>
  <c r="N203" i="1"/>
  <c r="N204" i="1" a="1"/>
  <c r="N204" i="1"/>
  <c r="N205" i="1" a="1"/>
  <c r="N205" i="1"/>
  <c r="N206" i="1" a="1"/>
  <c r="N206" i="1"/>
  <c r="N207" i="1" a="1"/>
  <c r="N207" i="1"/>
  <c r="N208" i="1" a="1"/>
  <c r="N208" i="1"/>
  <c r="N209" i="1" a="1"/>
  <c r="N209" i="1"/>
  <c r="N210" i="1" a="1"/>
  <c r="N210" i="1"/>
  <c r="N211" i="1" a="1"/>
  <c r="N211" i="1"/>
  <c r="N212" i="1" a="1"/>
  <c r="N212" i="1"/>
  <c r="N213" i="1" a="1"/>
  <c r="N213" i="1"/>
  <c r="N214" i="1" a="1"/>
  <c r="N214" i="1"/>
  <c r="N215" i="1" a="1"/>
  <c r="N215" i="1"/>
  <c r="N216" i="1" a="1"/>
  <c r="N216" i="1"/>
  <c r="N217" i="1" a="1"/>
  <c r="N217" i="1"/>
  <c r="N218" i="1" a="1"/>
  <c r="N218" i="1"/>
  <c r="N219" i="1" a="1"/>
  <c r="N219" i="1"/>
  <c r="N220" i="1" a="1"/>
  <c r="N220" i="1"/>
  <c r="N221" i="1" a="1"/>
  <c r="N221" i="1"/>
  <c r="N222" i="1" a="1"/>
  <c r="N222" i="1"/>
  <c r="N223" i="1" a="1"/>
  <c r="N223" i="1"/>
  <c r="N224" i="1" a="1"/>
  <c r="N224" i="1"/>
  <c r="N225" i="1" a="1"/>
  <c r="N225" i="1"/>
  <c r="N226" i="1" a="1"/>
  <c r="N226" i="1"/>
  <c r="N227" i="1" a="1"/>
  <c r="N227" i="1"/>
  <c r="N228" i="1" a="1"/>
  <c r="N228" i="1"/>
  <c r="N229" i="1" a="1"/>
  <c r="N229" i="1"/>
  <c r="N230" i="1" a="1"/>
  <c r="N230" i="1"/>
  <c r="N231" i="1" a="1"/>
  <c r="N231" i="1"/>
  <c r="N232" i="1" a="1"/>
  <c r="N232" i="1"/>
  <c r="N233" i="1" a="1"/>
  <c r="N233" i="1"/>
  <c r="N234" i="1" a="1"/>
  <c r="N234" i="1"/>
  <c r="N235" i="1" a="1"/>
  <c r="N235" i="1"/>
  <c r="N236" i="1" a="1"/>
  <c r="N236" i="1"/>
  <c r="N237" i="1" a="1"/>
  <c r="N237" i="1"/>
  <c r="N238" i="1" a="1"/>
  <c r="N238" i="1"/>
  <c r="N239" i="1" a="1"/>
  <c r="N239" i="1"/>
  <c r="N240" i="1" a="1"/>
  <c r="N240" i="1"/>
  <c r="N241" i="1" a="1"/>
  <c r="N241" i="1"/>
  <c r="N242" i="1" a="1"/>
  <c r="N242" i="1"/>
  <c r="N243" i="1" a="1"/>
  <c r="N243" i="1"/>
  <c r="N244" i="1" a="1"/>
  <c r="N244" i="1"/>
  <c r="N245" i="1" a="1"/>
  <c r="N245" i="1"/>
  <c r="N246" i="1" a="1"/>
  <c r="N246" i="1"/>
  <c r="N247" i="1" a="1"/>
  <c r="N247" i="1"/>
  <c r="N248" i="1" a="1"/>
  <c r="N248" i="1"/>
  <c r="N249" i="1" a="1"/>
  <c r="N249" i="1"/>
  <c r="N250" i="1" a="1"/>
  <c r="N250" i="1"/>
  <c r="N251" i="1" a="1"/>
  <c r="N251" i="1"/>
  <c r="N252" i="1" a="1"/>
  <c r="N252" i="1"/>
  <c r="N253" i="1" a="1"/>
  <c r="N253" i="1"/>
  <c r="N254" i="1" a="1"/>
  <c r="N254" i="1"/>
  <c r="N255" i="1" a="1"/>
  <c r="N255" i="1"/>
  <c r="N256" i="1" a="1"/>
  <c r="N256" i="1"/>
  <c r="N257" i="1" a="1"/>
  <c r="N257" i="1"/>
  <c r="N258" i="1" a="1"/>
  <c r="N258" i="1"/>
  <c r="N6" i="1" a="1"/>
  <c r="N6" i="1"/>
  <c r="M7" i="1" a="1"/>
  <c r="M7" i="1"/>
  <c r="O7" i="1"/>
  <c r="M8" i="1" a="1"/>
  <c r="M8" i="1"/>
  <c r="O8" i="1"/>
  <c r="M9" i="1" a="1"/>
  <c r="M9" i="1"/>
  <c r="O9" i="1"/>
  <c r="M10" i="1" a="1"/>
  <c r="M10" i="1"/>
  <c r="O10" i="1"/>
  <c r="M11" i="1" a="1"/>
  <c r="M11" i="1"/>
  <c r="O11" i="1"/>
  <c r="M12" i="1" a="1"/>
  <c r="M12" i="1"/>
  <c r="O12" i="1"/>
  <c r="M13" i="1" a="1"/>
  <c r="M13" i="1"/>
  <c r="O13" i="1"/>
  <c r="M14" i="1" a="1"/>
  <c r="M14" i="1"/>
  <c r="O14" i="1"/>
  <c r="M15" i="1" a="1"/>
  <c r="M15" i="1"/>
  <c r="O15" i="1"/>
  <c r="M16" i="1" a="1"/>
  <c r="M16" i="1"/>
  <c r="O16" i="1"/>
  <c r="M17" i="1" a="1"/>
  <c r="M17" i="1"/>
  <c r="O17" i="1"/>
  <c r="M18" i="1" a="1"/>
  <c r="M18" i="1"/>
  <c r="O18" i="1"/>
  <c r="M19" i="1" a="1"/>
  <c r="M19" i="1"/>
  <c r="O19" i="1"/>
  <c r="M20" i="1" a="1"/>
  <c r="M20" i="1"/>
  <c r="O20" i="1"/>
  <c r="M21" i="1" a="1"/>
  <c r="M21" i="1"/>
  <c r="O21" i="1"/>
  <c r="M22" i="1" a="1"/>
  <c r="M22" i="1"/>
  <c r="O22" i="1"/>
  <c r="M23" i="1" a="1"/>
  <c r="M23" i="1"/>
  <c r="O23" i="1"/>
  <c r="M24" i="1" a="1"/>
  <c r="M24" i="1"/>
  <c r="O24" i="1"/>
  <c r="M25" i="1" a="1"/>
  <c r="M25" i="1"/>
  <c r="O25" i="1"/>
  <c r="M26" i="1" a="1"/>
  <c r="M26" i="1"/>
  <c r="O26" i="1"/>
  <c r="M27" i="1" a="1"/>
  <c r="M27" i="1"/>
  <c r="O27" i="1"/>
  <c r="M28" i="1" a="1"/>
  <c r="M28" i="1"/>
  <c r="O28" i="1"/>
  <c r="M29" i="1" a="1"/>
  <c r="M29" i="1"/>
  <c r="O29" i="1"/>
  <c r="M30" i="1" a="1"/>
  <c r="M30" i="1"/>
  <c r="O30" i="1"/>
  <c r="M31" i="1" a="1"/>
  <c r="M31" i="1"/>
  <c r="O31" i="1"/>
  <c r="M32" i="1" a="1"/>
  <c r="M32" i="1"/>
  <c r="O32" i="1"/>
  <c r="M33" i="1" a="1"/>
  <c r="M33" i="1"/>
  <c r="O33" i="1"/>
  <c r="M34" i="1" a="1"/>
  <c r="M34" i="1"/>
  <c r="O34" i="1"/>
  <c r="M35" i="1" a="1"/>
  <c r="M35" i="1"/>
  <c r="O35" i="1"/>
  <c r="M36" i="1" a="1"/>
  <c r="M36" i="1"/>
  <c r="O36" i="1"/>
  <c r="M37" i="1" a="1"/>
  <c r="M37" i="1"/>
  <c r="O37" i="1"/>
  <c r="M38" i="1" a="1"/>
  <c r="M38" i="1"/>
  <c r="O38" i="1"/>
  <c r="M39" i="1" a="1"/>
  <c r="M39" i="1"/>
  <c r="O39" i="1"/>
  <c r="M40" i="1" a="1"/>
  <c r="M40" i="1"/>
  <c r="O40" i="1"/>
  <c r="M41" i="1" a="1"/>
  <c r="M41" i="1"/>
  <c r="O41" i="1"/>
  <c r="M42" i="1" a="1"/>
  <c r="M42" i="1"/>
  <c r="O42" i="1"/>
  <c r="M43" i="1" a="1"/>
  <c r="M43" i="1"/>
  <c r="O43" i="1"/>
  <c r="M44" i="1" a="1"/>
  <c r="M44" i="1"/>
  <c r="O44" i="1"/>
  <c r="M45" i="1" a="1"/>
  <c r="M45" i="1"/>
  <c r="O45" i="1"/>
  <c r="M46" i="1" a="1"/>
  <c r="M46" i="1"/>
  <c r="O46" i="1"/>
  <c r="M47" i="1" a="1"/>
  <c r="M47" i="1"/>
  <c r="O47" i="1"/>
  <c r="M48" i="1" a="1"/>
  <c r="M48" i="1"/>
  <c r="O48" i="1"/>
  <c r="M49" i="1" a="1"/>
  <c r="M49" i="1"/>
  <c r="O49" i="1"/>
  <c r="M50" i="1" a="1"/>
  <c r="M50" i="1"/>
  <c r="O50" i="1"/>
  <c r="M51" i="1" a="1"/>
  <c r="M51" i="1"/>
  <c r="O51" i="1"/>
  <c r="M52" i="1" a="1"/>
  <c r="M52" i="1"/>
  <c r="O52" i="1"/>
  <c r="M53" i="1" a="1"/>
  <c r="M53" i="1"/>
  <c r="O53" i="1"/>
  <c r="M54" i="1" a="1"/>
  <c r="M54" i="1"/>
  <c r="O54" i="1"/>
  <c r="M55" i="1" a="1"/>
  <c r="M55" i="1"/>
  <c r="O55" i="1"/>
  <c r="M56" i="1" a="1"/>
  <c r="M56" i="1"/>
  <c r="O56" i="1"/>
  <c r="M57" i="1" a="1"/>
  <c r="M57" i="1"/>
  <c r="O57" i="1"/>
  <c r="M58" i="1" a="1"/>
  <c r="M58" i="1"/>
  <c r="O58" i="1"/>
  <c r="M59" i="1" a="1"/>
  <c r="M59" i="1"/>
  <c r="O59" i="1"/>
  <c r="M60" i="1" a="1"/>
  <c r="M60" i="1"/>
  <c r="O60" i="1"/>
  <c r="M61" i="1" a="1"/>
  <c r="M61" i="1"/>
  <c r="O61" i="1"/>
  <c r="M62" i="1" a="1"/>
  <c r="M62" i="1"/>
  <c r="O62" i="1"/>
  <c r="M63" i="1" a="1"/>
  <c r="M63" i="1"/>
  <c r="O63" i="1"/>
  <c r="M64" i="1" a="1"/>
  <c r="M64" i="1"/>
  <c r="O64" i="1"/>
  <c r="M65" i="1" a="1"/>
  <c r="M65" i="1"/>
  <c r="O65" i="1"/>
  <c r="M66" i="1" a="1"/>
  <c r="M66" i="1"/>
  <c r="O66" i="1"/>
  <c r="M67" i="1" a="1"/>
  <c r="M67" i="1"/>
  <c r="O67" i="1"/>
  <c r="M68" i="1" a="1"/>
  <c r="M68" i="1"/>
  <c r="O68" i="1"/>
  <c r="M69" i="1" a="1"/>
  <c r="M69" i="1"/>
  <c r="O69" i="1"/>
  <c r="M70" i="1" a="1"/>
  <c r="M70" i="1"/>
  <c r="O70" i="1"/>
  <c r="M71" i="1" a="1"/>
  <c r="M71" i="1"/>
  <c r="O71" i="1"/>
  <c r="M72" i="1" a="1"/>
  <c r="M72" i="1"/>
  <c r="O72" i="1"/>
  <c r="M73" i="1" a="1"/>
  <c r="M73" i="1"/>
  <c r="O73" i="1"/>
  <c r="M74" i="1" a="1"/>
  <c r="M74" i="1"/>
  <c r="O74" i="1"/>
  <c r="M75" i="1" a="1"/>
  <c r="M75" i="1"/>
  <c r="O75" i="1"/>
  <c r="M76" i="1" a="1"/>
  <c r="M76" i="1"/>
  <c r="O76" i="1"/>
  <c r="M77" i="1" a="1"/>
  <c r="M77" i="1"/>
  <c r="O77" i="1"/>
  <c r="M78" i="1" a="1"/>
  <c r="M78" i="1"/>
  <c r="O78" i="1"/>
  <c r="M79" i="1" a="1"/>
  <c r="M79" i="1"/>
  <c r="O79" i="1"/>
  <c r="M80" i="1" a="1"/>
  <c r="M80" i="1"/>
  <c r="O80" i="1"/>
  <c r="M81" i="1" a="1"/>
  <c r="M81" i="1"/>
  <c r="O81" i="1"/>
  <c r="M82" i="1" a="1"/>
  <c r="M82" i="1"/>
  <c r="O82" i="1"/>
  <c r="M83" i="1" a="1"/>
  <c r="M83" i="1"/>
  <c r="O83" i="1"/>
  <c r="M84" i="1" a="1"/>
  <c r="M84" i="1"/>
  <c r="O84" i="1"/>
  <c r="M85" i="1" a="1"/>
  <c r="M85" i="1"/>
  <c r="O85" i="1"/>
  <c r="M86" i="1" a="1"/>
  <c r="M86" i="1"/>
  <c r="O86" i="1"/>
  <c r="M87" i="1" a="1"/>
  <c r="M87" i="1"/>
  <c r="O87" i="1"/>
  <c r="M88" i="1" a="1"/>
  <c r="M88" i="1"/>
  <c r="O88" i="1"/>
  <c r="M89" i="1" a="1"/>
  <c r="M89" i="1"/>
  <c r="O89" i="1"/>
  <c r="M90" i="1" a="1"/>
  <c r="M90" i="1"/>
  <c r="O90" i="1"/>
  <c r="M91" i="1" a="1"/>
  <c r="M91" i="1"/>
  <c r="O91" i="1"/>
  <c r="M92" i="1" a="1"/>
  <c r="M92" i="1"/>
  <c r="O92" i="1"/>
  <c r="M93" i="1" a="1"/>
  <c r="M93" i="1"/>
  <c r="O93" i="1"/>
  <c r="M94" i="1" a="1"/>
  <c r="M94" i="1"/>
  <c r="O94" i="1"/>
  <c r="M95" i="1" a="1"/>
  <c r="M95" i="1"/>
  <c r="O95" i="1"/>
  <c r="M96" i="1" a="1"/>
  <c r="M96" i="1"/>
  <c r="O96" i="1"/>
  <c r="M97" i="1" a="1"/>
  <c r="M97" i="1"/>
  <c r="O97" i="1"/>
  <c r="M98" i="1" a="1"/>
  <c r="M98" i="1"/>
  <c r="O98" i="1"/>
  <c r="M99" i="1" a="1"/>
  <c r="M99" i="1"/>
  <c r="O99" i="1"/>
  <c r="M100" i="1" a="1"/>
  <c r="M100" i="1"/>
  <c r="O100" i="1"/>
  <c r="M101" i="1" a="1"/>
  <c r="M101" i="1"/>
  <c r="O101" i="1"/>
  <c r="M102" i="1" a="1"/>
  <c r="M102" i="1"/>
  <c r="O102" i="1"/>
  <c r="M103" i="1" a="1"/>
  <c r="M103" i="1"/>
  <c r="O103" i="1"/>
  <c r="M104" i="1" a="1"/>
  <c r="M104" i="1"/>
  <c r="O104" i="1"/>
  <c r="M105" i="1" a="1"/>
  <c r="M105" i="1"/>
  <c r="O105" i="1"/>
  <c r="M106" i="1" a="1"/>
  <c r="M106" i="1"/>
  <c r="O106" i="1"/>
  <c r="M107" i="1" a="1"/>
  <c r="M107" i="1"/>
  <c r="O107" i="1"/>
  <c r="M108" i="1" a="1"/>
  <c r="M108" i="1"/>
  <c r="O108" i="1"/>
  <c r="M109" i="1" a="1"/>
  <c r="M109" i="1"/>
  <c r="O109" i="1"/>
  <c r="M110" i="1" a="1"/>
  <c r="M110" i="1"/>
  <c r="O110" i="1"/>
  <c r="M111" i="1" a="1"/>
  <c r="M111" i="1"/>
  <c r="O111" i="1"/>
  <c r="M112" i="1" a="1"/>
  <c r="M112" i="1"/>
  <c r="O112" i="1"/>
  <c r="M113" i="1" a="1"/>
  <c r="M113" i="1"/>
  <c r="O113" i="1"/>
  <c r="M114" i="1" a="1"/>
  <c r="M114" i="1"/>
  <c r="O114" i="1"/>
  <c r="M115" i="1" a="1"/>
  <c r="M115" i="1"/>
  <c r="O115" i="1"/>
  <c r="M116" i="1" a="1"/>
  <c r="M116" i="1"/>
  <c r="O116" i="1"/>
  <c r="M117" i="1" a="1"/>
  <c r="M117" i="1"/>
  <c r="O117" i="1"/>
  <c r="M118" i="1" a="1"/>
  <c r="M118" i="1"/>
  <c r="O118" i="1"/>
  <c r="M119" i="1" a="1"/>
  <c r="M119" i="1"/>
  <c r="O119" i="1"/>
  <c r="M120" i="1" a="1"/>
  <c r="M120" i="1"/>
  <c r="O120" i="1"/>
  <c r="M121" i="1" a="1"/>
  <c r="M121" i="1"/>
  <c r="O121" i="1"/>
  <c r="M122" i="1" a="1"/>
  <c r="M122" i="1"/>
  <c r="O122" i="1"/>
  <c r="M123" i="1" a="1"/>
  <c r="M123" i="1"/>
  <c r="O123" i="1"/>
  <c r="M124" i="1" a="1"/>
  <c r="M124" i="1"/>
  <c r="O124" i="1"/>
  <c r="M125" i="1" a="1"/>
  <c r="M125" i="1"/>
  <c r="O125" i="1"/>
  <c r="M126" i="1" a="1"/>
  <c r="M126" i="1"/>
  <c r="O126" i="1"/>
  <c r="M127" i="1" a="1"/>
  <c r="M127" i="1"/>
  <c r="O127" i="1"/>
  <c r="M128" i="1" a="1"/>
  <c r="M128" i="1"/>
  <c r="O128" i="1"/>
  <c r="M129" i="1" a="1"/>
  <c r="M129" i="1"/>
  <c r="O129" i="1"/>
  <c r="M130" i="1" a="1"/>
  <c r="M130" i="1"/>
  <c r="O130" i="1"/>
  <c r="M131" i="1" a="1"/>
  <c r="M131" i="1"/>
  <c r="O131" i="1"/>
  <c r="M132" i="1" a="1"/>
  <c r="M132" i="1"/>
  <c r="O132" i="1"/>
  <c r="M133" i="1" a="1"/>
  <c r="M133" i="1"/>
  <c r="O133" i="1"/>
  <c r="M134" i="1" a="1"/>
  <c r="M134" i="1"/>
  <c r="O134" i="1"/>
  <c r="M135" i="1" a="1"/>
  <c r="M135" i="1"/>
  <c r="O135" i="1"/>
  <c r="M136" i="1" a="1"/>
  <c r="M136" i="1"/>
  <c r="O136" i="1"/>
  <c r="M137" i="1" a="1"/>
  <c r="M137" i="1"/>
  <c r="O137" i="1"/>
  <c r="M138" i="1" a="1"/>
  <c r="M138" i="1"/>
  <c r="O138" i="1"/>
  <c r="M139" i="1" a="1"/>
  <c r="M139" i="1"/>
  <c r="O139" i="1"/>
  <c r="M140" i="1" a="1"/>
  <c r="M140" i="1"/>
  <c r="O140" i="1"/>
  <c r="M141" i="1" a="1"/>
  <c r="M141" i="1"/>
  <c r="O141" i="1"/>
  <c r="M142" i="1" a="1"/>
  <c r="M142" i="1"/>
  <c r="O142" i="1"/>
  <c r="M143" i="1" a="1"/>
  <c r="M143" i="1"/>
  <c r="O143" i="1"/>
  <c r="M144" i="1" a="1"/>
  <c r="M144" i="1"/>
  <c r="O144" i="1"/>
  <c r="M145" i="1" a="1"/>
  <c r="M145" i="1"/>
  <c r="O145" i="1"/>
  <c r="M146" i="1" a="1"/>
  <c r="M146" i="1"/>
  <c r="O146" i="1"/>
  <c r="M147" i="1" a="1"/>
  <c r="M147" i="1"/>
  <c r="O147" i="1"/>
  <c r="M148" i="1" a="1"/>
  <c r="M148" i="1"/>
  <c r="O148" i="1"/>
  <c r="M149" i="1" a="1"/>
  <c r="M149" i="1"/>
  <c r="O149" i="1"/>
  <c r="M150" i="1" a="1"/>
  <c r="M150" i="1"/>
  <c r="O150" i="1"/>
  <c r="M151" i="1" a="1"/>
  <c r="M151" i="1"/>
  <c r="O151" i="1"/>
  <c r="M152" i="1" a="1"/>
  <c r="M152" i="1"/>
  <c r="O152" i="1"/>
  <c r="M153" i="1" a="1"/>
  <c r="M153" i="1"/>
  <c r="O153" i="1"/>
  <c r="M154" i="1" a="1"/>
  <c r="M154" i="1"/>
  <c r="O154" i="1"/>
  <c r="M155" i="1" a="1"/>
  <c r="M155" i="1"/>
  <c r="O155" i="1"/>
  <c r="M156" i="1" a="1"/>
  <c r="M156" i="1"/>
  <c r="O156" i="1"/>
  <c r="M157" i="1" a="1"/>
  <c r="M157" i="1"/>
  <c r="O157" i="1"/>
  <c r="M158" i="1" a="1"/>
  <c r="M158" i="1"/>
  <c r="O158" i="1"/>
  <c r="M159" i="1" a="1"/>
  <c r="M159" i="1"/>
  <c r="O159" i="1"/>
  <c r="M160" i="1" a="1"/>
  <c r="M160" i="1"/>
  <c r="O160" i="1"/>
  <c r="M161" i="1" a="1"/>
  <c r="M161" i="1"/>
  <c r="O161" i="1"/>
  <c r="M162" i="1" a="1"/>
  <c r="M162" i="1"/>
  <c r="O162" i="1"/>
  <c r="M163" i="1" a="1"/>
  <c r="M163" i="1"/>
  <c r="O163" i="1"/>
  <c r="M164" i="1" a="1"/>
  <c r="M164" i="1"/>
  <c r="O164" i="1"/>
  <c r="M165" i="1" a="1"/>
  <c r="M165" i="1"/>
  <c r="O165" i="1"/>
  <c r="M166" i="1" a="1"/>
  <c r="M166" i="1"/>
  <c r="O166" i="1"/>
  <c r="M167" i="1" a="1"/>
  <c r="M167" i="1"/>
  <c r="O167" i="1"/>
  <c r="M168" i="1" a="1"/>
  <c r="M168" i="1"/>
  <c r="O168" i="1"/>
  <c r="M169" i="1" a="1"/>
  <c r="M169" i="1"/>
  <c r="O169" i="1"/>
  <c r="M170" i="1" a="1"/>
  <c r="M170" i="1"/>
  <c r="O170" i="1"/>
  <c r="M171" i="1" a="1"/>
  <c r="M171" i="1"/>
  <c r="O171" i="1"/>
  <c r="M172" i="1" a="1"/>
  <c r="M172" i="1"/>
  <c r="O172" i="1"/>
  <c r="M173" i="1" a="1"/>
  <c r="M173" i="1"/>
  <c r="O173" i="1"/>
  <c r="M174" i="1" a="1"/>
  <c r="M174" i="1"/>
  <c r="O174" i="1"/>
  <c r="M175" i="1" a="1"/>
  <c r="M175" i="1"/>
  <c r="O175" i="1"/>
  <c r="M176" i="1" a="1"/>
  <c r="M176" i="1"/>
  <c r="O176" i="1"/>
  <c r="M177" i="1" a="1"/>
  <c r="M177" i="1"/>
  <c r="O177" i="1"/>
  <c r="M178" i="1" a="1"/>
  <c r="M178" i="1"/>
  <c r="O178" i="1"/>
  <c r="M179" i="1" a="1"/>
  <c r="M179" i="1"/>
  <c r="O179" i="1"/>
  <c r="M180" i="1" a="1"/>
  <c r="M180" i="1"/>
  <c r="O180" i="1"/>
  <c r="M181" i="1" a="1"/>
  <c r="M181" i="1"/>
  <c r="O181" i="1"/>
  <c r="M182" i="1" a="1"/>
  <c r="M182" i="1"/>
  <c r="O182" i="1"/>
  <c r="M183" i="1" a="1"/>
  <c r="M183" i="1"/>
  <c r="O183" i="1"/>
  <c r="M184" i="1" a="1"/>
  <c r="M184" i="1"/>
  <c r="O184" i="1"/>
  <c r="M185" i="1" a="1"/>
  <c r="M185" i="1"/>
  <c r="O185" i="1"/>
  <c r="M186" i="1" a="1"/>
  <c r="M186" i="1"/>
  <c r="O186" i="1"/>
  <c r="M187" i="1" a="1"/>
  <c r="M187" i="1"/>
  <c r="O187" i="1"/>
  <c r="M188" i="1" a="1"/>
  <c r="M188" i="1"/>
  <c r="O188" i="1"/>
  <c r="M189" i="1" a="1"/>
  <c r="M189" i="1"/>
  <c r="O189" i="1"/>
  <c r="M190" i="1" a="1"/>
  <c r="M190" i="1"/>
  <c r="O190" i="1"/>
  <c r="M191" i="1" a="1"/>
  <c r="M191" i="1"/>
  <c r="O191" i="1"/>
  <c r="M192" i="1" a="1"/>
  <c r="M192" i="1"/>
  <c r="O192" i="1"/>
  <c r="M193" i="1" a="1"/>
  <c r="M193" i="1"/>
  <c r="O193" i="1"/>
  <c r="M194" i="1" a="1"/>
  <c r="M194" i="1"/>
  <c r="O194" i="1"/>
  <c r="M195" i="1" a="1"/>
  <c r="M195" i="1"/>
  <c r="O195" i="1"/>
  <c r="M196" i="1" a="1"/>
  <c r="M196" i="1"/>
  <c r="O196" i="1"/>
  <c r="M197" i="1" a="1"/>
  <c r="M197" i="1"/>
  <c r="O197" i="1"/>
  <c r="M198" i="1" a="1"/>
  <c r="M198" i="1"/>
  <c r="O198" i="1"/>
  <c r="M199" i="1" a="1"/>
  <c r="M199" i="1"/>
  <c r="O199" i="1"/>
  <c r="M200" i="1" a="1"/>
  <c r="M200" i="1"/>
  <c r="O200" i="1"/>
  <c r="M201" i="1" a="1"/>
  <c r="M201" i="1"/>
  <c r="O201" i="1"/>
  <c r="M202" i="1" a="1"/>
  <c r="M202" i="1"/>
  <c r="O202" i="1"/>
  <c r="M203" i="1" a="1"/>
  <c r="M203" i="1"/>
  <c r="O203" i="1"/>
  <c r="M204" i="1" a="1"/>
  <c r="M204" i="1"/>
  <c r="O204" i="1"/>
  <c r="M205" i="1" a="1"/>
  <c r="M205" i="1"/>
  <c r="O205" i="1"/>
  <c r="M206" i="1" a="1"/>
  <c r="M206" i="1"/>
  <c r="O206" i="1"/>
  <c r="M207" i="1" a="1"/>
  <c r="M207" i="1"/>
  <c r="O207" i="1"/>
  <c r="M208" i="1" a="1"/>
  <c r="M208" i="1"/>
  <c r="O208" i="1"/>
  <c r="M209" i="1" a="1"/>
  <c r="M209" i="1"/>
  <c r="O209" i="1"/>
  <c r="M210" i="1" a="1"/>
  <c r="M210" i="1"/>
  <c r="O210" i="1"/>
  <c r="M211" i="1" a="1"/>
  <c r="M211" i="1"/>
  <c r="O211" i="1"/>
  <c r="M212" i="1" a="1"/>
  <c r="M212" i="1"/>
  <c r="O212" i="1"/>
  <c r="M213" i="1" a="1"/>
  <c r="M213" i="1"/>
  <c r="O213" i="1"/>
  <c r="M214" i="1" a="1"/>
  <c r="M214" i="1"/>
  <c r="O214" i="1"/>
  <c r="M215" i="1" a="1"/>
  <c r="M215" i="1"/>
  <c r="O215" i="1"/>
  <c r="M216" i="1" a="1"/>
  <c r="M216" i="1"/>
  <c r="O216" i="1"/>
  <c r="M217" i="1" a="1"/>
  <c r="M217" i="1"/>
  <c r="O217" i="1"/>
  <c r="M218" i="1" a="1"/>
  <c r="M218" i="1"/>
  <c r="O218" i="1"/>
  <c r="M219" i="1" a="1"/>
  <c r="M219" i="1"/>
  <c r="O219" i="1"/>
  <c r="M220" i="1" a="1"/>
  <c r="M220" i="1"/>
  <c r="O220" i="1"/>
  <c r="M221" i="1" a="1"/>
  <c r="M221" i="1"/>
  <c r="O221" i="1"/>
  <c r="M222" i="1" a="1"/>
  <c r="M222" i="1"/>
  <c r="O222" i="1"/>
  <c r="M223" i="1" a="1"/>
  <c r="M223" i="1"/>
  <c r="O223" i="1"/>
  <c r="M224" i="1" a="1"/>
  <c r="M224" i="1"/>
  <c r="O224" i="1"/>
  <c r="M225" i="1" a="1"/>
  <c r="M225" i="1"/>
  <c r="O225" i="1"/>
  <c r="M226" i="1" a="1"/>
  <c r="M226" i="1"/>
  <c r="O226" i="1"/>
  <c r="M227" i="1" a="1"/>
  <c r="M227" i="1"/>
  <c r="O227" i="1"/>
  <c r="M228" i="1" a="1"/>
  <c r="M228" i="1"/>
  <c r="O228" i="1"/>
  <c r="M229" i="1" a="1"/>
  <c r="M229" i="1"/>
  <c r="O229" i="1"/>
  <c r="M230" i="1" a="1"/>
  <c r="M230" i="1"/>
  <c r="O230" i="1"/>
  <c r="M231" i="1" a="1"/>
  <c r="M231" i="1"/>
  <c r="O231" i="1"/>
  <c r="M232" i="1" a="1"/>
  <c r="M232" i="1"/>
  <c r="O232" i="1"/>
  <c r="M233" i="1" a="1"/>
  <c r="M233" i="1"/>
  <c r="O233" i="1"/>
  <c r="M234" i="1" a="1"/>
  <c r="M234" i="1"/>
  <c r="O234" i="1"/>
  <c r="M235" i="1" a="1"/>
  <c r="M235" i="1"/>
  <c r="O235" i="1"/>
  <c r="M236" i="1" a="1"/>
  <c r="M236" i="1"/>
  <c r="O236" i="1"/>
  <c r="M237" i="1" a="1"/>
  <c r="M237" i="1"/>
  <c r="O237" i="1"/>
  <c r="M238" i="1" a="1"/>
  <c r="M238" i="1"/>
  <c r="O238" i="1"/>
  <c r="M239" i="1" a="1"/>
  <c r="M239" i="1"/>
  <c r="O239" i="1"/>
  <c r="M240" i="1" a="1"/>
  <c r="M240" i="1"/>
  <c r="O240" i="1"/>
  <c r="M241" i="1" a="1"/>
  <c r="M241" i="1"/>
  <c r="O241" i="1"/>
  <c r="M242" i="1" a="1"/>
  <c r="M242" i="1"/>
  <c r="O242" i="1"/>
  <c r="M243" i="1" a="1"/>
  <c r="M243" i="1"/>
  <c r="O243" i="1"/>
  <c r="M244" i="1" a="1"/>
  <c r="M244" i="1"/>
  <c r="O244" i="1"/>
  <c r="M245" i="1" a="1"/>
  <c r="M245" i="1"/>
  <c r="O245" i="1"/>
  <c r="M246" i="1" a="1"/>
  <c r="M246" i="1"/>
  <c r="O246" i="1"/>
  <c r="M247" i="1" a="1"/>
  <c r="M247" i="1"/>
  <c r="O247" i="1"/>
  <c r="M248" i="1" a="1"/>
  <c r="M248" i="1"/>
  <c r="O248" i="1"/>
  <c r="M249" i="1" a="1"/>
  <c r="M249" i="1"/>
  <c r="O249" i="1"/>
  <c r="M250" i="1" a="1"/>
  <c r="M250" i="1"/>
  <c r="O250" i="1"/>
  <c r="M251" i="1" a="1"/>
  <c r="M251" i="1"/>
  <c r="O251" i="1"/>
  <c r="M252" i="1" a="1"/>
  <c r="M252" i="1"/>
  <c r="O252" i="1"/>
  <c r="M253" i="1" a="1"/>
  <c r="M253" i="1"/>
  <c r="O253" i="1"/>
  <c r="M254" i="1" a="1"/>
  <c r="M254" i="1"/>
  <c r="O254" i="1"/>
  <c r="M255" i="1" a="1"/>
  <c r="M255" i="1"/>
  <c r="O255" i="1"/>
  <c r="M256" i="1" a="1"/>
  <c r="M256" i="1"/>
  <c r="O256" i="1"/>
  <c r="M257" i="1" a="1"/>
  <c r="M257" i="1"/>
  <c r="O257" i="1"/>
  <c r="M258" i="1" a="1"/>
  <c r="M258" i="1"/>
  <c r="O258" i="1"/>
  <c r="P7" i="1" a="1"/>
  <c r="P7" i="1"/>
  <c r="P8" i="1" a="1"/>
  <c r="P8" i="1"/>
  <c r="P9" i="1" a="1"/>
  <c r="P9" i="1"/>
  <c r="P10" i="1" a="1"/>
  <c r="P10" i="1"/>
  <c r="P11" i="1" a="1"/>
  <c r="P11" i="1"/>
  <c r="P12" i="1" a="1"/>
  <c r="P12" i="1"/>
  <c r="P13" i="1" a="1"/>
  <c r="P13" i="1"/>
  <c r="P14" i="1" a="1"/>
  <c r="P14" i="1"/>
  <c r="P15" i="1" a="1"/>
  <c r="P15" i="1"/>
  <c r="P16" i="1" a="1"/>
  <c r="P16" i="1"/>
  <c r="P17" i="1" a="1"/>
  <c r="P17" i="1"/>
  <c r="P18" i="1" a="1"/>
  <c r="P18" i="1"/>
  <c r="P19" i="1" a="1"/>
  <c r="P19" i="1"/>
  <c r="P20" i="1" a="1"/>
  <c r="P20" i="1"/>
  <c r="P21" i="1" a="1"/>
  <c r="P21" i="1"/>
  <c r="P22" i="1" a="1"/>
  <c r="P22" i="1"/>
  <c r="P23" i="1" a="1"/>
  <c r="P23" i="1"/>
  <c r="P24" i="1" a="1"/>
  <c r="P24" i="1"/>
  <c r="P25" i="1" a="1"/>
  <c r="P25" i="1"/>
  <c r="P26" i="1" a="1"/>
  <c r="P26" i="1"/>
  <c r="P27" i="1" a="1"/>
  <c r="P27" i="1"/>
  <c r="P28" i="1" a="1"/>
  <c r="P28" i="1"/>
  <c r="P29" i="1" a="1"/>
  <c r="P29" i="1"/>
  <c r="P30" i="1" a="1"/>
  <c r="P30" i="1"/>
  <c r="P31" i="1" a="1"/>
  <c r="P31" i="1"/>
  <c r="P32" i="1" a="1"/>
  <c r="P32" i="1"/>
  <c r="P33" i="1" a="1"/>
  <c r="P33" i="1"/>
  <c r="P34" i="1" a="1"/>
  <c r="P34" i="1"/>
  <c r="P35" i="1" a="1"/>
  <c r="P35" i="1"/>
  <c r="P36" i="1" a="1"/>
  <c r="P36" i="1"/>
  <c r="P37" i="1" a="1"/>
  <c r="P37" i="1"/>
  <c r="P38" i="1" a="1"/>
  <c r="P38" i="1"/>
  <c r="P39" i="1" a="1"/>
  <c r="P39" i="1"/>
  <c r="P40" i="1" a="1"/>
  <c r="P40" i="1"/>
  <c r="P41" i="1" a="1"/>
  <c r="P41" i="1"/>
  <c r="P42" i="1" a="1"/>
  <c r="P42" i="1"/>
  <c r="P43" i="1" a="1"/>
  <c r="P43" i="1"/>
  <c r="P44" i="1" a="1"/>
  <c r="P44" i="1"/>
  <c r="P45" i="1" a="1"/>
  <c r="P45" i="1"/>
  <c r="P46" i="1" a="1"/>
  <c r="P46" i="1"/>
  <c r="P47" i="1" a="1"/>
  <c r="P47" i="1"/>
  <c r="P48" i="1" a="1"/>
  <c r="P48" i="1"/>
  <c r="P49" i="1" a="1"/>
  <c r="P49" i="1"/>
  <c r="P50" i="1" a="1"/>
  <c r="P50" i="1"/>
  <c r="P51" i="1" a="1"/>
  <c r="P51" i="1"/>
  <c r="P52" i="1" a="1"/>
  <c r="P52" i="1"/>
  <c r="P53" i="1" a="1"/>
  <c r="P53" i="1"/>
  <c r="P54" i="1" a="1"/>
  <c r="P54" i="1"/>
  <c r="P55" i="1" a="1"/>
  <c r="P55" i="1"/>
  <c r="P56" i="1" a="1"/>
  <c r="P56" i="1"/>
  <c r="P57" i="1" a="1"/>
  <c r="P57" i="1"/>
  <c r="P58" i="1" a="1"/>
  <c r="P58" i="1"/>
  <c r="P59" i="1" a="1"/>
  <c r="P59" i="1"/>
  <c r="P60" i="1" a="1"/>
  <c r="P60" i="1"/>
  <c r="P61" i="1" a="1"/>
  <c r="P61" i="1"/>
  <c r="P62" i="1" a="1"/>
  <c r="P62" i="1"/>
  <c r="P63" i="1" a="1"/>
  <c r="P63" i="1"/>
  <c r="P64" i="1" a="1"/>
  <c r="P64" i="1"/>
  <c r="P65" i="1" a="1"/>
  <c r="P65" i="1"/>
  <c r="P66" i="1" a="1"/>
  <c r="P66" i="1"/>
  <c r="P67" i="1" a="1"/>
  <c r="P67" i="1"/>
  <c r="P68" i="1" a="1"/>
  <c r="P68" i="1"/>
  <c r="P69" i="1" a="1"/>
  <c r="P69" i="1"/>
  <c r="P70" i="1" a="1"/>
  <c r="P70" i="1"/>
  <c r="P71" i="1" a="1"/>
  <c r="P71" i="1"/>
  <c r="P72" i="1" a="1"/>
  <c r="P72" i="1"/>
  <c r="P73" i="1" a="1"/>
  <c r="P73" i="1"/>
  <c r="P74" i="1" a="1"/>
  <c r="P74" i="1"/>
  <c r="P75" i="1" a="1"/>
  <c r="P75" i="1"/>
  <c r="P76" i="1" a="1"/>
  <c r="P76" i="1"/>
  <c r="P77" i="1" a="1"/>
  <c r="P77" i="1"/>
  <c r="P78" i="1" a="1"/>
  <c r="P78" i="1"/>
  <c r="P79" i="1" a="1"/>
  <c r="P79" i="1"/>
  <c r="P80" i="1" a="1"/>
  <c r="P80" i="1"/>
  <c r="P81" i="1" a="1"/>
  <c r="P81" i="1"/>
  <c r="P82" i="1" a="1"/>
  <c r="P82" i="1"/>
  <c r="P83" i="1" a="1"/>
  <c r="P83" i="1"/>
  <c r="P84" i="1" a="1"/>
  <c r="P84" i="1"/>
  <c r="P85" i="1" a="1"/>
  <c r="P85" i="1"/>
  <c r="P86" i="1" a="1"/>
  <c r="P86" i="1"/>
  <c r="P87" i="1" a="1"/>
  <c r="P87" i="1"/>
  <c r="P88" i="1" a="1"/>
  <c r="P88" i="1"/>
  <c r="P89" i="1" a="1"/>
  <c r="P89" i="1"/>
  <c r="P90" i="1" a="1"/>
  <c r="P90" i="1"/>
  <c r="P91" i="1" a="1"/>
  <c r="P91" i="1"/>
  <c r="P92" i="1" a="1"/>
  <c r="P92" i="1"/>
  <c r="P93" i="1" a="1"/>
  <c r="P93" i="1"/>
  <c r="P94" i="1" a="1"/>
  <c r="P94" i="1"/>
  <c r="P95" i="1" a="1"/>
  <c r="P95" i="1"/>
  <c r="P96" i="1" a="1"/>
  <c r="P96" i="1"/>
  <c r="P97" i="1" a="1"/>
  <c r="P97" i="1"/>
  <c r="P98" i="1" a="1"/>
  <c r="P98" i="1"/>
  <c r="P99" i="1" a="1"/>
  <c r="P99" i="1"/>
  <c r="P100" i="1" a="1"/>
  <c r="P100" i="1"/>
  <c r="P101" i="1" a="1"/>
  <c r="P101" i="1"/>
  <c r="P102" i="1" a="1"/>
  <c r="P102" i="1"/>
  <c r="P103" i="1" a="1"/>
  <c r="P103" i="1"/>
  <c r="P104" i="1" a="1"/>
  <c r="P104" i="1"/>
  <c r="P105" i="1" a="1"/>
  <c r="P105" i="1"/>
  <c r="P106" i="1" a="1"/>
  <c r="P106" i="1"/>
  <c r="P107" i="1" a="1"/>
  <c r="P107" i="1"/>
  <c r="P108" i="1" a="1"/>
  <c r="P108" i="1"/>
  <c r="P109" i="1" a="1"/>
  <c r="P109" i="1"/>
  <c r="P110" i="1" a="1"/>
  <c r="P110" i="1"/>
  <c r="P111" i="1" a="1"/>
  <c r="P111" i="1"/>
  <c r="P112" i="1" a="1"/>
  <c r="P112" i="1"/>
  <c r="P113" i="1" a="1"/>
  <c r="P113" i="1"/>
  <c r="P114" i="1" a="1"/>
  <c r="P114" i="1"/>
  <c r="P115" i="1" a="1"/>
  <c r="P115" i="1"/>
  <c r="P116" i="1" a="1"/>
  <c r="P116" i="1"/>
  <c r="P117" i="1" a="1"/>
  <c r="P117" i="1"/>
  <c r="P118" i="1" a="1"/>
  <c r="P118" i="1"/>
  <c r="P119" i="1" a="1"/>
  <c r="P119" i="1"/>
  <c r="P120" i="1" a="1"/>
  <c r="P120" i="1"/>
  <c r="P121" i="1" a="1"/>
  <c r="P121" i="1"/>
  <c r="P122" i="1" a="1"/>
  <c r="P122" i="1"/>
  <c r="P123" i="1" a="1"/>
  <c r="P123" i="1"/>
  <c r="P124" i="1" a="1"/>
  <c r="P124" i="1"/>
  <c r="P125" i="1" a="1"/>
  <c r="P125" i="1"/>
  <c r="P126" i="1" a="1"/>
  <c r="P126" i="1"/>
  <c r="P127" i="1" a="1"/>
  <c r="P127" i="1"/>
  <c r="P128" i="1" a="1"/>
  <c r="P128" i="1"/>
  <c r="P129" i="1" a="1"/>
  <c r="P129" i="1"/>
  <c r="P130" i="1" a="1"/>
  <c r="P130" i="1"/>
  <c r="P131" i="1" a="1"/>
  <c r="P131" i="1"/>
  <c r="P132" i="1" a="1"/>
  <c r="P132" i="1"/>
  <c r="P133" i="1" a="1"/>
  <c r="P133" i="1"/>
  <c r="P134" i="1" a="1"/>
  <c r="P134" i="1"/>
  <c r="P135" i="1" a="1"/>
  <c r="P135" i="1"/>
  <c r="P136" i="1" a="1"/>
  <c r="P136" i="1"/>
  <c r="P137" i="1" a="1"/>
  <c r="P137" i="1"/>
  <c r="P138" i="1" a="1"/>
  <c r="P138" i="1"/>
  <c r="P139" i="1" a="1"/>
  <c r="P139" i="1"/>
  <c r="P140" i="1" a="1"/>
  <c r="P140" i="1"/>
  <c r="P141" i="1" a="1"/>
  <c r="P141" i="1"/>
  <c r="P142" i="1" a="1"/>
  <c r="P142" i="1"/>
  <c r="P143" i="1" a="1"/>
  <c r="P143" i="1"/>
  <c r="P144" i="1" a="1"/>
  <c r="P144" i="1"/>
  <c r="P145" i="1" a="1"/>
  <c r="P145" i="1"/>
  <c r="P146" i="1" a="1"/>
  <c r="P146" i="1"/>
  <c r="P147" i="1" a="1"/>
  <c r="P147" i="1"/>
  <c r="P148" i="1" a="1"/>
  <c r="P148" i="1"/>
  <c r="P149" i="1" a="1"/>
  <c r="P149" i="1"/>
  <c r="P150" i="1" a="1"/>
  <c r="P150" i="1"/>
  <c r="P151" i="1" a="1"/>
  <c r="P151" i="1"/>
  <c r="P152" i="1" a="1"/>
  <c r="P152" i="1"/>
  <c r="P153" i="1" a="1"/>
  <c r="P153" i="1"/>
  <c r="P154" i="1" a="1"/>
  <c r="P154" i="1"/>
  <c r="P155" i="1" a="1"/>
  <c r="P155" i="1"/>
  <c r="P156" i="1" a="1"/>
  <c r="P156" i="1"/>
  <c r="P157" i="1" a="1"/>
  <c r="P157" i="1"/>
  <c r="P158" i="1" a="1"/>
  <c r="P158" i="1"/>
  <c r="P159" i="1" a="1"/>
  <c r="P159" i="1"/>
  <c r="P160" i="1" a="1"/>
  <c r="P160" i="1"/>
  <c r="P161" i="1" a="1"/>
  <c r="P161" i="1"/>
  <c r="P162" i="1" a="1"/>
  <c r="P162" i="1"/>
  <c r="P163" i="1" a="1"/>
  <c r="P163" i="1"/>
  <c r="P164" i="1" a="1"/>
  <c r="P164" i="1"/>
  <c r="P165" i="1" a="1"/>
  <c r="P165" i="1"/>
  <c r="P166" i="1" a="1"/>
  <c r="P166" i="1"/>
  <c r="P167" i="1" a="1"/>
  <c r="P167" i="1"/>
  <c r="P168" i="1" a="1"/>
  <c r="P168" i="1"/>
  <c r="P169" i="1" a="1"/>
  <c r="P169" i="1"/>
  <c r="P170" i="1" a="1"/>
  <c r="P170" i="1"/>
  <c r="P171" i="1" a="1"/>
  <c r="P171" i="1"/>
  <c r="P172" i="1" a="1"/>
  <c r="P172" i="1"/>
  <c r="P173" i="1" a="1"/>
  <c r="P173" i="1"/>
  <c r="P174" i="1" a="1"/>
  <c r="P174" i="1"/>
  <c r="P175" i="1" a="1"/>
  <c r="P175" i="1"/>
  <c r="P176" i="1" a="1"/>
  <c r="P176" i="1"/>
  <c r="P177" i="1" a="1"/>
  <c r="P177" i="1"/>
  <c r="P178" i="1" a="1"/>
  <c r="P178" i="1"/>
  <c r="P179" i="1" a="1"/>
  <c r="P179" i="1"/>
  <c r="P180" i="1" a="1"/>
  <c r="P180" i="1"/>
  <c r="P181" i="1" a="1"/>
  <c r="P181" i="1"/>
  <c r="P182" i="1" a="1"/>
  <c r="P182" i="1"/>
  <c r="P183" i="1" a="1"/>
  <c r="P183" i="1"/>
  <c r="P184" i="1" a="1"/>
  <c r="P184" i="1"/>
  <c r="P185" i="1" a="1"/>
  <c r="P185" i="1"/>
  <c r="P186" i="1" a="1"/>
  <c r="P186" i="1"/>
  <c r="P187" i="1" a="1"/>
  <c r="P187" i="1"/>
  <c r="P188" i="1" a="1"/>
  <c r="P188" i="1"/>
  <c r="P189" i="1" a="1"/>
  <c r="P189" i="1"/>
  <c r="P190" i="1" a="1"/>
  <c r="P190" i="1"/>
  <c r="P191" i="1" a="1"/>
  <c r="P191" i="1"/>
  <c r="P192" i="1" a="1"/>
  <c r="P192" i="1"/>
  <c r="P193" i="1" a="1"/>
  <c r="P193" i="1"/>
  <c r="P194" i="1" a="1"/>
  <c r="P194" i="1"/>
  <c r="P195" i="1" a="1"/>
  <c r="P195" i="1"/>
  <c r="P196" i="1" a="1"/>
  <c r="P196" i="1"/>
  <c r="P197" i="1" a="1"/>
  <c r="P197" i="1"/>
  <c r="P198" i="1" a="1"/>
  <c r="P198" i="1"/>
  <c r="P199" i="1" a="1"/>
  <c r="P199" i="1"/>
  <c r="P200" i="1" a="1"/>
  <c r="P200" i="1"/>
  <c r="P201" i="1" a="1"/>
  <c r="P201" i="1"/>
  <c r="P202" i="1" a="1"/>
  <c r="P202" i="1"/>
  <c r="P203" i="1" a="1"/>
  <c r="P203" i="1"/>
  <c r="P204" i="1" a="1"/>
  <c r="P204" i="1"/>
  <c r="P205" i="1" a="1"/>
  <c r="P205" i="1"/>
  <c r="P206" i="1" a="1"/>
  <c r="P206" i="1"/>
  <c r="P207" i="1" a="1"/>
  <c r="P207" i="1"/>
  <c r="P208" i="1" a="1"/>
  <c r="P208" i="1"/>
  <c r="P209" i="1" a="1"/>
  <c r="P209" i="1"/>
  <c r="P210" i="1" a="1"/>
  <c r="P210" i="1"/>
  <c r="P211" i="1" a="1"/>
  <c r="P211" i="1"/>
  <c r="P212" i="1" a="1"/>
  <c r="P212" i="1"/>
  <c r="P213" i="1" a="1"/>
  <c r="P213" i="1"/>
  <c r="P214" i="1" a="1"/>
  <c r="P214" i="1"/>
  <c r="P215" i="1" a="1"/>
  <c r="P215" i="1"/>
  <c r="P216" i="1" a="1"/>
  <c r="P216" i="1"/>
  <c r="P217" i="1" a="1"/>
  <c r="P217" i="1"/>
  <c r="P218" i="1" a="1"/>
  <c r="P218" i="1"/>
  <c r="P219" i="1" a="1"/>
  <c r="P219" i="1"/>
  <c r="P220" i="1" a="1"/>
  <c r="P220" i="1"/>
  <c r="P221" i="1" a="1"/>
  <c r="P221" i="1"/>
  <c r="P222" i="1" a="1"/>
  <c r="P222" i="1"/>
  <c r="P223" i="1" a="1"/>
  <c r="P223" i="1"/>
  <c r="P224" i="1" a="1"/>
  <c r="P224" i="1"/>
  <c r="P225" i="1" a="1"/>
  <c r="P225" i="1"/>
  <c r="P226" i="1" a="1"/>
  <c r="P226" i="1"/>
  <c r="P227" i="1" a="1"/>
  <c r="P227" i="1"/>
  <c r="P228" i="1" a="1"/>
  <c r="P228" i="1"/>
  <c r="P229" i="1" a="1"/>
  <c r="P229" i="1"/>
  <c r="P230" i="1" a="1"/>
  <c r="P230" i="1"/>
  <c r="P231" i="1" a="1"/>
  <c r="P231" i="1"/>
  <c r="P232" i="1" a="1"/>
  <c r="P232" i="1"/>
  <c r="P233" i="1" a="1"/>
  <c r="P233" i="1"/>
  <c r="P234" i="1" a="1"/>
  <c r="P234" i="1"/>
  <c r="P235" i="1" a="1"/>
  <c r="P235" i="1"/>
  <c r="P236" i="1" a="1"/>
  <c r="P236" i="1"/>
  <c r="P237" i="1" a="1"/>
  <c r="P237" i="1"/>
  <c r="P238" i="1" a="1"/>
  <c r="P238" i="1"/>
  <c r="P239" i="1" a="1"/>
  <c r="P239" i="1"/>
  <c r="P240" i="1" a="1"/>
  <c r="P240" i="1"/>
  <c r="P241" i="1" a="1"/>
  <c r="P241" i="1"/>
  <c r="P242" i="1" a="1"/>
  <c r="P242" i="1"/>
  <c r="P243" i="1" a="1"/>
  <c r="P243" i="1"/>
  <c r="P244" i="1" a="1"/>
  <c r="P244" i="1"/>
  <c r="P245" i="1" a="1"/>
  <c r="P245" i="1"/>
  <c r="P246" i="1" a="1"/>
  <c r="P246" i="1"/>
  <c r="P247" i="1" a="1"/>
  <c r="P247" i="1"/>
  <c r="P248" i="1" a="1"/>
  <c r="P248" i="1"/>
  <c r="P249" i="1" a="1"/>
  <c r="P249" i="1"/>
  <c r="P250" i="1" a="1"/>
  <c r="P250" i="1"/>
  <c r="P251" i="1" a="1"/>
  <c r="P251" i="1"/>
  <c r="P252" i="1" a="1"/>
  <c r="P252" i="1"/>
  <c r="P253" i="1" a="1"/>
  <c r="P253" i="1"/>
  <c r="P254" i="1" a="1"/>
  <c r="P254" i="1"/>
  <c r="P255" i="1" a="1"/>
  <c r="P255" i="1"/>
  <c r="P256" i="1" a="1"/>
  <c r="P256" i="1"/>
  <c r="P257" i="1" a="1"/>
  <c r="P257" i="1"/>
  <c r="P258" i="1" a="1"/>
  <c r="P258" i="1"/>
  <c r="M6" i="1" a="1"/>
  <c r="M6" i="1"/>
  <c r="O6" i="1"/>
  <c r="P6" i="1" a="1"/>
  <c r="P6" i="1"/>
  <c r="H4" i="1"/>
  <c r="G4" i="1"/>
  <c r="F4" i="1"/>
  <c r="E4" i="1"/>
  <c r="H3" i="24"/>
  <c r="G5" i="24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136" i="24"/>
  <c r="G137" i="24"/>
  <c r="G138" i="24"/>
  <c r="G139" i="24"/>
  <c r="G140" i="24"/>
  <c r="G141" i="24"/>
  <c r="G142" i="24"/>
  <c r="G143" i="24"/>
  <c r="G144" i="24"/>
  <c r="G145" i="24"/>
  <c r="G146" i="24"/>
  <c r="G147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7" i="24"/>
  <c r="G168" i="24"/>
  <c r="G169" i="24"/>
  <c r="G170" i="24"/>
  <c r="G171" i="24"/>
  <c r="G172" i="24"/>
  <c r="G173" i="24"/>
  <c r="G174" i="24"/>
  <c r="G175" i="24"/>
  <c r="G176" i="24"/>
  <c r="G177" i="24"/>
  <c r="G178" i="24"/>
  <c r="G179" i="24"/>
  <c r="G180" i="24"/>
  <c r="G181" i="24"/>
  <c r="G182" i="24"/>
  <c r="G183" i="24"/>
  <c r="G184" i="24"/>
  <c r="G185" i="24"/>
  <c r="G186" i="24"/>
  <c r="G187" i="24"/>
  <c r="G188" i="24"/>
  <c r="G189" i="24"/>
  <c r="G190" i="24"/>
  <c r="G191" i="24"/>
  <c r="G192" i="24"/>
  <c r="G193" i="24"/>
  <c r="G194" i="24"/>
  <c r="G195" i="24"/>
  <c r="G196" i="24"/>
  <c r="G197" i="24"/>
  <c r="G198" i="24"/>
  <c r="G199" i="24"/>
  <c r="G200" i="24"/>
  <c r="G201" i="24"/>
  <c r="G202" i="24"/>
  <c r="G203" i="24"/>
  <c r="G204" i="24"/>
  <c r="G205" i="24"/>
  <c r="G206" i="24"/>
  <c r="G207" i="24"/>
  <c r="G208" i="24"/>
  <c r="G209" i="24"/>
  <c r="G210" i="24"/>
  <c r="G211" i="24"/>
  <c r="G212" i="24"/>
  <c r="G213" i="24"/>
  <c r="G214" i="24"/>
  <c r="G215" i="24"/>
  <c r="G216" i="24"/>
  <c r="G217" i="24"/>
  <c r="G218" i="24"/>
  <c r="G219" i="24"/>
  <c r="G220" i="24"/>
  <c r="G221" i="24"/>
  <c r="G222" i="24"/>
  <c r="G223" i="24"/>
  <c r="G224" i="24"/>
  <c r="G225" i="24"/>
  <c r="G226" i="24"/>
  <c r="G227" i="24"/>
  <c r="G228" i="24"/>
  <c r="G229" i="24"/>
  <c r="G230" i="24"/>
  <c r="G231" i="24"/>
  <c r="G232" i="24"/>
  <c r="G233" i="24"/>
  <c r="G234" i="24"/>
  <c r="G235" i="24"/>
  <c r="G236" i="24"/>
  <c r="G237" i="24"/>
  <c r="G238" i="24"/>
  <c r="G239" i="24"/>
  <c r="G240" i="24"/>
  <c r="G241" i="24"/>
  <c r="G242" i="24"/>
  <c r="G243" i="24"/>
  <c r="G244" i="24"/>
  <c r="G245" i="24"/>
  <c r="G246" i="24"/>
  <c r="G247" i="24"/>
  <c r="G248" i="24"/>
  <c r="G249" i="24"/>
  <c r="G250" i="24"/>
  <c r="G251" i="24"/>
  <c r="G252" i="24"/>
  <c r="G253" i="24"/>
  <c r="G254" i="24"/>
  <c r="G255" i="24"/>
  <c r="G256" i="24"/>
  <c r="G257" i="24"/>
  <c r="G3" i="24"/>
  <c r="F3" i="24"/>
  <c r="E3" i="24"/>
  <c r="I5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2" i="24"/>
  <c r="I73" i="24"/>
  <c r="I74" i="24"/>
  <c r="I75" i="24"/>
  <c r="I76" i="24"/>
  <c r="I77" i="24"/>
  <c r="I78" i="24"/>
  <c r="I79" i="24"/>
  <c r="I80" i="24"/>
  <c r="I81" i="24"/>
  <c r="I82" i="24"/>
  <c r="I83" i="24"/>
  <c r="I84" i="24"/>
  <c r="I85" i="24"/>
  <c r="I86" i="24"/>
  <c r="I87" i="24"/>
  <c r="I88" i="24"/>
  <c r="I89" i="24"/>
  <c r="I90" i="24"/>
  <c r="I91" i="24"/>
  <c r="I92" i="24"/>
  <c r="I93" i="24"/>
  <c r="I94" i="24"/>
  <c r="I95" i="24"/>
  <c r="I96" i="24"/>
  <c r="I97" i="24"/>
  <c r="I98" i="24"/>
  <c r="I99" i="24"/>
  <c r="I100" i="24"/>
  <c r="I101" i="24"/>
  <c r="I102" i="24"/>
  <c r="I103" i="24"/>
  <c r="I104" i="24"/>
  <c r="I105" i="24"/>
  <c r="I106" i="24"/>
  <c r="I107" i="24"/>
  <c r="I108" i="24"/>
  <c r="I109" i="24"/>
  <c r="I110" i="24"/>
  <c r="I111" i="24"/>
  <c r="I112" i="24"/>
  <c r="I113" i="24"/>
  <c r="I114" i="24"/>
  <c r="I115" i="24"/>
  <c r="I116" i="24"/>
  <c r="I117" i="24"/>
  <c r="I118" i="24"/>
  <c r="I119" i="24"/>
  <c r="I120" i="24"/>
  <c r="I121" i="24"/>
  <c r="I122" i="24"/>
  <c r="I123" i="24"/>
  <c r="I124" i="24"/>
  <c r="I125" i="24"/>
  <c r="I126" i="24"/>
  <c r="I127" i="24"/>
  <c r="I128" i="24"/>
  <c r="I129" i="24"/>
  <c r="I130" i="24"/>
  <c r="I131" i="24"/>
  <c r="I132" i="24"/>
  <c r="I133" i="24"/>
  <c r="I134" i="24"/>
  <c r="I135" i="24"/>
  <c r="I136" i="24"/>
  <c r="I137" i="24"/>
  <c r="I138" i="24"/>
  <c r="I139" i="24"/>
  <c r="I140" i="24"/>
  <c r="I141" i="24"/>
  <c r="I142" i="24"/>
  <c r="I143" i="24"/>
  <c r="I144" i="24"/>
  <c r="I145" i="24"/>
  <c r="I146" i="24"/>
  <c r="I147" i="24"/>
  <c r="I148" i="24"/>
  <c r="I149" i="24"/>
  <c r="I150" i="24"/>
  <c r="I151" i="24"/>
  <c r="I152" i="24"/>
  <c r="I153" i="24"/>
  <c r="I154" i="24"/>
  <c r="I155" i="24"/>
  <c r="I156" i="24"/>
  <c r="I157" i="24"/>
  <c r="I158" i="24"/>
  <c r="I159" i="24"/>
  <c r="I160" i="24"/>
  <c r="I161" i="24"/>
  <c r="I162" i="24"/>
  <c r="I163" i="24"/>
  <c r="I164" i="24"/>
  <c r="I165" i="24"/>
  <c r="I166" i="24"/>
  <c r="I167" i="24"/>
  <c r="I168" i="24"/>
  <c r="I169" i="24"/>
  <c r="I170" i="24"/>
  <c r="I171" i="24"/>
  <c r="I172" i="24"/>
  <c r="I173" i="24"/>
  <c r="I174" i="24"/>
  <c r="I175" i="24"/>
  <c r="I176" i="24"/>
  <c r="I177" i="24"/>
  <c r="I178" i="24"/>
  <c r="I179" i="24"/>
  <c r="I180" i="24"/>
  <c r="I181" i="24"/>
  <c r="I182" i="24"/>
  <c r="I183" i="24"/>
  <c r="I184" i="24"/>
  <c r="I185" i="24"/>
  <c r="I186" i="24"/>
  <c r="I187" i="24"/>
  <c r="I188" i="24"/>
  <c r="I189" i="24"/>
  <c r="I190" i="24"/>
  <c r="I191" i="24"/>
  <c r="I192" i="24"/>
  <c r="I193" i="24"/>
  <c r="I194" i="24"/>
  <c r="I195" i="24"/>
  <c r="I196" i="24"/>
  <c r="I197" i="24"/>
  <c r="I198" i="24"/>
  <c r="I199" i="24"/>
  <c r="I200" i="24"/>
  <c r="I201" i="24"/>
  <c r="I202" i="24"/>
  <c r="I203" i="24"/>
  <c r="I204" i="24"/>
  <c r="I205" i="24"/>
  <c r="I206" i="24"/>
  <c r="I207" i="24"/>
  <c r="I208" i="24"/>
  <c r="I209" i="24"/>
  <c r="I210" i="24"/>
  <c r="I211" i="24"/>
  <c r="I212" i="24"/>
  <c r="I213" i="24"/>
  <c r="I214" i="24"/>
  <c r="I215" i="24"/>
  <c r="I216" i="24"/>
  <c r="I217" i="24"/>
  <c r="I218" i="24"/>
  <c r="I219" i="24"/>
  <c r="I220" i="24"/>
  <c r="I221" i="24"/>
  <c r="I222" i="24"/>
  <c r="I223" i="24"/>
  <c r="I224" i="24"/>
  <c r="I225" i="24"/>
  <c r="I226" i="24"/>
  <c r="I227" i="24"/>
  <c r="I228" i="24"/>
  <c r="I229" i="24"/>
  <c r="I230" i="24"/>
  <c r="I231" i="24"/>
  <c r="I232" i="24"/>
  <c r="I233" i="24"/>
  <c r="I234" i="24"/>
  <c r="I235" i="24"/>
  <c r="I236" i="24"/>
  <c r="I237" i="24"/>
  <c r="I238" i="24"/>
  <c r="I239" i="24"/>
  <c r="I240" i="24"/>
  <c r="I241" i="24"/>
  <c r="I242" i="24"/>
  <c r="I243" i="24"/>
  <c r="I244" i="24"/>
  <c r="I245" i="24"/>
  <c r="I246" i="24"/>
  <c r="I247" i="24"/>
  <c r="I248" i="24"/>
  <c r="I249" i="24"/>
  <c r="I250" i="24"/>
  <c r="I251" i="24"/>
  <c r="I252" i="24"/>
  <c r="I253" i="24"/>
  <c r="I254" i="24"/>
  <c r="I255" i="24"/>
  <c r="I256" i="24"/>
  <c r="I257" i="24"/>
  <c r="I2" i="24" a="1"/>
  <c r="I2" i="24"/>
  <c r="I1" i="24" a="1"/>
  <c r="I1" i="24"/>
  <c r="L5" i="9"/>
  <c r="L27" i="4"/>
  <c r="L6" i="9"/>
  <c r="L28" i="4"/>
  <c r="L7" i="9"/>
  <c r="L29" i="4"/>
  <c r="L8" i="9"/>
  <c r="L30" i="4"/>
  <c r="L9" i="9"/>
  <c r="L31" i="4"/>
  <c r="L10" i="9"/>
  <c r="L32" i="4"/>
  <c r="L11" i="9"/>
  <c r="L33" i="4"/>
  <c r="L12" i="9"/>
  <c r="L34" i="4"/>
  <c r="L13" i="9"/>
  <c r="L35" i="4"/>
  <c r="L14" i="9"/>
  <c r="L36" i="4"/>
  <c r="L15" i="9"/>
  <c r="L37" i="4"/>
  <c r="L16" i="9"/>
  <c r="L38" i="4"/>
  <c r="L17" i="9"/>
  <c r="L39" i="4"/>
  <c r="L18" i="9"/>
  <c r="L40" i="4"/>
  <c r="L19" i="9"/>
  <c r="L41" i="4"/>
  <c r="L20" i="9"/>
  <c r="L42" i="4"/>
  <c r="L21" i="9"/>
  <c r="L43" i="4"/>
  <c r="L22" i="9"/>
  <c r="L44" i="4"/>
  <c r="L23" i="9"/>
  <c r="L45" i="4"/>
  <c r="L24" i="9"/>
  <c r="L46" i="4"/>
  <c r="L25" i="9"/>
  <c r="L47" i="4"/>
  <c r="L26" i="9"/>
  <c r="L48" i="4"/>
  <c r="L27" i="9"/>
  <c r="L49" i="4"/>
  <c r="L28" i="9"/>
  <c r="L50" i="4"/>
  <c r="L29" i="9"/>
  <c r="L51" i="4"/>
  <c r="L30" i="9"/>
  <c r="L52" i="4"/>
  <c r="L31" i="9"/>
  <c r="L53" i="4"/>
  <c r="L32" i="9"/>
  <c r="L54" i="4"/>
  <c r="L33" i="9"/>
  <c r="L55" i="4"/>
  <c r="L34" i="9"/>
  <c r="L56" i="4"/>
  <c r="L35" i="9"/>
  <c r="L57" i="4"/>
  <c r="L36" i="9"/>
  <c r="L58" i="4"/>
  <c r="L37" i="9"/>
  <c r="L59" i="4"/>
  <c r="L38" i="9"/>
  <c r="L60" i="4"/>
  <c r="L39" i="9"/>
  <c r="L61" i="4"/>
  <c r="L40" i="9"/>
  <c r="L62" i="4"/>
  <c r="L41" i="9"/>
  <c r="L63" i="4"/>
  <c r="L42" i="9"/>
  <c r="L64" i="4"/>
  <c r="L43" i="9"/>
  <c r="L65" i="4"/>
  <c r="L44" i="9"/>
  <c r="L66" i="4"/>
  <c r="L45" i="9"/>
  <c r="L67" i="4"/>
  <c r="L46" i="9"/>
  <c r="L68" i="4"/>
  <c r="L47" i="9"/>
  <c r="L69" i="4"/>
  <c r="L48" i="9"/>
  <c r="L70" i="4"/>
  <c r="L49" i="9"/>
  <c r="L71" i="4"/>
  <c r="L50" i="9"/>
  <c r="L72" i="4"/>
  <c r="L51" i="9"/>
  <c r="L73" i="4"/>
  <c r="L52" i="9"/>
  <c r="L74" i="4"/>
  <c r="L53" i="9"/>
  <c r="L75" i="4"/>
  <c r="L54" i="9"/>
  <c r="L76" i="4"/>
  <c r="L55" i="9"/>
  <c r="L77" i="4"/>
  <c r="L56" i="9"/>
  <c r="L78" i="4"/>
  <c r="L57" i="9"/>
  <c r="L79" i="4"/>
  <c r="L58" i="9"/>
  <c r="L80" i="4"/>
  <c r="L59" i="9"/>
  <c r="L81" i="4"/>
  <c r="L60" i="9"/>
  <c r="L82" i="4"/>
  <c r="L61" i="9"/>
  <c r="L83" i="4"/>
  <c r="L62" i="9"/>
  <c r="L84" i="4"/>
  <c r="L63" i="9"/>
  <c r="L85" i="4"/>
  <c r="L64" i="9"/>
  <c r="L86" i="4"/>
  <c r="L65" i="9"/>
  <c r="L87" i="4"/>
  <c r="L66" i="9"/>
  <c r="L88" i="4"/>
  <c r="L67" i="9"/>
  <c r="L89" i="4"/>
  <c r="L68" i="9"/>
  <c r="L90" i="4"/>
  <c r="L69" i="9"/>
  <c r="L91" i="4"/>
  <c r="L70" i="9"/>
  <c r="L92" i="4"/>
  <c r="L71" i="9"/>
  <c r="L93" i="4"/>
  <c r="L72" i="9"/>
  <c r="L94" i="4"/>
  <c r="L73" i="9"/>
  <c r="L95" i="4"/>
  <c r="L74" i="9"/>
  <c r="L96" i="4"/>
  <c r="L75" i="9"/>
  <c r="L97" i="4"/>
  <c r="L76" i="9"/>
  <c r="L98" i="4"/>
  <c r="L77" i="9"/>
  <c r="L99" i="4"/>
  <c r="L78" i="9"/>
  <c r="L100" i="4"/>
  <c r="L79" i="9"/>
  <c r="L101" i="4"/>
  <c r="L80" i="9"/>
  <c r="L102" i="4"/>
  <c r="L81" i="9"/>
  <c r="L103" i="4"/>
  <c r="L82" i="9"/>
  <c r="L104" i="4"/>
  <c r="L83" i="9"/>
  <c r="L105" i="4"/>
  <c r="L84" i="9"/>
  <c r="L106" i="4"/>
  <c r="L85" i="9"/>
  <c r="L107" i="4"/>
  <c r="L86" i="9"/>
  <c r="L108" i="4"/>
  <c r="L87" i="9"/>
  <c r="L109" i="4"/>
  <c r="L88" i="9"/>
  <c r="L110" i="4"/>
  <c r="L89" i="9"/>
  <c r="L111" i="4"/>
  <c r="L90" i="9"/>
  <c r="L112" i="4"/>
  <c r="L91" i="9"/>
  <c r="L113" i="4"/>
  <c r="L92" i="9"/>
  <c r="L114" i="4"/>
  <c r="L93" i="9"/>
  <c r="L115" i="4"/>
  <c r="L94" i="9"/>
  <c r="L116" i="4"/>
  <c r="L95" i="9"/>
  <c r="L117" i="4"/>
  <c r="L96" i="9"/>
  <c r="L118" i="4"/>
  <c r="L97" i="9"/>
  <c r="L119" i="4"/>
  <c r="L98" i="9"/>
  <c r="L120" i="4"/>
  <c r="L99" i="9"/>
  <c r="L121" i="4"/>
  <c r="L100" i="9"/>
  <c r="L122" i="4"/>
  <c r="L101" i="9"/>
  <c r="L123" i="4"/>
  <c r="L102" i="9"/>
  <c r="L124" i="4"/>
  <c r="L103" i="9"/>
  <c r="L125" i="4"/>
  <c r="L104" i="9"/>
  <c r="L126" i="4"/>
  <c r="L105" i="9"/>
  <c r="L127" i="4"/>
  <c r="L106" i="9"/>
  <c r="L128" i="4"/>
  <c r="L107" i="9"/>
  <c r="L129" i="4"/>
  <c r="L108" i="9"/>
  <c r="L130" i="4"/>
  <c r="L109" i="9"/>
  <c r="L131" i="4"/>
  <c r="L110" i="9"/>
  <c r="L132" i="4"/>
  <c r="L111" i="9"/>
  <c r="L133" i="4"/>
  <c r="L112" i="9"/>
  <c r="L134" i="4"/>
  <c r="L113" i="9"/>
  <c r="L135" i="4"/>
  <c r="L114" i="9"/>
  <c r="L136" i="4"/>
  <c r="L115" i="9"/>
  <c r="L137" i="4"/>
  <c r="L116" i="9"/>
  <c r="L138" i="4"/>
  <c r="L117" i="9"/>
  <c r="L139" i="4"/>
  <c r="L118" i="9"/>
  <c r="L140" i="4"/>
  <c r="L119" i="9"/>
  <c r="L141" i="4"/>
  <c r="L120" i="9"/>
  <c r="L142" i="4"/>
  <c r="L121" i="9"/>
  <c r="L143" i="4"/>
  <c r="L122" i="9"/>
  <c r="L144" i="4"/>
  <c r="L123" i="9"/>
  <c r="L145" i="4"/>
  <c r="L124" i="9"/>
  <c r="L146" i="4"/>
  <c r="L125" i="9"/>
  <c r="L147" i="4"/>
  <c r="L126" i="9"/>
  <c r="L148" i="4"/>
  <c r="L127" i="9"/>
  <c r="L149" i="4"/>
  <c r="L128" i="9"/>
  <c r="L150" i="4"/>
  <c r="L129" i="9"/>
  <c r="L151" i="4"/>
  <c r="L130" i="9"/>
  <c r="L152" i="4"/>
  <c r="L131" i="9"/>
  <c r="L153" i="4"/>
  <c r="L132" i="9"/>
  <c r="L154" i="4"/>
  <c r="L133" i="9"/>
  <c r="L155" i="4"/>
  <c r="L134" i="9"/>
  <c r="L156" i="4"/>
  <c r="L135" i="9"/>
  <c r="L157" i="4"/>
  <c r="L136" i="9"/>
  <c r="L158" i="4"/>
  <c r="L137" i="9"/>
  <c r="L159" i="4"/>
  <c r="L138" i="9"/>
  <c r="L160" i="4"/>
  <c r="L139" i="9"/>
  <c r="L161" i="4"/>
  <c r="L140" i="9"/>
  <c r="L162" i="4"/>
  <c r="L141" i="9"/>
  <c r="L163" i="4"/>
  <c r="L142" i="9"/>
  <c r="L164" i="4"/>
  <c r="L143" i="9"/>
  <c r="L165" i="4"/>
  <c r="L144" i="9"/>
  <c r="L166" i="4"/>
  <c r="L145" i="9"/>
  <c r="L167" i="4"/>
  <c r="L146" i="9"/>
  <c r="L168" i="4"/>
  <c r="L147" i="9"/>
  <c r="L169" i="4"/>
  <c r="L148" i="9"/>
  <c r="L170" i="4"/>
  <c r="L149" i="9"/>
  <c r="L171" i="4"/>
  <c r="L150" i="9"/>
  <c r="L172" i="4"/>
  <c r="L151" i="9"/>
  <c r="L173" i="4"/>
  <c r="L152" i="9"/>
  <c r="L174" i="4"/>
  <c r="L153" i="9"/>
  <c r="L175" i="4"/>
  <c r="L154" i="9"/>
  <c r="L176" i="4"/>
  <c r="L155" i="9"/>
  <c r="L177" i="4"/>
  <c r="L156" i="9"/>
  <c r="L178" i="4"/>
  <c r="L157" i="9"/>
  <c r="L179" i="4"/>
  <c r="L158" i="9"/>
  <c r="L180" i="4"/>
  <c r="L159" i="9"/>
  <c r="L181" i="4"/>
  <c r="L160" i="9"/>
  <c r="L182" i="4"/>
  <c r="L161" i="9"/>
  <c r="L183" i="4"/>
  <c r="L162" i="9"/>
  <c r="L184" i="4"/>
  <c r="L163" i="9"/>
  <c r="L185" i="4"/>
  <c r="L164" i="9"/>
  <c r="L186" i="4"/>
  <c r="L165" i="9"/>
  <c r="L187" i="4"/>
  <c r="L166" i="9"/>
  <c r="L188" i="4"/>
  <c r="L167" i="9"/>
  <c r="L189" i="4"/>
  <c r="L168" i="9"/>
  <c r="L190" i="4"/>
  <c r="L169" i="9"/>
  <c r="L191" i="4"/>
  <c r="L170" i="9"/>
  <c r="L192" i="4"/>
  <c r="L171" i="9"/>
  <c r="L193" i="4"/>
  <c r="L172" i="9"/>
  <c r="L194" i="4"/>
  <c r="L173" i="9"/>
  <c r="L195" i="4"/>
  <c r="L174" i="9"/>
  <c r="L196" i="4"/>
  <c r="L175" i="9"/>
  <c r="L197" i="4"/>
  <c r="L176" i="9"/>
  <c r="L198" i="4"/>
  <c r="L177" i="9"/>
  <c r="L199" i="4"/>
  <c r="L178" i="9"/>
  <c r="L200" i="4"/>
  <c r="L179" i="9"/>
  <c r="L201" i="4"/>
  <c r="L180" i="9"/>
  <c r="L202" i="4"/>
  <c r="L181" i="9"/>
  <c r="L203" i="4"/>
  <c r="L182" i="9"/>
  <c r="L204" i="4"/>
  <c r="L183" i="9"/>
  <c r="L205" i="4"/>
  <c r="L184" i="9"/>
  <c r="L206" i="4"/>
  <c r="L185" i="9"/>
  <c r="L207" i="4"/>
  <c r="L186" i="9"/>
  <c r="L208" i="4"/>
  <c r="L187" i="9"/>
  <c r="L209" i="4"/>
  <c r="L188" i="9"/>
  <c r="L210" i="4"/>
  <c r="L189" i="9"/>
  <c r="L211" i="4"/>
  <c r="L190" i="9"/>
  <c r="L212" i="4"/>
  <c r="L191" i="9"/>
  <c r="L213" i="4"/>
  <c r="L192" i="9"/>
  <c r="L214" i="4"/>
  <c r="L193" i="9"/>
  <c r="L215" i="4"/>
  <c r="L194" i="9"/>
  <c r="L216" i="4"/>
  <c r="L195" i="9"/>
  <c r="L217" i="4"/>
  <c r="L196" i="9"/>
  <c r="L218" i="4"/>
  <c r="L197" i="9"/>
  <c r="L219" i="4"/>
  <c r="L198" i="9"/>
  <c r="L220" i="4"/>
  <c r="L199" i="9"/>
  <c r="L221" i="4"/>
  <c r="L200" i="9"/>
  <c r="L222" i="4"/>
  <c r="L201" i="9"/>
  <c r="L223" i="4"/>
  <c r="L202" i="9"/>
  <c r="L224" i="4"/>
  <c r="L203" i="9"/>
  <c r="L225" i="4"/>
  <c r="L204" i="9"/>
  <c r="L226" i="4"/>
  <c r="L205" i="9"/>
  <c r="L227" i="4"/>
  <c r="L206" i="9"/>
  <c r="L228" i="4"/>
  <c r="L207" i="9"/>
  <c r="L229" i="4"/>
  <c r="L208" i="9"/>
  <c r="L230" i="4"/>
  <c r="L209" i="9"/>
  <c r="L231" i="4"/>
  <c r="L210" i="9"/>
  <c r="L232" i="4"/>
  <c r="L211" i="9"/>
  <c r="L233" i="4"/>
  <c r="L212" i="9"/>
  <c r="L234" i="4"/>
  <c r="L213" i="9"/>
  <c r="L235" i="4"/>
  <c r="L214" i="9"/>
  <c r="L236" i="4"/>
  <c r="L215" i="9"/>
  <c r="L237" i="4"/>
  <c r="L216" i="9"/>
  <c r="L238" i="4"/>
  <c r="L217" i="9"/>
  <c r="L239" i="4"/>
  <c r="L218" i="9"/>
  <c r="L240" i="4"/>
  <c r="L219" i="9"/>
  <c r="L241" i="4"/>
  <c r="L220" i="9"/>
  <c r="L242" i="4"/>
  <c r="L221" i="9"/>
  <c r="L243" i="4"/>
  <c r="L222" i="9"/>
  <c r="L244" i="4"/>
  <c r="L223" i="9"/>
  <c r="L245" i="4"/>
  <c r="L224" i="9"/>
  <c r="L246" i="4"/>
  <c r="L225" i="9"/>
  <c r="L247" i="4"/>
  <c r="L226" i="9"/>
  <c r="L248" i="4"/>
  <c r="L227" i="9"/>
  <c r="L249" i="4"/>
  <c r="L228" i="9"/>
  <c r="L250" i="4"/>
  <c r="L229" i="9"/>
  <c r="L251" i="4"/>
  <c r="L230" i="9"/>
  <c r="L252" i="4"/>
  <c r="L231" i="9"/>
  <c r="L253" i="4"/>
  <c r="L232" i="9"/>
  <c r="L254" i="4"/>
  <c r="L233" i="9"/>
  <c r="L255" i="4"/>
  <c r="L234" i="9"/>
  <c r="L256" i="4"/>
  <c r="L235" i="9"/>
  <c r="L257" i="4"/>
  <c r="L236" i="9"/>
  <c r="L258" i="4"/>
  <c r="L237" i="9"/>
  <c r="L259" i="4"/>
  <c r="L238" i="9"/>
  <c r="L260" i="4"/>
  <c r="L239" i="9"/>
  <c r="L261" i="4"/>
  <c r="L240" i="9"/>
  <c r="L262" i="4"/>
  <c r="L241" i="9"/>
  <c r="L263" i="4"/>
  <c r="L242" i="9"/>
  <c r="L264" i="4"/>
  <c r="L243" i="9"/>
  <c r="L265" i="4"/>
  <c r="L244" i="9"/>
  <c r="L266" i="4"/>
  <c r="L245" i="9"/>
  <c r="L267" i="4"/>
  <c r="L246" i="9"/>
  <c r="L268" i="4"/>
  <c r="L247" i="9"/>
  <c r="L269" i="4"/>
  <c r="L248" i="9"/>
  <c r="L270" i="4"/>
  <c r="L249" i="9"/>
  <c r="L271" i="4"/>
  <c r="L250" i="9"/>
  <c r="L272" i="4"/>
  <c r="L251" i="9"/>
  <c r="L273" i="4"/>
  <c r="L252" i="9"/>
  <c r="L274" i="4"/>
  <c r="L253" i="9"/>
  <c r="L275" i="4"/>
  <c r="L254" i="9"/>
  <c r="L276" i="4"/>
  <c r="L255" i="9"/>
  <c r="L277" i="4"/>
  <c r="L256" i="9"/>
  <c r="L278" i="4"/>
  <c r="L4" i="9"/>
  <c r="L26" i="4"/>
  <c r="N24" i="18"/>
  <c r="K24" i="18"/>
  <c r="H24" i="18"/>
  <c r="E24" i="18"/>
  <c r="V30" i="21"/>
  <c r="Q28" i="21"/>
  <c r="M6" i="22" a="1"/>
  <c r="M6" i="22"/>
  <c r="O6" i="22"/>
  <c r="P6" i="22"/>
  <c r="R6" i="22"/>
  <c r="E249" i="22"/>
  <c r="F249" i="22"/>
  <c r="G249" i="22"/>
  <c r="H249" i="22"/>
  <c r="I249" i="22"/>
  <c r="L249" i="22"/>
  <c r="F250" i="22"/>
  <c r="G250" i="22"/>
  <c r="H250" i="22"/>
  <c r="E250" i="22"/>
  <c r="I250" i="22"/>
  <c r="L250" i="22"/>
  <c r="E6" i="22"/>
  <c r="F6" i="22"/>
  <c r="G6" i="22"/>
  <c r="H6" i="22"/>
  <c r="I6" i="22"/>
  <c r="L6" i="22"/>
  <c r="E7" i="22"/>
  <c r="F7" i="22"/>
  <c r="G7" i="22"/>
  <c r="H7" i="22"/>
  <c r="I7" i="22"/>
  <c r="L7" i="22"/>
  <c r="E8" i="22"/>
  <c r="F8" i="22"/>
  <c r="G8" i="22"/>
  <c r="H8" i="22"/>
  <c r="I8" i="22"/>
  <c r="L8" i="22"/>
  <c r="E9" i="22"/>
  <c r="F9" i="22"/>
  <c r="G9" i="22"/>
  <c r="H9" i="22"/>
  <c r="I9" i="22"/>
  <c r="L9" i="22"/>
  <c r="E10" i="22"/>
  <c r="F10" i="22"/>
  <c r="G10" i="22"/>
  <c r="H10" i="22"/>
  <c r="I10" i="22"/>
  <c r="L10" i="22"/>
  <c r="E11" i="22"/>
  <c r="F11" i="22"/>
  <c r="G11" i="22"/>
  <c r="H11" i="22"/>
  <c r="I11" i="22"/>
  <c r="L11" i="22"/>
  <c r="E12" i="22"/>
  <c r="F12" i="22"/>
  <c r="G12" i="22"/>
  <c r="H12" i="22"/>
  <c r="I12" i="22"/>
  <c r="L12" i="22"/>
  <c r="E13" i="22"/>
  <c r="F13" i="22"/>
  <c r="G13" i="22"/>
  <c r="H13" i="22"/>
  <c r="I13" i="22"/>
  <c r="L13" i="22"/>
  <c r="E14" i="22"/>
  <c r="F14" i="22"/>
  <c r="G14" i="22"/>
  <c r="H14" i="22"/>
  <c r="I14" i="22"/>
  <c r="L14" i="22"/>
  <c r="E15" i="22"/>
  <c r="F15" i="22"/>
  <c r="G15" i="22"/>
  <c r="H15" i="22"/>
  <c r="I15" i="22"/>
  <c r="L15" i="22"/>
  <c r="E16" i="22"/>
  <c r="F16" i="22"/>
  <c r="G16" i="22"/>
  <c r="H16" i="22"/>
  <c r="I16" i="22"/>
  <c r="L16" i="22"/>
  <c r="E17" i="22"/>
  <c r="F17" i="22"/>
  <c r="G17" i="22"/>
  <c r="H17" i="22"/>
  <c r="I17" i="22"/>
  <c r="L17" i="22"/>
  <c r="E18" i="22"/>
  <c r="F18" i="22"/>
  <c r="G18" i="22"/>
  <c r="H18" i="22"/>
  <c r="I18" i="22"/>
  <c r="L18" i="22"/>
  <c r="E19" i="22"/>
  <c r="F19" i="22"/>
  <c r="G19" i="22"/>
  <c r="H19" i="22"/>
  <c r="I19" i="22"/>
  <c r="L19" i="22"/>
  <c r="E20" i="22"/>
  <c r="F20" i="22"/>
  <c r="G20" i="22"/>
  <c r="H20" i="22"/>
  <c r="I20" i="22"/>
  <c r="L20" i="22"/>
  <c r="E21" i="22"/>
  <c r="F21" i="22"/>
  <c r="G21" i="22"/>
  <c r="H21" i="22"/>
  <c r="I21" i="22"/>
  <c r="L21" i="22"/>
  <c r="E22" i="22"/>
  <c r="F22" i="22"/>
  <c r="G22" i="22"/>
  <c r="H22" i="22"/>
  <c r="I22" i="22"/>
  <c r="L22" i="22"/>
  <c r="E23" i="22"/>
  <c r="F23" i="22"/>
  <c r="G23" i="22"/>
  <c r="H23" i="22"/>
  <c r="I23" i="22"/>
  <c r="L23" i="22"/>
  <c r="E24" i="22"/>
  <c r="F24" i="22"/>
  <c r="G24" i="22"/>
  <c r="H24" i="22"/>
  <c r="I24" i="22"/>
  <c r="L24" i="22"/>
  <c r="E25" i="22"/>
  <c r="F25" i="22"/>
  <c r="G25" i="22"/>
  <c r="H25" i="22"/>
  <c r="I25" i="22"/>
  <c r="L25" i="22"/>
  <c r="E26" i="22"/>
  <c r="F26" i="22"/>
  <c r="G26" i="22"/>
  <c r="H26" i="22"/>
  <c r="I26" i="22"/>
  <c r="L26" i="22"/>
  <c r="E27" i="22"/>
  <c r="F27" i="22"/>
  <c r="G27" i="22"/>
  <c r="H27" i="22"/>
  <c r="I27" i="22"/>
  <c r="L27" i="22"/>
  <c r="E28" i="22"/>
  <c r="F28" i="22"/>
  <c r="G28" i="22"/>
  <c r="H28" i="22"/>
  <c r="I28" i="22"/>
  <c r="L28" i="22"/>
  <c r="E29" i="22"/>
  <c r="F29" i="22"/>
  <c r="G29" i="22"/>
  <c r="H29" i="22"/>
  <c r="I29" i="22"/>
  <c r="L29" i="22"/>
  <c r="E30" i="22"/>
  <c r="F30" i="22"/>
  <c r="G30" i="22"/>
  <c r="H30" i="22"/>
  <c r="I30" i="22"/>
  <c r="L30" i="22"/>
  <c r="E31" i="22"/>
  <c r="F31" i="22"/>
  <c r="G31" i="22"/>
  <c r="H31" i="22"/>
  <c r="I31" i="22"/>
  <c r="L31" i="22"/>
  <c r="E32" i="22"/>
  <c r="F32" i="22"/>
  <c r="G32" i="22"/>
  <c r="H32" i="22"/>
  <c r="I32" i="22"/>
  <c r="L32" i="22"/>
  <c r="E33" i="22"/>
  <c r="F33" i="22"/>
  <c r="G33" i="22"/>
  <c r="H33" i="22"/>
  <c r="I33" i="22"/>
  <c r="L33" i="22"/>
  <c r="E34" i="22"/>
  <c r="F34" i="22"/>
  <c r="G34" i="22"/>
  <c r="H34" i="22"/>
  <c r="I34" i="22"/>
  <c r="L34" i="22"/>
  <c r="E35" i="22"/>
  <c r="F35" i="22"/>
  <c r="G35" i="22"/>
  <c r="H35" i="22"/>
  <c r="I35" i="22"/>
  <c r="L35" i="22"/>
  <c r="E36" i="22"/>
  <c r="F36" i="22"/>
  <c r="G36" i="22"/>
  <c r="H36" i="22"/>
  <c r="I36" i="22"/>
  <c r="L36" i="22"/>
  <c r="E37" i="22"/>
  <c r="F37" i="22"/>
  <c r="G37" i="22"/>
  <c r="H37" i="22"/>
  <c r="I37" i="22"/>
  <c r="L37" i="22"/>
  <c r="E38" i="22"/>
  <c r="F38" i="22"/>
  <c r="G38" i="22"/>
  <c r="H38" i="22"/>
  <c r="I38" i="22"/>
  <c r="L38" i="22"/>
  <c r="E39" i="22"/>
  <c r="F39" i="22"/>
  <c r="G39" i="22"/>
  <c r="H39" i="22"/>
  <c r="I39" i="22"/>
  <c r="L39" i="22"/>
  <c r="E40" i="22"/>
  <c r="F40" i="22"/>
  <c r="G40" i="22"/>
  <c r="H40" i="22"/>
  <c r="I40" i="22"/>
  <c r="L40" i="22"/>
  <c r="E41" i="22"/>
  <c r="F41" i="22"/>
  <c r="G41" i="22"/>
  <c r="H41" i="22"/>
  <c r="I41" i="22"/>
  <c r="L41" i="22"/>
  <c r="E42" i="22"/>
  <c r="F42" i="22"/>
  <c r="G42" i="22"/>
  <c r="H42" i="22"/>
  <c r="I42" i="22"/>
  <c r="L42" i="22"/>
  <c r="E43" i="22"/>
  <c r="F43" i="22"/>
  <c r="G43" i="22"/>
  <c r="H43" i="22"/>
  <c r="I43" i="22"/>
  <c r="L43" i="22"/>
  <c r="E44" i="22"/>
  <c r="F44" i="22"/>
  <c r="G44" i="22"/>
  <c r="H44" i="22"/>
  <c r="I44" i="22"/>
  <c r="L44" i="22"/>
  <c r="E45" i="22"/>
  <c r="F45" i="22"/>
  <c r="G45" i="22"/>
  <c r="H45" i="22"/>
  <c r="I45" i="22"/>
  <c r="L45" i="22"/>
  <c r="E46" i="22"/>
  <c r="F46" i="22"/>
  <c r="G46" i="22"/>
  <c r="H46" i="22"/>
  <c r="I46" i="22"/>
  <c r="L46" i="22"/>
  <c r="E47" i="22"/>
  <c r="F47" i="22"/>
  <c r="G47" i="22"/>
  <c r="H47" i="22"/>
  <c r="I47" i="22"/>
  <c r="L47" i="22"/>
  <c r="E48" i="22"/>
  <c r="F48" i="22"/>
  <c r="G48" i="22"/>
  <c r="H48" i="22"/>
  <c r="I48" i="22"/>
  <c r="L48" i="22"/>
  <c r="E49" i="22"/>
  <c r="F49" i="22"/>
  <c r="G49" i="22"/>
  <c r="H49" i="22"/>
  <c r="I49" i="22"/>
  <c r="L49" i="22"/>
  <c r="E50" i="22"/>
  <c r="F50" i="22"/>
  <c r="G50" i="22"/>
  <c r="H50" i="22"/>
  <c r="I50" i="22"/>
  <c r="L50" i="22"/>
  <c r="E51" i="22"/>
  <c r="F51" i="22"/>
  <c r="G51" i="22"/>
  <c r="H51" i="22"/>
  <c r="I51" i="22"/>
  <c r="L51" i="22"/>
  <c r="E52" i="22"/>
  <c r="F52" i="22"/>
  <c r="G52" i="22"/>
  <c r="H52" i="22"/>
  <c r="I52" i="22"/>
  <c r="L52" i="22"/>
  <c r="E53" i="22"/>
  <c r="F53" i="22"/>
  <c r="G53" i="22"/>
  <c r="H53" i="22"/>
  <c r="I53" i="22"/>
  <c r="L53" i="22"/>
  <c r="E54" i="22"/>
  <c r="F54" i="22"/>
  <c r="G54" i="22"/>
  <c r="H54" i="22"/>
  <c r="I54" i="22"/>
  <c r="L54" i="22"/>
  <c r="E55" i="22"/>
  <c r="F55" i="22"/>
  <c r="G55" i="22"/>
  <c r="H55" i="22"/>
  <c r="I55" i="22"/>
  <c r="L55" i="22"/>
  <c r="E56" i="22"/>
  <c r="F56" i="22"/>
  <c r="G56" i="22"/>
  <c r="H56" i="22"/>
  <c r="I56" i="22"/>
  <c r="L56" i="22"/>
  <c r="E57" i="22"/>
  <c r="F57" i="22"/>
  <c r="G57" i="22"/>
  <c r="H57" i="22"/>
  <c r="I57" i="22"/>
  <c r="L57" i="22"/>
  <c r="E58" i="22"/>
  <c r="F58" i="22"/>
  <c r="G58" i="22"/>
  <c r="H58" i="22"/>
  <c r="I58" i="22"/>
  <c r="L58" i="22"/>
  <c r="E59" i="22"/>
  <c r="F59" i="22"/>
  <c r="G59" i="22"/>
  <c r="H59" i="22"/>
  <c r="I59" i="22"/>
  <c r="L59" i="22"/>
  <c r="E60" i="22"/>
  <c r="F60" i="22"/>
  <c r="G60" i="22"/>
  <c r="H60" i="22"/>
  <c r="I60" i="22"/>
  <c r="L60" i="22"/>
  <c r="E61" i="22"/>
  <c r="F61" i="22"/>
  <c r="G61" i="22"/>
  <c r="H61" i="22"/>
  <c r="I61" i="22"/>
  <c r="L61" i="22"/>
  <c r="E62" i="22"/>
  <c r="F62" i="22"/>
  <c r="G62" i="22"/>
  <c r="H62" i="22"/>
  <c r="I62" i="22"/>
  <c r="L62" i="22"/>
  <c r="E63" i="22"/>
  <c r="F63" i="22"/>
  <c r="G63" i="22"/>
  <c r="H63" i="22"/>
  <c r="I63" i="22"/>
  <c r="L63" i="22"/>
  <c r="E64" i="22"/>
  <c r="F64" i="22"/>
  <c r="G64" i="22"/>
  <c r="H64" i="22"/>
  <c r="I64" i="22"/>
  <c r="L64" i="22"/>
  <c r="E65" i="22"/>
  <c r="F65" i="22"/>
  <c r="G65" i="22"/>
  <c r="H65" i="22"/>
  <c r="I65" i="22"/>
  <c r="L65" i="22"/>
  <c r="E66" i="22"/>
  <c r="F66" i="22"/>
  <c r="G66" i="22"/>
  <c r="H66" i="22"/>
  <c r="I66" i="22"/>
  <c r="L66" i="22"/>
  <c r="E67" i="22"/>
  <c r="F67" i="22"/>
  <c r="G67" i="22"/>
  <c r="H67" i="22"/>
  <c r="I67" i="22"/>
  <c r="L67" i="22"/>
  <c r="E68" i="22"/>
  <c r="F68" i="22"/>
  <c r="G68" i="22"/>
  <c r="H68" i="22"/>
  <c r="I68" i="22"/>
  <c r="L68" i="22"/>
  <c r="E69" i="22"/>
  <c r="F69" i="22"/>
  <c r="G69" i="22"/>
  <c r="H69" i="22"/>
  <c r="I69" i="22"/>
  <c r="L69" i="22"/>
  <c r="E70" i="22"/>
  <c r="F70" i="22"/>
  <c r="G70" i="22"/>
  <c r="H70" i="22"/>
  <c r="I70" i="22"/>
  <c r="L70" i="22"/>
  <c r="E71" i="22"/>
  <c r="F71" i="22"/>
  <c r="G71" i="22"/>
  <c r="H71" i="22"/>
  <c r="I71" i="22"/>
  <c r="L71" i="22"/>
  <c r="E72" i="22"/>
  <c r="F72" i="22"/>
  <c r="G72" i="22"/>
  <c r="H72" i="22"/>
  <c r="I72" i="22"/>
  <c r="L72" i="22"/>
  <c r="E73" i="22"/>
  <c r="F73" i="22"/>
  <c r="G73" i="22"/>
  <c r="H73" i="22"/>
  <c r="I73" i="22"/>
  <c r="L73" i="22"/>
  <c r="E74" i="22"/>
  <c r="F74" i="22"/>
  <c r="G74" i="22"/>
  <c r="H74" i="22"/>
  <c r="I74" i="22"/>
  <c r="L74" i="22"/>
  <c r="E75" i="22"/>
  <c r="F75" i="22"/>
  <c r="G75" i="22"/>
  <c r="H75" i="22"/>
  <c r="I75" i="22"/>
  <c r="L75" i="22"/>
  <c r="E76" i="22"/>
  <c r="F76" i="22"/>
  <c r="G76" i="22"/>
  <c r="H76" i="22"/>
  <c r="I76" i="22"/>
  <c r="L76" i="22"/>
  <c r="E77" i="22"/>
  <c r="F77" i="22"/>
  <c r="G77" i="22"/>
  <c r="H77" i="22"/>
  <c r="I77" i="22"/>
  <c r="L77" i="22"/>
  <c r="E78" i="22"/>
  <c r="F78" i="22"/>
  <c r="G78" i="22"/>
  <c r="H78" i="22"/>
  <c r="I78" i="22"/>
  <c r="L78" i="22"/>
  <c r="E79" i="22"/>
  <c r="F79" i="22"/>
  <c r="G79" i="22"/>
  <c r="H79" i="22"/>
  <c r="I79" i="22"/>
  <c r="L79" i="22"/>
  <c r="E80" i="22"/>
  <c r="F80" i="22"/>
  <c r="G80" i="22"/>
  <c r="H80" i="22"/>
  <c r="I80" i="22"/>
  <c r="L80" i="22"/>
  <c r="E81" i="22"/>
  <c r="F81" i="22"/>
  <c r="G81" i="22"/>
  <c r="H81" i="22"/>
  <c r="I81" i="22"/>
  <c r="L81" i="22"/>
  <c r="E82" i="22"/>
  <c r="F82" i="22"/>
  <c r="G82" i="22"/>
  <c r="H82" i="22"/>
  <c r="I82" i="22"/>
  <c r="L82" i="22"/>
  <c r="E83" i="22"/>
  <c r="F83" i="22"/>
  <c r="G83" i="22"/>
  <c r="H83" i="22"/>
  <c r="I83" i="22"/>
  <c r="L83" i="22"/>
  <c r="E84" i="22"/>
  <c r="F84" i="22"/>
  <c r="G84" i="22"/>
  <c r="H84" i="22"/>
  <c r="I84" i="22"/>
  <c r="L84" i="22"/>
  <c r="E85" i="22"/>
  <c r="F85" i="22"/>
  <c r="G85" i="22"/>
  <c r="H85" i="22"/>
  <c r="I85" i="22"/>
  <c r="L85" i="22"/>
  <c r="E86" i="22"/>
  <c r="F86" i="22"/>
  <c r="G86" i="22"/>
  <c r="H86" i="22"/>
  <c r="I86" i="22"/>
  <c r="L86" i="22"/>
  <c r="E87" i="22"/>
  <c r="F87" i="22"/>
  <c r="G87" i="22"/>
  <c r="H87" i="22"/>
  <c r="I87" i="22"/>
  <c r="L87" i="22"/>
  <c r="E88" i="22"/>
  <c r="F88" i="22"/>
  <c r="G88" i="22"/>
  <c r="H88" i="22"/>
  <c r="I88" i="22"/>
  <c r="L88" i="22"/>
  <c r="E89" i="22"/>
  <c r="F89" i="22"/>
  <c r="G89" i="22"/>
  <c r="H89" i="22"/>
  <c r="I89" i="22"/>
  <c r="L89" i="22"/>
  <c r="E90" i="22"/>
  <c r="F90" i="22"/>
  <c r="G90" i="22"/>
  <c r="H90" i="22"/>
  <c r="I90" i="22"/>
  <c r="L90" i="22"/>
  <c r="E91" i="22"/>
  <c r="F91" i="22"/>
  <c r="G91" i="22"/>
  <c r="H91" i="22"/>
  <c r="I91" i="22"/>
  <c r="L91" i="22"/>
  <c r="E92" i="22"/>
  <c r="F92" i="22"/>
  <c r="G92" i="22"/>
  <c r="H92" i="22"/>
  <c r="I92" i="22"/>
  <c r="L92" i="22"/>
  <c r="E93" i="22"/>
  <c r="F93" i="22"/>
  <c r="G93" i="22"/>
  <c r="H93" i="22"/>
  <c r="I93" i="22"/>
  <c r="L93" i="22"/>
  <c r="E94" i="22"/>
  <c r="F94" i="22"/>
  <c r="G94" i="22"/>
  <c r="H94" i="22"/>
  <c r="I94" i="22"/>
  <c r="L94" i="22"/>
  <c r="E95" i="22"/>
  <c r="F95" i="22"/>
  <c r="G95" i="22"/>
  <c r="H95" i="22"/>
  <c r="I95" i="22"/>
  <c r="L95" i="22"/>
  <c r="E96" i="22"/>
  <c r="F96" i="22"/>
  <c r="G96" i="22"/>
  <c r="H96" i="22"/>
  <c r="I96" i="22"/>
  <c r="L96" i="22"/>
  <c r="E97" i="22"/>
  <c r="F97" i="22"/>
  <c r="G97" i="22"/>
  <c r="H97" i="22"/>
  <c r="I97" i="22"/>
  <c r="L97" i="22"/>
  <c r="E98" i="22"/>
  <c r="F98" i="22"/>
  <c r="G98" i="22"/>
  <c r="H98" i="22"/>
  <c r="I98" i="22"/>
  <c r="L98" i="22"/>
  <c r="E99" i="22"/>
  <c r="F99" i="22"/>
  <c r="G99" i="22"/>
  <c r="H99" i="22"/>
  <c r="I99" i="22"/>
  <c r="L99" i="22"/>
  <c r="E100" i="22"/>
  <c r="F100" i="22"/>
  <c r="G100" i="22"/>
  <c r="H100" i="22"/>
  <c r="I100" i="22"/>
  <c r="L100" i="22"/>
  <c r="E101" i="22"/>
  <c r="F101" i="22"/>
  <c r="G101" i="22"/>
  <c r="H101" i="22"/>
  <c r="I101" i="22"/>
  <c r="L101" i="22"/>
  <c r="E102" i="22"/>
  <c r="F102" i="22"/>
  <c r="G102" i="22"/>
  <c r="H102" i="22"/>
  <c r="I102" i="22"/>
  <c r="L102" i="22"/>
  <c r="E103" i="22"/>
  <c r="F103" i="22"/>
  <c r="G103" i="22"/>
  <c r="H103" i="22"/>
  <c r="I103" i="22"/>
  <c r="L103" i="22"/>
  <c r="E104" i="22"/>
  <c r="F104" i="22"/>
  <c r="G104" i="22"/>
  <c r="H104" i="22"/>
  <c r="I104" i="22"/>
  <c r="L104" i="22"/>
  <c r="E105" i="22"/>
  <c r="F105" i="22"/>
  <c r="G105" i="22"/>
  <c r="H105" i="22"/>
  <c r="I105" i="22"/>
  <c r="L105" i="22"/>
  <c r="E106" i="22"/>
  <c r="F106" i="22"/>
  <c r="G106" i="22"/>
  <c r="H106" i="22"/>
  <c r="I106" i="22"/>
  <c r="L106" i="22"/>
  <c r="E107" i="22"/>
  <c r="F107" i="22"/>
  <c r="G107" i="22"/>
  <c r="H107" i="22"/>
  <c r="I107" i="22"/>
  <c r="L107" i="22"/>
  <c r="E108" i="22"/>
  <c r="F108" i="22"/>
  <c r="G108" i="22"/>
  <c r="H108" i="22"/>
  <c r="I108" i="22"/>
  <c r="L108" i="22"/>
  <c r="E109" i="22"/>
  <c r="F109" i="22"/>
  <c r="G109" i="22"/>
  <c r="H109" i="22"/>
  <c r="I109" i="22"/>
  <c r="L109" i="22"/>
  <c r="E110" i="22"/>
  <c r="F110" i="22"/>
  <c r="G110" i="22"/>
  <c r="H110" i="22"/>
  <c r="I110" i="22"/>
  <c r="L110" i="22"/>
  <c r="E111" i="22"/>
  <c r="F111" i="22"/>
  <c r="G111" i="22"/>
  <c r="H111" i="22"/>
  <c r="I111" i="22"/>
  <c r="L111" i="22"/>
  <c r="E112" i="22"/>
  <c r="F112" i="22"/>
  <c r="G112" i="22"/>
  <c r="H112" i="22"/>
  <c r="I112" i="22"/>
  <c r="L112" i="22"/>
  <c r="E113" i="22"/>
  <c r="F113" i="22"/>
  <c r="G113" i="22"/>
  <c r="H113" i="22"/>
  <c r="I113" i="22"/>
  <c r="L113" i="22"/>
  <c r="E114" i="22"/>
  <c r="F114" i="22"/>
  <c r="G114" i="22"/>
  <c r="H114" i="22"/>
  <c r="I114" i="22"/>
  <c r="L114" i="22"/>
  <c r="E115" i="22"/>
  <c r="F115" i="22"/>
  <c r="G115" i="22"/>
  <c r="H115" i="22"/>
  <c r="I115" i="22"/>
  <c r="L115" i="22"/>
  <c r="E116" i="22"/>
  <c r="F116" i="22"/>
  <c r="G116" i="22"/>
  <c r="H116" i="22"/>
  <c r="I116" i="22"/>
  <c r="L116" i="22"/>
  <c r="E117" i="22"/>
  <c r="F117" i="22"/>
  <c r="G117" i="22"/>
  <c r="H117" i="22"/>
  <c r="I117" i="22"/>
  <c r="L117" i="22"/>
  <c r="E118" i="22"/>
  <c r="F118" i="22"/>
  <c r="G118" i="22"/>
  <c r="H118" i="22"/>
  <c r="I118" i="22"/>
  <c r="L118" i="22"/>
  <c r="E119" i="22"/>
  <c r="F119" i="22"/>
  <c r="G119" i="22"/>
  <c r="H119" i="22"/>
  <c r="I119" i="22"/>
  <c r="L119" i="22"/>
  <c r="E120" i="22"/>
  <c r="F120" i="22"/>
  <c r="G120" i="22"/>
  <c r="H120" i="22"/>
  <c r="I120" i="22"/>
  <c r="L120" i="22"/>
  <c r="E121" i="22"/>
  <c r="F121" i="22"/>
  <c r="G121" i="22"/>
  <c r="H121" i="22"/>
  <c r="I121" i="22"/>
  <c r="L121" i="22"/>
  <c r="E122" i="22"/>
  <c r="F122" i="22"/>
  <c r="G122" i="22"/>
  <c r="H122" i="22"/>
  <c r="I122" i="22"/>
  <c r="L122" i="22"/>
  <c r="E123" i="22"/>
  <c r="F123" i="22"/>
  <c r="G123" i="22"/>
  <c r="H123" i="22"/>
  <c r="I123" i="22"/>
  <c r="L123" i="22"/>
  <c r="E124" i="22"/>
  <c r="F124" i="22"/>
  <c r="G124" i="22"/>
  <c r="H124" i="22"/>
  <c r="I124" i="22"/>
  <c r="L124" i="22"/>
  <c r="E125" i="22"/>
  <c r="F125" i="22"/>
  <c r="G125" i="22"/>
  <c r="H125" i="22"/>
  <c r="I125" i="22"/>
  <c r="L125" i="22"/>
  <c r="E126" i="22"/>
  <c r="F126" i="22"/>
  <c r="G126" i="22"/>
  <c r="H126" i="22"/>
  <c r="I126" i="22"/>
  <c r="L126" i="22"/>
  <c r="E127" i="22"/>
  <c r="F127" i="22"/>
  <c r="G127" i="22"/>
  <c r="H127" i="22"/>
  <c r="I127" i="22"/>
  <c r="L127" i="22"/>
  <c r="E128" i="22"/>
  <c r="F128" i="22"/>
  <c r="G128" i="22"/>
  <c r="H128" i="22"/>
  <c r="I128" i="22"/>
  <c r="L128" i="22"/>
  <c r="E129" i="22"/>
  <c r="F129" i="22"/>
  <c r="G129" i="22"/>
  <c r="H129" i="22"/>
  <c r="I129" i="22"/>
  <c r="L129" i="22"/>
  <c r="E130" i="22"/>
  <c r="F130" i="22"/>
  <c r="G130" i="22"/>
  <c r="H130" i="22"/>
  <c r="I130" i="22"/>
  <c r="L130" i="22"/>
  <c r="E131" i="22"/>
  <c r="F131" i="22"/>
  <c r="G131" i="22"/>
  <c r="H131" i="22"/>
  <c r="I131" i="22"/>
  <c r="L131" i="22"/>
  <c r="E132" i="22"/>
  <c r="F132" i="22"/>
  <c r="G132" i="22"/>
  <c r="H132" i="22"/>
  <c r="I132" i="22"/>
  <c r="L132" i="22"/>
  <c r="E133" i="22"/>
  <c r="F133" i="22"/>
  <c r="G133" i="22"/>
  <c r="H133" i="22"/>
  <c r="I133" i="22"/>
  <c r="L133" i="22"/>
  <c r="E134" i="22"/>
  <c r="F134" i="22"/>
  <c r="G134" i="22"/>
  <c r="H134" i="22"/>
  <c r="I134" i="22"/>
  <c r="L134" i="22"/>
  <c r="E135" i="22"/>
  <c r="F135" i="22"/>
  <c r="G135" i="22"/>
  <c r="H135" i="22"/>
  <c r="I135" i="22"/>
  <c r="L135" i="22"/>
  <c r="E136" i="22"/>
  <c r="F136" i="22"/>
  <c r="G136" i="22"/>
  <c r="H136" i="22"/>
  <c r="I136" i="22"/>
  <c r="L136" i="22"/>
  <c r="E137" i="22"/>
  <c r="F137" i="22"/>
  <c r="G137" i="22"/>
  <c r="H137" i="22"/>
  <c r="I137" i="22"/>
  <c r="L137" i="22"/>
  <c r="E138" i="22"/>
  <c r="F138" i="22"/>
  <c r="G138" i="22"/>
  <c r="H138" i="22"/>
  <c r="I138" i="22"/>
  <c r="L138" i="22"/>
  <c r="E139" i="22"/>
  <c r="F139" i="22"/>
  <c r="G139" i="22"/>
  <c r="H139" i="22"/>
  <c r="I139" i="22"/>
  <c r="L139" i="22"/>
  <c r="E140" i="22"/>
  <c r="F140" i="22"/>
  <c r="G140" i="22"/>
  <c r="H140" i="22"/>
  <c r="I140" i="22"/>
  <c r="L140" i="22"/>
  <c r="E141" i="22"/>
  <c r="F141" i="22"/>
  <c r="G141" i="22"/>
  <c r="H141" i="22"/>
  <c r="I141" i="22"/>
  <c r="L141" i="22"/>
  <c r="E142" i="22"/>
  <c r="F142" i="22"/>
  <c r="G142" i="22"/>
  <c r="H142" i="22"/>
  <c r="I142" i="22"/>
  <c r="L142" i="22"/>
  <c r="E143" i="22"/>
  <c r="F143" i="22"/>
  <c r="G143" i="22"/>
  <c r="H143" i="22"/>
  <c r="I143" i="22"/>
  <c r="L143" i="22"/>
  <c r="E144" i="22"/>
  <c r="F144" i="22"/>
  <c r="G144" i="22"/>
  <c r="H144" i="22"/>
  <c r="I144" i="22"/>
  <c r="L144" i="22"/>
  <c r="E145" i="22"/>
  <c r="F145" i="22"/>
  <c r="G145" i="22"/>
  <c r="H145" i="22"/>
  <c r="I145" i="22"/>
  <c r="L145" i="22"/>
  <c r="E146" i="22"/>
  <c r="F146" i="22"/>
  <c r="G146" i="22"/>
  <c r="H146" i="22"/>
  <c r="I146" i="22"/>
  <c r="L146" i="22"/>
  <c r="E147" i="22"/>
  <c r="F147" i="22"/>
  <c r="G147" i="22"/>
  <c r="H147" i="22"/>
  <c r="I147" i="22"/>
  <c r="L147" i="22"/>
  <c r="E148" i="22"/>
  <c r="F148" i="22"/>
  <c r="G148" i="22"/>
  <c r="H148" i="22"/>
  <c r="I148" i="22"/>
  <c r="L148" i="22"/>
  <c r="E149" i="22"/>
  <c r="F149" i="22"/>
  <c r="G149" i="22"/>
  <c r="H149" i="22"/>
  <c r="I149" i="22"/>
  <c r="L149" i="22"/>
  <c r="E150" i="22"/>
  <c r="F150" i="22"/>
  <c r="G150" i="22"/>
  <c r="H150" i="22"/>
  <c r="I150" i="22"/>
  <c r="L150" i="22"/>
  <c r="E151" i="22"/>
  <c r="F151" i="22"/>
  <c r="G151" i="22"/>
  <c r="H151" i="22"/>
  <c r="I151" i="22"/>
  <c r="L151" i="22"/>
  <c r="E152" i="22"/>
  <c r="F152" i="22"/>
  <c r="G152" i="22"/>
  <c r="H152" i="22"/>
  <c r="I152" i="22"/>
  <c r="L152" i="22"/>
  <c r="E153" i="22"/>
  <c r="F153" i="22"/>
  <c r="G153" i="22"/>
  <c r="H153" i="22"/>
  <c r="I153" i="22"/>
  <c r="L153" i="22"/>
  <c r="E154" i="22"/>
  <c r="F154" i="22"/>
  <c r="G154" i="22"/>
  <c r="H154" i="22"/>
  <c r="I154" i="22"/>
  <c r="L154" i="22"/>
  <c r="E155" i="22"/>
  <c r="F155" i="22"/>
  <c r="G155" i="22"/>
  <c r="H155" i="22"/>
  <c r="I155" i="22"/>
  <c r="L155" i="22"/>
  <c r="E156" i="22"/>
  <c r="F156" i="22"/>
  <c r="G156" i="22"/>
  <c r="H156" i="22"/>
  <c r="I156" i="22"/>
  <c r="L156" i="22"/>
  <c r="E157" i="22"/>
  <c r="F157" i="22"/>
  <c r="G157" i="22"/>
  <c r="H157" i="22"/>
  <c r="I157" i="22"/>
  <c r="L157" i="22"/>
  <c r="E158" i="22"/>
  <c r="F158" i="22"/>
  <c r="G158" i="22"/>
  <c r="H158" i="22"/>
  <c r="I158" i="22"/>
  <c r="L158" i="22"/>
  <c r="E159" i="22"/>
  <c r="F159" i="22"/>
  <c r="G159" i="22"/>
  <c r="H159" i="22"/>
  <c r="I159" i="22"/>
  <c r="L159" i="22"/>
  <c r="E160" i="22"/>
  <c r="F160" i="22"/>
  <c r="G160" i="22"/>
  <c r="H160" i="22"/>
  <c r="I160" i="22"/>
  <c r="L160" i="22"/>
  <c r="E161" i="22"/>
  <c r="F161" i="22"/>
  <c r="G161" i="22"/>
  <c r="H161" i="22"/>
  <c r="I161" i="22"/>
  <c r="L161" i="22"/>
  <c r="E162" i="22"/>
  <c r="F162" i="22"/>
  <c r="G162" i="22"/>
  <c r="H162" i="22"/>
  <c r="I162" i="22"/>
  <c r="L162" i="22"/>
  <c r="E163" i="22"/>
  <c r="F163" i="22"/>
  <c r="G163" i="22"/>
  <c r="H163" i="22"/>
  <c r="I163" i="22"/>
  <c r="L163" i="22"/>
  <c r="E164" i="22"/>
  <c r="F164" i="22"/>
  <c r="G164" i="22"/>
  <c r="H164" i="22"/>
  <c r="I164" i="22"/>
  <c r="L164" i="22"/>
  <c r="E165" i="22"/>
  <c r="F165" i="22"/>
  <c r="G165" i="22"/>
  <c r="H165" i="22"/>
  <c r="I165" i="22"/>
  <c r="L165" i="22"/>
  <c r="E166" i="22"/>
  <c r="F166" i="22"/>
  <c r="G166" i="22"/>
  <c r="H166" i="22"/>
  <c r="I166" i="22"/>
  <c r="L166" i="22"/>
  <c r="E167" i="22"/>
  <c r="F167" i="22"/>
  <c r="G167" i="22"/>
  <c r="H167" i="22"/>
  <c r="I167" i="22"/>
  <c r="L167" i="22"/>
  <c r="E168" i="22"/>
  <c r="F168" i="22"/>
  <c r="G168" i="22"/>
  <c r="H168" i="22"/>
  <c r="I168" i="22"/>
  <c r="L168" i="22"/>
  <c r="E169" i="22"/>
  <c r="F169" i="22"/>
  <c r="G169" i="22"/>
  <c r="H169" i="22"/>
  <c r="I169" i="22"/>
  <c r="L169" i="22"/>
  <c r="E170" i="22"/>
  <c r="F170" i="22"/>
  <c r="G170" i="22"/>
  <c r="H170" i="22"/>
  <c r="I170" i="22"/>
  <c r="L170" i="22"/>
  <c r="E171" i="22"/>
  <c r="F171" i="22"/>
  <c r="G171" i="22"/>
  <c r="H171" i="22"/>
  <c r="I171" i="22"/>
  <c r="L171" i="22"/>
  <c r="E172" i="22"/>
  <c r="F172" i="22"/>
  <c r="G172" i="22"/>
  <c r="H172" i="22"/>
  <c r="I172" i="22"/>
  <c r="L172" i="22"/>
  <c r="E173" i="22"/>
  <c r="F173" i="22"/>
  <c r="G173" i="22"/>
  <c r="H173" i="22"/>
  <c r="I173" i="22"/>
  <c r="L173" i="22"/>
  <c r="E174" i="22"/>
  <c r="F174" i="22"/>
  <c r="G174" i="22"/>
  <c r="H174" i="22"/>
  <c r="I174" i="22"/>
  <c r="L174" i="22"/>
  <c r="E175" i="22"/>
  <c r="F175" i="22"/>
  <c r="G175" i="22"/>
  <c r="H175" i="22"/>
  <c r="I175" i="22"/>
  <c r="L175" i="22"/>
  <c r="E176" i="22"/>
  <c r="F176" i="22"/>
  <c r="G176" i="22"/>
  <c r="H176" i="22"/>
  <c r="I176" i="22"/>
  <c r="L176" i="22"/>
  <c r="E177" i="22"/>
  <c r="F177" i="22"/>
  <c r="G177" i="22"/>
  <c r="H177" i="22"/>
  <c r="I177" i="22"/>
  <c r="L177" i="22"/>
  <c r="E178" i="22"/>
  <c r="F178" i="22"/>
  <c r="G178" i="22"/>
  <c r="H178" i="22"/>
  <c r="I178" i="22"/>
  <c r="L178" i="22"/>
  <c r="E179" i="22"/>
  <c r="F179" i="22"/>
  <c r="G179" i="22"/>
  <c r="H179" i="22"/>
  <c r="I179" i="22"/>
  <c r="L179" i="22"/>
  <c r="E180" i="22"/>
  <c r="F180" i="22"/>
  <c r="G180" i="22"/>
  <c r="H180" i="22"/>
  <c r="I180" i="22"/>
  <c r="L180" i="22"/>
  <c r="E181" i="22"/>
  <c r="F181" i="22"/>
  <c r="G181" i="22"/>
  <c r="H181" i="22"/>
  <c r="I181" i="22"/>
  <c r="L181" i="22"/>
  <c r="E182" i="22"/>
  <c r="F182" i="22"/>
  <c r="G182" i="22"/>
  <c r="H182" i="22"/>
  <c r="I182" i="22"/>
  <c r="L182" i="22"/>
  <c r="E183" i="22"/>
  <c r="F183" i="22"/>
  <c r="G183" i="22"/>
  <c r="H183" i="22"/>
  <c r="I183" i="22"/>
  <c r="L183" i="22"/>
  <c r="E184" i="22"/>
  <c r="F184" i="22"/>
  <c r="G184" i="22"/>
  <c r="H184" i="22"/>
  <c r="I184" i="22"/>
  <c r="L184" i="22"/>
  <c r="E185" i="22"/>
  <c r="F185" i="22"/>
  <c r="G185" i="22"/>
  <c r="H185" i="22"/>
  <c r="I185" i="22"/>
  <c r="L185" i="22"/>
  <c r="E186" i="22"/>
  <c r="F186" i="22"/>
  <c r="G186" i="22"/>
  <c r="H186" i="22"/>
  <c r="I186" i="22"/>
  <c r="L186" i="22"/>
  <c r="E187" i="22"/>
  <c r="F187" i="22"/>
  <c r="G187" i="22"/>
  <c r="H187" i="22"/>
  <c r="I187" i="22"/>
  <c r="L187" i="22"/>
  <c r="E188" i="22"/>
  <c r="F188" i="22"/>
  <c r="G188" i="22"/>
  <c r="H188" i="22"/>
  <c r="I188" i="22"/>
  <c r="L188" i="22"/>
  <c r="E189" i="22"/>
  <c r="F189" i="22"/>
  <c r="G189" i="22"/>
  <c r="H189" i="22"/>
  <c r="I189" i="22"/>
  <c r="L189" i="22"/>
  <c r="E190" i="22"/>
  <c r="F190" i="22"/>
  <c r="G190" i="22"/>
  <c r="H190" i="22"/>
  <c r="I190" i="22"/>
  <c r="L190" i="22"/>
  <c r="E191" i="22"/>
  <c r="F191" i="22"/>
  <c r="G191" i="22"/>
  <c r="H191" i="22"/>
  <c r="I191" i="22"/>
  <c r="L191" i="22"/>
  <c r="E192" i="22"/>
  <c r="F192" i="22"/>
  <c r="G192" i="22"/>
  <c r="H192" i="22"/>
  <c r="I192" i="22"/>
  <c r="L192" i="22"/>
  <c r="E193" i="22"/>
  <c r="F193" i="22"/>
  <c r="G193" i="22"/>
  <c r="H193" i="22"/>
  <c r="I193" i="22"/>
  <c r="L193" i="22"/>
  <c r="E194" i="22"/>
  <c r="F194" i="22"/>
  <c r="G194" i="22"/>
  <c r="H194" i="22"/>
  <c r="I194" i="22"/>
  <c r="L194" i="22"/>
  <c r="E195" i="22"/>
  <c r="F195" i="22"/>
  <c r="G195" i="22"/>
  <c r="H195" i="22"/>
  <c r="I195" i="22"/>
  <c r="L195" i="22"/>
  <c r="E196" i="22"/>
  <c r="F196" i="22"/>
  <c r="G196" i="22"/>
  <c r="H196" i="22"/>
  <c r="I196" i="22"/>
  <c r="L196" i="22"/>
  <c r="E197" i="22"/>
  <c r="F197" i="22"/>
  <c r="G197" i="22"/>
  <c r="H197" i="22"/>
  <c r="I197" i="22"/>
  <c r="L197" i="22"/>
  <c r="E198" i="22"/>
  <c r="F198" i="22"/>
  <c r="G198" i="22"/>
  <c r="H198" i="22"/>
  <c r="I198" i="22"/>
  <c r="L198" i="22"/>
  <c r="E199" i="22"/>
  <c r="F199" i="22"/>
  <c r="G199" i="22"/>
  <c r="H199" i="22"/>
  <c r="I199" i="22"/>
  <c r="L199" i="22"/>
  <c r="E200" i="22"/>
  <c r="F200" i="22"/>
  <c r="G200" i="22"/>
  <c r="H200" i="22"/>
  <c r="I200" i="22"/>
  <c r="L200" i="22"/>
  <c r="E201" i="22"/>
  <c r="F201" i="22"/>
  <c r="G201" i="22"/>
  <c r="H201" i="22"/>
  <c r="I201" i="22"/>
  <c r="L201" i="22"/>
  <c r="E202" i="22"/>
  <c r="F202" i="22"/>
  <c r="G202" i="22"/>
  <c r="H202" i="22"/>
  <c r="I202" i="22"/>
  <c r="L202" i="22"/>
  <c r="E203" i="22"/>
  <c r="F203" i="22"/>
  <c r="G203" i="22"/>
  <c r="H203" i="22"/>
  <c r="I203" i="22"/>
  <c r="L203" i="22"/>
  <c r="E204" i="22"/>
  <c r="F204" i="22"/>
  <c r="G204" i="22"/>
  <c r="H204" i="22"/>
  <c r="I204" i="22"/>
  <c r="L204" i="22"/>
  <c r="E205" i="22"/>
  <c r="F205" i="22"/>
  <c r="G205" i="22"/>
  <c r="H205" i="22"/>
  <c r="I205" i="22"/>
  <c r="L205" i="22"/>
  <c r="E206" i="22"/>
  <c r="F206" i="22"/>
  <c r="G206" i="22"/>
  <c r="H206" i="22"/>
  <c r="I206" i="22"/>
  <c r="L206" i="22"/>
  <c r="E207" i="22"/>
  <c r="F207" i="22"/>
  <c r="G207" i="22"/>
  <c r="H207" i="22"/>
  <c r="I207" i="22"/>
  <c r="L207" i="22"/>
  <c r="E208" i="22"/>
  <c r="F208" i="22"/>
  <c r="G208" i="22"/>
  <c r="H208" i="22"/>
  <c r="I208" i="22"/>
  <c r="L208" i="22"/>
  <c r="E209" i="22"/>
  <c r="F209" i="22"/>
  <c r="G209" i="22"/>
  <c r="H209" i="22"/>
  <c r="I209" i="22"/>
  <c r="L209" i="22"/>
  <c r="E210" i="22"/>
  <c r="F210" i="22"/>
  <c r="G210" i="22"/>
  <c r="H210" i="22"/>
  <c r="I210" i="22"/>
  <c r="L210" i="22"/>
  <c r="E211" i="22"/>
  <c r="F211" i="22"/>
  <c r="G211" i="22"/>
  <c r="H211" i="22"/>
  <c r="I211" i="22"/>
  <c r="L211" i="22"/>
  <c r="E212" i="22"/>
  <c r="F212" i="22"/>
  <c r="G212" i="22"/>
  <c r="H212" i="22"/>
  <c r="I212" i="22"/>
  <c r="L212" i="22"/>
  <c r="E213" i="22"/>
  <c r="F213" i="22"/>
  <c r="G213" i="22"/>
  <c r="H213" i="22"/>
  <c r="I213" i="22"/>
  <c r="L213" i="22"/>
  <c r="E214" i="22"/>
  <c r="F214" i="22"/>
  <c r="G214" i="22"/>
  <c r="H214" i="22"/>
  <c r="I214" i="22"/>
  <c r="L214" i="22"/>
  <c r="E215" i="22"/>
  <c r="F215" i="22"/>
  <c r="G215" i="22"/>
  <c r="H215" i="22"/>
  <c r="I215" i="22"/>
  <c r="L215" i="22"/>
  <c r="E216" i="22"/>
  <c r="F216" i="22"/>
  <c r="G216" i="22"/>
  <c r="H216" i="22"/>
  <c r="I216" i="22"/>
  <c r="L216" i="22"/>
  <c r="E217" i="22"/>
  <c r="F217" i="22"/>
  <c r="G217" i="22"/>
  <c r="H217" i="22"/>
  <c r="I217" i="22"/>
  <c r="L217" i="22"/>
  <c r="E218" i="22"/>
  <c r="F218" i="22"/>
  <c r="G218" i="22"/>
  <c r="H218" i="22"/>
  <c r="I218" i="22"/>
  <c r="L218" i="22"/>
  <c r="E219" i="22"/>
  <c r="F219" i="22"/>
  <c r="G219" i="22"/>
  <c r="H219" i="22"/>
  <c r="I219" i="22"/>
  <c r="L219" i="22"/>
  <c r="E220" i="22"/>
  <c r="F220" i="22"/>
  <c r="G220" i="22"/>
  <c r="H220" i="22"/>
  <c r="I220" i="22"/>
  <c r="L220" i="22"/>
  <c r="E221" i="22"/>
  <c r="F221" i="22"/>
  <c r="G221" i="22"/>
  <c r="H221" i="22"/>
  <c r="I221" i="22"/>
  <c r="L221" i="22"/>
  <c r="E222" i="22"/>
  <c r="F222" i="22"/>
  <c r="G222" i="22"/>
  <c r="H222" i="22"/>
  <c r="I222" i="22"/>
  <c r="L222" i="22"/>
  <c r="E223" i="22"/>
  <c r="F223" i="22"/>
  <c r="G223" i="22"/>
  <c r="H223" i="22"/>
  <c r="I223" i="22"/>
  <c r="L223" i="22"/>
  <c r="E224" i="22"/>
  <c r="F224" i="22"/>
  <c r="G224" i="22"/>
  <c r="H224" i="22"/>
  <c r="I224" i="22"/>
  <c r="L224" i="22"/>
  <c r="E225" i="22"/>
  <c r="F225" i="22"/>
  <c r="G225" i="22"/>
  <c r="H225" i="22"/>
  <c r="I225" i="22"/>
  <c r="L225" i="22"/>
  <c r="E226" i="22"/>
  <c r="F226" i="22"/>
  <c r="G226" i="22"/>
  <c r="H226" i="22"/>
  <c r="I226" i="22"/>
  <c r="L226" i="22"/>
  <c r="E227" i="22"/>
  <c r="F227" i="22"/>
  <c r="G227" i="22"/>
  <c r="H227" i="22"/>
  <c r="I227" i="22"/>
  <c r="L227" i="22"/>
  <c r="E228" i="22"/>
  <c r="F228" i="22"/>
  <c r="G228" i="22"/>
  <c r="H228" i="22"/>
  <c r="I228" i="22"/>
  <c r="L228" i="22"/>
  <c r="E229" i="22"/>
  <c r="F229" i="22"/>
  <c r="G229" i="22"/>
  <c r="H229" i="22"/>
  <c r="I229" i="22"/>
  <c r="L229" i="22"/>
  <c r="E230" i="22"/>
  <c r="F230" i="22"/>
  <c r="G230" i="22"/>
  <c r="H230" i="22"/>
  <c r="I230" i="22"/>
  <c r="L230" i="22"/>
  <c r="E231" i="22"/>
  <c r="F231" i="22"/>
  <c r="G231" i="22"/>
  <c r="H231" i="22"/>
  <c r="I231" i="22"/>
  <c r="L231" i="22"/>
  <c r="E232" i="22"/>
  <c r="F232" i="22"/>
  <c r="G232" i="22"/>
  <c r="H232" i="22"/>
  <c r="I232" i="22"/>
  <c r="L232" i="22"/>
  <c r="E233" i="22"/>
  <c r="F233" i="22"/>
  <c r="G233" i="22"/>
  <c r="H233" i="22"/>
  <c r="I233" i="22"/>
  <c r="L233" i="22"/>
  <c r="E234" i="22"/>
  <c r="F234" i="22"/>
  <c r="G234" i="22"/>
  <c r="H234" i="22"/>
  <c r="I234" i="22"/>
  <c r="L234" i="22"/>
  <c r="E235" i="22"/>
  <c r="F235" i="22"/>
  <c r="G235" i="22"/>
  <c r="H235" i="22"/>
  <c r="I235" i="22"/>
  <c r="L235" i="22"/>
  <c r="E236" i="22"/>
  <c r="F236" i="22"/>
  <c r="G236" i="22"/>
  <c r="H236" i="22"/>
  <c r="I236" i="22"/>
  <c r="L236" i="22"/>
  <c r="E237" i="22"/>
  <c r="F237" i="22"/>
  <c r="G237" i="22"/>
  <c r="H237" i="22"/>
  <c r="I237" i="22"/>
  <c r="L237" i="22"/>
  <c r="E238" i="22"/>
  <c r="F238" i="22"/>
  <c r="G238" i="22"/>
  <c r="H238" i="22"/>
  <c r="I238" i="22"/>
  <c r="L238" i="22"/>
  <c r="E239" i="22"/>
  <c r="F239" i="22"/>
  <c r="G239" i="22"/>
  <c r="H239" i="22"/>
  <c r="I239" i="22"/>
  <c r="L239" i="22"/>
  <c r="E240" i="22"/>
  <c r="F240" i="22"/>
  <c r="G240" i="22"/>
  <c r="H240" i="22"/>
  <c r="I240" i="22"/>
  <c r="L240" i="22"/>
  <c r="E241" i="22"/>
  <c r="F241" i="22"/>
  <c r="G241" i="22"/>
  <c r="H241" i="22"/>
  <c r="I241" i="22"/>
  <c r="L241" i="22"/>
  <c r="E242" i="22"/>
  <c r="F242" i="22"/>
  <c r="G242" i="22"/>
  <c r="H242" i="22"/>
  <c r="I242" i="22"/>
  <c r="L242" i="22"/>
  <c r="E243" i="22"/>
  <c r="F243" i="22"/>
  <c r="G243" i="22"/>
  <c r="H243" i="22"/>
  <c r="I243" i="22"/>
  <c r="L243" i="22"/>
  <c r="E244" i="22"/>
  <c r="F244" i="22"/>
  <c r="G244" i="22"/>
  <c r="H244" i="22"/>
  <c r="I244" i="22"/>
  <c r="L244" i="22"/>
  <c r="E245" i="22"/>
  <c r="F245" i="22"/>
  <c r="G245" i="22"/>
  <c r="H245" i="22"/>
  <c r="I245" i="22"/>
  <c r="L245" i="22"/>
  <c r="E246" i="22"/>
  <c r="F246" i="22"/>
  <c r="G246" i="22"/>
  <c r="H246" i="22"/>
  <c r="I246" i="22"/>
  <c r="L246" i="22"/>
  <c r="E247" i="22"/>
  <c r="F247" i="22"/>
  <c r="G247" i="22"/>
  <c r="H247" i="22"/>
  <c r="I247" i="22"/>
  <c r="L247" i="22"/>
  <c r="E248" i="22"/>
  <c r="F248" i="22"/>
  <c r="G248" i="22"/>
  <c r="H248" i="22"/>
  <c r="I248" i="22"/>
  <c r="L248" i="22"/>
  <c r="M249" i="22"/>
  <c r="M7" i="22"/>
  <c r="O7" i="22"/>
  <c r="M8" i="22"/>
  <c r="O8" i="22"/>
  <c r="M9" i="22"/>
  <c r="O9" i="22"/>
  <c r="M10" i="22"/>
  <c r="O10" i="22"/>
  <c r="M11" i="22"/>
  <c r="O11" i="22"/>
  <c r="M12" i="22"/>
  <c r="O12" i="22"/>
  <c r="M13" i="22"/>
  <c r="O13" i="22"/>
  <c r="M14" i="22"/>
  <c r="O14" i="22"/>
  <c r="M15" i="22"/>
  <c r="O15" i="22"/>
  <c r="M16" i="22"/>
  <c r="O16" i="22"/>
  <c r="M17" i="22"/>
  <c r="O17" i="22"/>
  <c r="M18" i="22"/>
  <c r="O18" i="22"/>
  <c r="M19" i="22"/>
  <c r="O19" i="22"/>
  <c r="M20" i="22"/>
  <c r="O20" i="22"/>
  <c r="M21" i="22"/>
  <c r="O21" i="22"/>
  <c r="M22" i="22"/>
  <c r="O22" i="22"/>
  <c r="M23" i="22"/>
  <c r="O23" i="22"/>
  <c r="M24" i="22"/>
  <c r="O24" i="22"/>
  <c r="M25" i="22"/>
  <c r="O25" i="22"/>
  <c r="M26" i="22"/>
  <c r="O26" i="22"/>
  <c r="M27" i="22"/>
  <c r="O27" i="22"/>
  <c r="M28" i="22"/>
  <c r="O28" i="22"/>
  <c r="M29" i="22"/>
  <c r="O29" i="22"/>
  <c r="M30" i="22"/>
  <c r="O30" i="22"/>
  <c r="M31" i="22"/>
  <c r="O31" i="22"/>
  <c r="M32" i="22"/>
  <c r="O32" i="22"/>
  <c r="M33" i="22"/>
  <c r="O33" i="22"/>
  <c r="M34" i="22"/>
  <c r="O34" i="22"/>
  <c r="M35" i="22"/>
  <c r="O35" i="22"/>
  <c r="M36" i="22"/>
  <c r="O36" i="22"/>
  <c r="M37" i="22"/>
  <c r="O37" i="22"/>
  <c r="M38" i="22"/>
  <c r="O38" i="22"/>
  <c r="M39" i="22"/>
  <c r="O39" i="22"/>
  <c r="M40" i="22"/>
  <c r="O40" i="22"/>
  <c r="M41" i="22"/>
  <c r="O41" i="22"/>
  <c r="M42" i="22"/>
  <c r="O42" i="22"/>
  <c r="M43" i="22"/>
  <c r="O43" i="22"/>
  <c r="M44" i="22"/>
  <c r="O44" i="22"/>
  <c r="M45" i="22"/>
  <c r="O45" i="22"/>
  <c r="M46" i="22"/>
  <c r="O46" i="22"/>
  <c r="M47" i="22"/>
  <c r="O47" i="22"/>
  <c r="M48" i="22"/>
  <c r="O48" i="22"/>
  <c r="M49" i="22"/>
  <c r="O49" i="22"/>
  <c r="M50" i="22"/>
  <c r="O50" i="22"/>
  <c r="M51" i="22"/>
  <c r="O51" i="22"/>
  <c r="M52" i="22"/>
  <c r="O52" i="22"/>
  <c r="M53" i="22"/>
  <c r="O53" i="22"/>
  <c r="M54" i="22"/>
  <c r="O54" i="22"/>
  <c r="M55" i="22"/>
  <c r="O55" i="22"/>
  <c r="M56" i="22"/>
  <c r="O56" i="22"/>
  <c r="M57" i="22"/>
  <c r="O57" i="22"/>
  <c r="M58" i="22"/>
  <c r="O58" i="22"/>
  <c r="M59" i="22"/>
  <c r="O59" i="22"/>
  <c r="M60" i="22"/>
  <c r="O60" i="22"/>
  <c r="M61" i="22"/>
  <c r="O61" i="22"/>
  <c r="M62" i="22"/>
  <c r="O62" i="22"/>
  <c r="M63" i="22"/>
  <c r="O63" i="22"/>
  <c r="M64" i="22"/>
  <c r="O64" i="22"/>
  <c r="M65" i="22"/>
  <c r="O65" i="22"/>
  <c r="M66" i="22"/>
  <c r="O66" i="22"/>
  <c r="M67" i="22"/>
  <c r="O67" i="22"/>
  <c r="M68" i="22"/>
  <c r="O68" i="22"/>
  <c r="M69" i="22"/>
  <c r="O69" i="22"/>
  <c r="M70" i="22"/>
  <c r="O70" i="22"/>
  <c r="M71" i="22"/>
  <c r="O71" i="22"/>
  <c r="M72" i="22"/>
  <c r="O72" i="22"/>
  <c r="M73" i="22"/>
  <c r="O73" i="22"/>
  <c r="M74" i="22"/>
  <c r="O74" i="22"/>
  <c r="M75" i="22"/>
  <c r="O75" i="22"/>
  <c r="M76" i="22"/>
  <c r="O76" i="22"/>
  <c r="M77" i="22"/>
  <c r="O77" i="22"/>
  <c r="M78" i="22"/>
  <c r="O78" i="22"/>
  <c r="M79" i="22"/>
  <c r="O79" i="22"/>
  <c r="M80" i="22"/>
  <c r="O80" i="22"/>
  <c r="M81" i="22"/>
  <c r="O81" i="22"/>
  <c r="M82" i="22"/>
  <c r="O82" i="22"/>
  <c r="M83" i="22"/>
  <c r="O83" i="22"/>
  <c r="M84" i="22"/>
  <c r="O84" i="22"/>
  <c r="M85" i="22"/>
  <c r="O85" i="22"/>
  <c r="M86" i="22"/>
  <c r="O86" i="22"/>
  <c r="M87" i="22"/>
  <c r="O87" i="22"/>
  <c r="M88" i="22"/>
  <c r="O88" i="22"/>
  <c r="M89" i="22"/>
  <c r="O89" i="22"/>
  <c r="M90" i="22"/>
  <c r="O90" i="22"/>
  <c r="M91" i="22"/>
  <c r="O91" i="22"/>
  <c r="M92" i="22"/>
  <c r="O92" i="22"/>
  <c r="M93" i="22"/>
  <c r="O93" i="22"/>
  <c r="M94" i="22"/>
  <c r="O94" i="22"/>
  <c r="M95" i="22"/>
  <c r="O95" i="22"/>
  <c r="M96" i="22"/>
  <c r="O96" i="22"/>
  <c r="M97" i="22"/>
  <c r="O97" i="22"/>
  <c r="M98" i="22"/>
  <c r="O98" i="22"/>
  <c r="M99" i="22"/>
  <c r="O99" i="22"/>
  <c r="M100" i="22"/>
  <c r="O100" i="22"/>
  <c r="M101" i="22"/>
  <c r="O101" i="22"/>
  <c r="M102" i="22"/>
  <c r="O102" i="22"/>
  <c r="M103" i="22"/>
  <c r="O103" i="22"/>
  <c r="M104" i="22"/>
  <c r="O104" i="22"/>
  <c r="M105" i="22"/>
  <c r="O105" i="22"/>
  <c r="M106" i="22"/>
  <c r="O106" i="22"/>
  <c r="M107" i="22"/>
  <c r="O107" i="22"/>
  <c r="M108" i="22"/>
  <c r="O108" i="22"/>
  <c r="M109" i="22"/>
  <c r="O109" i="22"/>
  <c r="M110" i="22"/>
  <c r="O110" i="22"/>
  <c r="M111" i="22"/>
  <c r="O111" i="22"/>
  <c r="M112" i="22"/>
  <c r="O112" i="22"/>
  <c r="M113" i="22"/>
  <c r="O113" i="22"/>
  <c r="M114" i="22"/>
  <c r="O114" i="22"/>
  <c r="M115" i="22"/>
  <c r="O115" i="22"/>
  <c r="M116" i="22"/>
  <c r="O116" i="22"/>
  <c r="M117" i="22"/>
  <c r="O117" i="22"/>
  <c r="M118" i="22"/>
  <c r="O118" i="22"/>
  <c r="M119" i="22"/>
  <c r="O119" i="22"/>
  <c r="M120" i="22"/>
  <c r="O120" i="22"/>
  <c r="M121" i="22"/>
  <c r="O121" i="22"/>
  <c r="M122" i="22"/>
  <c r="O122" i="22"/>
  <c r="M123" i="22"/>
  <c r="O123" i="22"/>
  <c r="M124" i="22"/>
  <c r="O124" i="22"/>
  <c r="M125" i="22"/>
  <c r="O125" i="22"/>
  <c r="M126" i="22"/>
  <c r="O126" i="22"/>
  <c r="M127" i="22"/>
  <c r="O127" i="22"/>
  <c r="M128" i="22"/>
  <c r="O128" i="22"/>
  <c r="M129" i="22"/>
  <c r="O129" i="22"/>
  <c r="M130" i="22"/>
  <c r="O130" i="22"/>
  <c r="M131" i="22"/>
  <c r="O131" i="22"/>
  <c r="M132" i="22"/>
  <c r="O132" i="22"/>
  <c r="M133" i="22"/>
  <c r="O133" i="22"/>
  <c r="M134" i="22"/>
  <c r="O134" i="22"/>
  <c r="M135" i="22"/>
  <c r="O135" i="22"/>
  <c r="M136" i="22"/>
  <c r="O136" i="22"/>
  <c r="M137" i="22"/>
  <c r="O137" i="22"/>
  <c r="M138" i="22"/>
  <c r="O138" i="22"/>
  <c r="M139" i="22"/>
  <c r="O139" i="22"/>
  <c r="M140" i="22"/>
  <c r="O140" i="22"/>
  <c r="M141" i="22"/>
  <c r="O141" i="22"/>
  <c r="M142" i="22"/>
  <c r="O142" i="22"/>
  <c r="M143" i="22"/>
  <c r="O143" i="22"/>
  <c r="M144" i="22"/>
  <c r="O144" i="22"/>
  <c r="M145" i="22"/>
  <c r="O145" i="22"/>
  <c r="M146" i="22"/>
  <c r="O146" i="22"/>
  <c r="M147" i="22"/>
  <c r="O147" i="22"/>
  <c r="M148" i="22"/>
  <c r="O148" i="22"/>
  <c r="M149" i="22"/>
  <c r="O149" i="22"/>
  <c r="M150" i="22"/>
  <c r="O150" i="22"/>
  <c r="M151" i="22"/>
  <c r="O151" i="22"/>
  <c r="M152" i="22"/>
  <c r="O152" i="22"/>
  <c r="M153" i="22"/>
  <c r="O153" i="22"/>
  <c r="M154" i="22"/>
  <c r="O154" i="22"/>
  <c r="M155" i="22"/>
  <c r="O155" i="22"/>
  <c r="M156" i="22"/>
  <c r="O156" i="22"/>
  <c r="M157" i="22"/>
  <c r="O157" i="22"/>
  <c r="M158" i="22"/>
  <c r="O158" i="22"/>
  <c r="M159" i="22"/>
  <c r="O159" i="22"/>
  <c r="M160" i="22"/>
  <c r="O160" i="22"/>
  <c r="M161" i="22"/>
  <c r="O161" i="22"/>
  <c r="M162" i="22"/>
  <c r="O162" i="22"/>
  <c r="M163" i="22"/>
  <c r="O163" i="22"/>
  <c r="M164" i="22"/>
  <c r="O164" i="22"/>
  <c r="M165" i="22"/>
  <c r="O165" i="22"/>
  <c r="M166" i="22"/>
  <c r="O166" i="22"/>
  <c r="M167" i="22"/>
  <c r="O167" i="22"/>
  <c r="M168" i="22"/>
  <c r="O168" i="22"/>
  <c r="M169" i="22"/>
  <c r="O169" i="22"/>
  <c r="M170" i="22"/>
  <c r="O170" i="22"/>
  <c r="M171" i="22"/>
  <c r="O171" i="22"/>
  <c r="M172" i="22"/>
  <c r="O172" i="22"/>
  <c r="M173" i="22"/>
  <c r="O173" i="22"/>
  <c r="M174" i="22"/>
  <c r="O174" i="22"/>
  <c r="M175" i="22"/>
  <c r="O175" i="22"/>
  <c r="M176" i="22"/>
  <c r="O176" i="22"/>
  <c r="M177" i="22"/>
  <c r="O177" i="22"/>
  <c r="M178" i="22"/>
  <c r="O178" i="22"/>
  <c r="M179" i="22"/>
  <c r="O179" i="22"/>
  <c r="M180" i="22"/>
  <c r="O180" i="22"/>
  <c r="M181" i="22"/>
  <c r="O181" i="22"/>
  <c r="M182" i="22"/>
  <c r="O182" i="22"/>
  <c r="M183" i="22"/>
  <c r="O183" i="22"/>
  <c r="M184" i="22"/>
  <c r="O184" i="22"/>
  <c r="M185" i="22"/>
  <c r="O185" i="22"/>
  <c r="M186" i="22"/>
  <c r="O186" i="22"/>
  <c r="M187" i="22"/>
  <c r="O187" i="22"/>
  <c r="M188" i="22"/>
  <c r="O188" i="22"/>
  <c r="M189" i="22"/>
  <c r="O189" i="22"/>
  <c r="M190" i="22"/>
  <c r="O190" i="22"/>
  <c r="M191" i="22"/>
  <c r="O191" i="22"/>
  <c r="M192" i="22"/>
  <c r="O192" i="22"/>
  <c r="M193" i="22"/>
  <c r="O193" i="22"/>
  <c r="M194" i="22"/>
  <c r="O194" i="22"/>
  <c r="M195" i="22"/>
  <c r="O195" i="22"/>
  <c r="M196" i="22"/>
  <c r="O196" i="22"/>
  <c r="M197" i="22"/>
  <c r="O197" i="22"/>
  <c r="M198" i="22"/>
  <c r="O198" i="22"/>
  <c r="M199" i="22"/>
  <c r="O199" i="22"/>
  <c r="M200" i="22"/>
  <c r="O200" i="22"/>
  <c r="M201" i="22"/>
  <c r="O201" i="22"/>
  <c r="M202" i="22"/>
  <c r="O202" i="22"/>
  <c r="M203" i="22"/>
  <c r="O203" i="22"/>
  <c r="M204" i="22"/>
  <c r="O204" i="22"/>
  <c r="M205" i="22"/>
  <c r="O205" i="22"/>
  <c r="M206" i="22"/>
  <c r="O206" i="22"/>
  <c r="M207" i="22"/>
  <c r="O207" i="22"/>
  <c r="M208" i="22"/>
  <c r="O208" i="22"/>
  <c r="M209" i="22"/>
  <c r="O209" i="22"/>
  <c r="M210" i="22"/>
  <c r="O210" i="22"/>
  <c r="M211" i="22"/>
  <c r="O211" i="22"/>
  <c r="M212" i="22"/>
  <c r="O212" i="22"/>
  <c r="M213" i="22"/>
  <c r="O213" i="22"/>
  <c r="M214" i="22"/>
  <c r="O214" i="22"/>
  <c r="M215" i="22"/>
  <c r="O215" i="22"/>
  <c r="M216" i="22"/>
  <c r="O216" i="22"/>
  <c r="M217" i="22"/>
  <c r="O217" i="22"/>
  <c r="M218" i="22"/>
  <c r="O218" i="22"/>
  <c r="M219" i="22"/>
  <c r="O219" i="22"/>
  <c r="M220" i="22"/>
  <c r="O220" i="22"/>
  <c r="M221" i="22"/>
  <c r="O221" i="22"/>
  <c r="M222" i="22"/>
  <c r="O222" i="22"/>
  <c r="M223" i="22"/>
  <c r="O223" i="22"/>
  <c r="M224" i="22"/>
  <c r="O224" i="22"/>
  <c r="M225" i="22"/>
  <c r="O225" i="22"/>
  <c r="M226" i="22"/>
  <c r="O226" i="22"/>
  <c r="M227" i="22"/>
  <c r="O227" i="22"/>
  <c r="M228" i="22"/>
  <c r="O228" i="22"/>
  <c r="M229" i="22"/>
  <c r="O229" i="22"/>
  <c r="M230" i="22"/>
  <c r="O230" i="22"/>
  <c r="M231" i="22"/>
  <c r="O231" i="22"/>
  <c r="M232" i="22"/>
  <c r="O232" i="22"/>
  <c r="M233" i="22"/>
  <c r="O233" i="22"/>
  <c r="M234" i="22"/>
  <c r="O234" i="22"/>
  <c r="M235" i="22"/>
  <c r="O235" i="22"/>
  <c r="M236" i="22"/>
  <c r="O236" i="22"/>
  <c r="M237" i="22"/>
  <c r="O237" i="22"/>
  <c r="M238" i="22"/>
  <c r="O238" i="22"/>
  <c r="M239" i="22"/>
  <c r="O239" i="22"/>
  <c r="M240" i="22"/>
  <c r="O240" i="22"/>
  <c r="M241" i="22"/>
  <c r="O241" i="22"/>
  <c r="M242" i="22"/>
  <c r="O242" i="22"/>
  <c r="M243" i="22"/>
  <c r="O243" i="22"/>
  <c r="M244" i="22"/>
  <c r="O244" i="22"/>
  <c r="M245" i="22"/>
  <c r="O245" i="22"/>
  <c r="M246" i="22"/>
  <c r="O246" i="22"/>
  <c r="M247" i="22"/>
  <c r="O247" i="22"/>
  <c r="M248" i="22"/>
  <c r="O248" i="22"/>
  <c r="O249" i="22"/>
  <c r="M250" i="22"/>
  <c r="O250" i="22"/>
  <c r="P249" i="22"/>
  <c r="Q249" i="22"/>
  <c r="R249" i="22"/>
  <c r="P250" i="22"/>
  <c r="R250" i="22"/>
  <c r="I10" i="21"/>
  <c r="I11" i="21"/>
  <c r="I9" i="21"/>
  <c r="E5" i="25"/>
  <c r="F5" i="25"/>
  <c r="G6" i="19"/>
  <c r="H5" i="25"/>
  <c r="E6" i="19"/>
  <c r="E6" i="25"/>
  <c r="F7" i="19"/>
  <c r="F6" i="25"/>
  <c r="H6" i="25"/>
  <c r="F27" i="18"/>
  <c r="G27" i="18"/>
  <c r="E7" i="25"/>
  <c r="F8" i="19"/>
  <c r="F7" i="25"/>
  <c r="G8" i="19"/>
  <c r="H7" i="25"/>
  <c r="E8" i="19"/>
  <c r="E8" i="25"/>
  <c r="F9" i="19"/>
  <c r="F8" i="25"/>
  <c r="G9" i="19"/>
  <c r="H8" i="25"/>
  <c r="E9" i="19"/>
  <c r="E9" i="25"/>
  <c r="F10" i="19"/>
  <c r="F9" i="25"/>
  <c r="G10" i="19"/>
  <c r="H9" i="25"/>
  <c r="E10" i="19"/>
  <c r="E10" i="25"/>
  <c r="I31" i="18"/>
  <c r="F10" i="25"/>
  <c r="G11" i="19"/>
  <c r="H10" i="25"/>
  <c r="E11" i="19"/>
  <c r="E11" i="25"/>
  <c r="F12" i="19"/>
  <c r="F11" i="25"/>
  <c r="G12" i="19"/>
  <c r="H11" i="25"/>
  <c r="E12" i="19"/>
  <c r="E12" i="25"/>
  <c r="F13" i="19"/>
  <c r="F12" i="25"/>
  <c r="G13" i="19"/>
  <c r="H12" i="25"/>
  <c r="E13" i="19"/>
  <c r="E13" i="25"/>
  <c r="F14" i="19"/>
  <c r="F13" i="25"/>
  <c r="H13" i="25"/>
  <c r="E14" i="19"/>
  <c r="E14" i="25"/>
  <c r="F15" i="19"/>
  <c r="F14" i="25"/>
  <c r="G15" i="19"/>
  <c r="H14" i="25"/>
  <c r="E15" i="19"/>
  <c r="E15" i="25"/>
  <c r="F16" i="19"/>
  <c r="F15" i="25"/>
  <c r="G16" i="19"/>
  <c r="H15" i="25"/>
  <c r="E16" i="19"/>
  <c r="E16" i="25"/>
  <c r="I37" i="18"/>
  <c r="F16" i="25"/>
  <c r="G17" i="19"/>
  <c r="H16" i="25"/>
  <c r="E17" i="19"/>
  <c r="E17" i="25"/>
  <c r="F18" i="19"/>
  <c r="F17" i="25"/>
  <c r="G18" i="19"/>
  <c r="H17" i="25"/>
  <c r="E18" i="19"/>
  <c r="E18" i="25"/>
  <c r="F18" i="25"/>
  <c r="G19" i="19"/>
  <c r="H18" i="25"/>
  <c r="E19" i="19"/>
  <c r="E19" i="25"/>
  <c r="F20" i="19"/>
  <c r="F19" i="25"/>
  <c r="G20" i="19"/>
  <c r="H19" i="25"/>
  <c r="E20" i="19"/>
  <c r="E20" i="25"/>
  <c r="F21" i="19"/>
  <c r="F20" i="25"/>
  <c r="G21" i="19"/>
  <c r="H20" i="25"/>
  <c r="E21" i="19"/>
  <c r="E21" i="25"/>
  <c r="F22" i="19"/>
  <c r="F21" i="25"/>
  <c r="H21" i="25"/>
  <c r="E22" i="19"/>
  <c r="E22" i="25"/>
  <c r="F23" i="19"/>
  <c r="F22" i="25"/>
  <c r="G23" i="19"/>
  <c r="H22" i="25"/>
  <c r="E23" i="19"/>
  <c r="E23" i="25"/>
  <c r="F24" i="19"/>
  <c r="F23" i="25"/>
  <c r="G24" i="19"/>
  <c r="H23" i="25"/>
  <c r="E24" i="19"/>
  <c r="E24" i="25"/>
  <c r="F25" i="19"/>
  <c r="F24" i="25"/>
  <c r="L45" i="18"/>
  <c r="M45" i="18"/>
  <c r="H24" i="25"/>
  <c r="E25" i="19"/>
  <c r="E25" i="25"/>
  <c r="F26" i="19"/>
  <c r="F25" i="25"/>
  <c r="G26" i="19"/>
  <c r="H25" i="25"/>
  <c r="E26" i="19"/>
  <c r="E26" i="25"/>
  <c r="F27" i="19"/>
  <c r="F26" i="25"/>
  <c r="G27" i="19"/>
  <c r="H26" i="25"/>
  <c r="E27" i="19"/>
  <c r="E27" i="25"/>
  <c r="F28" i="19"/>
  <c r="F27" i="25"/>
  <c r="G28" i="19"/>
  <c r="H27" i="25"/>
  <c r="E28" i="19"/>
  <c r="E28" i="25"/>
  <c r="F29" i="19"/>
  <c r="H29" i="19"/>
  <c r="F28" i="25"/>
  <c r="G29" i="19"/>
  <c r="H28" i="25"/>
  <c r="E29" i="19"/>
  <c r="E29" i="25"/>
  <c r="F30" i="19"/>
  <c r="F29" i="25"/>
  <c r="H29" i="25"/>
  <c r="E30" i="19"/>
  <c r="E30" i="25"/>
  <c r="F31" i="19"/>
  <c r="F30" i="25"/>
  <c r="G31" i="19"/>
  <c r="H30" i="25"/>
  <c r="E31" i="19"/>
  <c r="E31" i="25"/>
  <c r="F32" i="19"/>
  <c r="F31" i="25"/>
  <c r="G32" i="19"/>
  <c r="H31" i="25"/>
  <c r="E32" i="19"/>
  <c r="E32" i="25"/>
  <c r="F33" i="19"/>
  <c r="F32" i="25"/>
  <c r="G33" i="19"/>
  <c r="H32" i="25"/>
  <c r="E33" i="19"/>
  <c r="E33" i="25"/>
  <c r="F34" i="19"/>
  <c r="F33" i="25"/>
  <c r="G34" i="19"/>
  <c r="H33" i="25"/>
  <c r="E34" i="19"/>
  <c r="E34" i="25"/>
  <c r="F35" i="19"/>
  <c r="F34" i="25"/>
  <c r="G35" i="19"/>
  <c r="H34" i="25"/>
  <c r="E35" i="19"/>
  <c r="E35" i="25"/>
  <c r="F36" i="19"/>
  <c r="F35" i="25"/>
  <c r="G36" i="19"/>
  <c r="H35" i="25"/>
  <c r="E36" i="19"/>
  <c r="E36" i="25"/>
  <c r="F36" i="25"/>
  <c r="H36" i="25"/>
  <c r="E37" i="19"/>
  <c r="E37" i="25"/>
  <c r="F38" i="19"/>
  <c r="F37" i="25"/>
  <c r="G38" i="19"/>
  <c r="H37" i="25"/>
  <c r="E38" i="19"/>
  <c r="E38" i="25"/>
  <c r="F39" i="19"/>
  <c r="F38" i="25"/>
  <c r="G39" i="19"/>
  <c r="H38" i="25"/>
  <c r="E39" i="19"/>
  <c r="E39" i="25"/>
  <c r="F39" i="25"/>
  <c r="G40" i="19"/>
  <c r="H39" i="25"/>
  <c r="E40" i="19"/>
  <c r="E40" i="25"/>
  <c r="F41" i="19"/>
  <c r="F40" i="25"/>
  <c r="G41" i="19"/>
  <c r="H40" i="25"/>
  <c r="E41" i="19"/>
  <c r="E41" i="25"/>
  <c r="F41" i="25"/>
  <c r="G42" i="19"/>
  <c r="H41" i="25"/>
  <c r="E42" i="19"/>
  <c r="E42" i="25"/>
  <c r="F43" i="19"/>
  <c r="F42" i="25"/>
  <c r="G43" i="19"/>
  <c r="H42" i="25"/>
  <c r="E43" i="19"/>
  <c r="E43" i="25"/>
  <c r="F44" i="19"/>
  <c r="F43" i="25"/>
  <c r="G44" i="19"/>
  <c r="H43" i="25"/>
  <c r="E44" i="19"/>
  <c r="E44" i="25"/>
  <c r="F45" i="19"/>
  <c r="F44" i="25"/>
  <c r="G45" i="19"/>
  <c r="H44" i="25"/>
  <c r="E45" i="19"/>
  <c r="E45" i="25"/>
  <c r="F46" i="19"/>
  <c r="F45" i="25"/>
  <c r="G46" i="19"/>
  <c r="H45" i="25"/>
  <c r="E46" i="19"/>
  <c r="E46" i="25"/>
  <c r="F47" i="19"/>
  <c r="F46" i="25"/>
  <c r="G47" i="19"/>
  <c r="H46" i="25"/>
  <c r="E47" i="19"/>
  <c r="E47" i="25"/>
  <c r="F47" i="25"/>
  <c r="G48" i="19"/>
  <c r="H47" i="25"/>
  <c r="E48" i="19"/>
  <c r="E48" i="25"/>
  <c r="F49" i="19"/>
  <c r="F48" i="25"/>
  <c r="G49" i="19"/>
  <c r="H48" i="25"/>
  <c r="F69" i="18"/>
  <c r="E49" i="25"/>
  <c r="F50" i="19"/>
  <c r="F49" i="25"/>
  <c r="G50" i="19"/>
  <c r="H49" i="25"/>
  <c r="E50" i="19"/>
  <c r="E50" i="25"/>
  <c r="F51" i="19"/>
  <c r="F50" i="25"/>
  <c r="H50" i="25"/>
  <c r="E51" i="19"/>
  <c r="E51" i="25"/>
  <c r="F52" i="19"/>
  <c r="F51" i="25"/>
  <c r="G52" i="19"/>
  <c r="H51" i="25"/>
  <c r="E52" i="25"/>
  <c r="F53" i="19"/>
  <c r="F52" i="25"/>
  <c r="G53" i="19"/>
  <c r="H52" i="25"/>
  <c r="E53" i="19"/>
  <c r="E53" i="25"/>
  <c r="F54" i="19"/>
  <c r="F53" i="25"/>
  <c r="G54" i="19"/>
  <c r="H53" i="25"/>
  <c r="E54" i="19"/>
  <c r="E54" i="25"/>
  <c r="I75" i="18"/>
  <c r="F54" i="25"/>
  <c r="G55" i="19"/>
  <c r="H54" i="25"/>
  <c r="E55" i="19"/>
  <c r="E55" i="25"/>
  <c r="F56" i="19"/>
  <c r="F55" i="25"/>
  <c r="G56" i="19"/>
  <c r="H55" i="25"/>
  <c r="E56" i="19"/>
  <c r="E56" i="25"/>
  <c r="F57" i="19"/>
  <c r="F56" i="25"/>
  <c r="G57" i="19"/>
  <c r="H56" i="25"/>
  <c r="E57" i="19"/>
  <c r="E57" i="25"/>
  <c r="F58" i="19"/>
  <c r="F57" i="25"/>
  <c r="G58" i="19"/>
  <c r="H57" i="25"/>
  <c r="F78" i="18"/>
  <c r="G78" i="18"/>
  <c r="E58" i="25"/>
  <c r="F59" i="19"/>
  <c r="F58" i="25"/>
  <c r="H58" i="25"/>
  <c r="E59" i="19"/>
  <c r="E59" i="25"/>
  <c r="F60" i="19"/>
  <c r="F59" i="25"/>
  <c r="L80" i="18"/>
  <c r="H59" i="25"/>
  <c r="E60" i="19"/>
  <c r="E60" i="25"/>
  <c r="F61" i="19"/>
  <c r="F60" i="25"/>
  <c r="G61" i="19"/>
  <c r="H60" i="25"/>
  <c r="E61" i="19"/>
  <c r="E61" i="25"/>
  <c r="F62" i="19"/>
  <c r="F61" i="25"/>
  <c r="H61" i="25"/>
  <c r="E62" i="19"/>
  <c r="E62" i="25"/>
  <c r="F63" i="19"/>
  <c r="F62" i="25"/>
  <c r="G63" i="19"/>
  <c r="H62" i="25"/>
  <c r="E63" i="19"/>
  <c r="E63" i="25"/>
  <c r="F63" i="25"/>
  <c r="G64" i="19"/>
  <c r="H63" i="25"/>
  <c r="E64" i="19"/>
  <c r="E64" i="25"/>
  <c r="F65" i="19"/>
  <c r="F64" i="25"/>
  <c r="G65" i="19"/>
  <c r="H64" i="25"/>
  <c r="F85" i="18"/>
  <c r="E65" i="25"/>
  <c r="F66" i="19"/>
  <c r="F65" i="25"/>
  <c r="G66" i="19"/>
  <c r="H65" i="25"/>
  <c r="E66" i="19"/>
  <c r="E66" i="25"/>
  <c r="F67" i="19"/>
  <c r="F66" i="25"/>
  <c r="H66" i="25"/>
  <c r="E67" i="19"/>
  <c r="E67" i="25"/>
  <c r="F68" i="19"/>
  <c r="F67" i="25"/>
  <c r="G68" i="19"/>
  <c r="H67" i="25"/>
  <c r="E68" i="19"/>
  <c r="E68" i="25"/>
  <c r="F69" i="19"/>
  <c r="F68" i="25"/>
  <c r="G69" i="19"/>
  <c r="H68" i="25"/>
  <c r="E69" i="19"/>
  <c r="E69" i="25"/>
  <c r="F70" i="19"/>
  <c r="F69" i="25"/>
  <c r="G70" i="19"/>
  <c r="H69" i="25"/>
  <c r="E70" i="19"/>
  <c r="E70" i="25"/>
  <c r="F71" i="19"/>
  <c r="F70" i="25"/>
  <c r="H70" i="25"/>
  <c r="E71" i="19"/>
  <c r="E71" i="25"/>
  <c r="F72" i="19"/>
  <c r="F71" i="25"/>
  <c r="G72" i="19"/>
  <c r="H71" i="25"/>
  <c r="F92" i="18"/>
  <c r="E72" i="25"/>
  <c r="F73" i="19"/>
  <c r="F72" i="25"/>
  <c r="G73" i="19"/>
  <c r="H72" i="25"/>
  <c r="E73" i="19"/>
  <c r="E74" i="25"/>
  <c r="F75" i="19"/>
  <c r="F74" i="25"/>
  <c r="G75" i="19"/>
  <c r="H74" i="25"/>
  <c r="E185" i="25"/>
  <c r="F76" i="19"/>
  <c r="F185" i="25"/>
  <c r="G76" i="19"/>
  <c r="H185" i="25"/>
  <c r="E76" i="19"/>
  <c r="E75" i="25"/>
  <c r="F77" i="19"/>
  <c r="F75" i="25"/>
  <c r="G77" i="19"/>
  <c r="H75" i="25"/>
  <c r="E77" i="19"/>
  <c r="E76" i="25"/>
  <c r="F76" i="25"/>
  <c r="G78" i="19"/>
  <c r="H76" i="25"/>
  <c r="E78" i="19"/>
  <c r="E77" i="25"/>
  <c r="F79" i="19"/>
  <c r="F77" i="25"/>
  <c r="G79" i="19"/>
  <c r="H77" i="25"/>
  <c r="E79" i="19"/>
  <c r="E78" i="25"/>
  <c r="F80" i="19"/>
  <c r="F78" i="25"/>
  <c r="G80" i="19"/>
  <c r="H78" i="25"/>
  <c r="E80" i="19"/>
  <c r="E79" i="25"/>
  <c r="F81" i="19"/>
  <c r="F79" i="25"/>
  <c r="H79" i="25"/>
  <c r="E81" i="19"/>
  <c r="E80" i="25"/>
  <c r="F82" i="19"/>
  <c r="F80" i="25"/>
  <c r="G82" i="19"/>
  <c r="H80" i="25"/>
  <c r="E82" i="19"/>
  <c r="E81" i="25"/>
  <c r="F83" i="19"/>
  <c r="F81" i="25"/>
  <c r="G83" i="19"/>
  <c r="H81" i="25"/>
  <c r="E83" i="19"/>
  <c r="E82" i="25"/>
  <c r="F82" i="25"/>
  <c r="H82" i="25"/>
  <c r="E84" i="19"/>
  <c r="E83" i="25"/>
  <c r="F85" i="19"/>
  <c r="F83" i="25"/>
  <c r="G85" i="19"/>
  <c r="H83" i="25"/>
  <c r="E196" i="25"/>
  <c r="F86" i="19"/>
  <c r="F196" i="25"/>
  <c r="G86" i="19"/>
  <c r="H196" i="25"/>
  <c r="E86" i="19"/>
  <c r="E84" i="25"/>
  <c r="F87" i="19"/>
  <c r="F84" i="25"/>
  <c r="G87" i="19"/>
  <c r="H84" i="25"/>
  <c r="E87" i="19"/>
  <c r="E85" i="25"/>
  <c r="F88" i="19"/>
  <c r="F85" i="25"/>
  <c r="G88" i="19"/>
  <c r="H85" i="25"/>
  <c r="E88" i="19"/>
  <c r="E86" i="25"/>
  <c r="F86" i="25"/>
  <c r="G89" i="19"/>
  <c r="H86" i="25"/>
  <c r="E89" i="19"/>
  <c r="E87" i="25"/>
  <c r="F87" i="25"/>
  <c r="G90" i="19"/>
  <c r="H87" i="25"/>
  <c r="E90" i="19"/>
  <c r="E88" i="25"/>
  <c r="F91" i="19"/>
  <c r="F88" i="25"/>
  <c r="G91" i="19"/>
  <c r="H88" i="25"/>
  <c r="E91" i="19"/>
  <c r="E89" i="25"/>
  <c r="F92" i="19"/>
  <c r="F89" i="25"/>
  <c r="H89" i="25"/>
  <c r="E92" i="19"/>
  <c r="E90" i="25"/>
  <c r="F90" i="25"/>
  <c r="G93" i="19"/>
  <c r="H90" i="25"/>
  <c r="E93" i="19"/>
  <c r="E91" i="25"/>
  <c r="F94" i="19"/>
  <c r="F91" i="25"/>
  <c r="G94" i="19"/>
  <c r="H91" i="25"/>
  <c r="E94" i="19"/>
  <c r="E92" i="25"/>
  <c r="F92" i="25"/>
  <c r="G95" i="19"/>
  <c r="H92" i="25"/>
  <c r="E95" i="19"/>
  <c r="E209" i="25"/>
  <c r="F96" i="19"/>
  <c r="F209" i="25"/>
  <c r="G96" i="19"/>
  <c r="H209" i="25"/>
  <c r="E96" i="19"/>
  <c r="E93" i="25"/>
  <c r="F93" i="25"/>
  <c r="G97" i="19"/>
  <c r="H93" i="25"/>
  <c r="E97" i="19"/>
  <c r="E94" i="25"/>
  <c r="F98" i="19"/>
  <c r="F94" i="25"/>
  <c r="G98" i="19"/>
  <c r="H94" i="25"/>
  <c r="E98" i="19"/>
  <c r="E95" i="25"/>
  <c r="F99" i="19"/>
  <c r="F95" i="25"/>
  <c r="G99" i="19"/>
  <c r="H95" i="25"/>
  <c r="E99" i="19"/>
  <c r="E96" i="25"/>
  <c r="F100" i="19"/>
  <c r="F96" i="25"/>
  <c r="L120" i="18"/>
  <c r="H96" i="25"/>
  <c r="E97" i="25"/>
  <c r="F101" i="19"/>
  <c r="F97" i="25"/>
  <c r="G101" i="19"/>
  <c r="H97" i="25"/>
  <c r="E101" i="19"/>
  <c r="E98" i="25"/>
  <c r="F102" i="19"/>
  <c r="F98" i="25"/>
  <c r="G102" i="19"/>
  <c r="H98" i="25"/>
  <c r="E102" i="19"/>
  <c r="E99" i="25"/>
  <c r="F103" i="19"/>
  <c r="F99" i="25"/>
  <c r="G103" i="19"/>
  <c r="H99" i="25"/>
  <c r="E103" i="19"/>
  <c r="E219" i="25"/>
  <c r="F104" i="19"/>
  <c r="F219" i="25"/>
  <c r="G104" i="19"/>
  <c r="H219" i="25"/>
  <c r="E100" i="25"/>
  <c r="F105" i="19"/>
  <c r="F100" i="25"/>
  <c r="G105" i="19"/>
  <c r="H100" i="25"/>
  <c r="E105" i="19"/>
  <c r="E101" i="25"/>
  <c r="F106" i="19"/>
  <c r="F101" i="25"/>
  <c r="G106" i="19"/>
  <c r="H101" i="25"/>
  <c r="E106" i="19"/>
  <c r="E102" i="25"/>
  <c r="F107" i="19"/>
  <c r="F102" i="25"/>
  <c r="G107" i="19"/>
  <c r="H102" i="25"/>
  <c r="E107" i="19"/>
  <c r="E103" i="25"/>
  <c r="F108" i="19"/>
  <c r="F103" i="25"/>
  <c r="H103" i="25"/>
  <c r="E108" i="19"/>
  <c r="E104" i="25"/>
  <c r="F109" i="19"/>
  <c r="F104" i="25"/>
  <c r="G109" i="19"/>
  <c r="H104" i="25"/>
  <c r="E109" i="19"/>
  <c r="E105" i="25"/>
  <c r="F105" i="25"/>
  <c r="G110" i="19"/>
  <c r="H105" i="25"/>
  <c r="E110" i="19"/>
  <c r="E221" i="25"/>
  <c r="F111" i="19"/>
  <c r="F221" i="25"/>
  <c r="G111" i="19"/>
  <c r="H221" i="25"/>
  <c r="E111" i="19"/>
  <c r="E106" i="25"/>
  <c r="F106" i="25"/>
  <c r="G112" i="19"/>
  <c r="H106" i="25"/>
  <c r="E112" i="19"/>
  <c r="E107" i="25"/>
  <c r="F113" i="19"/>
  <c r="F107" i="25"/>
  <c r="G113" i="19"/>
  <c r="H107" i="25"/>
  <c r="E113" i="19"/>
  <c r="E108" i="25"/>
  <c r="F114" i="19"/>
  <c r="F108" i="25"/>
  <c r="G114" i="19"/>
  <c r="H108" i="25"/>
  <c r="E114" i="19"/>
  <c r="E109" i="25"/>
  <c r="F109" i="25"/>
  <c r="G115" i="19"/>
  <c r="H109" i="25"/>
  <c r="E110" i="25"/>
  <c r="F116" i="19"/>
  <c r="F110" i="25"/>
  <c r="G116" i="19"/>
  <c r="H110" i="25"/>
  <c r="E116" i="19"/>
  <c r="E111" i="25"/>
  <c r="F117" i="19"/>
  <c r="F111" i="25"/>
  <c r="G117" i="19"/>
  <c r="H111" i="25"/>
  <c r="E117" i="19"/>
  <c r="E112" i="25"/>
  <c r="F118" i="19"/>
  <c r="F112" i="25"/>
  <c r="H112" i="25"/>
  <c r="E118" i="19"/>
  <c r="E113" i="25"/>
  <c r="F119" i="19"/>
  <c r="F113" i="25"/>
  <c r="G119" i="19"/>
  <c r="H113" i="25"/>
  <c r="E119" i="19"/>
  <c r="E225" i="25"/>
  <c r="F225" i="25"/>
  <c r="G120" i="19"/>
  <c r="H225" i="25"/>
  <c r="E120" i="19"/>
  <c r="E114" i="25"/>
  <c r="F121" i="19"/>
  <c r="F114" i="25"/>
  <c r="H114" i="25"/>
  <c r="E121" i="19"/>
  <c r="E115" i="25"/>
  <c r="F122" i="19"/>
  <c r="F115" i="25"/>
  <c r="G122" i="19"/>
  <c r="H115" i="25"/>
  <c r="E122" i="19"/>
  <c r="E116" i="25"/>
  <c r="F123" i="19"/>
  <c r="F116" i="25"/>
  <c r="H116" i="25"/>
  <c r="E123" i="19"/>
  <c r="E117" i="25"/>
  <c r="F124" i="19"/>
  <c r="F117" i="25"/>
  <c r="G124" i="19"/>
  <c r="H117" i="25"/>
  <c r="E118" i="25"/>
  <c r="F118" i="25"/>
  <c r="G125" i="19"/>
  <c r="H118" i="25"/>
  <c r="E125" i="19"/>
  <c r="E119" i="25"/>
  <c r="F126" i="19"/>
  <c r="F119" i="25"/>
  <c r="G126" i="19"/>
  <c r="H119" i="25"/>
  <c r="E126" i="19"/>
  <c r="E120" i="25"/>
  <c r="F120" i="25"/>
  <c r="G127" i="19"/>
  <c r="H120" i="25"/>
  <c r="E127" i="19"/>
  <c r="E121" i="25"/>
  <c r="F128" i="19"/>
  <c r="F121" i="25"/>
  <c r="G128" i="19"/>
  <c r="H121" i="25"/>
  <c r="E128" i="19"/>
  <c r="E122" i="25"/>
  <c r="F129" i="19"/>
  <c r="F122" i="25"/>
  <c r="H122" i="25"/>
  <c r="E129" i="19"/>
  <c r="E123" i="25"/>
  <c r="F130" i="19"/>
  <c r="F123" i="25"/>
  <c r="G130" i="19"/>
  <c r="H123" i="25"/>
  <c r="E130" i="19"/>
  <c r="E124" i="25"/>
  <c r="F124" i="25"/>
  <c r="H124" i="25"/>
  <c r="E131" i="19"/>
  <c r="E125" i="25"/>
  <c r="F132" i="19"/>
  <c r="F125" i="25"/>
  <c r="G132" i="19"/>
  <c r="H125" i="25"/>
  <c r="E132" i="19"/>
  <c r="E126" i="25"/>
  <c r="F133" i="19"/>
  <c r="F126" i="25"/>
  <c r="H126" i="25"/>
  <c r="E133" i="19"/>
  <c r="E127" i="25"/>
  <c r="F134" i="19"/>
  <c r="F127" i="25"/>
  <c r="H127" i="25"/>
  <c r="E134" i="19"/>
  <c r="E128" i="25"/>
  <c r="F135" i="19"/>
  <c r="F128" i="25"/>
  <c r="G135" i="19"/>
  <c r="H128" i="25"/>
  <c r="E135" i="19"/>
  <c r="E129" i="25"/>
  <c r="F136" i="19"/>
  <c r="F129" i="25"/>
  <c r="G136" i="19"/>
  <c r="H129" i="25"/>
  <c r="E136" i="19"/>
  <c r="E130" i="25"/>
  <c r="F137" i="19"/>
  <c r="F130" i="25"/>
  <c r="G137" i="19"/>
  <c r="H130" i="25"/>
  <c r="E131" i="25"/>
  <c r="F138" i="19"/>
  <c r="F131" i="25"/>
  <c r="G138" i="19"/>
  <c r="H131" i="25"/>
  <c r="E138" i="19"/>
  <c r="E132" i="25"/>
  <c r="F132" i="25"/>
  <c r="G139" i="19"/>
  <c r="H132" i="25"/>
  <c r="E133" i="25"/>
  <c r="F140" i="19"/>
  <c r="F133" i="25"/>
  <c r="G140" i="19"/>
  <c r="H133" i="25"/>
  <c r="E140" i="19"/>
  <c r="E134" i="25"/>
  <c r="F134" i="25"/>
  <c r="H134" i="25"/>
  <c r="E141" i="19"/>
  <c r="E232" i="25"/>
  <c r="F142" i="19"/>
  <c r="F232" i="25"/>
  <c r="G142" i="19"/>
  <c r="H232" i="25"/>
  <c r="E142" i="19"/>
  <c r="E135" i="25"/>
  <c r="F143" i="19"/>
  <c r="F135" i="25"/>
  <c r="G143" i="19"/>
  <c r="H135" i="25"/>
  <c r="F163" i="18"/>
  <c r="G163" i="18"/>
  <c r="E136" i="25"/>
  <c r="F144" i="19"/>
  <c r="F136" i="25"/>
  <c r="G144" i="19"/>
  <c r="H136" i="25"/>
  <c r="E144" i="19"/>
  <c r="E137" i="25"/>
  <c r="F137" i="25"/>
  <c r="G145" i="19"/>
  <c r="H137" i="25"/>
  <c r="E145" i="19"/>
  <c r="E138" i="25"/>
  <c r="F146" i="19"/>
  <c r="F138" i="25"/>
  <c r="H138" i="25"/>
  <c r="E146" i="19"/>
  <c r="E139" i="25"/>
  <c r="F147" i="19"/>
  <c r="F139" i="25"/>
  <c r="H139" i="25"/>
  <c r="E147" i="19"/>
  <c r="E140" i="25"/>
  <c r="F140" i="25"/>
  <c r="G148" i="19"/>
  <c r="H140" i="25"/>
  <c r="E148" i="19"/>
  <c r="E141" i="25"/>
  <c r="F149" i="19"/>
  <c r="F141" i="25"/>
  <c r="G149" i="19"/>
  <c r="H141" i="25"/>
  <c r="E149" i="19"/>
  <c r="E142" i="25"/>
  <c r="I170" i="18"/>
  <c r="F142" i="25"/>
  <c r="G150" i="19"/>
  <c r="H142" i="25"/>
  <c r="E150" i="19"/>
  <c r="E143" i="25"/>
  <c r="F151" i="19"/>
  <c r="F143" i="25"/>
  <c r="H143" i="25"/>
  <c r="E151" i="19"/>
  <c r="E144" i="25"/>
  <c r="F152" i="19"/>
  <c r="F144" i="25"/>
  <c r="G152" i="19"/>
  <c r="H144" i="25"/>
  <c r="E152" i="19"/>
  <c r="E145" i="25"/>
  <c r="F153" i="19"/>
  <c r="F145" i="25"/>
  <c r="H145" i="25"/>
  <c r="E153" i="19"/>
  <c r="E146" i="25"/>
  <c r="F154" i="19"/>
  <c r="F146" i="25"/>
  <c r="G154" i="19"/>
  <c r="H146" i="25"/>
  <c r="E154" i="19"/>
  <c r="E147" i="25"/>
  <c r="F155" i="19"/>
  <c r="F147" i="25"/>
  <c r="H147" i="25"/>
  <c r="E155" i="19"/>
  <c r="E148" i="25"/>
  <c r="F156" i="19"/>
  <c r="F148" i="25"/>
  <c r="H148" i="25"/>
  <c r="E156" i="19"/>
  <c r="E149" i="25"/>
  <c r="F157" i="19"/>
  <c r="F149" i="25"/>
  <c r="G157" i="19"/>
  <c r="H149" i="25"/>
  <c r="E150" i="25"/>
  <c r="F158" i="19"/>
  <c r="F150" i="25"/>
  <c r="G158" i="19"/>
  <c r="H150" i="25"/>
  <c r="E158" i="19"/>
  <c r="E151" i="25"/>
  <c r="F151" i="25"/>
  <c r="G159" i="19"/>
  <c r="H151" i="25"/>
  <c r="E159" i="19"/>
  <c r="E152" i="25"/>
  <c r="F160" i="19"/>
  <c r="F152" i="25"/>
  <c r="G160" i="19"/>
  <c r="H152" i="25"/>
  <c r="E153" i="25"/>
  <c r="F153" i="25"/>
  <c r="G161" i="19"/>
  <c r="H153" i="25"/>
  <c r="E161" i="19"/>
  <c r="E154" i="25"/>
  <c r="F162" i="19"/>
  <c r="F154" i="25"/>
  <c r="G162" i="19"/>
  <c r="H154" i="25"/>
  <c r="E162" i="19"/>
  <c r="E155" i="25"/>
  <c r="F155" i="25"/>
  <c r="G163" i="19"/>
  <c r="H155" i="25"/>
  <c r="E163" i="19"/>
  <c r="E156" i="25"/>
  <c r="F164" i="19"/>
  <c r="F156" i="25"/>
  <c r="G164" i="19"/>
  <c r="H156" i="25"/>
  <c r="E164" i="19"/>
  <c r="E157" i="25"/>
  <c r="F157" i="25"/>
  <c r="G165" i="19"/>
  <c r="H157" i="25"/>
  <c r="E165" i="19"/>
  <c r="E158" i="25"/>
  <c r="F166" i="19"/>
  <c r="F158" i="25"/>
  <c r="G166" i="19"/>
  <c r="H158" i="25"/>
  <c r="E159" i="25"/>
  <c r="F167" i="19"/>
  <c r="F159" i="25"/>
  <c r="G167" i="19"/>
  <c r="H159" i="25"/>
  <c r="E167" i="19"/>
  <c r="E160" i="25"/>
  <c r="F168" i="19"/>
  <c r="F160" i="25"/>
  <c r="G168" i="19"/>
  <c r="H160" i="25"/>
  <c r="E161" i="25"/>
  <c r="F169" i="19"/>
  <c r="F161" i="25"/>
  <c r="G169" i="19"/>
  <c r="H161" i="25"/>
  <c r="E169" i="19"/>
  <c r="E162" i="25"/>
  <c r="F162" i="25"/>
  <c r="G170" i="19"/>
  <c r="H162" i="25"/>
  <c r="E170" i="19"/>
  <c r="E163" i="25"/>
  <c r="F163" i="25"/>
  <c r="G171" i="19"/>
  <c r="H163" i="25"/>
  <c r="E164" i="25"/>
  <c r="F172" i="19"/>
  <c r="F164" i="25"/>
  <c r="G172" i="19"/>
  <c r="H164" i="25"/>
  <c r="E165" i="25"/>
  <c r="G165" i="25"/>
  <c r="I165" i="25"/>
  <c r="F165" i="25"/>
  <c r="G173" i="19"/>
  <c r="H165" i="25"/>
  <c r="E173" i="19"/>
  <c r="E166" i="25"/>
  <c r="F174" i="19"/>
  <c r="F166" i="25"/>
  <c r="G174" i="19"/>
  <c r="H166" i="25"/>
  <c r="E174" i="19"/>
  <c r="E167" i="25"/>
  <c r="F175" i="19"/>
  <c r="F167" i="25"/>
  <c r="H167" i="25"/>
  <c r="E175" i="19"/>
  <c r="E168" i="25"/>
  <c r="F176" i="19"/>
  <c r="F168" i="25"/>
  <c r="G176" i="19"/>
  <c r="H168" i="25"/>
  <c r="E176" i="19"/>
  <c r="E169" i="25"/>
  <c r="F169" i="25"/>
  <c r="H169" i="25"/>
  <c r="E177" i="19"/>
  <c r="E170" i="25"/>
  <c r="F178" i="19"/>
  <c r="F170" i="25"/>
  <c r="H170" i="25"/>
  <c r="E178" i="19"/>
  <c r="E171" i="25"/>
  <c r="F179" i="19"/>
  <c r="F171" i="25"/>
  <c r="H171" i="25"/>
  <c r="E172" i="25"/>
  <c r="F172" i="25"/>
  <c r="G180" i="19"/>
  <c r="H172" i="25"/>
  <c r="E180" i="19"/>
  <c r="E173" i="25"/>
  <c r="F181" i="19"/>
  <c r="F173" i="25"/>
  <c r="G181" i="19"/>
  <c r="H173" i="25"/>
  <c r="E174" i="25"/>
  <c r="F182" i="19"/>
  <c r="F174" i="25"/>
  <c r="G182" i="19"/>
  <c r="H174" i="25"/>
  <c r="E182" i="19"/>
  <c r="E175" i="25"/>
  <c r="F175" i="25"/>
  <c r="G183" i="19"/>
  <c r="H175" i="25"/>
  <c r="E176" i="25"/>
  <c r="F184" i="19"/>
  <c r="F176" i="25"/>
  <c r="G184" i="19"/>
  <c r="H176" i="25"/>
  <c r="E184" i="19"/>
  <c r="E177" i="25"/>
  <c r="F185" i="19"/>
  <c r="F177" i="25"/>
  <c r="G185" i="19"/>
  <c r="H177" i="25"/>
  <c r="E178" i="25"/>
  <c r="F186" i="19"/>
  <c r="F178" i="25"/>
  <c r="G186" i="19"/>
  <c r="H178" i="25"/>
  <c r="E186" i="19"/>
  <c r="E179" i="25"/>
  <c r="F187" i="19"/>
  <c r="F179" i="25"/>
  <c r="G187" i="19"/>
  <c r="H179" i="25"/>
  <c r="E180" i="25"/>
  <c r="F188" i="19"/>
  <c r="F180" i="25"/>
  <c r="H180" i="25"/>
  <c r="E188" i="19"/>
  <c r="E181" i="25"/>
  <c r="F189" i="19"/>
  <c r="F181" i="25"/>
  <c r="G181" i="25"/>
  <c r="I181" i="25"/>
  <c r="H181" i="25"/>
  <c r="E182" i="25"/>
  <c r="I210" i="18"/>
  <c r="F182" i="25"/>
  <c r="G190" i="19"/>
  <c r="H182" i="25"/>
  <c r="E190" i="19"/>
  <c r="E183" i="25"/>
  <c r="F191" i="19"/>
  <c r="F183" i="25"/>
  <c r="G191" i="19"/>
  <c r="H183" i="25"/>
  <c r="F211" i="18"/>
  <c r="G211" i="18"/>
  <c r="E184" i="25"/>
  <c r="F192" i="19"/>
  <c r="F184" i="25"/>
  <c r="G192" i="19"/>
  <c r="H184" i="25"/>
  <c r="E192" i="19"/>
  <c r="E186" i="25"/>
  <c r="F186" i="25"/>
  <c r="G193" i="19"/>
  <c r="H186" i="25"/>
  <c r="E193" i="19"/>
  <c r="E187" i="25"/>
  <c r="F194" i="19"/>
  <c r="F187" i="25"/>
  <c r="G194" i="19"/>
  <c r="H187" i="25"/>
  <c r="E194" i="19"/>
  <c r="E188" i="25"/>
  <c r="F188" i="25"/>
  <c r="G195" i="19"/>
  <c r="H188" i="25"/>
  <c r="E195" i="19"/>
  <c r="E189" i="25"/>
  <c r="F196" i="19"/>
  <c r="F189" i="25"/>
  <c r="G196" i="19"/>
  <c r="H189" i="25"/>
  <c r="E196" i="19"/>
  <c r="E190" i="25"/>
  <c r="F197" i="19"/>
  <c r="F190" i="25"/>
  <c r="H190" i="25"/>
  <c r="E197" i="19"/>
  <c r="E191" i="25"/>
  <c r="F198" i="19"/>
  <c r="F191" i="25"/>
  <c r="G198" i="19"/>
  <c r="H191" i="25"/>
  <c r="E198" i="19"/>
  <c r="E192" i="25"/>
  <c r="F192" i="25"/>
  <c r="G199" i="19"/>
  <c r="H192" i="25"/>
  <c r="F219" i="18"/>
  <c r="G219" i="18"/>
  <c r="E193" i="25"/>
  <c r="F200" i="19"/>
  <c r="H200" i="19"/>
  <c r="F193" i="25"/>
  <c r="G200" i="19"/>
  <c r="H193" i="25"/>
  <c r="E200" i="19"/>
  <c r="E194" i="25"/>
  <c r="I221" i="18"/>
  <c r="J221" i="18"/>
  <c r="F194" i="25"/>
  <c r="G201" i="19"/>
  <c r="H194" i="25"/>
  <c r="E201" i="19"/>
  <c r="E195" i="25"/>
  <c r="F202" i="19"/>
  <c r="F195" i="25"/>
  <c r="H195" i="25"/>
  <c r="E202" i="19"/>
  <c r="E197" i="25"/>
  <c r="F203" i="19"/>
  <c r="F197" i="25"/>
  <c r="H197" i="25"/>
  <c r="E198" i="25"/>
  <c r="F204" i="19"/>
  <c r="F198" i="25"/>
  <c r="G204" i="19"/>
  <c r="H198" i="25"/>
  <c r="E204" i="19"/>
  <c r="E199" i="25"/>
  <c r="F199" i="25"/>
  <c r="G205" i="19"/>
  <c r="H199" i="25"/>
  <c r="E200" i="25"/>
  <c r="F206" i="19"/>
  <c r="F200" i="25"/>
  <c r="G206" i="19"/>
  <c r="H200" i="25"/>
  <c r="E201" i="25"/>
  <c r="F207" i="19"/>
  <c r="F201" i="25"/>
  <c r="G207" i="19"/>
  <c r="H201" i="25"/>
  <c r="E202" i="25"/>
  <c r="I228" i="18"/>
  <c r="F202" i="25"/>
  <c r="G208" i="19"/>
  <c r="H202" i="25"/>
  <c r="E208" i="19"/>
  <c r="E203" i="25"/>
  <c r="F209" i="19"/>
  <c r="F203" i="25"/>
  <c r="G209" i="19"/>
  <c r="H203" i="25"/>
  <c r="E204" i="25"/>
  <c r="F210" i="19"/>
  <c r="F204" i="25"/>
  <c r="H204" i="25"/>
  <c r="E210" i="19"/>
  <c r="E205" i="25"/>
  <c r="F211" i="19"/>
  <c r="F205" i="25"/>
  <c r="G211" i="19"/>
  <c r="H205" i="25"/>
  <c r="E206" i="25"/>
  <c r="F206" i="25"/>
  <c r="G212" i="19"/>
  <c r="H206" i="25"/>
  <c r="E212" i="19"/>
  <c r="E207" i="25"/>
  <c r="F207" i="25"/>
  <c r="G213" i="19"/>
  <c r="H207" i="25"/>
  <c r="E213" i="19"/>
  <c r="E208" i="25"/>
  <c r="F214" i="19"/>
  <c r="F208" i="25"/>
  <c r="H208" i="25"/>
  <c r="E214" i="19"/>
  <c r="E210" i="25"/>
  <c r="F210" i="25"/>
  <c r="G215" i="19"/>
  <c r="H210" i="25"/>
  <c r="E215" i="19"/>
  <c r="E211" i="25"/>
  <c r="F211" i="25"/>
  <c r="G216" i="19"/>
  <c r="H211" i="25"/>
  <c r="E216" i="19"/>
  <c r="E212" i="25"/>
  <c r="F212" i="25"/>
  <c r="G217" i="19"/>
  <c r="H212" i="25"/>
  <c r="F237" i="18"/>
  <c r="E213" i="25"/>
  <c r="F218" i="19"/>
  <c r="F213" i="25"/>
  <c r="H213" i="25"/>
  <c r="E214" i="25"/>
  <c r="F219" i="19"/>
  <c r="F214" i="25"/>
  <c r="G219" i="19"/>
  <c r="H214" i="25"/>
  <c r="E219" i="19"/>
  <c r="E215" i="25"/>
  <c r="F215" i="25"/>
  <c r="H215" i="25"/>
  <c r="E220" i="19"/>
  <c r="E216" i="25"/>
  <c r="F221" i="19"/>
  <c r="F216" i="25"/>
  <c r="H216" i="25"/>
  <c r="E217" i="25"/>
  <c r="F222" i="19"/>
  <c r="F217" i="25"/>
  <c r="L242" i="18"/>
  <c r="M242" i="18"/>
  <c r="H217" i="25"/>
  <c r="E222" i="19"/>
  <c r="E218" i="25"/>
  <c r="F218" i="25"/>
  <c r="H218" i="25"/>
  <c r="E223" i="19"/>
  <c r="E220" i="25"/>
  <c r="F224" i="19"/>
  <c r="F220" i="25"/>
  <c r="H220" i="25"/>
  <c r="E224" i="19"/>
  <c r="E222" i="25"/>
  <c r="F222" i="25"/>
  <c r="G225" i="19"/>
  <c r="H222" i="25"/>
  <c r="E223" i="25"/>
  <c r="F226" i="19"/>
  <c r="F223" i="25"/>
  <c r="G226" i="19"/>
  <c r="H223" i="25"/>
  <c r="E224" i="25"/>
  <c r="F227" i="19"/>
  <c r="F224" i="25"/>
  <c r="G227" i="19"/>
  <c r="H224" i="25"/>
  <c r="E227" i="19"/>
  <c r="E226" i="25"/>
  <c r="F228" i="19"/>
  <c r="F226" i="25"/>
  <c r="H226" i="25"/>
  <c r="E228" i="19"/>
  <c r="E227" i="25"/>
  <c r="F229" i="19"/>
  <c r="F227" i="25"/>
  <c r="H227" i="25"/>
  <c r="E228" i="25"/>
  <c r="I250" i="18"/>
  <c r="J250" i="18"/>
  <c r="F228" i="25"/>
  <c r="G230" i="19"/>
  <c r="H228" i="25"/>
  <c r="E230" i="19"/>
  <c r="E229" i="25"/>
  <c r="F231" i="19"/>
  <c r="F229" i="25"/>
  <c r="H229" i="25"/>
  <c r="F251" i="18"/>
  <c r="E230" i="25"/>
  <c r="F232" i="19"/>
  <c r="F230" i="25"/>
  <c r="G232" i="19"/>
  <c r="H230" i="25"/>
  <c r="E232" i="19"/>
  <c r="E231" i="25"/>
  <c r="F231" i="25"/>
  <c r="H231" i="25"/>
  <c r="E233" i="19"/>
  <c r="E233" i="25"/>
  <c r="F234" i="19"/>
  <c r="F233" i="25"/>
  <c r="G234" i="19"/>
  <c r="H233" i="25"/>
  <c r="E234" i="19"/>
  <c r="E234" i="25"/>
  <c r="F234" i="25"/>
  <c r="H234" i="25"/>
  <c r="E235" i="25"/>
  <c r="F236" i="19"/>
  <c r="F235" i="25"/>
  <c r="G236" i="19"/>
  <c r="H235" i="25"/>
  <c r="E236" i="19"/>
  <c r="E236" i="25"/>
  <c r="F236" i="25"/>
  <c r="G237" i="19"/>
  <c r="H236" i="25"/>
  <c r="E237" i="25"/>
  <c r="F237" i="25"/>
  <c r="G238" i="19"/>
  <c r="H237" i="25"/>
  <c r="E238" i="19"/>
  <c r="E238" i="25"/>
  <c r="F239" i="19"/>
  <c r="F238" i="25"/>
  <c r="G239" i="19"/>
  <c r="H238" i="25"/>
  <c r="E239" i="19"/>
  <c r="E239" i="25"/>
  <c r="F239" i="25"/>
  <c r="G240" i="19"/>
  <c r="H239" i="25"/>
  <c r="E240" i="19"/>
  <c r="E240" i="25"/>
  <c r="F241" i="19"/>
  <c r="F240" i="25"/>
  <c r="H240" i="25"/>
  <c r="E241" i="25"/>
  <c r="F242" i="19"/>
  <c r="F241" i="25"/>
  <c r="G242" i="19"/>
  <c r="H241" i="25"/>
  <c r="E242" i="19"/>
  <c r="E242" i="25"/>
  <c r="F243" i="19"/>
  <c r="F242" i="25"/>
  <c r="H242" i="25"/>
  <c r="E243" i="25"/>
  <c r="F243" i="25"/>
  <c r="G244" i="19"/>
  <c r="H243" i="25"/>
  <c r="E244" i="19"/>
  <c r="E244" i="25"/>
  <c r="F245" i="19"/>
  <c r="F244" i="25"/>
  <c r="L265" i="18"/>
  <c r="M265" i="18"/>
  <c r="H244" i="25"/>
  <c r="E245" i="19"/>
  <c r="E245" i="25"/>
  <c r="F245" i="25"/>
  <c r="H245" i="25"/>
  <c r="E246" i="19"/>
  <c r="E246" i="25"/>
  <c r="I267" i="18"/>
  <c r="F246" i="25"/>
  <c r="G247" i="19"/>
  <c r="H246" i="25"/>
  <c r="E247" i="25"/>
  <c r="F247" i="25"/>
  <c r="G248" i="19"/>
  <c r="H247" i="25"/>
  <c r="E248" i="19"/>
  <c r="E248" i="25"/>
  <c r="F249" i="19"/>
  <c r="F248" i="25"/>
  <c r="G249" i="19"/>
  <c r="H248" i="25"/>
  <c r="E249" i="19"/>
  <c r="E249" i="25"/>
  <c r="F249" i="25"/>
  <c r="G250" i="19"/>
  <c r="H249" i="25"/>
  <c r="E250" i="19"/>
  <c r="E250" i="25"/>
  <c r="F251" i="19"/>
  <c r="F250" i="25"/>
  <c r="G251" i="19"/>
  <c r="H250" i="25"/>
  <c r="F271" i="18"/>
  <c r="G271" i="18"/>
  <c r="E251" i="25"/>
  <c r="F252" i="19"/>
  <c r="F251" i="25"/>
  <c r="G252" i="19"/>
  <c r="H251" i="25"/>
  <c r="E252" i="19"/>
  <c r="E252" i="25"/>
  <c r="F253" i="19"/>
  <c r="F252" i="25"/>
  <c r="G253" i="19"/>
  <c r="H252" i="25"/>
  <c r="E253" i="19"/>
  <c r="E253" i="25"/>
  <c r="F253" i="25"/>
  <c r="G254" i="19"/>
  <c r="H253" i="25"/>
  <c r="E254" i="19"/>
  <c r="AC24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119" i="21"/>
  <c r="F120" i="21"/>
  <c r="F121" i="21"/>
  <c r="F122" i="21"/>
  <c r="F123" i="21"/>
  <c r="F124" i="21"/>
  <c r="F125" i="21"/>
  <c r="F126" i="21"/>
  <c r="F127" i="21"/>
  <c r="F128" i="21"/>
  <c r="F129" i="2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F166" i="21"/>
  <c r="F167" i="21"/>
  <c r="F168" i="21"/>
  <c r="F169" i="21"/>
  <c r="F170" i="21"/>
  <c r="F171" i="21"/>
  <c r="F172" i="21"/>
  <c r="F173" i="21"/>
  <c r="F174" i="21"/>
  <c r="F175" i="21"/>
  <c r="F176" i="21"/>
  <c r="F177" i="21"/>
  <c r="F178" i="21"/>
  <c r="F179" i="21"/>
  <c r="F180" i="21"/>
  <c r="F181" i="21"/>
  <c r="F182" i="21"/>
  <c r="F183" i="21"/>
  <c r="F184" i="21"/>
  <c r="F185" i="21"/>
  <c r="F186" i="21"/>
  <c r="F187" i="21"/>
  <c r="F188" i="21"/>
  <c r="F189" i="21"/>
  <c r="F190" i="21"/>
  <c r="F191" i="21"/>
  <c r="F192" i="21"/>
  <c r="F193" i="21"/>
  <c r="F194" i="21"/>
  <c r="F195" i="21"/>
  <c r="F196" i="21"/>
  <c r="F197" i="21"/>
  <c r="F198" i="21"/>
  <c r="F199" i="21"/>
  <c r="F200" i="21"/>
  <c r="F201" i="21"/>
  <c r="F202" i="21"/>
  <c r="F203" i="21"/>
  <c r="F204" i="21"/>
  <c r="F205" i="21"/>
  <c r="F206" i="21"/>
  <c r="F207" i="21"/>
  <c r="F208" i="21"/>
  <c r="F209" i="21"/>
  <c r="F210" i="21"/>
  <c r="F211" i="21"/>
  <c r="F212" i="21"/>
  <c r="F213" i="21"/>
  <c r="F214" i="21"/>
  <c r="F215" i="21"/>
  <c r="F216" i="21"/>
  <c r="F217" i="21"/>
  <c r="F218" i="21"/>
  <c r="F219" i="21"/>
  <c r="F220" i="21"/>
  <c r="F221" i="21"/>
  <c r="F222" i="21"/>
  <c r="F223" i="21"/>
  <c r="F224" i="21"/>
  <c r="F225" i="21"/>
  <c r="F226" i="21"/>
  <c r="F227" i="21"/>
  <c r="F228" i="21"/>
  <c r="F229" i="21"/>
  <c r="F230" i="21"/>
  <c r="F231" i="21"/>
  <c r="F232" i="21"/>
  <c r="F233" i="21"/>
  <c r="F234" i="21"/>
  <c r="F235" i="21"/>
  <c r="F236" i="21"/>
  <c r="F237" i="21"/>
  <c r="F238" i="21"/>
  <c r="F239" i="21"/>
  <c r="F240" i="21"/>
  <c r="F241" i="21"/>
  <c r="F242" i="21"/>
  <c r="F243" i="21"/>
  <c r="F244" i="21"/>
  <c r="F245" i="21"/>
  <c r="F246" i="21"/>
  <c r="F247" i="21"/>
  <c r="F248" i="21"/>
  <c r="F249" i="21"/>
  <c r="F250" i="21"/>
  <c r="F251" i="21"/>
  <c r="F252" i="21"/>
  <c r="F253" i="21"/>
  <c r="F254" i="21"/>
  <c r="F255" i="21"/>
  <c r="F256" i="21"/>
  <c r="F257" i="21"/>
  <c r="F258" i="21"/>
  <c r="F259" i="21"/>
  <c r="F260" i="21"/>
  <c r="F261" i="21"/>
  <c r="F262" i="21"/>
  <c r="F263" i="21"/>
  <c r="F264" i="21"/>
  <c r="F265" i="21"/>
  <c r="F266" i="21"/>
  <c r="F267" i="21"/>
  <c r="F268" i="21"/>
  <c r="F269" i="21"/>
  <c r="F270" i="21"/>
  <c r="F24" i="21"/>
  <c r="E19" i="21"/>
  <c r="N269" i="21"/>
  <c r="L270" i="21"/>
  <c r="M270" i="21"/>
  <c r="I270" i="21"/>
  <c r="J270" i="21"/>
  <c r="P219" i="22"/>
  <c r="R219" i="22"/>
  <c r="V11" i="21"/>
  <c r="U11" i="21"/>
  <c r="P167" i="22"/>
  <c r="R167" i="22"/>
  <c r="V10" i="21"/>
  <c r="U10" i="21"/>
  <c r="P106" i="22"/>
  <c r="R106" i="22"/>
  <c r="U9" i="21"/>
  <c r="P61" i="22"/>
  <c r="R61" i="22"/>
  <c r="S61" i="22"/>
  <c r="V8" i="21"/>
  <c r="U8" i="21"/>
  <c r="P40" i="22"/>
  <c r="R40" i="22"/>
  <c r="V7" i="21"/>
  <c r="U7" i="21"/>
  <c r="P25" i="22"/>
  <c r="R25" i="22"/>
  <c r="V6" i="21"/>
  <c r="U6" i="21"/>
  <c r="P18" i="22"/>
  <c r="R18" i="22"/>
  <c r="V5" i="21"/>
  <c r="U5" i="21"/>
  <c r="P12" i="22"/>
  <c r="R12" i="22"/>
  <c r="V4" i="21"/>
  <c r="U4" i="21"/>
  <c r="U3" i="21"/>
  <c r="G269" i="21"/>
  <c r="I269" i="21"/>
  <c r="J269" i="21"/>
  <c r="L269" i="21"/>
  <c r="M269" i="21"/>
  <c r="G270" i="21"/>
  <c r="N270" i="21"/>
  <c r="O270" i="21"/>
  <c r="Q270" i="21"/>
  <c r="F3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3" i="26"/>
  <c r="H3" i="26"/>
  <c r="E3" i="26"/>
  <c r="I5" i="26"/>
  <c r="I6" i="26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3" i="26"/>
  <c r="I64" i="26"/>
  <c r="I65" i="26"/>
  <c r="I66" i="26"/>
  <c r="I67" i="26"/>
  <c r="I68" i="26"/>
  <c r="I69" i="26"/>
  <c r="I70" i="26"/>
  <c r="I71" i="26"/>
  <c r="I72" i="26"/>
  <c r="I73" i="26"/>
  <c r="I74" i="26"/>
  <c r="I75" i="26"/>
  <c r="I76" i="26"/>
  <c r="I77" i="26"/>
  <c r="I78" i="26"/>
  <c r="I79" i="26"/>
  <c r="I80" i="26"/>
  <c r="I81" i="26"/>
  <c r="I82" i="26"/>
  <c r="I83" i="26"/>
  <c r="I84" i="26"/>
  <c r="I85" i="26"/>
  <c r="I86" i="26"/>
  <c r="I87" i="26"/>
  <c r="I88" i="26"/>
  <c r="I89" i="26"/>
  <c r="I90" i="26"/>
  <c r="I91" i="26"/>
  <c r="I92" i="26"/>
  <c r="I93" i="26"/>
  <c r="I94" i="26"/>
  <c r="I95" i="26"/>
  <c r="I96" i="26"/>
  <c r="I97" i="26"/>
  <c r="I98" i="26"/>
  <c r="I99" i="26"/>
  <c r="I100" i="26"/>
  <c r="I101" i="26"/>
  <c r="I102" i="26"/>
  <c r="I103" i="26"/>
  <c r="I104" i="26"/>
  <c r="I105" i="26"/>
  <c r="I106" i="26"/>
  <c r="I107" i="26"/>
  <c r="I108" i="26"/>
  <c r="I109" i="26"/>
  <c r="I110" i="26"/>
  <c r="I111" i="26"/>
  <c r="I112" i="26"/>
  <c r="I113" i="26"/>
  <c r="I114" i="26"/>
  <c r="I115" i="26"/>
  <c r="I116" i="26"/>
  <c r="I117" i="26"/>
  <c r="I118" i="26"/>
  <c r="I119" i="26"/>
  <c r="I120" i="26"/>
  <c r="I121" i="26"/>
  <c r="I122" i="26"/>
  <c r="I123" i="26"/>
  <c r="I124" i="26"/>
  <c r="I125" i="26"/>
  <c r="I126" i="26"/>
  <c r="I127" i="26"/>
  <c r="I128" i="26"/>
  <c r="I129" i="26"/>
  <c r="I130" i="26"/>
  <c r="I131" i="26"/>
  <c r="I132" i="26"/>
  <c r="I133" i="26"/>
  <c r="I134" i="26"/>
  <c r="I135" i="26"/>
  <c r="I136" i="26"/>
  <c r="I137" i="26"/>
  <c r="I138" i="26"/>
  <c r="I139" i="26"/>
  <c r="I140" i="26"/>
  <c r="I141" i="26"/>
  <c r="I142" i="26"/>
  <c r="I143" i="26"/>
  <c r="I144" i="26"/>
  <c r="I145" i="26"/>
  <c r="I146" i="26"/>
  <c r="I147" i="26"/>
  <c r="I148" i="26"/>
  <c r="I149" i="26"/>
  <c r="I150" i="26"/>
  <c r="I151" i="26"/>
  <c r="I152" i="26"/>
  <c r="I153" i="26"/>
  <c r="I154" i="26"/>
  <c r="I155" i="26"/>
  <c r="I156" i="26"/>
  <c r="I157" i="26"/>
  <c r="I158" i="26"/>
  <c r="I159" i="26"/>
  <c r="I160" i="26"/>
  <c r="I161" i="26"/>
  <c r="I162" i="26"/>
  <c r="I163" i="26"/>
  <c r="I164" i="26"/>
  <c r="I165" i="26"/>
  <c r="I166" i="26"/>
  <c r="I167" i="26"/>
  <c r="I168" i="26"/>
  <c r="I169" i="26"/>
  <c r="I170" i="26"/>
  <c r="I171" i="26"/>
  <c r="I172" i="26"/>
  <c r="I173" i="26"/>
  <c r="I174" i="26"/>
  <c r="I175" i="26"/>
  <c r="I176" i="26"/>
  <c r="I177" i="26"/>
  <c r="I178" i="26"/>
  <c r="I179" i="26"/>
  <c r="I180" i="26"/>
  <c r="I181" i="26"/>
  <c r="I182" i="26"/>
  <c r="I183" i="26"/>
  <c r="I184" i="26"/>
  <c r="I185" i="26"/>
  <c r="I186" i="26"/>
  <c r="I187" i="26"/>
  <c r="I188" i="26"/>
  <c r="I189" i="26"/>
  <c r="I190" i="26"/>
  <c r="I191" i="26"/>
  <c r="I192" i="26"/>
  <c r="I193" i="26"/>
  <c r="I194" i="26"/>
  <c r="I195" i="26"/>
  <c r="I196" i="26"/>
  <c r="I197" i="26"/>
  <c r="I198" i="26"/>
  <c r="I199" i="26"/>
  <c r="I200" i="26"/>
  <c r="I201" i="26"/>
  <c r="I202" i="26"/>
  <c r="I203" i="26"/>
  <c r="I204" i="26"/>
  <c r="I205" i="26"/>
  <c r="I206" i="26"/>
  <c r="I207" i="26"/>
  <c r="I208" i="26"/>
  <c r="I209" i="26"/>
  <c r="I210" i="26"/>
  <c r="I211" i="26"/>
  <c r="I212" i="26"/>
  <c r="I213" i="26"/>
  <c r="I214" i="26"/>
  <c r="I215" i="26"/>
  <c r="I216" i="26"/>
  <c r="I217" i="26"/>
  <c r="I218" i="26"/>
  <c r="I219" i="26"/>
  <c r="I220" i="26"/>
  <c r="I221" i="26"/>
  <c r="I222" i="26"/>
  <c r="I223" i="26"/>
  <c r="I224" i="26"/>
  <c r="I225" i="26"/>
  <c r="I226" i="26"/>
  <c r="I227" i="26"/>
  <c r="I228" i="26"/>
  <c r="I229" i="26"/>
  <c r="I230" i="26"/>
  <c r="I231" i="26"/>
  <c r="I232" i="26"/>
  <c r="I233" i="26"/>
  <c r="I234" i="26"/>
  <c r="I235" i="26"/>
  <c r="I236" i="26"/>
  <c r="I237" i="26"/>
  <c r="I238" i="26"/>
  <c r="I239" i="26"/>
  <c r="I240" i="26"/>
  <c r="I241" i="26"/>
  <c r="I242" i="26"/>
  <c r="I243" i="26"/>
  <c r="I244" i="26"/>
  <c r="I245" i="26"/>
  <c r="I246" i="26"/>
  <c r="I247" i="26"/>
  <c r="I248" i="26"/>
  <c r="I249" i="26"/>
  <c r="I2" i="26" a="1"/>
  <c r="I2" i="26"/>
  <c r="I1" i="26" a="1"/>
  <c r="I1" i="26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L82" i="21"/>
  <c r="L83" i="21"/>
  <c r="L84" i="21"/>
  <c r="L85" i="21"/>
  <c r="L86" i="21"/>
  <c r="L87" i="21"/>
  <c r="L88" i="21"/>
  <c r="L89" i="21"/>
  <c r="L90" i="21"/>
  <c r="L91" i="21"/>
  <c r="L92" i="21"/>
  <c r="L93" i="21"/>
  <c r="L94" i="21"/>
  <c r="L95" i="21"/>
  <c r="L96" i="21"/>
  <c r="L97" i="21"/>
  <c r="L98" i="21"/>
  <c r="L99" i="21"/>
  <c r="L100" i="21"/>
  <c r="L101" i="21"/>
  <c r="L102" i="21"/>
  <c r="L103" i="21"/>
  <c r="L104" i="21"/>
  <c r="L105" i="21"/>
  <c r="L106" i="21"/>
  <c r="L107" i="21"/>
  <c r="L108" i="21"/>
  <c r="L109" i="21"/>
  <c r="L110" i="21"/>
  <c r="L111" i="21"/>
  <c r="L112" i="21"/>
  <c r="L113" i="21"/>
  <c r="L114" i="21"/>
  <c r="L115" i="21"/>
  <c r="L116" i="21"/>
  <c r="L117" i="21"/>
  <c r="L118" i="21"/>
  <c r="L119" i="21"/>
  <c r="L120" i="21"/>
  <c r="L121" i="21"/>
  <c r="L122" i="21"/>
  <c r="L123" i="21"/>
  <c r="L124" i="21"/>
  <c r="L125" i="21"/>
  <c r="L126" i="21"/>
  <c r="L127" i="21"/>
  <c r="L128" i="21"/>
  <c r="L129" i="21"/>
  <c r="L130" i="21"/>
  <c r="L131" i="21"/>
  <c r="L132" i="21"/>
  <c r="L133" i="21"/>
  <c r="L134" i="21"/>
  <c r="L135" i="21"/>
  <c r="L136" i="21"/>
  <c r="L137" i="21"/>
  <c r="L138" i="21"/>
  <c r="L139" i="21"/>
  <c r="L140" i="21"/>
  <c r="L141" i="21"/>
  <c r="L142" i="21"/>
  <c r="L143" i="21"/>
  <c r="L144" i="21"/>
  <c r="L145" i="21"/>
  <c r="L146" i="21"/>
  <c r="L147" i="21"/>
  <c r="L148" i="21"/>
  <c r="L149" i="21"/>
  <c r="L150" i="21"/>
  <c r="L151" i="21"/>
  <c r="L152" i="21"/>
  <c r="L153" i="21"/>
  <c r="L154" i="21"/>
  <c r="L155" i="21"/>
  <c r="L156" i="21"/>
  <c r="L157" i="21"/>
  <c r="L158" i="21"/>
  <c r="L159" i="21"/>
  <c r="L160" i="21"/>
  <c r="L161" i="21"/>
  <c r="L162" i="21"/>
  <c r="L163" i="21"/>
  <c r="L164" i="21"/>
  <c r="L165" i="21"/>
  <c r="L166" i="21"/>
  <c r="L167" i="21"/>
  <c r="L168" i="21"/>
  <c r="L169" i="21"/>
  <c r="L170" i="21"/>
  <c r="L171" i="21"/>
  <c r="L172" i="21"/>
  <c r="L173" i="21"/>
  <c r="L174" i="21"/>
  <c r="L175" i="21"/>
  <c r="L176" i="21"/>
  <c r="L177" i="21"/>
  <c r="L178" i="21"/>
  <c r="L179" i="21"/>
  <c r="L180" i="21"/>
  <c r="L181" i="21"/>
  <c r="L182" i="21"/>
  <c r="L183" i="21"/>
  <c r="L184" i="21"/>
  <c r="L185" i="21"/>
  <c r="L186" i="21"/>
  <c r="L187" i="21"/>
  <c r="L188" i="21"/>
  <c r="L189" i="21"/>
  <c r="L190" i="21"/>
  <c r="L191" i="21"/>
  <c r="L192" i="21"/>
  <c r="L193" i="21"/>
  <c r="L194" i="21"/>
  <c r="L195" i="21"/>
  <c r="L196" i="21"/>
  <c r="L197" i="21"/>
  <c r="L198" i="21"/>
  <c r="L199" i="21"/>
  <c r="L200" i="21"/>
  <c r="L201" i="21"/>
  <c r="L202" i="21"/>
  <c r="L203" i="21"/>
  <c r="L204" i="21"/>
  <c r="L205" i="21"/>
  <c r="L206" i="21"/>
  <c r="L207" i="21"/>
  <c r="L208" i="21"/>
  <c r="L209" i="21"/>
  <c r="L210" i="21"/>
  <c r="L211" i="21"/>
  <c r="L212" i="21"/>
  <c r="L213" i="21"/>
  <c r="L214" i="21"/>
  <c r="L215" i="21"/>
  <c r="L216" i="21"/>
  <c r="L217" i="21"/>
  <c r="L218" i="21"/>
  <c r="L219" i="21"/>
  <c r="L220" i="21"/>
  <c r="L221" i="21"/>
  <c r="L222" i="21"/>
  <c r="L223" i="21"/>
  <c r="L224" i="21"/>
  <c r="L225" i="21"/>
  <c r="L226" i="21"/>
  <c r="L227" i="21"/>
  <c r="L228" i="21"/>
  <c r="L229" i="21"/>
  <c r="L230" i="21"/>
  <c r="L231" i="21"/>
  <c r="L232" i="21"/>
  <c r="L233" i="21"/>
  <c r="L234" i="21"/>
  <c r="L235" i="21"/>
  <c r="L236" i="21"/>
  <c r="L237" i="21"/>
  <c r="L238" i="21"/>
  <c r="L239" i="21"/>
  <c r="L240" i="21"/>
  <c r="L241" i="21"/>
  <c r="L242" i="21"/>
  <c r="L243" i="21"/>
  <c r="L244" i="21"/>
  <c r="L245" i="21"/>
  <c r="L246" i="21"/>
  <c r="L247" i="21"/>
  <c r="L248" i="21"/>
  <c r="L249" i="21"/>
  <c r="L250" i="21"/>
  <c r="L251" i="21"/>
  <c r="L252" i="21"/>
  <c r="L253" i="21"/>
  <c r="L254" i="21"/>
  <c r="L255" i="21"/>
  <c r="L256" i="21"/>
  <c r="L257" i="21"/>
  <c r="L258" i="21"/>
  <c r="L259" i="21"/>
  <c r="L260" i="21"/>
  <c r="L261" i="21"/>
  <c r="L262" i="21"/>
  <c r="L263" i="21"/>
  <c r="L264" i="21"/>
  <c r="L265" i="21"/>
  <c r="L266" i="21"/>
  <c r="L267" i="21"/>
  <c r="L268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6" i="21"/>
  <c r="I167" i="21"/>
  <c r="I168" i="21"/>
  <c r="I169" i="21"/>
  <c r="I170" i="21"/>
  <c r="I171" i="21"/>
  <c r="I172" i="21"/>
  <c r="I173" i="21"/>
  <c r="I174" i="21"/>
  <c r="I175" i="21"/>
  <c r="I176" i="21"/>
  <c r="I177" i="21"/>
  <c r="I178" i="21"/>
  <c r="I179" i="21"/>
  <c r="I180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I193" i="21"/>
  <c r="I194" i="21"/>
  <c r="I195" i="21"/>
  <c r="I196" i="21"/>
  <c r="I197" i="21"/>
  <c r="I198" i="21"/>
  <c r="I199" i="21"/>
  <c r="I200" i="21"/>
  <c r="I201" i="21"/>
  <c r="I202" i="21"/>
  <c r="I203" i="21"/>
  <c r="I204" i="21"/>
  <c r="I205" i="21"/>
  <c r="I206" i="21"/>
  <c r="I207" i="21"/>
  <c r="I208" i="21"/>
  <c r="I209" i="21"/>
  <c r="I210" i="21"/>
  <c r="I211" i="21"/>
  <c r="I212" i="21"/>
  <c r="I213" i="21"/>
  <c r="I214" i="21"/>
  <c r="I215" i="21"/>
  <c r="I216" i="21"/>
  <c r="I217" i="21"/>
  <c r="I218" i="21"/>
  <c r="I219" i="21"/>
  <c r="I220" i="21"/>
  <c r="I221" i="21"/>
  <c r="I222" i="21"/>
  <c r="I223" i="21"/>
  <c r="I224" i="21"/>
  <c r="I225" i="21"/>
  <c r="I226" i="21"/>
  <c r="I227" i="21"/>
  <c r="I228" i="21"/>
  <c r="I229" i="21"/>
  <c r="I230" i="21"/>
  <c r="I231" i="21"/>
  <c r="I232" i="21"/>
  <c r="I233" i="21"/>
  <c r="I234" i="21"/>
  <c r="I235" i="21"/>
  <c r="I236" i="21"/>
  <c r="I237" i="21"/>
  <c r="I238" i="21"/>
  <c r="I239" i="21"/>
  <c r="I240" i="21"/>
  <c r="I241" i="21"/>
  <c r="I242" i="21"/>
  <c r="I243" i="21"/>
  <c r="I244" i="21"/>
  <c r="I245" i="21"/>
  <c r="I246" i="21"/>
  <c r="I247" i="21"/>
  <c r="I248" i="21"/>
  <c r="I249" i="21"/>
  <c r="I250" i="21"/>
  <c r="I251" i="21"/>
  <c r="I252" i="21"/>
  <c r="I253" i="21"/>
  <c r="I254" i="21"/>
  <c r="I255" i="21"/>
  <c r="I256" i="21"/>
  <c r="I257" i="21"/>
  <c r="I258" i="21"/>
  <c r="I259" i="21"/>
  <c r="I260" i="21"/>
  <c r="I261" i="21"/>
  <c r="I262" i="21"/>
  <c r="I263" i="21"/>
  <c r="I264" i="21"/>
  <c r="I265" i="21"/>
  <c r="I266" i="21"/>
  <c r="I267" i="21"/>
  <c r="I268" i="21"/>
  <c r="L26" i="21"/>
  <c r="I26" i="21"/>
  <c r="E4" i="22"/>
  <c r="H4" i="22"/>
  <c r="G4" i="22"/>
  <c r="F4" i="22"/>
  <c r="D249" i="26"/>
  <c r="C249" i="26"/>
  <c r="D248" i="26"/>
  <c r="C248" i="26"/>
  <c r="D247" i="26"/>
  <c r="C247" i="26"/>
  <c r="D246" i="26"/>
  <c r="C246" i="26"/>
  <c r="D245" i="26"/>
  <c r="C245" i="26"/>
  <c r="D244" i="26"/>
  <c r="C244" i="26"/>
  <c r="D243" i="26"/>
  <c r="C243" i="26"/>
  <c r="D242" i="26"/>
  <c r="C242" i="26"/>
  <c r="D241" i="26"/>
  <c r="C241" i="26"/>
  <c r="D240" i="26"/>
  <c r="C240" i="26"/>
  <c r="D239" i="26"/>
  <c r="C239" i="26"/>
  <c r="D238" i="26"/>
  <c r="C238" i="26"/>
  <c r="D237" i="26"/>
  <c r="C237" i="26"/>
  <c r="D236" i="26"/>
  <c r="C236" i="26"/>
  <c r="D235" i="26"/>
  <c r="C235" i="26"/>
  <c r="D234" i="26"/>
  <c r="C234" i="26"/>
  <c r="D233" i="26"/>
  <c r="C233" i="26"/>
  <c r="D232" i="26"/>
  <c r="C232" i="26"/>
  <c r="D231" i="26"/>
  <c r="C231" i="26"/>
  <c r="D230" i="26"/>
  <c r="C230" i="26"/>
  <c r="D229" i="26"/>
  <c r="C229" i="26"/>
  <c r="D228" i="26"/>
  <c r="C228" i="26"/>
  <c r="D227" i="26"/>
  <c r="C227" i="26"/>
  <c r="D226" i="26"/>
  <c r="C226" i="26"/>
  <c r="D225" i="26"/>
  <c r="C225" i="26"/>
  <c r="D224" i="26"/>
  <c r="C224" i="26"/>
  <c r="D223" i="26"/>
  <c r="C223" i="26"/>
  <c r="D222" i="26"/>
  <c r="C222" i="26"/>
  <c r="D221" i="26"/>
  <c r="C221" i="26"/>
  <c r="D220" i="26"/>
  <c r="C220" i="26"/>
  <c r="D219" i="26"/>
  <c r="C219" i="26"/>
  <c r="D218" i="26"/>
  <c r="C218" i="26"/>
  <c r="D217" i="26"/>
  <c r="C217" i="26"/>
  <c r="D216" i="26"/>
  <c r="C216" i="26"/>
  <c r="D215" i="26"/>
  <c r="C215" i="26"/>
  <c r="D214" i="26"/>
  <c r="C214" i="26"/>
  <c r="D213" i="26"/>
  <c r="C213" i="26"/>
  <c r="D212" i="26"/>
  <c r="C212" i="26"/>
  <c r="D211" i="26"/>
  <c r="C211" i="26"/>
  <c r="D210" i="26"/>
  <c r="C210" i="26"/>
  <c r="D209" i="26"/>
  <c r="C209" i="26"/>
  <c r="D208" i="26"/>
  <c r="C208" i="26"/>
  <c r="D207" i="26"/>
  <c r="C207" i="26"/>
  <c r="D206" i="26"/>
  <c r="C206" i="26"/>
  <c r="D205" i="26"/>
  <c r="C205" i="26"/>
  <c r="D204" i="26"/>
  <c r="C204" i="26"/>
  <c r="D203" i="26"/>
  <c r="C203" i="26"/>
  <c r="D202" i="26"/>
  <c r="C202" i="26"/>
  <c r="D201" i="26"/>
  <c r="C201" i="26"/>
  <c r="D200" i="26"/>
  <c r="C200" i="26"/>
  <c r="D199" i="26"/>
  <c r="C199" i="26"/>
  <c r="D198" i="26"/>
  <c r="C198" i="26"/>
  <c r="D197" i="26"/>
  <c r="C197" i="26"/>
  <c r="D196" i="26"/>
  <c r="C196" i="26"/>
  <c r="D195" i="26"/>
  <c r="C195" i="26"/>
  <c r="D194" i="26"/>
  <c r="C194" i="26"/>
  <c r="D193" i="26"/>
  <c r="C193" i="26"/>
  <c r="D192" i="26"/>
  <c r="C192" i="26"/>
  <c r="D191" i="26"/>
  <c r="C191" i="26"/>
  <c r="D190" i="26"/>
  <c r="C190" i="26"/>
  <c r="D189" i="26"/>
  <c r="C189" i="26"/>
  <c r="D188" i="26"/>
  <c r="C188" i="26"/>
  <c r="D187" i="26"/>
  <c r="C187" i="26"/>
  <c r="D186" i="26"/>
  <c r="C186" i="26"/>
  <c r="D185" i="26"/>
  <c r="C185" i="26"/>
  <c r="D184" i="26"/>
  <c r="C184" i="26"/>
  <c r="D183" i="26"/>
  <c r="C183" i="26"/>
  <c r="D182" i="26"/>
  <c r="C182" i="26"/>
  <c r="D181" i="26"/>
  <c r="C181" i="26"/>
  <c r="D180" i="26"/>
  <c r="C180" i="26"/>
  <c r="D179" i="26"/>
  <c r="C179" i="26"/>
  <c r="D178" i="26"/>
  <c r="C178" i="26"/>
  <c r="D177" i="26"/>
  <c r="C177" i="26"/>
  <c r="D176" i="26"/>
  <c r="C176" i="26"/>
  <c r="D175" i="26"/>
  <c r="C175" i="26"/>
  <c r="D174" i="26"/>
  <c r="C174" i="26"/>
  <c r="D173" i="26"/>
  <c r="C173" i="26"/>
  <c r="D172" i="26"/>
  <c r="C172" i="26"/>
  <c r="D171" i="26"/>
  <c r="C171" i="26"/>
  <c r="D170" i="26"/>
  <c r="C170" i="26"/>
  <c r="D169" i="26"/>
  <c r="C169" i="26"/>
  <c r="D168" i="26"/>
  <c r="C168" i="26"/>
  <c r="D167" i="26"/>
  <c r="C167" i="26"/>
  <c r="D166" i="26"/>
  <c r="C166" i="26"/>
  <c r="D165" i="26"/>
  <c r="C165" i="26"/>
  <c r="D164" i="26"/>
  <c r="C164" i="26"/>
  <c r="D163" i="26"/>
  <c r="C163" i="26"/>
  <c r="D162" i="26"/>
  <c r="C162" i="26"/>
  <c r="D161" i="26"/>
  <c r="C161" i="26"/>
  <c r="D160" i="26"/>
  <c r="C160" i="26"/>
  <c r="D159" i="26"/>
  <c r="C159" i="26"/>
  <c r="D158" i="26"/>
  <c r="C158" i="26"/>
  <c r="D157" i="26"/>
  <c r="C157" i="26"/>
  <c r="D156" i="26"/>
  <c r="C156" i="26"/>
  <c r="D155" i="26"/>
  <c r="C155" i="26"/>
  <c r="D154" i="26"/>
  <c r="C154" i="26"/>
  <c r="D153" i="26"/>
  <c r="C153" i="26"/>
  <c r="D152" i="26"/>
  <c r="C152" i="26"/>
  <c r="D151" i="26"/>
  <c r="C151" i="26"/>
  <c r="D150" i="26"/>
  <c r="C150" i="26"/>
  <c r="D149" i="26"/>
  <c r="C149" i="26"/>
  <c r="D148" i="26"/>
  <c r="C148" i="26"/>
  <c r="D147" i="26"/>
  <c r="C147" i="26"/>
  <c r="D146" i="26"/>
  <c r="C146" i="26"/>
  <c r="D145" i="26"/>
  <c r="C145" i="26"/>
  <c r="D144" i="26"/>
  <c r="C144" i="26"/>
  <c r="D143" i="26"/>
  <c r="C143" i="26"/>
  <c r="D142" i="26"/>
  <c r="C142" i="26"/>
  <c r="D141" i="26"/>
  <c r="C141" i="26"/>
  <c r="D140" i="26"/>
  <c r="C140" i="26"/>
  <c r="D139" i="26"/>
  <c r="C139" i="26"/>
  <c r="D138" i="26"/>
  <c r="C138" i="26"/>
  <c r="D137" i="26"/>
  <c r="C137" i="26"/>
  <c r="D136" i="26"/>
  <c r="C136" i="26"/>
  <c r="D135" i="26"/>
  <c r="C135" i="26"/>
  <c r="D134" i="26"/>
  <c r="C134" i="26"/>
  <c r="D133" i="26"/>
  <c r="C133" i="26"/>
  <c r="D132" i="26"/>
  <c r="C132" i="26"/>
  <c r="D131" i="26"/>
  <c r="C131" i="26"/>
  <c r="D130" i="26"/>
  <c r="C130" i="26"/>
  <c r="D129" i="26"/>
  <c r="C129" i="26"/>
  <c r="D128" i="26"/>
  <c r="C128" i="26"/>
  <c r="D127" i="26"/>
  <c r="C127" i="26"/>
  <c r="D126" i="26"/>
  <c r="C126" i="26"/>
  <c r="D125" i="26"/>
  <c r="C125" i="26"/>
  <c r="D124" i="26"/>
  <c r="C124" i="26"/>
  <c r="D123" i="26"/>
  <c r="C123" i="26"/>
  <c r="D122" i="26"/>
  <c r="C122" i="26"/>
  <c r="D121" i="26"/>
  <c r="C121" i="26"/>
  <c r="D120" i="26"/>
  <c r="C120" i="26"/>
  <c r="D119" i="26"/>
  <c r="C119" i="26"/>
  <c r="D118" i="26"/>
  <c r="C118" i="26"/>
  <c r="D117" i="26"/>
  <c r="C117" i="26"/>
  <c r="D116" i="26"/>
  <c r="C116" i="26"/>
  <c r="D115" i="26"/>
  <c r="C115" i="26"/>
  <c r="D114" i="26"/>
  <c r="C114" i="26"/>
  <c r="D113" i="26"/>
  <c r="C113" i="26"/>
  <c r="D112" i="26"/>
  <c r="C112" i="26"/>
  <c r="D111" i="26"/>
  <c r="C111" i="26"/>
  <c r="D110" i="26"/>
  <c r="C110" i="26"/>
  <c r="D109" i="26"/>
  <c r="C109" i="26"/>
  <c r="D108" i="26"/>
  <c r="C108" i="26"/>
  <c r="D107" i="26"/>
  <c r="C107" i="26"/>
  <c r="D106" i="26"/>
  <c r="C106" i="26"/>
  <c r="D105" i="26"/>
  <c r="C105" i="26"/>
  <c r="D104" i="26"/>
  <c r="C104" i="26"/>
  <c r="D103" i="26"/>
  <c r="C103" i="26"/>
  <c r="D102" i="26"/>
  <c r="C102" i="26"/>
  <c r="D101" i="26"/>
  <c r="C101" i="26"/>
  <c r="D100" i="26"/>
  <c r="C100" i="26"/>
  <c r="D99" i="26"/>
  <c r="C99" i="26"/>
  <c r="D98" i="26"/>
  <c r="C98" i="26"/>
  <c r="D97" i="26"/>
  <c r="C97" i="26"/>
  <c r="D96" i="26"/>
  <c r="C96" i="26"/>
  <c r="D95" i="26"/>
  <c r="C95" i="26"/>
  <c r="D94" i="26"/>
  <c r="C94" i="26"/>
  <c r="D93" i="26"/>
  <c r="C93" i="26"/>
  <c r="D92" i="26"/>
  <c r="C92" i="26"/>
  <c r="D91" i="26"/>
  <c r="C91" i="26"/>
  <c r="D90" i="26"/>
  <c r="C90" i="26"/>
  <c r="D89" i="26"/>
  <c r="C89" i="26"/>
  <c r="D88" i="26"/>
  <c r="C88" i="26"/>
  <c r="D87" i="26"/>
  <c r="C87" i="26"/>
  <c r="D86" i="26"/>
  <c r="C86" i="26"/>
  <c r="D85" i="26"/>
  <c r="C85" i="26"/>
  <c r="D84" i="26"/>
  <c r="C84" i="26"/>
  <c r="D83" i="26"/>
  <c r="C83" i="26"/>
  <c r="D82" i="26"/>
  <c r="C82" i="26"/>
  <c r="D81" i="26"/>
  <c r="C81" i="26"/>
  <c r="D80" i="26"/>
  <c r="C80" i="26"/>
  <c r="D79" i="26"/>
  <c r="C79" i="26"/>
  <c r="D78" i="26"/>
  <c r="C78" i="26"/>
  <c r="D77" i="26"/>
  <c r="C77" i="26"/>
  <c r="D76" i="26"/>
  <c r="C76" i="26"/>
  <c r="D75" i="26"/>
  <c r="C75" i="26"/>
  <c r="D74" i="26"/>
  <c r="C74" i="26"/>
  <c r="D73" i="26"/>
  <c r="C73" i="26"/>
  <c r="D72" i="26"/>
  <c r="C72" i="26"/>
  <c r="D71" i="26"/>
  <c r="C71" i="26"/>
  <c r="D70" i="26"/>
  <c r="C70" i="26"/>
  <c r="D69" i="26"/>
  <c r="C69" i="26"/>
  <c r="D68" i="26"/>
  <c r="C68" i="26"/>
  <c r="D67" i="26"/>
  <c r="C67" i="26"/>
  <c r="D66" i="26"/>
  <c r="C66" i="26"/>
  <c r="D65" i="26"/>
  <c r="C65" i="26"/>
  <c r="D64" i="26"/>
  <c r="C64" i="26"/>
  <c r="D63" i="26"/>
  <c r="C63" i="26"/>
  <c r="D62" i="26"/>
  <c r="C62" i="26"/>
  <c r="D61" i="26"/>
  <c r="C61" i="26"/>
  <c r="D60" i="26"/>
  <c r="C60" i="26"/>
  <c r="D59" i="26"/>
  <c r="C59" i="26"/>
  <c r="D58" i="26"/>
  <c r="C58" i="26"/>
  <c r="D57" i="26"/>
  <c r="C57" i="26"/>
  <c r="D56" i="26"/>
  <c r="C56" i="26"/>
  <c r="D55" i="26"/>
  <c r="C55" i="26"/>
  <c r="D54" i="26"/>
  <c r="C54" i="26"/>
  <c r="D53" i="26"/>
  <c r="C53" i="26"/>
  <c r="D52" i="26"/>
  <c r="C52" i="26"/>
  <c r="D51" i="26"/>
  <c r="C51" i="26"/>
  <c r="D50" i="26"/>
  <c r="C50" i="26"/>
  <c r="D49" i="26"/>
  <c r="C49" i="26"/>
  <c r="D48" i="26"/>
  <c r="C48" i="26"/>
  <c r="D47" i="26"/>
  <c r="C47" i="26"/>
  <c r="D46" i="26"/>
  <c r="C46" i="26"/>
  <c r="D45" i="26"/>
  <c r="C45" i="26"/>
  <c r="D44" i="26"/>
  <c r="C44" i="26"/>
  <c r="D43" i="26"/>
  <c r="C43" i="26"/>
  <c r="D42" i="26"/>
  <c r="C42" i="26"/>
  <c r="D41" i="26"/>
  <c r="C41" i="26"/>
  <c r="D40" i="26"/>
  <c r="C40" i="26"/>
  <c r="D39" i="26"/>
  <c r="C39" i="26"/>
  <c r="D38" i="26"/>
  <c r="C38" i="26"/>
  <c r="D37" i="26"/>
  <c r="C37" i="26"/>
  <c r="D36" i="26"/>
  <c r="C36" i="26"/>
  <c r="D35" i="26"/>
  <c r="C35" i="26"/>
  <c r="D34" i="26"/>
  <c r="C34" i="26"/>
  <c r="D33" i="26"/>
  <c r="C33" i="26"/>
  <c r="D32" i="26"/>
  <c r="C32" i="26"/>
  <c r="D31" i="26"/>
  <c r="C31" i="26"/>
  <c r="D30" i="26"/>
  <c r="C30" i="26"/>
  <c r="D29" i="26"/>
  <c r="C29" i="26"/>
  <c r="D28" i="26"/>
  <c r="C28" i="26"/>
  <c r="D27" i="26"/>
  <c r="C27" i="26"/>
  <c r="D26" i="26"/>
  <c r="C26" i="26"/>
  <c r="D25" i="26"/>
  <c r="C25" i="26"/>
  <c r="D24" i="26"/>
  <c r="C24" i="26"/>
  <c r="D23" i="26"/>
  <c r="C23" i="26"/>
  <c r="D22" i="26"/>
  <c r="C22" i="26"/>
  <c r="D21" i="26"/>
  <c r="C21" i="26"/>
  <c r="D20" i="26"/>
  <c r="C20" i="26"/>
  <c r="D19" i="26"/>
  <c r="C19" i="26"/>
  <c r="D18" i="26"/>
  <c r="C18" i="26"/>
  <c r="D17" i="26"/>
  <c r="C17" i="26"/>
  <c r="D16" i="26"/>
  <c r="C16" i="26"/>
  <c r="D15" i="26"/>
  <c r="C15" i="26"/>
  <c r="D14" i="26"/>
  <c r="C14" i="26"/>
  <c r="D13" i="26"/>
  <c r="C13" i="26"/>
  <c r="D12" i="26"/>
  <c r="C12" i="26"/>
  <c r="D11" i="26"/>
  <c r="C11" i="26"/>
  <c r="D10" i="26"/>
  <c r="C10" i="26"/>
  <c r="D9" i="26"/>
  <c r="C9" i="26"/>
  <c r="D8" i="26"/>
  <c r="C8" i="26"/>
  <c r="D7" i="26"/>
  <c r="C7" i="26"/>
  <c r="D6" i="26"/>
  <c r="C6" i="26"/>
  <c r="D5" i="26"/>
  <c r="C5" i="26"/>
  <c r="P270" i="21"/>
  <c r="O269" i="21"/>
  <c r="I3" i="26"/>
  <c r="L24" i="21"/>
  <c r="K24" i="21"/>
  <c r="I24" i="21"/>
  <c r="H24" i="21"/>
  <c r="E24" i="21"/>
  <c r="V95" i="4"/>
  <c r="V96" i="4"/>
  <c r="V108" i="4"/>
  <c r="V144" i="4"/>
  <c r="V177" i="4"/>
  <c r="V178" i="4"/>
  <c r="V179" i="4"/>
  <c r="V195" i="4"/>
  <c r="V198" i="4"/>
  <c r="V214" i="4"/>
  <c r="V215" i="4"/>
  <c r="V216" i="4"/>
  <c r="V217" i="4"/>
  <c r="V278" i="4"/>
  <c r="U73" i="4"/>
  <c r="U96" i="4"/>
  <c r="U178" i="4"/>
  <c r="U179" i="4"/>
  <c r="U196" i="4"/>
  <c r="U198" i="4"/>
  <c r="U217" i="4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C46" i="18"/>
  <c r="AC47" i="18"/>
  <c r="AC48" i="18"/>
  <c r="AC49" i="18"/>
  <c r="AC50" i="18"/>
  <c r="AC51" i="18"/>
  <c r="AC52" i="18"/>
  <c r="AC53" i="18"/>
  <c r="AC54" i="18"/>
  <c r="AC55" i="18"/>
  <c r="AC56" i="18"/>
  <c r="AC57" i="18"/>
  <c r="AC58" i="18"/>
  <c r="AC59" i="18"/>
  <c r="AC60" i="18"/>
  <c r="AC61" i="18"/>
  <c r="AC62" i="18"/>
  <c r="AC63" i="18"/>
  <c r="AC64" i="18"/>
  <c r="AC65" i="18"/>
  <c r="AC66" i="18"/>
  <c r="AC67" i="18"/>
  <c r="AC68" i="18"/>
  <c r="AC69" i="18"/>
  <c r="AC70" i="18"/>
  <c r="AC71" i="18"/>
  <c r="AC72" i="18"/>
  <c r="AC73" i="18"/>
  <c r="AC74" i="18"/>
  <c r="AC75" i="18"/>
  <c r="AC76" i="18"/>
  <c r="AC77" i="18"/>
  <c r="AC78" i="18"/>
  <c r="AC79" i="18"/>
  <c r="AC80" i="18"/>
  <c r="AC81" i="18"/>
  <c r="AC82" i="18"/>
  <c r="AC83" i="18"/>
  <c r="AC84" i="18"/>
  <c r="AC85" i="18"/>
  <c r="AC86" i="18"/>
  <c r="AC87" i="18"/>
  <c r="AC88" i="18"/>
  <c r="AC89" i="18"/>
  <c r="AC90" i="18"/>
  <c r="AC91" i="18"/>
  <c r="AC92" i="18"/>
  <c r="AC93" i="18"/>
  <c r="AC94" i="18"/>
  <c r="AC95" i="18"/>
  <c r="AC96" i="18"/>
  <c r="AC97" i="18"/>
  <c r="AC98" i="18"/>
  <c r="AC99" i="18"/>
  <c r="AC100" i="18"/>
  <c r="AC101" i="18"/>
  <c r="AC102" i="18"/>
  <c r="AC103" i="18"/>
  <c r="AC104" i="18"/>
  <c r="AC105" i="18"/>
  <c r="AC106" i="18"/>
  <c r="AC107" i="18"/>
  <c r="AC108" i="18"/>
  <c r="AC109" i="18"/>
  <c r="AC110" i="18"/>
  <c r="AC111" i="18"/>
  <c r="AC112" i="18"/>
  <c r="AC113" i="18"/>
  <c r="AC114" i="18"/>
  <c r="AC115" i="18"/>
  <c r="AC116" i="18"/>
  <c r="AC117" i="18"/>
  <c r="AC118" i="18"/>
  <c r="AC119" i="18"/>
  <c r="AC120" i="18"/>
  <c r="AC121" i="18"/>
  <c r="AC122" i="18"/>
  <c r="AC123" i="18"/>
  <c r="AC124" i="18"/>
  <c r="AC125" i="18"/>
  <c r="AC126" i="18"/>
  <c r="AC127" i="18"/>
  <c r="AC128" i="18"/>
  <c r="AC129" i="18"/>
  <c r="AC130" i="18"/>
  <c r="AC131" i="18"/>
  <c r="AC132" i="18"/>
  <c r="AC133" i="18"/>
  <c r="AC134" i="18"/>
  <c r="AC135" i="18"/>
  <c r="AC136" i="18"/>
  <c r="AC137" i="18"/>
  <c r="AC138" i="18"/>
  <c r="AC139" i="18"/>
  <c r="AC140" i="18"/>
  <c r="AC141" i="18"/>
  <c r="AC142" i="18"/>
  <c r="AC143" i="18"/>
  <c r="AC144" i="18"/>
  <c r="AC145" i="18"/>
  <c r="AC146" i="18"/>
  <c r="AC147" i="18"/>
  <c r="AC148" i="18"/>
  <c r="AC149" i="18"/>
  <c r="AC150" i="18"/>
  <c r="AC151" i="18"/>
  <c r="AC152" i="18"/>
  <c r="AC153" i="18"/>
  <c r="AC154" i="18"/>
  <c r="AC155" i="18"/>
  <c r="AC156" i="18"/>
  <c r="AC157" i="18"/>
  <c r="AC158" i="18"/>
  <c r="AC159" i="18"/>
  <c r="AC160" i="18"/>
  <c r="AC161" i="18"/>
  <c r="AC162" i="18"/>
  <c r="AC163" i="18"/>
  <c r="AC164" i="18"/>
  <c r="AC165" i="18"/>
  <c r="AC166" i="18"/>
  <c r="AC167" i="18"/>
  <c r="AC168" i="18"/>
  <c r="AC169" i="18"/>
  <c r="AC170" i="18"/>
  <c r="AC171" i="18"/>
  <c r="AC172" i="18"/>
  <c r="AC173" i="18"/>
  <c r="AC174" i="18"/>
  <c r="AC175" i="18"/>
  <c r="AC176" i="18"/>
  <c r="AC177" i="18"/>
  <c r="AC178" i="18"/>
  <c r="AC179" i="18"/>
  <c r="AC180" i="18"/>
  <c r="AC181" i="18"/>
  <c r="AC182" i="18"/>
  <c r="AC183" i="18"/>
  <c r="AC184" i="18"/>
  <c r="AC185" i="18"/>
  <c r="AC186" i="18"/>
  <c r="AC187" i="18"/>
  <c r="AC188" i="18"/>
  <c r="AC189" i="18"/>
  <c r="AC190" i="18"/>
  <c r="AC191" i="18"/>
  <c r="AC192" i="18"/>
  <c r="AC193" i="18"/>
  <c r="AC194" i="18"/>
  <c r="AC195" i="18"/>
  <c r="AC196" i="18"/>
  <c r="AC197" i="18"/>
  <c r="AC198" i="18"/>
  <c r="AC199" i="18"/>
  <c r="AC200" i="18"/>
  <c r="AC201" i="18"/>
  <c r="AC202" i="18"/>
  <c r="AC203" i="18"/>
  <c r="AC204" i="18"/>
  <c r="AC205" i="18"/>
  <c r="AC206" i="18"/>
  <c r="AC207" i="18"/>
  <c r="AC208" i="18"/>
  <c r="AC209" i="18"/>
  <c r="AC210" i="18"/>
  <c r="AC211" i="18"/>
  <c r="AC212" i="18"/>
  <c r="AC213" i="18"/>
  <c r="AC214" i="18"/>
  <c r="AC215" i="18"/>
  <c r="AC216" i="18"/>
  <c r="AC217" i="18"/>
  <c r="AC218" i="18"/>
  <c r="AC219" i="18"/>
  <c r="AC220" i="18"/>
  <c r="AC221" i="18"/>
  <c r="AC222" i="18"/>
  <c r="AC223" i="18"/>
  <c r="AC224" i="18"/>
  <c r="AC225" i="18"/>
  <c r="AC226" i="18"/>
  <c r="AC227" i="18"/>
  <c r="AC228" i="18"/>
  <c r="AC229" i="18"/>
  <c r="AC230" i="18"/>
  <c r="AC231" i="18"/>
  <c r="AC232" i="18"/>
  <c r="AC233" i="18"/>
  <c r="AC234" i="18"/>
  <c r="AC235" i="18"/>
  <c r="AC236" i="18"/>
  <c r="AC237" i="18"/>
  <c r="AC238" i="18"/>
  <c r="AC239" i="18"/>
  <c r="AC240" i="18"/>
  <c r="AC241" i="18"/>
  <c r="AC242" i="18"/>
  <c r="AC243" i="18"/>
  <c r="AC244" i="18"/>
  <c r="AC245" i="18"/>
  <c r="AC246" i="18"/>
  <c r="AC247" i="18"/>
  <c r="AC248" i="18"/>
  <c r="AC249" i="18"/>
  <c r="AC250" i="18"/>
  <c r="AC251" i="18"/>
  <c r="AC252" i="18"/>
  <c r="AC253" i="18"/>
  <c r="AC254" i="18"/>
  <c r="AC255" i="18"/>
  <c r="AC256" i="18"/>
  <c r="AC257" i="18"/>
  <c r="AC258" i="18"/>
  <c r="AC259" i="18"/>
  <c r="AC260" i="18"/>
  <c r="AC261" i="18"/>
  <c r="AC262" i="18"/>
  <c r="AC263" i="18"/>
  <c r="AC264" i="18"/>
  <c r="AC265" i="18"/>
  <c r="AC266" i="18"/>
  <c r="AC267" i="18"/>
  <c r="AC268" i="18"/>
  <c r="AC269" i="18"/>
  <c r="AC270" i="18"/>
  <c r="AC271" i="18"/>
  <c r="AC272" i="18"/>
  <c r="AC273" i="18"/>
  <c r="AC274" i="18"/>
  <c r="AC26" i="18"/>
  <c r="I27" i="18"/>
  <c r="I28" i="18"/>
  <c r="I29" i="18"/>
  <c r="I30" i="18"/>
  <c r="J30" i="18"/>
  <c r="I32" i="18"/>
  <c r="I34" i="18"/>
  <c r="I35" i="18"/>
  <c r="I36" i="18"/>
  <c r="I40" i="18"/>
  <c r="I42" i="18"/>
  <c r="J42" i="18"/>
  <c r="I44" i="18"/>
  <c r="J44" i="18"/>
  <c r="I45" i="18"/>
  <c r="I46" i="18"/>
  <c r="J46" i="18"/>
  <c r="I50" i="18"/>
  <c r="I51" i="18"/>
  <c r="I52" i="18"/>
  <c r="J52" i="18"/>
  <c r="I55" i="18"/>
  <c r="I56" i="18"/>
  <c r="J56" i="18"/>
  <c r="I59" i="18"/>
  <c r="J59" i="18"/>
  <c r="I61" i="18"/>
  <c r="I63" i="18"/>
  <c r="I64" i="18"/>
  <c r="I65" i="18"/>
  <c r="I66" i="18"/>
  <c r="I69" i="18"/>
  <c r="I70" i="18"/>
  <c r="I71" i="18"/>
  <c r="I73" i="18"/>
  <c r="I74" i="18"/>
  <c r="I76" i="18"/>
  <c r="J76" i="18"/>
  <c r="I77" i="18"/>
  <c r="I78" i="18"/>
  <c r="J78" i="18"/>
  <c r="I79" i="18"/>
  <c r="J79" i="18"/>
  <c r="I81" i="18"/>
  <c r="O81" i="18"/>
  <c r="P81" i="18"/>
  <c r="I82" i="18"/>
  <c r="I83" i="18"/>
  <c r="I86" i="18"/>
  <c r="I87" i="18"/>
  <c r="I89" i="18"/>
  <c r="I90" i="18"/>
  <c r="I91" i="18"/>
  <c r="I92" i="18"/>
  <c r="J92" i="18"/>
  <c r="I93" i="18"/>
  <c r="J93" i="18"/>
  <c r="E73" i="25"/>
  <c r="I95" i="18"/>
  <c r="I96" i="18"/>
  <c r="I100" i="18"/>
  <c r="I101" i="18"/>
  <c r="I102" i="18"/>
  <c r="J102" i="18"/>
  <c r="I103" i="18"/>
  <c r="I106" i="18"/>
  <c r="I108" i="18"/>
  <c r="I112" i="18"/>
  <c r="I114" i="18"/>
  <c r="I116" i="18"/>
  <c r="J116" i="18"/>
  <c r="I118" i="18"/>
  <c r="J118" i="18"/>
  <c r="I119" i="18"/>
  <c r="J119" i="18"/>
  <c r="I120" i="18"/>
  <c r="I122" i="18"/>
  <c r="I123" i="18"/>
  <c r="I124" i="18"/>
  <c r="I125" i="18"/>
  <c r="I126" i="18"/>
  <c r="J126" i="18"/>
  <c r="I127" i="18"/>
  <c r="J127" i="18"/>
  <c r="I128" i="18"/>
  <c r="I131" i="18"/>
  <c r="I133" i="18"/>
  <c r="I134" i="18"/>
  <c r="I136" i="18"/>
  <c r="I137" i="18"/>
  <c r="J137" i="18"/>
  <c r="I138" i="18"/>
  <c r="I139" i="18"/>
  <c r="J139" i="18"/>
  <c r="I141" i="18"/>
  <c r="I142" i="18"/>
  <c r="I143" i="18"/>
  <c r="I144" i="18"/>
  <c r="J144" i="18"/>
  <c r="I146" i="18"/>
  <c r="J146" i="18"/>
  <c r="I149" i="18"/>
  <c r="J149" i="18"/>
  <c r="I150" i="18"/>
  <c r="J150" i="18"/>
  <c r="I154" i="18"/>
  <c r="I155" i="18"/>
  <c r="I156" i="18"/>
  <c r="J156" i="18"/>
  <c r="I157" i="18"/>
  <c r="I158" i="18"/>
  <c r="I160" i="18"/>
  <c r="J160" i="18"/>
  <c r="I162" i="18"/>
  <c r="J162" i="18"/>
  <c r="I163" i="18"/>
  <c r="I165" i="18"/>
  <c r="J165" i="18"/>
  <c r="I166" i="18"/>
  <c r="J166" i="18"/>
  <c r="I167" i="18"/>
  <c r="I171" i="18"/>
  <c r="I172" i="18"/>
  <c r="J172" i="18"/>
  <c r="I173" i="18"/>
  <c r="J173" i="18"/>
  <c r="I175" i="18"/>
  <c r="I176" i="18"/>
  <c r="J176" i="18"/>
  <c r="I178" i="18"/>
  <c r="I180" i="18"/>
  <c r="I184" i="18"/>
  <c r="I186" i="18"/>
  <c r="I188" i="18"/>
  <c r="J188" i="18"/>
  <c r="I189" i="18"/>
  <c r="I192" i="18"/>
  <c r="I195" i="18"/>
  <c r="J195" i="18"/>
  <c r="I196" i="18"/>
  <c r="I199" i="18"/>
  <c r="I207" i="18"/>
  <c r="J207" i="18"/>
  <c r="I208" i="18"/>
  <c r="J208" i="18"/>
  <c r="I209" i="18"/>
  <c r="I211" i="18"/>
  <c r="I212" i="18"/>
  <c r="J212" i="18"/>
  <c r="I216" i="18"/>
  <c r="I217" i="18"/>
  <c r="I218" i="18"/>
  <c r="I220" i="18"/>
  <c r="J220" i="18"/>
  <c r="I223" i="18"/>
  <c r="I226" i="18"/>
  <c r="J226" i="18"/>
  <c r="I229" i="18"/>
  <c r="J229" i="18"/>
  <c r="I234" i="18"/>
  <c r="I237" i="18"/>
  <c r="J237" i="18"/>
  <c r="I239" i="18"/>
  <c r="I241" i="18"/>
  <c r="J241" i="18"/>
  <c r="I242" i="18"/>
  <c r="I244" i="18"/>
  <c r="I248" i="18"/>
  <c r="J248" i="18"/>
  <c r="I249" i="18"/>
  <c r="I251" i="18"/>
  <c r="J251" i="18"/>
  <c r="I252" i="18"/>
  <c r="I254" i="18"/>
  <c r="J254" i="18"/>
  <c r="I261" i="18"/>
  <c r="I265" i="18"/>
  <c r="I269" i="18"/>
  <c r="I271" i="18"/>
  <c r="I272" i="18"/>
  <c r="J272" i="18"/>
  <c r="L27" i="18"/>
  <c r="M27" i="18"/>
  <c r="L28" i="18"/>
  <c r="M28" i="18"/>
  <c r="L29" i="18"/>
  <c r="M29" i="18"/>
  <c r="L31" i="18"/>
  <c r="M31" i="18"/>
  <c r="L32" i="18"/>
  <c r="L33" i="18"/>
  <c r="L35" i="18"/>
  <c r="M35" i="18"/>
  <c r="L36" i="18"/>
  <c r="M36" i="18"/>
  <c r="L37" i="18"/>
  <c r="M37" i="18"/>
  <c r="L38" i="18"/>
  <c r="M38" i="18"/>
  <c r="L39" i="18"/>
  <c r="L40" i="18"/>
  <c r="M40" i="18"/>
  <c r="L41" i="18"/>
  <c r="L43" i="18"/>
  <c r="L44" i="18"/>
  <c r="L46" i="18"/>
  <c r="M46" i="18"/>
  <c r="L47" i="18"/>
  <c r="M47" i="18"/>
  <c r="L48" i="18"/>
  <c r="M48" i="18"/>
  <c r="L49" i="18"/>
  <c r="M49" i="18"/>
  <c r="L51" i="18"/>
  <c r="L53" i="18"/>
  <c r="L54" i="18"/>
  <c r="L55" i="18"/>
  <c r="M55" i="18"/>
  <c r="L56" i="18"/>
  <c r="L58" i="18"/>
  <c r="L59" i="18"/>
  <c r="M59" i="18"/>
  <c r="L60" i="18"/>
  <c r="L61" i="18"/>
  <c r="M61" i="18"/>
  <c r="L63" i="18"/>
  <c r="L64" i="18"/>
  <c r="O64" i="18"/>
  <c r="L65" i="18"/>
  <c r="M65" i="18"/>
  <c r="L66" i="18"/>
  <c r="L67" i="18"/>
  <c r="M67" i="18"/>
  <c r="L68" i="18"/>
  <c r="M68" i="18"/>
  <c r="L69" i="18"/>
  <c r="M69" i="18"/>
  <c r="L70" i="18"/>
  <c r="M70" i="18"/>
  <c r="L72" i="18"/>
  <c r="L74" i="18"/>
  <c r="M74" i="18"/>
  <c r="L75" i="18"/>
  <c r="M75" i="18"/>
  <c r="L76" i="18"/>
  <c r="M76" i="18"/>
  <c r="L78" i="18"/>
  <c r="L81" i="18"/>
  <c r="M81" i="18"/>
  <c r="L83" i="18"/>
  <c r="L84" i="18"/>
  <c r="M84" i="18"/>
  <c r="L86" i="18"/>
  <c r="M86" i="18"/>
  <c r="L88" i="18"/>
  <c r="M88" i="18"/>
  <c r="L89" i="18"/>
  <c r="L92" i="18"/>
  <c r="M92" i="18"/>
  <c r="L93" i="18"/>
  <c r="M93" i="18"/>
  <c r="F73" i="25"/>
  <c r="L94" i="18"/>
  <c r="M94" i="18"/>
  <c r="L95" i="18"/>
  <c r="O95" i="18"/>
  <c r="L96" i="18"/>
  <c r="M96" i="18"/>
  <c r="L97" i="18"/>
  <c r="M97" i="18"/>
  <c r="L98" i="18"/>
  <c r="L100" i="18"/>
  <c r="L103" i="18"/>
  <c r="M103" i="18"/>
  <c r="L105" i="18"/>
  <c r="M105" i="18"/>
  <c r="L106" i="18"/>
  <c r="M106" i="18"/>
  <c r="L107" i="18"/>
  <c r="L108" i="18"/>
  <c r="L109" i="18"/>
  <c r="L111" i="18"/>
  <c r="M111" i="18"/>
  <c r="L113" i="18"/>
  <c r="M113" i="18"/>
  <c r="L114" i="18"/>
  <c r="M114" i="18"/>
  <c r="L115" i="18"/>
  <c r="M115" i="18"/>
  <c r="L116" i="18"/>
  <c r="M116" i="18"/>
  <c r="L117" i="18"/>
  <c r="L119" i="18"/>
  <c r="L121" i="18"/>
  <c r="M121" i="18"/>
  <c r="L123" i="18"/>
  <c r="M123" i="18"/>
  <c r="L124" i="18"/>
  <c r="L125" i="18"/>
  <c r="L129" i="18"/>
  <c r="M129" i="18"/>
  <c r="L130" i="18"/>
  <c r="M130" i="18"/>
  <c r="L131" i="18"/>
  <c r="M131" i="18"/>
  <c r="L132" i="18"/>
  <c r="M132" i="18"/>
  <c r="L133" i="18"/>
  <c r="M133" i="18"/>
  <c r="L135" i="18"/>
  <c r="L136" i="18"/>
  <c r="L137" i="18"/>
  <c r="M137" i="18"/>
  <c r="L139" i="18"/>
  <c r="L144" i="18"/>
  <c r="M144" i="18"/>
  <c r="L146" i="18"/>
  <c r="M146" i="18"/>
  <c r="L148" i="18"/>
  <c r="L152" i="18"/>
  <c r="L155" i="18"/>
  <c r="O155" i="18"/>
  <c r="L156" i="18"/>
  <c r="L157" i="18"/>
  <c r="M157" i="18"/>
  <c r="L159" i="18"/>
  <c r="M159" i="18"/>
  <c r="L160" i="18"/>
  <c r="L162" i="18"/>
  <c r="L163" i="18"/>
  <c r="M163" i="18"/>
  <c r="L164" i="18"/>
  <c r="M164" i="18"/>
  <c r="L165" i="18"/>
  <c r="L168" i="18"/>
  <c r="M168" i="18"/>
  <c r="L169" i="18"/>
  <c r="M169" i="18"/>
  <c r="L170" i="18"/>
  <c r="L172" i="18"/>
  <c r="L177" i="18"/>
  <c r="L178" i="18"/>
  <c r="M178" i="18"/>
  <c r="L180" i="18"/>
  <c r="L181" i="18"/>
  <c r="M181" i="18"/>
  <c r="L183" i="18"/>
  <c r="M183" i="18"/>
  <c r="L184" i="18"/>
  <c r="L185" i="18"/>
  <c r="L186" i="18"/>
  <c r="O186" i="18"/>
  <c r="P186" i="18"/>
  <c r="L188" i="18"/>
  <c r="L191" i="18"/>
  <c r="M191" i="18"/>
  <c r="L192" i="18"/>
  <c r="L193" i="18"/>
  <c r="M193" i="18"/>
  <c r="L196" i="18"/>
  <c r="M196" i="18"/>
  <c r="L197" i="18"/>
  <c r="L200" i="18"/>
  <c r="L201" i="18"/>
  <c r="M201" i="18"/>
  <c r="L202" i="18"/>
  <c r="L205" i="18"/>
  <c r="M205" i="18"/>
  <c r="L206" i="18"/>
  <c r="M206" i="18"/>
  <c r="L207" i="18"/>
  <c r="L210" i="18"/>
  <c r="M210" i="18"/>
  <c r="L212" i="18"/>
  <c r="L213" i="18"/>
  <c r="L215" i="18"/>
  <c r="M215" i="18"/>
  <c r="L217" i="18"/>
  <c r="L218" i="18"/>
  <c r="M218" i="18"/>
  <c r="L220" i="18"/>
  <c r="L225" i="18"/>
  <c r="L226" i="18"/>
  <c r="L228" i="18"/>
  <c r="L229" i="18"/>
  <c r="L231" i="18"/>
  <c r="M231" i="18"/>
  <c r="L233" i="18"/>
  <c r="M233" i="18"/>
  <c r="L234" i="18"/>
  <c r="M234" i="18"/>
  <c r="L239" i="18"/>
  <c r="M239" i="18"/>
  <c r="L245" i="18"/>
  <c r="M245" i="18"/>
  <c r="L246" i="18"/>
  <c r="M246" i="18"/>
  <c r="L250" i="18"/>
  <c r="L256" i="18"/>
  <c r="L257" i="18"/>
  <c r="M257" i="18"/>
  <c r="L258" i="18"/>
  <c r="L262" i="18"/>
  <c r="M262" i="18"/>
  <c r="L269" i="18"/>
  <c r="M269" i="18"/>
  <c r="L270" i="18"/>
  <c r="L272" i="18"/>
  <c r="M272" i="18"/>
  <c r="L273" i="18"/>
  <c r="M273" i="18"/>
  <c r="L274" i="18"/>
  <c r="L26" i="18"/>
  <c r="I26" i="18"/>
  <c r="O26" i="18"/>
  <c r="P26" i="18"/>
  <c r="F28" i="18"/>
  <c r="F29" i="18"/>
  <c r="F30" i="18"/>
  <c r="G30" i="18"/>
  <c r="F31" i="18"/>
  <c r="F33" i="18"/>
  <c r="G33" i="18"/>
  <c r="F34" i="18"/>
  <c r="G34" i="18"/>
  <c r="F35" i="18"/>
  <c r="G35" i="18"/>
  <c r="F36" i="18"/>
  <c r="F37" i="18"/>
  <c r="F38" i="18"/>
  <c r="G38" i="18"/>
  <c r="F39" i="18"/>
  <c r="G39" i="18"/>
  <c r="F41" i="18"/>
  <c r="F42" i="18"/>
  <c r="G42" i="18"/>
  <c r="F43" i="18"/>
  <c r="G43" i="18"/>
  <c r="F44" i="18"/>
  <c r="F46" i="18"/>
  <c r="F47" i="18"/>
  <c r="G47" i="18"/>
  <c r="F48" i="18"/>
  <c r="F49" i="18"/>
  <c r="F50" i="18"/>
  <c r="G50" i="18"/>
  <c r="F51" i="18"/>
  <c r="G51" i="18"/>
  <c r="F52" i="18"/>
  <c r="F53" i="18"/>
  <c r="F54" i="18"/>
  <c r="G54" i="18"/>
  <c r="F55" i="18"/>
  <c r="G55" i="18"/>
  <c r="F57" i="18"/>
  <c r="F58" i="18"/>
  <c r="G58" i="18"/>
  <c r="F59" i="18"/>
  <c r="G59" i="18"/>
  <c r="F60" i="18"/>
  <c r="F61" i="18"/>
  <c r="F62" i="18"/>
  <c r="F63" i="18"/>
  <c r="G63" i="18"/>
  <c r="F64" i="18"/>
  <c r="F65" i="18"/>
  <c r="F66" i="18"/>
  <c r="G66" i="18"/>
  <c r="F67" i="18"/>
  <c r="G67" i="18"/>
  <c r="F68" i="18"/>
  <c r="F70" i="18"/>
  <c r="F73" i="18"/>
  <c r="G73" i="18"/>
  <c r="F75" i="18"/>
  <c r="F76" i="18"/>
  <c r="F77" i="18"/>
  <c r="G77" i="18"/>
  <c r="F79" i="18"/>
  <c r="G79" i="18"/>
  <c r="F80" i="18"/>
  <c r="G80" i="18"/>
  <c r="F81" i="18"/>
  <c r="F84" i="18"/>
  <c r="G84" i="18"/>
  <c r="F86" i="18"/>
  <c r="F88" i="18"/>
  <c r="G88" i="18"/>
  <c r="F89" i="18"/>
  <c r="F91" i="18"/>
  <c r="F93" i="18"/>
  <c r="H73" i="25"/>
  <c r="F94" i="18"/>
  <c r="G94" i="18"/>
  <c r="F97" i="18"/>
  <c r="F98" i="18"/>
  <c r="G98" i="18"/>
  <c r="F100" i="18"/>
  <c r="G100" i="18"/>
  <c r="F102" i="18"/>
  <c r="G102" i="18"/>
  <c r="F103" i="18"/>
  <c r="F104" i="18"/>
  <c r="F106" i="18"/>
  <c r="G106" i="18"/>
  <c r="F108" i="18"/>
  <c r="F109" i="18"/>
  <c r="G109" i="18"/>
  <c r="F110" i="18"/>
  <c r="F111" i="18"/>
  <c r="F112" i="18"/>
  <c r="F113" i="18"/>
  <c r="G113" i="18"/>
  <c r="F115" i="18"/>
  <c r="G115" i="18"/>
  <c r="F118" i="18"/>
  <c r="F119" i="18"/>
  <c r="G119" i="18"/>
  <c r="F121" i="18"/>
  <c r="F122" i="18"/>
  <c r="F125" i="18"/>
  <c r="F126" i="18"/>
  <c r="F127" i="18"/>
  <c r="G127" i="18"/>
  <c r="F128" i="18"/>
  <c r="F129" i="18"/>
  <c r="G129" i="18"/>
  <c r="F130" i="18"/>
  <c r="G130" i="18"/>
  <c r="F132" i="18"/>
  <c r="F133" i="18"/>
  <c r="F134" i="18"/>
  <c r="G134" i="18"/>
  <c r="F136" i="18"/>
  <c r="G136" i="18"/>
  <c r="F138" i="18"/>
  <c r="G138" i="18"/>
  <c r="F140" i="18"/>
  <c r="F141" i="18"/>
  <c r="F143" i="18"/>
  <c r="F145" i="18"/>
  <c r="F146" i="18"/>
  <c r="F147" i="18"/>
  <c r="G147" i="18"/>
  <c r="F148" i="18"/>
  <c r="G148" i="18"/>
  <c r="F149" i="18"/>
  <c r="F151" i="18"/>
  <c r="F152" i="18"/>
  <c r="F153" i="18"/>
  <c r="G153" i="18"/>
  <c r="F154" i="18"/>
  <c r="F156" i="18"/>
  <c r="G156" i="18"/>
  <c r="F160" i="18"/>
  <c r="F162" i="18"/>
  <c r="G162" i="18"/>
  <c r="F164" i="18"/>
  <c r="G164" i="18"/>
  <c r="F167" i="18"/>
  <c r="F168" i="18"/>
  <c r="F169" i="18"/>
  <c r="F170" i="18"/>
  <c r="F172" i="18"/>
  <c r="G172" i="18"/>
  <c r="F173" i="18"/>
  <c r="F174" i="18"/>
  <c r="F175" i="18"/>
  <c r="F176" i="18"/>
  <c r="F178" i="18"/>
  <c r="G178" i="18"/>
  <c r="F181" i="18"/>
  <c r="F182" i="18"/>
  <c r="G182" i="18"/>
  <c r="F183" i="18"/>
  <c r="G183" i="18"/>
  <c r="F185" i="18"/>
  <c r="F189" i="18"/>
  <c r="G189" i="18"/>
  <c r="F190" i="18"/>
  <c r="F193" i="18"/>
  <c r="G193" i="18"/>
  <c r="F194" i="18"/>
  <c r="G194" i="18"/>
  <c r="F195" i="18"/>
  <c r="G195" i="18"/>
  <c r="F196" i="18"/>
  <c r="F197" i="18"/>
  <c r="G197" i="18"/>
  <c r="F198" i="18"/>
  <c r="G198" i="18"/>
  <c r="F200" i="18"/>
  <c r="F202" i="18"/>
  <c r="F204" i="18"/>
  <c r="G204" i="18"/>
  <c r="F206" i="18"/>
  <c r="G206" i="18"/>
  <c r="F208" i="18"/>
  <c r="F210" i="18"/>
  <c r="F212" i="18"/>
  <c r="F213" i="18"/>
  <c r="G213" i="18"/>
  <c r="F214" i="18"/>
  <c r="F215" i="18"/>
  <c r="F217" i="18"/>
  <c r="G217" i="18"/>
  <c r="F218" i="18"/>
  <c r="F220" i="18"/>
  <c r="G220" i="18"/>
  <c r="F222" i="18"/>
  <c r="G222" i="18"/>
  <c r="F228" i="18"/>
  <c r="G228" i="18"/>
  <c r="F230" i="18"/>
  <c r="G230" i="18"/>
  <c r="F235" i="18"/>
  <c r="F236" i="18"/>
  <c r="G236" i="18"/>
  <c r="F242" i="18"/>
  <c r="G242" i="18"/>
  <c r="F243" i="18"/>
  <c r="G243" i="18"/>
  <c r="F247" i="18"/>
  <c r="F250" i="18"/>
  <c r="F252" i="18"/>
  <c r="F254" i="18"/>
  <c r="F259" i="18"/>
  <c r="G259" i="18"/>
  <c r="F260" i="18"/>
  <c r="G260" i="18"/>
  <c r="F262" i="18"/>
  <c r="G262" i="18"/>
  <c r="F266" i="18"/>
  <c r="F268" i="18"/>
  <c r="G268" i="18"/>
  <c r="F269" i="18"/>
  <c r="F273" i="18"/>
  <c r="F274" i="18"/>
  <c r="G274" i="18"/>
  <c r="D253" i="25"/>
  <c r="C253" i="25"/>
  <c r="D252" i="25"/>
  <c r="C252" i="25"/>
  <c r="G251" i="25"/>
  <c r="D251" i="25"/>
  <c r="C251" i="25"/>
  <c r="G250" i="25"/>
  <c r="I250" i="25"/>
  <c r="D250" i="25"/>
  <c r="C250" i="25"/>
  <c r="D249" i="25"/>
  <c r="C249" i="25"/>
  <c r="D248" i="25"/>
  <c r="C248" i="25"/>
  <c r="D247" i="25"/>
  <c r="C247" i="25"/>
  <c r="D246" i="25"/>
  <c r="C246" i="25"/>
  <c r="D245" i="25"/>
  <c r="C245" i="25"/>
  <c r="D244" i="25"/>
  <c r="C244" i="25"/>
  <c r="D243" i="25"/>
  <c r="C243" i="25"/>
  <c r="D242" i="25"/>
  <c r="C242" i="25"/>
  <c r="D241" i="25"/>
  <c r="C241" i="25"/>
  <c r="D240" i="25"/>
  <c r="C240" i="25"/>
  <c r="D239" i="25"/>
  <c r="C239" i="25"/>
  <c r="D238" i="25"/>
  <c r="C238" i="25"/>
  <c r="D237" i="25"/>
  <c r="C237" i="25"/>
  <c r="D236" i="25"/>
  <c r="C236" i="25"/>
  <c r="G235" i="25"/>
  <c r="D235" i="25"/>
  <c r="C235" i="25"/>
  <c r="D234" i="25"/>
  <c r="C234" i="25"/>
  <c r="D233" i="25"/>
  <c r="C233" i="25"/>
  <c r="G232" i="25"/>
  <c r="I232" i="25"/>
  <c r="D232" i="25"/>
  <c r="C232" i="25"/>
  <c r="D231" i="25"/>
  <c r="C231" i="25"/>
  <c r="D230" i="25"/>
  <c r="C230" i="25"/>
  <c r="D229" i="25"/>
  <c r="C229" i="25"/>
  <c r="D228" i="25"/>
  <c r="C228" i="25"/>
  <c r="D227" i="25"/>
  <c r="C227" i="25"/>
  <c r="G226" i="25"/>
  <c r="D226" i="25"/>
  <c r="C226" i="25"/>
  <c r="D225" i="25"/>
  <c r="C225" i="25"/>
  <c r="D224" i="25"/>
  <c r="C224" i="25"/>
  <c r="D223" i="25"/>
  <c r="C223" i="25"/>
  <c r="D222" i="25"/>
  <c r="C222" i="25"/>
  <c r="G221" i="25"/>
  <c r="D221" i="25"/>
  <c r="C221" i="25"/>
  <c r="D220" i="25"/>
  <c r="C220" i="25"/>
  <c r="G219" i="25"/>
  <c r="I219" i="25"/>
  <c r="D219" i="25"/>
  <c r="C219" i="25"/>
  <c r="D218" i="25"/>
  <c r="C218" i="25"/>
  <c r="D217" i="25"/>
  <c r="C217" i="25"/>
  <c r="D216" i="25"/>
  <c r="C216" i="25"/>
  <c r="G215" i="25"/>
  <c r="D215" i="25"/>
  <c r="C215" i="25"/>
  <c r="G214" i="25"/>
  <c r="D214" i="25"/>
  <c r="C214" i="25"/>
  <c r="D213" i="25"/>
  <c r="C213" i="25"/>
  <c r="D212" i="25"/>
  <c r="C212" i="25"/>
  <c r="D211" i="25"/>
  <c r="C211" i="25"/>
  <c r="D210" i="25"/>
  <c r="C210" i="25"/>
  <c r="G209" i="25"/>
  <c r="I209" i="25"/>
  <c r="D209" i="25"/>
  <c r="C209" i="25"/>
  <c r="D208" i="25"/>
  <c r="C208" i="25"/>
  <c r="G207" i="25"/>
  <c r="I207" i="25"/>
  <c r="D207" i="25"/>
  <c r="C207" i="25"/>
  <c r="D206" i="25"/>
  <c r="C206" i="25"/>
  <c r="G205" i="25"/>
  <c r="I205" i="25"/>
  <c r="D205" i="25"/>
  <c r="C205" i="25"/>
  <c r="D204" i="25"/>
  <c r="C204" i="25"/>
  <c r="G203" i="25"/>
  <c r="D203" i="25"/>
  <c r="C203" i="25"/>
  <c r="G202" i="25"/>
  <c r="I202" i="25"/>
  <c r="D202" i="25"/>
  <c r="C202" i="25"/>
  <c r="D201" i="25"/>
  <c r="C201" i="25"/>
  <c r="G200" i="25"/>
  <c r="D200" i="25"/>
  <c r="C200" i="25"/>
  <c r="D199" i="25"/>
  <c r="C199" i="25"/>
  <c r="D198" i="25"/>
  <c r="C198" i="25"/>
  <c r="D197" i="25"/>
  <c r="C197" i="25"/>
  <c r="G196" i="25"/>
  <c r="I196" i="25"/>
  <c r="D196" i="25"/>
  <c r="C196" i="25"/>
  <c r="D195" i="25"/>
  <c r="C195" i="25"/>
  <c r="D194" i="25"/>
  <c r="C194" i="25"/>
  <c r="G193" i="25"/>
  <c r="I193" i="25"/>
  <c r="D193" i="25"/>
  <c r="C193" i="25"/>
  <c r="D192" i="25"/>
  <c r="C192" i="25"/>
  <c r="G191" i="25"/>
  <c r="I191" i="25"/>
  <c r="D191" i="25"/>
  <c r="C191" i="25"/>
  <c r="D190" i="25"/>
  <c r="C190" i="25"/>
  <c r="G189" i="25"/>
  <c r="D189" i="25"/>
  <c r="C189" i="25"/>
  <c r="G188" i="25"/>
  <c r="I188" i="25"/>
  <c r="D188" i="25"/>
  <c r="C188" i="25"/>
  <c r="D187" i="25"/>
  <c r="C187" i="25"/>
  <c r="D186" i="25"/>
  <c r="C186" i="25"/>
  <c r="G185" i="25"/>
  <c r="D185" i="25"/>
  <c r="C185" i="25"/>
  <c r="G184" i="25"/>
  <c r="I184" i="25"/>
  <c r="D184" i="25"/>
  <c r="C184" i="25"/>
  <c r="D183" i="25"/>
  <c r="C183" i="25"/>
  <c r="D182" i="25"/>
  <c r="C182" i="25"/>
  <c r="D181" i="25"/>
  <c r="C181" i="25"/>
  <c r="D180" i="25"/>
  <c r="C180" i="25"/>
  <c r="G179" i="25"/>
  <c r="D179" i="25"/>
  <c r="C179" i="25"/>
  <c r="D178" i="25"/>
  <c r="C178" i="25"/>
  <c r="G177" i="25"/>
  <c r="I177" i="25"/>
  <c r="D177" i="25"/>
  <c r="C177" i="25"/>
  <c r="G176" i="25"/>
  <c r="I176" i="25"/>
  <c r="D176" i="25"/>
  <c r="C176" i="25"/>
  <c r="G175" i="25"/>
  <c r="I175" i="25"/>
  <c r="D175" i="25"/>
  <c r="C175" i="25"/>
  <c r="D174" i="25"/>
  <c r="C174" i="25"/>
  <c r="D173" i="25"/>
  <c r="C173" i="25"/>
  <c r="D172" i="25"/>
  <c r="C172" i="25"/>
  <c r="D171" i="25"/>
  <c r="C171" i="25"/>
  <c r="D170" i="25"/>
  <c r="C170" i="25"/>
  <c r="D169" i="25"/>
  <c r="C169" i="25"/>
  <c r="G168" i="25"/>
  <c r="I168" i="25"/>
  <c r="D168" i="25"/>
  <c r="C168" i="25"/>
  <c r="D167" i="25"/>
  <c r="C167" i="25"/>
  <c r="D166" i="25"/>
  <c r="C166" i="25"/>
  <c r="D165" i="25"/>
  <c r="C165" i="25"/>
  <c r="G164" i="25"/>
  <c r="I164" i="25"/>
  <c r="D164" i="25"/>
  <c r="C164" i="25"/>
  <c r="D163" i="25"/>
  <c r="C163" i="25"/>
  <c r="D162" i="25"/>
  <c r="C162" i="25"/>
  <c r="D161" i="25"/>
  <c r="C161" i="25"/>
  <c r="G160" i="25"/>
  <c r="D160" i="25"/>
  <c r="C160" i="25"/>
  <c r="D159" i="25"/>
  <c r="C159" i="25"/>
  <c r="G158" i="25"/>
  <c r="D158" i="25"/>
  <c r="C158" i="25"/>
  <c r="D157" i="25"/>
  <c r="C157" i="25"/>
  <c r="G156" i="25"/>
  <c r="D156" i="25"/>
  <c r="C156" i="25"/>
  <c r="G155" i="25"/>
  <c r="I155" i="25"/>
  <c r="D155" i="25"/>
  <c r="C155" i="25"/>
  <c r="D154" i="25"/>
  <c r="C154" i="25"/>
  <c r="D153" i="25"/>
  <c r="C153" i="25"/>
  <c r="G152" i="25"/>
  <c r="D152" i="25"/>
  <c r="C152" i="25"/>
  <c r="D151" i="25"/>
  <c r="C151" i="25"/>
  <c r="G150" i="25"/>
  <c r="I150" i="25"/>
  <c r="D150" i="25"/>
  <c r="C150" i="25"/>
  <c r="D149" i="25"/>
  <c r="C149" i="25"/>
  <c r="G148" i="25"/>
  <c r="D148" i="25"/>
  <c r="C148" i="25"/>
  <c r="D147" i="25"/>
  <c r="C147" i="25"/>
  <c r="D146" i="25"/>
  <c r="C146" i="25"/>
  <c r="D145" i="25"/>
  <c r="C145" i="25"/>
  <c r="G144" i="25"/>
  <c r="I144" i="25"/>
  <c r="D144" i="25"/>
  <c r="C144" i="25"/>
  <c r="D143" i="25"/>
  <c r="C143" i="25"/>
  <c r="G142" i="25"/>
  <c r="I142" i="25"/>
  <c r="D142" i="25"/>
  <c r="C142" i="25"/>
  <c r="D141" i="25"/>
  <c r="C141" i="25"/>
  <c r="D140" i="25"/>
  <c r="C140" i="25"/>
  <c r="D139" i="25"/>
  <c r="C139" i="25"/>
  <c r="D138" i="25"/>
  <c r="C138" i="25"/>
  <c r="D137" i="25"/>
  <c r="C137" i="25"/>
  <c r="D136" i="25"/>
  <c r="C136" i="25"/>
  <c r="G135" i="25"/>
  <c r="D135" i="25"/>
  <c r="C135" i="25"/>
  <c r="D134" i="25"/>
  <c r="C134" i="25"/>
  <c r="G133" i="25"/>
  <c r="I133" i="25"/>
  <c r="D133" i="25"/>
  <c r="C133" i="25"/>
  <c r="D132" i="25"/>
  <c r="C132" i="25"/>
  <c r="G131" i="25"/>
  <c r="D131" i="25"/>
  <c r="C131" i="25"/>
  <c r="G130" i="25"/>
  <c r="D130" i="25"/>
  <c r="C130" i="25"/>
  <c r="D129" i="25"/>
  <c r="C129" i="25"/>
  <c r="G128" i="25"/>
  <c r="I128" i="25"/>
  <c r="D128" i="25"/>
  <c r="C128" i="25"/>
  <c r="G127" i="25"/>
  <c r="I127" i="25"/>
  <c r="D127" i="25"/>
  <c r="C127" i="25"/>
  <c r="D126" i="25"/>
  <c r="C126" i="25"/>
  <c r="G125" i="25"/>
  <c r="I125" i="25"/>
  <c r="D125" i="25"/>
  <c r="C125" i="25"/>
  <c r="D124" i="25"/>
  <c r="C124" i="25"/>
  <c r="G123" i="25"/>
  <c r="D123" i="25"/>
  <c r="C123" i="25"/>
  <c r="D122" i="25"/>
  <c r="C122" i="25"/>
  <c r="G121" i="25"/>
  <c r="I121" i="25"/>
  <c r="D121" i="25"/>
  <c r="C121" i="25"/>
  <c r="D120" i="25"/>
  <c r="C120" i="25"/>
  <c r="G119" i="25"/>
  <c r="I119" i="25"/>
  <c r="D119" i="25"/>
  <c r="C119" i="25"/>
  <c r="D118" i="25"/>
  <c r="C118" i="25"/>
  <c r="G117" i="25"/>
  <c r="D117" i="25"/>
  <c r="C117" i="25"/>
  <c r="G116" i="25"/>
  <c r="I116" i="25"/>
  <c r="D116" i="25"/>
  <c r="C116" i="25"/>
  <c r="G115" i="25"/>
  <c r="I115" i="25"/>
  <c r="D115" i="25"/>
  <c r="C115" i="25"/>
  <c r="D114" i="25"/>
  <c r="C114" i="25"/>
  <c r="G113" i="25"/>
  <c r="I113" i="25"/>
  <c r="D113" i="25"/>
  <c r="C113" i="25"/>
  <c r="D112" i="25"/>
  <c r="C112" i="25"/>
  <c r="G111" i="25"/>
  <c r="D111" i="25"/>
  <c r="C111" i="25"/>
  <c r="G110" i="25"/>
  <c r="I110" i="25"/>
  <c r="D110" i="25"/>
  <c r="C110" i="25"/>
  <c r="G109" i="25"/>
  <c r="I109" i="25"/>
  <c r="D109" i="25"/>
  <c r="C109" i="25"/>
  <c r="G108" i="25"/>
  <c r="I108" i="25"/>
  <c r="D108" i="25"/>
  <c r="C108" i="25"/>
  <c r="G107" i="25"/>
  <c r="I107" i="25"/>
  <c r="D107" i="25"/>
  <c r="C107" i="25"/>
  <c r="D106" i="25"/>
  <c r="C106" i="25"/>
  <c r="D105" i="25"/>
  <c r="C105" i="25"/>
  <c r="G104" i="25"/>
  <c r="I104" i="25"/>
  <c r="D104" i="25"/>
  <c r="C104" i="25"/>
  <c r="D103" i="25"/>
  <c r="C103" i="25"/>
  <c r="D102" i="25"/>
  <c r="C102" i="25"/>
  <c r="G101" i="25"/>
  <c r="I101" i="25"/>
  <c r="D101" i="25"/>
  <c r="C101" i="25"/>
  <c r="D100" i="25"/>
  <c r="C100" i="25"/>
  <c r="G99" i="25"/>
  <c r="I99" i="25"/>
  <c r="D99" i="25"/>
  <c r="C99" i="25"/>
  <c r="D98" i="25"/>
  <c r="C98" i="25"/>
  <c r="G97" i="25"/>
  <c r="I97" i="25"/>
  <c r="D97" i="25"/>
  <c r="C97" i="25"/>
  <c r="D96" i="25"/>
  <c r="C96" i="25"/>
  <c r="G95" i="25"/>
  <c r="I95" i="25"/>
  <c r="D95" i="25"/>
  <c r="C95" i="25"/>
  <c r="G94" i="25"/>
  <c r="I94" i="25"/>
  <c r="D94" i="25"/>
  <c r="C94" i="25"/>
  <c r="G93" i="25"/>
  <c r="D93" i="25"/>
  <c r="C93" i="25"/>
  <c r="D92" i="25"/>
  <c r="C92" i="25"/>
  <c r="G91" i="25"/>
  <c r="I91" i="25"/>
  <c r="D91" i="25"/>
  <c r="C91" i="25"/>
  <c r="G90" i="25"/>
  <c r="I90" i="25"/>
  <c r="D90" i="25"/>
  <c r="C90" i="25"/>
  <c r="D89" i="25"/>
  <c r="C89" i="25"/>
  <c r="D88" i="25"/>
  <c r="C88" i="25"/>
  <c r="D87" i="25"/>
  <c r="C87" i="25"/>
  <c r="G86" i="25"/>
  <c r="I86" i="25"/>
  <c r="D86" i="25"/>
  <c r="C86" i="25"/>
  <c r="G85" i="25"/>
  <c r="I85" i="25"/>
  <c r="D85" i="25"/>
  <c r="C85" i="25"/>
  <c r="D84" i="25"/>
  <c r="C84" i="25"/>
  <c r="G83" i="25"/>
  <c r="I83" i="25"/>
  <c r="D83" i="25"/>
  <c r="C83" i="25"/>
  <c r="D82" i="25"/>
  <c r="C82" i="25"/>
  <c r="G81" i="25"/>
  <c r="I81" i="25"/>
  <c r="D81" i="25"/>
  <c r="C81" i="25"/>
  <c r="G80" i="25"/>
  <c r="D80" i="25"/>
  <c r="C80" i="25"/>
  <c r="G79" i="25"/>
  <c r="D79" i="25"/>
  <c r="C79" i="25"/>
  <c r="G78" i="25"/>
  <c r="I78" i="25"/>
  <c r="D78" i="25"/>
  <c r="C78" i="25"/>
  <c r="D77" i="25"/>
  <c r="C77" i="25"/>
  <c r="G76" i="25"/>
  <c r="I76" i="25"/>
  <c r="D76" i="25"/>
  <c r="C76" i="25"/>
  <c r="G75" i="25"/>
  <c r="I75" i="25"/>
  <c r="D75" i="25"/>
  <c r="C75" i="25"/>
  <c r="G74" i="25"/>
  <c r="I74" i="25"/>
  <c r="D74" i="25"/>
  <c r="C74" i="25"/>
  <c r="D73" i="25"/>
  <c r="C73" i="25"/>
  <c r="D72" i="25"/>
  <c r="C72" i="25"/>
  <c r="G71" i="25"/>
  <c r="D71" i="25"/>
  <c r="C71" i="25"/>
  <c r="G70" i="25"/>
  <c r="I70" i="25"/>
  <c r="D70" i="25"/>
  <c r="C70" i="25"/>
  <c r="G69" i="25"/>
  <c r="I69" i="25"/>
  <c r="D69" i="25"/>
  <c r="C69" i="25"/>
  <c r="G68" i="25"/>
  <c r="I68" i="25"/>
  <c r="D68" i="25"/>
  <c r="C68" i="25"/>
  <c r="G67" i="25"/>
  <c r="I67" i="25"/>
  <c r="D67" i="25"/>
  <c r="C67" i="25"/>
  <c r="D66" i="25"/>
  <c r="C66" i="25"/>
  <c r="G65" i="25"/>
  <c r="I65" i="25"/>
  <c r="D65" i="25"/>
  <c r="C65" i="25"/>
  <c r="D64" i="25"/>
  <c r="C64" i="25"/>
  <c r="G63" i="25"/>
  <c r="I63" i="25"/>
  <c r="D63" i="25"/>
  <c r="C63" i="25"/>
  <c r="G62" i="25"/>
  <c r="I62" i="25"/>
  <c r="D62" i="25"/>
  <c r="C62" i="25"/>
  <c r="G61" i="25"/>
  <c r="D61" i="25"/>
  <c r="C61" i="25"/>
  <c r="G60" i="25"/>
  <c r="I60" i="25"/>
  <c r="D60" i="25"/>
  <c r="C60" i="25"/>
  <c r="D59" i="25"/>
  <c r="C59" i="25"/>
  <c r="G58" i="25"/>
  <c r="I58" i="25"/>
  <c r="D58" i="25"/>
  <c r="C58" i="25"/>
  <c r="G57" i="25"/>
  <c r="D57" i="25"/>
  <c r="C57" i="25"/>
  <c r="D56" i="25"/>
  <c r="C56" i="25"/>
  <c r="G55" i="25"/>
  <c r="I55" i="25"/>
  <c r="D55" i="25"/>
  <c r="C55" i="25"/>
  <c r="G54" i="25"/>
  <c r="I54" i="25"/>
  <c r="D54" i="25"/>
  <c r="C54" i="25"/>
  <c r="G53" i="25"/>
  <c r="D53" i="25"/>
  <c r="C53" i="25"/>
  <c r="G52" i="25"/>
  <c r="I52" i="25"/>
  <c r="D52" i="25"/>
  <c r="C52" i="25"/>
  <c r="G51" i="25"/>
  <c r="I51" i="25"/>
  <c r="D51" i="25"/>
  <c r="C51" i="25"/>
  <c r="G50" i="25"/>
  <c r="D50" i="25"/>
  <c r="C50" i="25"/>
  <c r="G49" i="25"/>
  <c r="I49" i="25"/>
  <c r="D49" i="25"/>
  <c r="C49" i="25"/>
  <c r="G48" i="25"/>
  <c r="I48" i="25"/>
  <c r="D48" i="25"/>
  <c r="C48" i="25"/>
  <c r="G47" i="25"/>
  <c r="I47" i="25"/>
  <c r="D47" i="25"/>
  <c r="C47" i="25"/>
  <c r="D46" i="25"/>
  <c r="C46" i="25"/>
  <c r="G45" i="25"/>
  <c r="I45" i="25"/>
  <c r="D45" i="25"/>
  <c r="C45" i="25"/>
  <c r="G44" i="25"/>
  <c r="I44" i="25"/>
  <c r="D44" i="25"/>
  <c r="C44" i="25"/>
  <c r="G43" i="25"/>
  <c r="I43" i="25"/>
  <c r="D43" i="25"/>
  <c r="C43" i="25"/>
  <c r="G42" i="25"/>
  <c r="I42" i="25"/>
  <c r="D42" i="25"/>
  <c r="C42" i="25"/>
  <c r="D41" i="25"/>
  <c r="C41" i="25"/>
  <c r="G40" i="25"/>
  <c r="I40" i="25"/>
  <c r="D40" i="25"/>
  <c r="C40" i="25"/>
  <c r="G39" i="25"/>
  <c r="I39" i="25"/>
  <c r="D39" i="25"/>
  <c r="C39" i="25"/>
  <c r="G38" i="25"/>
  <c r="I38" i="25"/>
  <c r="D38" i="25"/>
  <c r="C38" i="25"/>
  <c r="D37" i="25"/>
  <c r="C37" i="25"/>
  <c r="D36" i="25"/>
  <c r="C36" i="25"/>
  <c r="G35" i="25"/>
  <c r="I35" i="25"/>
  <c r="D35" i="25"/>
  <c r="C35" i="25"/>
  <c r="D34" i="25"/>
  <c r="C34" i="25"/>
  <c r="G33" i="25"/>
  <c r="I33" i="25"/>
  <c r="D33" i="25"/>
  <c r="C33" i="25"/>
  <c r="G32" i="25"/>
  <c r="I32" i="25"/>
  <c r="D32" i="25"/>
  <c r="C32" i="25"/>
  <c r="G31" i="25"/>
  <c r="I31" i="25"/>
  <c r="D31" i="25"/>
  <c r="C31" i="25"/>
  <c r="G30" i="25"/>
  <c r="I30" i="25"/>
  <c r="D30" i="25"/>
  <c r="C30" i="25"/>
  <c r="D29" i="25"/>
  <c r="C29" i="25"/>
  <c r="G28" i="25"/>
  <c r="I28" i="25"/>
  <c r="D28" i="25"/>
  <c r="C28" i="25"/>
  <c r="D27" i="25"/>
  <c r="C27" i="25"/>
  <c r="D26" i="25"/>
  <c r="C26" i="25"/>
  <c r="G25" i="25"/>
  <c r="I25" i="25"/>
  <c r="D25" i="25"/>
  <c r="C25" i="25"/>
  <c r="G24" i="25"/>
  <c r="D24" i="25"/>
  <c r="C24" i="25"/>
  <c r="G23" i="25"/>
  <c r="I23" i="25"/>
  <c r="D23" i="25"/>
  <c r="C23" i="25"/>
  <c r="D22" i="25"/>
  <c r="C22" i="25"/>
  <c r="D21" i="25"/>
  <c r="C21" i="25"/>
  <c r="G20" i="25"/>
  <c r="I20" i="25"/>
  <c r="D20" i="25"/>
  <c r="C20" i="25"/>
  <c r="G19" i="25"/>
  <c r="D19" i="25"/>
  <c r="C19" i="25"/>
  <c r="D18" i="25"/>
  <c r="C18" i="25"/>
  <c r="G17" i="25"/>
  <c r="I17" i="25"/>
  <c r="D17" i="25"/>
  <c r="C17" i="25"/>
  <c r="G16" i="25"/>
  <c r="I16" i="25"/>
  <c r="D16" i="25"/>
  <c r="C16" i="25"/>
  <c r="G15" i="25"/>
  <c r="I15" i="25"/>
  <c r="D15" i="25"/>
  <c r="C15" i="25"/>
  <c r="G14" i="25"/>
  <c r="I14" i="25"/>
  <c r="D14" i="25"/>
  <c r="C14" i="25"/>
  <c r="G13" i="25"/>
  <c r="I13" i="25"/>
  <c r="D13" i="25"/>
  <c r="C13" i="25"/>
  <c r="G12" i="25"/>
  <c r="I12" i="25"/>
  <c r="D12" i="25"/>
  <c r="C12" i="25"/>
  <c r="G11" i="25"/>
  <c r="I11" i="25"/>
  <c r="D11" i="25"/>
  <c r="C11" i="25"/>
  <c r="D10" i="25"/>
  <c r="C10" i="25"/>
  <c r="D9" i="25"/>
  <c r="C9" i="25"/>
  <c r="G8" i="25"/>
  <c r="I8" i="25"/>
  <c r="D8" i="25"/>
  <c r="C8" i="25"/>
  <c r="D7" i="25"/>
  <c r="C7" i="25"/>
  <c r="G6" i="25"/>
  <c r="D6" i="25"/>
  <c r="C6" i="25"/>
  <c r="G5" i="25"/>
  <c r="I5" i="25"/>
  <c r="D5" i="25"/>
  <c r="C5" i="25"/>
  <c r="P269" i="21"/>
  <c r="Q269" i="21"/>
  <c r="G7" i="25"/>
  <c r="I7" i="25"/>
  <c r="J267" i="18"/>
  <c r="M270" i="18"/>
  <c r="M274" i="18"/>
  <c r="E131" i="1"/>
  <c r="F217" i="1"/>
  <c r="G222" i="1"/>
  <c r="G239" i="1"/>
  <c r="F240" i="1"/>
  <c r="F250" i="1"/>
  <c r="E251" i="1"/>
  <c r="G31" i="4"/>
  <c r="G63" i="4"/>
  <c r="G95" i="4"/>
  <c r="G125" i="4"/>
  <c r="G127" i="4"/>
  <c r="G157" i="4"/>
  <c r="G159" i="4"/>
  <c r="G189" i="4"/>
  <c r="G191" i="4"/>
  <c r="G223" i="4"/>
  <c r="G255" i="4"/>
  <c r="F31" i="4"/>
  <c r="F33" i="4"/>
  <c r="F63" i="4"/>
  <c r="F65" i="4"/>
  <c r="F95" i="4"/>
  <c r="F97" i="4"/>
  <c r="F129" i="4"/>
  <c r="F159" i="4"/>
  <c r="F179" i="4"/>
  <c r="F183" i="4"/>
  <c r="F203" i="4"/>
  <c r="F219" i="4"/>
  <c r="F233" i="4"/>
  <c r="F235" i="4"/>
  <c r="F247" i="4"/>
  <c r="F254" i="4"/>
  <c r="F255" i="4"/>
  <c r="F262" i="4"/>
  <c r="F270" i="4"/>
  <c r="F271" i="4"/>
  <c r="F278" i="4"/>
  <c r="E27" i="4"/>
  <c r="E35" i="4"/>
  <c r="E43" i="4"/>
  <c r="E51" i="4"/>
  <c r="E59" i="4"/>
  <c r="E67" i="4"/>
  <c r="E75" i="4"/>
  <c r="E83" i="4"/>
  <c r="E91" i="4"/>
  <c r="E98" i="4"/>
  <c r="E106" i="4"/>
  <c r="E114" i="4"/>
  <c r="E115" i="4"/>
  <c r="E122" i="4"/>
  <c r="E123" i="4"/>
  <c r="E130" i="4"/>
  <c r="E131" i="4"/>
  <c r="E139" i="4"/>
  <c r="E146" i="4"/>
  <c r="E147" i="4"/>
  <c r="E154" i="4"/>
  <c r="E162" i="4"/>
  <c r="E170" i="4"/>
  <c r="E178" i="4"/>
  <c r="E179" i="4"/>
  <c r="E186" i="4"/>
  <c r="E194" i="4"/>
  <c r="E202" i="4"/>
  <c r="E210" i="4"/>
  <c r="E211" i="4"/>
  <c r="E219" i="4"/>
  <c r="E227" i="4"/>
  <c r="E234" i="4"/>
  <c r="E235" i="4"/>
  <c r="E242" i="4"/>
  <c r="E243" i="4"/>
  <c r="E250" i="4"/>
  <c r="E254" i="4"/>
  <c r="E256" i="4"/>
  <c r="E258" i="4"/>
  <c r="E259" i="4"/>
  <c r="E266" i="4"/>
  <c r="E267" i="4"/>
  <c r="E270" i="4"/>
  <c r="E272" i="4"/>
  <c r="E275" i="4"/>
  <c r="E276" i="4"/>
  <c r="E278" i="4"/>
  <c r="E258" i="1"/>
  <c r="F258" i="1"/>
  <c r="E257" i="1"/>
  <c r="F257" i="1"/>
  <c r="E256" i="1"/>
  <c r="F256" i="1"/>
  <c r="E255" i="1"/>
  <c r="G275" i="4"/>
  <c r="F255" i="1"/>
  <c r="F254" i="1"/>
  <c r="E273" i="4"/>
  <c r="G273" i="4"/>
  <c r="F253" i="1"/>
  <c r="E252" i="1"/>
  <c r="E271" i="4"/>
  <c r="G251" i="1"/>
  <c r="F251" i="1"/>
  <c r="E250" i="1"/>
  <c r="E249" i="1"/>
  <c r="F249" i="1"/>
  <c r="E248" i="1"/>
  <c r="F268" i="4"/>
  <c r="E246" i="1"/>
  <c r="F246" i="1"/>
  <c r="G265" i="4"/>
  <c r="F245" i="1"/>
  <c r="E244" i="1"/>
  <c r="F244" i="1"/>
  <c r="E243" i="1"/>
  <c r="G243" i="1"/>
  <c r="F243" i="1"/>
  <c r="E242" i="1"/>
  <c r="F242" i="1"/>
  <c r="E241" i="1"/>
  <c r="G241" i="1"/>
  <c r="F241" i="1"/>
  <c r="E240" i="1"/>
  <c r="F260" i="4"/>
  <c r="E239" i="1"/>
  <c r="G259" i="4"/>
  <c r="F239" i="1"/>
  <c r="E238" i="1"/>
  <c r="F238" i="1"/>
  <c r="E143" i="1"/>
  <c r="F143" i="1"/>
  <c r="E237" i="1"/>
  <c r="G257" i="4"/>
  <c r="F237" i="1"/>
  <c r="E236" i="1"/>
  <c r="E235" i="1"/>
  <c r="G235" i="1"/>
  <c r="F235" i="1"/>
  <c r="E234" i="1"/>
  <c r="F234" i="1"/>
  <c r="E233" i="1"/>
  <c r="F233" i="1"/>
  <c r="E232" i="1"/>
  <c r="F232" i="1"/>
  <c r="E121" i="1"/>
  <c r="G121" i="1"/>
  <c r="E231" i="1"/>
  <c r="F231" i="1"/>
  <c r="E230" i="1"/>
  <c r="F230" i="1"/>
  <c r="E229" i="1"/>
  <c r="E112" i="1"/>
  <c r="E248" i="4"/>
  <c r="F228" i="1"/>
  <c r="E106" i="1"/>
  <c r="E227" i="1"/>
  <c r="G227" i="1"/>
  <c r="F227" i="1"/>
  <c r="E226" i="1"/>
  <c r="F226" i="1"/>
  <c r="G225" i="1"/>
  <c r="F225" i="1"/>
  <c r="E224" i="1"/>
  <c r="F224" i="1"/>
  <c r="E223" i="1"/>
  <c r="E222" i="1"/>
  <c r="G242" i="4"/>
  <c r="E221" i="1"/>
  <c r="F221" i="1"/>
  <c r="E219" i="1"/>
  <c r="G219" i="1"/>
  <c r="F219" i="1"/>
  <c r="E98" i="1"/>
  <c r="E217" i="1"/>
  <c r="G217" i="1"/>
  <c r="F237" i="4"/>
  <c r="E216" i="1"/>
  <c r="E215" i="1"/>
  <c r="F215" i="1"/>
  <c r="E214" i="1"/>
  <c r="F213" i="1"/>
  <c r="E212" i="1"/>
  <c r="E211" i="1"/>
  <c r="G211" i="1"/>
  <c r="G230" i="4"/>
  <c r="E209" i="1"/>
  <c r="G209" i="1"/>
  <c r="F209" i="1"/>
  <c r="E208" i="1"/>
  <c r="E88" i="1"/>
  <c r="F108" i="4"/>
  <c r="E207" i="1"/>
  <c r="F207" i="1"/>
  <c r="E205" i="1"/>
  <c r="F205" i="1"/>
  <c r="E204" i="1"/>
  <c r="G203" i="1"/>
  <c r="F203" i="1"/>
  <c r="E202" i="1"/>
  <c r="E201" i="1"/>
  <c r="E200" i="1"/>
  <c r="E199" i="1"/>
  <c r="F199" i="1"/>
  <c r="E78" i="1"/>
  <c r="E197" i="1"/>
  <c r="E195" i="1"/>
  <c r="G195" i="1"/>
  <c r="F195" i="1"/>
  <c r="E194" i="1"/>
  <c r="E193" i="1"/>
  <c r="G193" i="1"/>
  <c r="F193" i="1"/>
  <c r="E192" i="1"/>
  <c r="F212" i="4"/>
  <c r="E191" i="1"/>
  <c r="F191" i="1"/>
  <c r="E190" i="1"/>
  <c r="E189" i="1"/>
  <c r="E187" i="1"/>
  <c r="G187" i="1"/>
  <c r="F187" i="1"/>
  <c r="E186" i="1"/>
  <c r="E185" i="1"/>
  <c r="G185" i="1"/>
  <c r="F185" i="1"/>
  <c r="E184" i="1"/>
  <c r="E183" i="1"/>
  <c r="F183" i="1"/>
  <c r="E182" i="1"/>
  <c r="E181" i="1"/>
  <c r="G201" i="4"/>
  <c r="E179" i="1"/>
  <c r="G179" i="1"/>
  <c r="F179" i="1"/>
  <c r="E178" i="1"/>
  <c r="E177" i="1"/>
  <c r="G177" i="1"/>
  <c r="E176" i="1"/>
  <c r="E175" i="1"/>
  <c r="F175" i="1"/>
  <c r="E174" i="1"/>
  <c r="E173" i="1"/>
  <c r="E171" i="1"/>
  <c r="G171" i="1"/>
  <c r="F171" i="1"/>
  <c r="E170" i="1"/>
  <c r="E169" i="1"/>
  <c r="G169" i="1"/>
  <c r="E168" i="1"/>
  <c r="E167" i="1"/>
  <c r="F167" i="1"/>
  <c r="E166" i="1"/>
  <c r="E165" i="1"/>
  <c r="E163" i="1"/>
  <c r="G163" i="1"/>
  <c r="F163" i="1"/>
  <c r="E162" i="1"/>
  <c r="E161" i="1"/>
  <c r="G161" i="1"/>
  <c r="E160" i="1"/>
  <c r="E159" i="1"/>
  <c r="F159" i="1"/>
  <c r="E158" i="1"/>
  <c r="E157" i="1"/>
  <c r="E155" i="1"/>
  <c r="G155" i="1"/>
  <c r="F155" i="1"/>
  <c r="E154" i="1"/>
  <c r="E153" i="1"/>
  <c r="G153" i="1"/>
  <c r="E152" i="1"/>
  <c r="F172" i="4"/>
  <c r="E151" i="1"/>
  <c r="F151" i="1"/>
  <c r="E150" i="1"/>
  <c r="E247" i="1"/>
  <c r="G267" i="4"/>
  <c r="F149" i="1"/>
  <c r="E148" i="1"/>
  <c r="E147" i="1"/>
  <c r="E146" i="1"/>
  <c r="E145" i="1"/>
  <c r="G145" i="1"/>
  <c r="E142" i="1"/>
  <c r="E141" i="1"/>
  <c r="F141" i="1"/>
  <c r="E139" i="1"/>
  <c r="G139" i="1"/>
  <c r="F139" i="1"/>
  <c r="E138" i="1"/>
  <c r="E137" i="1"/>
  <c r="G137" i="1"/>
  <c r="E136" i="1"/>
  <c r="E135" i="1"/>
  <c r="E134" i="1"/>
  <c r="E133" i="1"/>
  <c r="E151" i="4"/>
  <c r="G131" i="1"/>
  <c r="F131" i="1"/>
  <c r="E130" i="1"/>
  <c r="E129" i="1"/>
  <c r="G129" i="1"/>
  <c r="E128" i="1"/>
  <c r="E127" i="1"/>
  <c r="E126" i="1"/>
  <c r="E125" i="1"/>
  <c r="E123" i="1"/>
  <c r="G123" i="1"/>
  <c r="F123" i="1"/>
  <c r="E122" i="1"/>
  <c r="E120" i="1"/>
  <c r="E119" i="1"/>
  <c r="E117" i="1"/>
  <c r="F117" i="1"/>
  <c r="E116" i="1"/>
  <c r="F115" i="1"/>
  <c r="E114" i="1"/>
  <c r="E113" i="1"/>
  <c r="E111" i="1"/>
  <c r="E110" i="1"/>
  <c r="F109" i="1"/>
  <c r="E108" i="1"/>
  <c r="E107" i="1"/>
  <c r="G107" i="1"/>
  <c r="G105" i="1"/>
  <c r="E104" i="1"/>
  <c r="E103" i="1"/>
  <c r="E102" i="1"/>
  <c r="E101" i="1"/>
  <c r="F101" i="1"/>
  <c r="E99" i="1"/>
  <c r="G99" i="1"/>
  <c r="F99" i="1"/>
  <c r="E97" i="1"/>
  <c r="G97" i="1"/>
  <c r="E95" i="1"/>
  <c r="E94" i="1"/>
  <c r="E93" i="1"/>
  <c r="F93" i="1"/>
  <c r="E92" i="1"/>
  <c r="F91" i="1"/>
  <c r="E90" i="1"/>
  <c r="E89" i="1"/>
  <c r="G89" i="1"/>
  <c r="E87" i="1"/>
  <c r="E86" i="1"/>
  <c r="E85" i="1"/>
  <c r="E84" i="1"/>
  <c r="E83" i="1"/>
  <c r="G83" i="1"/>
  <c r="F83" i="1"/>
  <c r="E81" i="1"/>
  <c r="G81" i="1"/>
  <c r="E80" i="1"/>
  <c r="E79" i="1"/>
  <c r="E77" i="1"/>
  <c r="F77" i="1"/>
  <c r="E76" i="1"/>
  <c r="E75" i="1"/>
  <c r="G75" i="1"/>
  <c r="F75" i="1"/>
  <c r="E74" i="1"/>
  <c r="E72" i="1"/>
  <c r="E71" i="1"/>
  <c r="E69" i="1"/>
  <c r="F69" i="1"/>
  <c r="E68" i="1"/>
  <c r="E87" i="4"/>
  <c r="G67" i="1"/>
  <c r="F67" i="1"/>
  <c r="E66" i="1"/>
  <c r="E64" i="1"/>
  <c r="E63" i="1"/>
  <c r="E61" i="1"/>
  <c r="F61" i="1"/>
  <c r="E60" i="1"/>
  <c r="E59" i="1"/>
  <c r="G59" i="1"/>
  <c r="F59" i="1"/>
  <c r="E58" i="1"/>
  <c r="E56" i="1"/>
  <c r="E55" i="1"/>
  <c r="E53" i="1"/>
  <c r="F53" i="1"/>
  <c r="E52" i="1"/>
  <c r="E51" i="1"/>
  <c r="G51" i="1"/>
  <c r="F51" i="1"/>
  <c r="E50" i="1"/>
  <c r="E48" i="1"/>
  <c r="E47" i="1"/>
  <c r="E45" i="1"/>
  <c r="G65" i="4"/>
  <c r="F45" i="1"/>
  <c r="E44" i="1"/>
  <c r="E43" i="1"/>
  <c r="G43" i="1"/>
  <c r="F43" i="1"/>
  <c r="E42" i="1"/>
  <c r="E40" i="1"/>
  <c r="E39" i="1"/>
  <c r="E37" i="1"/>
  <c r="F37" i="1"/>
  <c r="E36" i="1"/>
  <c r="E35" i="1"/>
  <c r="G35" i="1"/>
  <c r="F35" i="1"/>
  <c r="E34" i="1"/>
  <c r="E32" i="1"/>
  <c r="E31" i="1"/>
  <c r="E29" i="1"/>
  <c r="F29" i="1"/>
  <c r="E28" i="1"/>
  <c r="E27" i="1"/>
  <c r="G27" i="1"/>
  <c r="F27" i="1"/>
  <c r="E26" i="1"/>
  <c r="E24" i="1"/>
  <c r="F44" i="4"/>
  <c r="E23" i="1"/>
  <c r="E21" i="1"/>
  <c r="F21" i="1"/>
  <c r="E20" i="1"/>
  <c r="E19" i="1"/>
  <c r="G19" i="1"/>
  <c r="F19" i="1"/>
  <c r="E18" i="1"/>
  <c r="E16" i="1"/>
  <c r="E15" i="1"/>
  <c r="E13" i="1"/>
  <c r="F13" i="1"/>
  <c r="E12" i="1"/>
  <c r="E11" i="1"/>
  <c r="G11" i="1"/>
  <c r="F11" i="1"/>
  <c r="E10" i="1"/>
  <c r="E8" i="1"/>
  <c r="E7" i="1"/>
  <c r="G6" i="1"/>
  <c r="G17" i="1"/>
  <c r="G37" i="4"/>
  <c r="G25" i="1"/>
  <c r="G45" i="4"/>
  <c r="E38" i="1"/>
  <c r="E58" i="4"/>
  <c r="F52" i="1"/>
  <c r="F72" i="4"/>
  <c r="E62" i="1"/>
  <c r="E82" i="4"/>
  <c r="E70" i="1"/>
  <c r="E90" i="4"/>
  <c r="G91" i="1"/>
  <c r="G111" i="4"/>
  <c r="F111" i="4"/>
  <c r="H111" i="4"/>
  <c r="E111" i="4"/>
  <c r="I111" i="4"/>
  <c r="F103" i="1"/>
  <c r="F123" i="4"/>
  <c r="F122" i="1"/>
  <c r="F142" i="4"/>
  <c r="E140" i="1"/>
  <c r="E160" i="4"/>
  <c r="E156" i="1"/>
  <c r="E176" i="4"/>
  <c r="E172" i="1"/>
  <c r="E192" i="4"/>
  <c r="E188" i="1"/>
  <c r="E208" i="4"/>
  <c r="F201" i="1"/>
  <c r="F221" i="4"/>
  <c r="G233" i="4"/>
  <c r="G213" i="1"/>
  <c r="F223" i="1"/>
  <c r="F243" i="4"/>
  <c r="G257" i="1"/>
  <c r="G277" i="4"/>
  <c r="G12" i="1"/>
  <c r="G32" i="4"/>
  <c r="F23" i="1"/>
  <c r="F43" i="4"/>
  <c r="F39" i="1"/>
  <c r="F59" i="4"/>
  <c r="F55" i="1"/>
  <c r="F75" i="4"/>
  <c r="F71" i="1"/>
  <c r="F91" i="4"/>
  <c r="G105" i="4"/>
  <c r="G85" i="1"/>
  <c r="F97" i="1"/>
  <c r="F117" i="4"/>
  <c r="F116" i="1"/>
  <c r="F136" i="4"/>
  <c r="G147" i="1"/>
  <c r="G167" i="4"/>
  <c r="F204" i="1"/>
  <c r="F224" i="4"/>
  <c r="G224" i="4"/>
  <c r="H224" i="4"/>
  <c r="E224" i="4"/>
  <c r="I224" i="4"/>
  <c r="E213" i="1"/>
  <c r="E233" i="4"/>
  <c r="E203" i="4"/>
  <c r="E171" i="4"/>
  <c r="G41" i="1"/>
  <c r="G61" i="4"/>
  <c r="F60" i="1"/>
  <c r="F80" i="4"/>
  <c r="G80" i="4"/>
  <c r="H80" i="4"/>
  <c r="E80" i="4"/>
  <c r="I80" i="4"/>
  <c r="G73" i="1"/>
  <c r="G93" i="4"/>
  <c r="G100" i="1"/>
  <c r="G120" i="4"/>
  <c r="G118" i="1"/>
  <c r="G138" i="4"/>
  <c r="G135" i="1"/>
  <c r="G155" i="4"/>
  <c r="F155" i="4"/>
  <c r="H155" i="4"/>
  <c r="E155" i="4"/>
  <c r="I155" i="4"/>
  <c r="G151" i="1"/>
  <c r="G171" i="4"/>
  <c r="G167" i="1"/>
  <c r="G187" i="4"/>
  <c r="F186" i="1"/>
  <c r="F206" i="4"/>
  <c r="G198" i="1"/>
  <c r="G218" i="4"/>
  <c r="F236" i="4"/>
  <c r="F216" i="1"/>
  <c r="F229" i="1"/>
  <c r="F249" i="4"/>
  <c r="F236" i="1"/>
  <c r="F256" i="4"/>
  <c r="G249" i="1"/>
  <c r="G269" i="4"/>
  <c r="F269" i="4"/>
  <c r="H269" i="4"/>
  <c r="E269" i="4"/>
  <c r="I269" i="4"/>
  <c r="F7" i="1"/>
  <c r="F27" i="4"/>
  <c r="G20" i="1"/>
  <c r="G40" i="4"/>
  <c r="E33" i="1"/>
  <c r="E53" i="4"/>
  <c r="F47" i="1"/>
  <c r="F67" i="4"/>
  <c r="G67" i="4"/>
  <c r="H67" i="4"/>
  <c r="I67" i="4"/>
  <c r="G60" i="1"/>
  <c r="E73" i="1"/>
  <c r="E93" i="4"/>
  <c r="F89" i="1"/>
  <c r="F109" i="4"/>
  <c r="E100" i="1"/>
  <c r="E120" i="4"/>
  <c r="G113" i="1"/>
  <c r="G133" i="4"/>
  <c r="F125" i="1"/>
  <c r="F145" i="4"/>
  <c r="F133" i="1"/>
  <c r="F153" i="4"/>
  <c r="E144" i="1"/>
  <c r="E164" i="4"/>
  <c r="G154" i="1"/>
  <c r="G174" i="4"/>
  <c r="F165" i="1"/>
  <c r="F185" i="4"/>
  <c r="G201" i="1"/>
  <c r="G221" i="4"/>
  <c r="F98" i="1"/>
  <c r="F118" i="4"/>
  <c r="G118" i="4"/>
  <c r="H118" i="4"/>
  <c r="E118" i="4"/>
  <c r="I118" i="4"/>
  <c r="E99" i="4"/>
  <c r="G9" i="1"/>
  <c r="G29" i="4"/>
  <c r="E22" i="1"/>
  <c r="E42" i="4"/>
  <c r="E30" i="1"/>
  <c r="E50" i="4"/>
  <c r="E46" i="1"/>
  <c r="E66" i="4"/>
  <c r="G57" i="1"/>
  <c r="G77" i="4"/>
  <c r="F68" i="1"/>
  <c r="F88" i="4"/>
  <c r="G88" i="4"/>
  <c r="H88" i="4"/>
  <c r="E88" i="4"/>
  <c r="I88" i="4"/>
  <c r="F76" i="1"/>
  <c r="F96" i="4"/>
  <c r="G82" i="1"/>
  <c r="G102" i="4"/>
  <c r="F94" i="1"/>
  <c r="F114" i="4"/>
  <c r="E115" i="1"/>
  <c r="E135" i="4"/>
  <c r="F130" i="1"/>
  <c r="F150" i="4"/>
  <c r="E149" i="1"/>
  <c r="E169" i="4"/>
  <c r="F162" i="1"/>
  <c r="F182" i="4"/>
  <c r="E180" i="1"/>
  <c r="E200" i="4"/>
  <c r="F194" i="1"/>
  <c r="F214" i="4"/>
  <c r="F228" i="4"/>
  <c r="F208" i="1"/>
  <c r="E218" i="1"/>
  <c r="E238" i="4"/>
  <c r="E225" i="1"/>
  <c r="E245" i="4"/>
  <c r="E254" i="1"/>
  <c r="E274" i="4"/>
  <c r="F15" i="1"/>
  <c r="F35" i="4"/>
  <c r="F31" i="1"/>
  <c r="F51" i="4"/>
  <c r="E41" i="1"/>
  <c r="E61" i="4"/>
  <c r="G52" i="1"/>
  <c r="G72" i="4"/>
  <c r="E65" i="1"/>
  <c r="E85" i="4"/>
  <c r="F100" i="4"/>
  <c r="F80" i="1"/>
  <c r="G94" i="1"/>
  <c r="G114" i="4"/>
  <c r="H114" i="4"/>
  <c r="I114" i="4"/>
  <c r="E109" i="1"/>
  <c r="E129" i="4"/>
  <c r="G122" i="1"/>
  <c r="G142" i="4"/>
  <c r="G130" i="1"/>
  <c r="G150" i="4"/>
  <c r="G138" i="1"/>
  <c r="G158" i="4"/>
  <c r="F247" i="1"/>
  <c r="F267" i="4"/>
  <c r="F157" i="1"/>
  <c r="F177" i="4"/>
  <c r="G186" i="1"/>
  <c r="G206" i="4"/>
  <c r="F197" i="1"/>
  <c r="F217" i="4"/>
  <c r="G217" i="4"/>
  <c r="H217" i="4"/>
  <c r="E217" i="4"/>
  <c r="I217" i="4"/>
  <c r="G208" i="1"/>
  <c r="G228" i="4"/>
  <c r="E195" i="4"/>
  <c r="E163" i="4"/>
  <c r="F161" i="4"/>
  <c r="G129" i="4"/>
  <c r="G109" i="1"/>
  <c r="G127" i="1"/>
  <c r="G147" i="4"/>
  <c r="G144" i="1"/>
  <c r="G164" i="4"/>
  <c r="G159" i="1"/>
  <c r="G179" i="4"/>
  <c r="G175" i="1"/>
  <c r="G195" i="4"/>
  <c r="E223" i="4"/>
  <c r="E203" i="1"/>
  <c r="F211" i="1"/>
  <c r="F231" i="4"/>
  <c r="F263" i="4"/>
  <c r="E6" i="1"/>
  <c r="E26" i="4"/>
  <c r="E14" i="1"/>
  <c r="E34" i="4"/>
  <c r="F28" i="1"/>
  <c r="F48" i="4"/>
  <c r="F36" i="1"/>
  <c r="F56" i="4"/>
  <c r="G49" i="1"/>
  <c r="G69" i="4"/>
  <c r="G65" i="1"/>
  <c r="G85" i="4"/>
  <c r="E105" i="1"/>
  <c r="E125" i="4"/>
  <c r="E124" i="1"/>
  <c r="E144" i="4"/>
  <c r="F138" i="1"/>
  <c r="F158" i="4"/>
  <c r="F154" i="1"/>
  <c r="F174" i="4"/>
  <c r="H174" i="4"/>
  <c r="E174" i="4"/>
  <c r="I174" i="4"/>
  <c r="F170" i="1"/>
  <c r="F190" i="4"/>
  <c r="G183" i="1"/>
  <c r="G203" i="4"/>
  <c r="E196" i="1"/>
  <c r="E216" i="4"/>
  <c r="E210" i="1"/>
  <c r="E230" i="4"/>
  <c r="G240" i="1"/>
  <c r="G260" i="4"/>
  <c r="F252" i="1"/>
  <c r="F272" i="4"/>
  <c r="E9" i="1"/>
  <c r="E29" i="4"/>
  <c r="E25" i="1"/>
  <c r="E45" i="4"/>
  <c r="G36" i="1"/>
  <c r="G56" i="4"/>
  <c r="E49" i="1"/>
  <c r="E69" i="4"/>
  <c r="G68" i="1"/>
  <c r="E82" i="1"/>
  <c r="E102" i="4"/>
  <c r="G103" i="1"/>
  <c r="G123" i="4"/>
  <c r="G162" i="1"/>
  <c r="G182" i="4"/>
  <c r="F173" i="1"/>
  <c r="F193" i="4"/>
  <c r="F181" i="1"/>
  <c r="F201" i="4"/>
  <c r="G194" i="1"/>
  <c r="G214" i="4"/>
  <c r="E206" i="1"/>
  <c r="E226" i="4"/>
  <c r="E220" i="1"/>
  <c r="E240" i="4"/>
  <c r="E107" i="4"/>
  <c r="E187" i="4"/>
  <c r="F12" i="1"/>
  <c r="F32" i="4"/>
  <c r="F20" i="1"/>
  <c r="F40" i="4"/>
  <c r="G33" i="1"/>
  <c r="G53" i="4"/>
  <c r="F53" i="4"/>
  <c r="H53" i="4"/>
  <c r="I53" i="4"/>
  <c r="F44" i="1"/>
  <c r="F64" i="4"/>
  <c r="E54" i="1"/>
  <c r="E74" i="4"/>
  <c r="F85" i="1"/>
  <c r="F105" i="4"/>
  <c r="E96" i="1"/>
  <c r="E116" i="4"/>
  <c r="F113" i="1"/>
  <c r="F133" i="4"/>
  <c r="E132" i="1"/>
  <c r="E152" i="4"/>
  <c r="F147" i="1"/>
  <c r="F167" i="4"/>
  <c r="E164" i="1"/>
  <c r="E184" i="4"/>
  <c r="F178" i="1"/>
  <c r="F198" i="4"/>
  <c r="G191" i="1"/>
  <c r="G211" i="4"/>
  <c r="G226" i="4"/>
  <c r="G206" i="1"/>
  <c r="G240" i="4"/>
  <c r="G220" i="1"/>
  <c r="G106" i="1"/>
  <c r="G126" i="4"/>
  <c r="G233" i="1"/>
  <c r="G253" i="4"/>
  <c r="E245" i="1"/>
  <c r="E265" i="4"/>
  <c r="E251" i="4"/>
  <c r="E17" i="1"/>
  <c r="E37" i="4"/>
  <c r="G28" i="1"/>
  <c r="G48" i="4"/>
  <c r="G44" i="1"/>
  <c r="G64" i="4"/>
  <c r="E57" i="1"/>
  <c r="E77" i="4"/>
  <c r="F63" i="1"/>
  <c r="F83" i="4"/>
  <c r="G83" i="4"/>
  <c r="H83" i="4"/>
  <c r="I83" i="4"/>
  <c r="G76" i="1"/>
  <c r="G96" i="4"/>
  <c r="E91" i="1"/>
  <c r="F107" i="1"/>
  <c r="F127" i="4"/>
  <c r="H127" i="4"/>
  <c r="E127" i="4"/>
  <c r="I127" i="4"/>
  <c r="E118" i="1"/>
  <c r="E138" i="4"/>
  <c r="G170" i="1"/>
  <c r="G190" i="4"/>
  <c r="G178" i="1"/>
  <c r="G198" i="4"/>
  <c r="F189" i="1"/>
  <c r="F209" i="4"/>
  <c r="E198" i="1"/>
  <c r="E218" i="4"/>
  <c r="G216" i="1"/>
  <c r="G236" i="4"/>
  <c r="F121" i="1"/>
  <c r="F141" i="4"/>
  <c r="F9" i="1"/>
  <c r="F29" i="4"/>
  <c r="G14" i="1"/>
  <c r="G34" i="4"/>
  <c r="F34" i="4"/>
  <c r="H34" i="4"/>
  <c r="I34" i="4"/>
  <c r="F17" i="1"/>
  <c r="F37" i="4"/>
  <c r="G22" i="1"/>
  <c r="G42" i="4"/>
  <c r="F25" i="1"/>
  <c r="F45" i="4"/>
  <c r="G30" i="1"/>
  <c r="G50" i="4"/>
  <c r="F33" i="1"/>
  <c r="G38" i="1"/>
  <c r="G58" i="4"/>
  <c r="F41" i="1"/>
  <c r="F61" i="4"/>
  <c r="G46" i="1"/>
  <c r="G66" i="4"/>
  <c r="F66" i="4"/>
  <c r="H66" i="4"/>
  <c r="I66" i="4"/>
  <c r="F49" i="1"/>
  <c r="F69" i="4"/>
  <c r="H69" i="4"/>
  <c r="G54" i="1"/>
  <c r="G74" i="4"/>
  <c r="F57" i="1"/>
  <c r="F77" i="4"/>
  <c r="H77" i="4"/>
  <c r="G62" i="1"/>
  <c r="G82" i="4"/>
  <c r="F65" i="1"/>
  <c r="F85" i="4"/>
  <c r="G70" i="1"/>
  <c r="G90" i="4"/>
  <c r="F73" i="1"/>
  <c r="F93" i="4"/>
  <c r="G79" i="1"/>
  <c r="G99" i="4"/>
  <c r="F99" i="4"/>
  <c r="H99" i="4"/>
  <c r="I99" i="4"/>
  <c r="F82" i="1"/>
  <c r="F102" i="4"/>
  <c r="G87" i="1"/>
  <c r="G107" i="4"/>
  <c r="G96" i="1"/>
  <c r="G116" i="4"/>
  <c r="F100" i="1"/>
  <c r="F120" i="4"/>
  <c r="H120" i="4"/>
  <c r="I120" i="4"/>
  <c r="G115" i="1"/>
  <c r="F118" i="1"/>
  <c r="F138" i="4"/>
  <c r="G124" i="1"/>
  <c r="G144" i="4"/>
  <c r="F127" i="1"/>
  <c r="F147" i="4"/>
  <c r="H147" i="4"/>
  <c r="I147" i="4"/>
  <c r="G132" i="1"/>
  <c r="G152" i="4"/>
  <c r="F135" i="1"/>
  <c r="G140" i="1"/>
  <c r="G160" i="4"/>
  <c r="F164" i="4"/>
  <c r="H164" i="4"/>
  <c r="I164" i="4"/>
  <c r="F144" i="1"/>
  <c r="G169" i="4"/>
  <c r="G149" i="1"/>
  <c r="G156" i="1"/>
  <c r="G176" i="4"/>
  <c r="G164" i="1"/>
  <c r="G184" i="4"/>
  <c r="G172" i="1"/>
  <c r="G192" i="4"/>
  <c r="G180" i="1"/>
  <c r="G200" i="4"/>
  <c r="G188" i="1"/>
  <c r="G208" i="4"/>
  <c r="G196" i="1"/>
  <c r="G216" i="4"/>
  <c r="F198" i="1"/>
  <c r="F218" i="4"/>
  <c r="H218" i="4"/>
  <c r="F206" i="1"/>
  <c r="F226" i="4"/>
  <c r="G218" i="1"/>
  <c r="G238" i="4"/>
  <c r="F220" i="1"/>
  <c r="F240" i="4"/>
  <c r="F106" i="1"/>
  <c r="F126" i="4"/>
  <c r="H126" i="4"/>
  <c r="E126" i="4"/>
  <c r="I126" i="4"/>
  <c r="G231" i="1"/>
  <c r="G251" i="4"/>
  <c r="G143" i="1"/>
  <c r="G163" i="4"/>
  <c r="G254" i="1"/>
  <c r="G274" i="4"/>
  <c r="E268" i="4"/>
  <c r="E260" i="4"/>
  <c r="E252" i="4"/>
  <c r="E244" i="4"/>
  <c r="E236" i="4"/>
  <c r="E228" i="4"/>
  <c r="E220" i="4"/>
  <c r="E212" i="4"/>
  <c r="E204" i="4"/>
  <c r="E196" i="4"/>
  <c r="E188" i="4"/>
  <c r="E180" i="4"/>
  <c r="E172" i="4"/>
  <c r="E156" i="4"/>
  <c r="E148" i="4"/>
  <c r="E140" i="4"/>
  <c r="E132" i="4"/>
  <c r="E124" i="4"/>
  <c r="E108" i="4"/>
  <c r="E100" i="4"/>
  <c r="E92" i="4"/>
  <c r="E84" i="4"/>
  <c r="E76" i="4"/>
  <c r="E68" i="4"/>
  <c r="E60" i="4"/>
  <c r="E52" i="4"/>
  <c r="E44" i="4"/>
  <c r="E36" i="4"/>
  <c r="E28" i="4"/>
  <c r="F264" i="4"/>
  <c r="F248" i="4"/>
  <c r="F205" i="4"/>
  <c r="F163" i="4"/>
  <c r="H163" i="4"/>
  <c r="I163" i="4"/>
  <c r="F135" i="4"/>
  <c r="G135" i="4"/>
  <c r="H135" i="4"/>
  <c r="I135" i="4"/>
  <c r="F103" i="4"/>
  <c r="F71" i="4"/>
  <c r="F39" i="4"/>
  <c r="G261" i="4"/>
  <c r="G229" i="4"/>
  <c r="G197" i="4"/>
  <c r="G165" i="4"/>
  <c r="G101" i="4"/>
  <c r="F101" i="4"/>
  <c r="H101" i="4"/>
  <c r="E101" i="4"/>
  <c r="I101" i="4"/>
  <c r="E253" i="1"/>
  <c r="E228" i="1"/>
  <c r="F152" i="1"/>
  <c r="G223" i="1"/>
  <c r="G243" i="4"/>
  <c r="F246" i="4"/>
  <c r="G7" i="1"/>
  <c r="G27" i="4"/>
  <c r="H27" i="4"/>
  <c r="I27" i="4"/>
  <c r="F10" i="1"/>
  <c r="F30" i="4"/>
  <c r="G15" i="1"/>
  <c r="G35" i="4"/>
  <c r="F18" i="1"/>
  <c r="F38" i="4"/>
  <c r="G23" i="1"/>
  <c r="G43" i="4"/>
  <c r="F26" i="1"/>
  <c r="F46" i="4"/>
  <c r="G31" i="1"/>
  <c r="G51" i="4"/>
  <c r="F34" i="1"/>
  <c r="F54" i="4"/>
  <c r="G39" i="1"/>
  <c r="G59" i="4"/>
  <c r="F42" i="1"/>
  <c r="F62" i="4"/>
  <c r="G47" i="1"/>
  <c r="F50" i="1"/>
  <c r="F70" i="4"/>
  <c r="G70" i="4"/>
  <c r="H70" i="4"/>
  <c r="E70" i="4"/>
  <c r="I70" i="4"/>
  <c r="G55" i="1"/>
  <c r="G75" i="4"/>
  <c r="F58" i="1"/>
  <c r="F78" i="4"/>
  <c r="G63" i="1"/>
  <c r="F66" i="1"/>
  <c r="F86" i="4"/>
  <c r="G86" i="4"/>
  <c r="H86" i="4"/>
  <c r="E86" i="4"/>
  <c r="I86" i="4"/>
  <c r="G71" i="1"/>
  <c r="G91" i="4"/>
  <c r="F74" i="1"/>
  <c r="F94" i="4"/>
  <c r="G80" i="1"/>
  <c r="G100" i="4"/>
  <c r="F92" i="1"/>
  <c r="F112" i="4"/>
  <c r="G112" i="4"/>
  <c r="H112" i="4"/>
  <c r="E112" i="4"/>
  <c r="I112" i="4"/>
  <c r="F110" i="1"/>
  <c r="F130" i="4"/>
  <c r="G116" i="1"/>
  <c r="G136" i="4"/>
  <c r="F119" i="1"/>
  <c r="F139" i="4"/>
  <c r="G145" i="4"/>
  <c r="H145" i="4"/>
  <c r="E145" i="4"/>
  <c r="I145" i="4"/>
  <c r="G125" i="1"/>
  <c r="F148" i="4"/>
  <c r="F128" i="1"/>
  <c r="G133" i="1"/>
  <c r="G153" i="4"/>
  <c r="F136" i="1"/>
  <c r="F156" i="4"/>
  <c r="G161" i="4"/>
  <c r="H161" i="4"/>
  <c r="E161" i="4"/>
  <c r="I161" i="4"/>
  <c r="G141" i="1"/>
  <c r="F145" i="1"/>
  <c r="F165" i="4"/>
  <c r="G157" i="1"/>
  <c r="G177" i="4"/>
  <c r="F160" i="1"/>
  <c r="F180" i="4"/>
  <c r="G185" i="4"/>
  <c r="H185" i="4"/>
  <c r="E185" i="4"/>
  <c r="I185" i="4"/>
  <c r="G165" i="1"/>
  <c r="F188" i="4"/>
  <c r="F168" i="1"/>
  <c r="G173" i="1"/>
  <c r="G193" i="4"/>
  <c r="F196" i="4"/>
  <c r="F176" i="1"/>
  <c r="F184" i="1"/>
  <c r="F204" i="4"/>
  <c r="G204" i="4"/>
  <c r="H204" i="4"/>
  <c r="I204" i="4"/>
  <c r="G209" i="4"/>
  <c r="G189" i="1"/>
  <c r="G197" i="1"/>
  <c r="G204" i="1"/>
  <c r="F214" i="1"/>
  <c r="F234" i="4"/>
  <c r="G234" i="4"/>
  <c r="H234" i="4"/>
  <c r="I234" i="4"/>
  <c r="G98" i="1"/>
  <c r="G226" i="1"/>
  <c r="G246" i="4"/>
  <c r="G238" i="1"/>
  <c r="G258" i="4"/>
  <c r="G246" i="1"/>
  <c r="G266" i="4"/>
  <c r="F266" i="4"/>
  <c r="H266" i="4"/>
  <c r="I266" i="4"/>
  <c r="E257" i="4"/>
  <c r="E249" i="4"/>
  <c r="E241" i="4"/>
  <c r="E225" i="4"/>
  <c r="E209" i="4"/>
  <c r="E201" i="4"/>
  <c r="E193" i="4"/>
  <c r="E177" i="4"/>
  <c r="E153" i="4"/>
  <c r="E137" i="4"/>
  <c r="E121" i="4"/>
  <c r="E113" i="4"/>
  <c r="E105" i="4"/>
  <c r="E97" i="4"/>
  <c r="E89" i="4"/>
  <c r="E81" i="4"/>
  <c r="E73" i="4"/>
  <c r="E65" i="4"/>
  <c r="E57" i="4"/>
  <c r="E49" i="4"/>
  <c r="E41" i="4"/>
  <c r="E33" i="4"/>
  <c r="F277" i="4"/>
  <c r="F261" i="4"/>
  <c r="F253" i="4"/>
  <c r="F245" i="4"/>
  <c r="F215" i="4"/>
  <c r="G215" i="4"/>
  <c r="H215" i="4"/>
  <c r="E215" i="4"/>
  <c r="I215" i="4"/>
  <c r="F199" i="4"/>
  <c r="F121" i="4"/>
  <c r="F89" i="4"/>
  <c r="F57" i="4"/>
  <c r="G26" i="4"/>
  <c r="G247" i="4"/>
  <c r="G183" i="4"/>
  <c r="G151" i="4"/>
  <c r="G119" i="4"/>
  <c r="G87" i="4"/>
  <c r="G55" i="4"/>
  <c r="F248" i="1"/>
  <c r="G237" i="1"/>
  <c r="G210" i="1"/>
  <c r="F88" i="1"/>
  <c r="G42" i="1"/>
  <c r="G62" i="4"/>
  <c r="G92" i="1"/>
  <c r="G110" i="1"/>
  <c r="G130" i="4"/>
  <c r="H130" i="4"/>
  <c r="I130" i="4"/>
  <c r="F114" i="1"/>
  <c r="F134" i="4"/>
  <c r="G136" i="1"/>
  <c r="G156" i="4"/>
  <c r="F148" i="1"/>
  <c r="F168" i="4"/>
  <c r="G152" i="1"/>
  <c r="G172" i="4"/>
  <c r="G160" i="1"/>
  <c r="G180" i="4"/>
  <c r="G168" i="1"/>
  <c r="G188" i="4"/>
  <c r="G176" i="1"/>
  <c r="G196" i="4"/>
  <c r="G184" i="1"/>
  <c r="G192" i="1"/>
  <c r="G212" i="4"/>
  <c r="G199" i="1"/>
  <c r="G219" i="4"/>
  <c r="F202" i="1"/>
  <c r="F222" i="4"/>
  <c r="G207" i="1"/>
  <c r="G227" i="4"/>
  <c r="G214" i="1"/>
  <c r="G241" i="4"/>
  <c r="G221" i="1"/>
  <c r="G228" i="1"/>
  <c r="G248" i="4"/>
  <c r="G234" i="1"/>
  <c r="G254" i="4"/>
  <c r="H254" i="4"/>
  <c r="I254" i="4"/>
  <c r="G250" i="1"/>
  <c r="G270" i="4"/>
  <c r="G258" i="1"/>
  <c r="H258" i="1"/>
  <c r="I258" i="1"/>
  <c r="L258" i="1"/>
  <c r="G278" i="4"/>
  <c r="E264" i="4"/>
  <c r="E232" i="4"/>
  <c r="E168" i="4"/>
  <c r="E136" i="4"/>
  <c r="E128" i="4"/>
  <c r="E104" i="4"/>
  <c r="E96" i="4"/>
  <c r="E72" i="4"/>
  <c r="E64" i="4"/>
  <c r="E56" i="4"/>
  <c r="E48" i="4"/>
  <c r="E40" i="4"/>
  <c r="E32" i="4"/>
  <c r="F276" i="4"/>
  <c r="F252" i="4"/>
  <c r="G252" i="4"/>
  <c r="H252" i="4"/>
  <c r="I252" i="4"/>
  <c r="F244" i="4"/>
  <c r="G244" i="4"/>
  <c r="H244" i="4"/>
  <c r="I244" i="4"/>
  <c r="F229" i="4"/>
  <c r="F213" i="4"/>
  <c r="F195" i="4"/>
  <c r="F175" i="4"/>
  <c r="F151" i="4"/>
  <c r="F119" i="4"/>
  <c r="F87" i="4"/>
  <c r="F55" i="4"/>
  <c r="H55" i="4"/>
  <c r="E55" i="4"/>
  <c r="I55" i="4"/>
  <c r="G245" i="4"/>
  <c r="G213" i="4"/>
  <c r="G181" i="4"/>
  <c r="G149" i="4"/>
  <c r="G117" i="4"/>
  <c r="G247" i="1"/>
  <c r="E67" i="1"/>
  <c r="G256" i="4"/>
  <c r="H256" i="4"/>
  <c r="I256" i="4"/>
  <c r="G236" i="1"/>
  <c r="G50" i="1"/>
  <c r="G58" i="1"/>
  <c r="G78" i="4"/>
  <c r="F95" i="1"/>
  <c r="F115" i="4"/>
  <c r="G119" i="1"/>
  <c r="G139" i="4"/>
  <c r="G128" i="1"/>
  <c r="G148" i="4"/>
  <c r="F8" i="1"/>
  <c r="F28" i="4"/>
  <c r="G33" i="4"/>
  <c r="H33" i="4"/>
  <c r="I33" i="4"/>
  <c r="G13" i="1"/>
  <c r="F36" i="4"/>
  <c r="F16" i="1"/>
  <c r="G41" i="4"/>
  <c r="G21" i="1"/>
  <c r="G29" i="1"/>
  <c r="G49" i="4"/>
  <c r="F49" i="4"/>
  <c r="H49" i="4"/>
  <c r="I49" i="4"/>
  <c r="F32" i="1"/>
  <c r="F52" i="4"/>
  <c r="G57" i="4"/>
  <c r="G37" i="1"/>
  <c r="F60" i="4"/>
  <c r="F40" i="1"/>
  <c r="F48" i="1"/>
  <c r="F68" i="4"/>
  <c r="G68" i="4"/>
  <c r="H68" i="4"/>
  <c r="I68" i="4"/>
  <c r="G73" i="4"/>
  <c r="F73" i="4"/>
  <c r="H73" i="4"/>
  <c r="I73" i="4"/>
  <c r="G53" i="1"/>
  <c r="F76" i="4"/>
  <c r="F56" i="1"/>
  <c r="G81" i="4"/>
  <c r="G61" i="1"/>
  <c r="F84" i="4"/>
  <c r="F64" i="1"/>
  <c r="G69" i="1"/>
  <c r="G89" i="4"/>
  <c r="F72" i="1"/>
  <c r="F92" i="4"/>
  <c r="G97" i="4"/>
  <c r="G77" i="1"/>
  <c r="F81" i="1"/>
  <c r="G86" i="1"/>
  <c r="G106" i="4"/>
  <c r="F90" i="1"/>
  <c r="F110" i="4"/>
  <c r="G95" i="1"/>
  <c r="G115" i="4"/>
  <c r="G104" i="1"/>
  <c r="G124" i="4"/>
  <c r="F108" i="1"/>
  <c r="F128" i="4"/>
  <c r="G114" i="1"/>
  <c r="G134" i="4"/>
  <c r="F126" i="1"/>
  <c r="F146" i="4"/>
  <c r="F134" i="1"/>
  <c r="F154" i="4"/>
  <c r="G154" i="4"/>
  <c r="H154" i="4"/>
  <c r="I154" i="4"/>
  <c r="F142" i="1"/>
  <c r="F162" i="4"/>
  <c r="G148" i="1"/>
  <c r="G168" i="4"/>
  <c r="F150" i="1"/>
  <c r="F170" i="4"/>
  <c r="F158" i="1"/>
  <c r="F178" i="4"/>
  <c r="G178" i="4"/>
  <c r="H178" i="4"/>
  <c r="I178" i="4"/>
  <c r="F166" i="1"/>
  <c r="F186" i="4"/>
  <c r="F174" i="1"/>
  <c r="F194" i="4"/>
  <c r="F182" i="1"/>
  <c r="F202" i="4"/>
  <c r="F190" i="1"/>
  <c r="F210" i="4"/>
  <c r="F78" i="1"/>
  <c r="F98" i="4"/>
  <c r="G202" i="1"/>
  <c r="G222" i="4"/>
  <c r="F212" i="1"/>
  <c r="F232" i="4"/>
  <c r="G224" i="1"/>
  <c r="G250" i="4"/>
  <c r="F250" i="4"/>
  <c r="H250" i="4"/>
  <c r="I250" i="4"/>
  <c r="G230" i="1"/>
  <c r="G264" i="4"/>
  <c r="G244" i="1"/>
  <c r="E263" i="4"/>
  <c r="E255" i="4"/>
  <c r="E247" i="4"/>
  <c r="E239" i="4"/>
  <c r="E231" i="4"/>
  <c r="E207" i="4"/>
  <c r="E199" i="4"/>
  <c r="E191" i="4"/>
  <c r="E183" i="4"/>
  <c r="E175" i="4"/>
  <c r="E167" i="4"/>
  <c r="E159" i="4"/>
  <c r="E143" i="4"/>
  <c r="E119" i="4"/>
  <c r="E103" i="4"/>
  <c r="E95" i="4"/>
  <c r="E79" i="4"/>
  <c r="E71" i="4"/>
  <c r="E63" i="4"/>
  <c r="E47" i="4"/>
  <c r="E39" i="4"/>
  <c r="E31" i="4"/>
  <c r="F275" i="4"/>
  <c r="F259" i="4"/>
  <c r="H259" i="4"/>
  <c r="F251" i="4"/>
  <c r="H251" i="4"/>
  <c r="I251" i="4"/>
  <c r="F227" i="4"/>
  <c r="H227" i="4"/>
  <c r="I227" i="4"/>
  <c r="F211" i="4"/>
  <c r="F171" i="4"/>
  <c r="H171" i="4"/>
  <c r="I171" i="4"/>
  <c r="F113" i="4"/>
  <c r="F81" i="4"/>
  <c r="G271" i="4"/>
  <c r="G239" i="4"/>
  <c r="G207" i="4"/>
  <c r="F207" i="4"/>
  <c r="H207" i="4"/>
  <c r="I207" i="4"/>
  <c r="G175" i="4"/>
  <c r="G143" i="4"/>
  <c r="G79" i="4"/>
  <c r="G47" i="4"/>
  <c r="G245" i="1"/>
  <c r="F192" i="1"/>
  <c r="G45" i="1"/>
  <c r="G18" i="1"/>
  <c r="G38" i="4"/>
  <c r="G26" i="1"/>
  <c r="G46" i="4"/>
  <c r="G74" i="1"/>
  <c r="G94" i="4"/>
  <c r="F124" i="4"/>
  <c r="F104" i="1"/>
  <c r="G8" i="1"/>
  <c r="G28" i="4"/>
  <c r="H28" i="4"/>
  <c r="I28" i="4"/>
  <c r="G24" i="1"/>
  <c r="G44" i="4"/>
  <c r="G40" i="1"/>
  <c r="G60" i="4"/>
  <c r="G48" i="1"/>
  <c r="G56" i="1"/>
  <c r="G76" i="4"/>
  <c r="H76" i="4"/>
  <c r="I76" i="4"/>
  <c r="G64" i="1"/>
  <c r="G84" i="4"/>
  <c r="G72" i="1"/>
  <c r="G92" i="4"/>
  <c r="F84" i="1"/>
  <c r="F104" i="4"/>
  <c r="G104" i="4"/>
  <c r="H104" i="4"/>
  <c r="I104" i="4"/>
  <c r="G90" i="1"/>
  <c r="G110" i="4"/>
  <c r="H110" i="4"/>
  <c r="E110" i="4"/>
  <c r="I110" i="4"/>
  <c r="F102" i="1"/>
  <c r="F122" i="4"/>
  <c r="G108" i="1"/>
  <c r="G128" i="4"/>
  <c r="H128" i="4"/>
  <c r="I128" i="4"/>
  <c r="F111" i="1"/>
  <c r="F131" i="4"/>
  <c r="G137" i="4"/>
  <c r="F137" i="4"/>
  <c r="H137" i="4"/>
  <c r="I137" i="4"/>
  <c r="G117" i="1"/>
  <c r="F140" i="4"/>
  <c r="F120" i="1"/>
  <c r="G126" i="1"/>
  <c r="G146" i="4"/>
  <c r="H146" i="4"/>
  <c r="I146" i="4"/>
  <c r="F129" i="1"/>
  <c r="F149" i="4"/>
  <c r="G134" i="1"/>
  <c r="F137" i="1"/>
  <c r="F157" i="4"/>
  <c r="G142" i="1"/>
  <c r="G162" i="4"/>
  <c r="H162" i="4"/>
  <c r="I162" i="4"/>
  <c r="F146" i="1"/>
  <c r="F166" i="4"/>
  <c r="G150" i="1"/>
  <c r="G170" i="4"/>
  <c r="F153" i="1"/>
  <c r="F173" i="4"/>
  <c r="G158" i="1"/>
  <c r="F161" i="1"/>
  <c r="F181" i="4"/>
  <c r="G166" i="1"/>
  <c r="G186" i="4"/>
  <c r="F169" i="1"/>
  <c r="F189" i="4"/>
  <c r="G174" i="1"/>
  <c r="G194" i="4"/>
  <c r="F177" i="1"/>
  <c r="F197" i="4"/>
  <c r="G182" i="1"/>
  <c r="G202" i="4"/>
  <c r="G190" i="1"/>
  <c r="G210" i="4"/>
  <c r="G78" i="1"/>
  <c r="G98" i="4"/>
  <c r="F220" i="4"/>
  <c r="G220" i="4"/>
  <c r="H220" i="4"/>
  <c r="I220" i="4"/>
  <c r="F200" i="1"/>
  <c r="G225" i="4"/>
  <c r="G205" i="1"/>
  <c r="G212" i="1"/>
  <c r="G232" i="4"/>
  <c r="H232" i="4"/>
  <c r="I232" i="4"/>
  <c r="F222" i="1"/>
  <c r="F242" i="4"/>
  <c r="H242" i="4"/>
  <c r="I242" i="4"/>
  <c r="F112" i="1"/>
  <c r="F132" i="4"/>
  <c r="G232" i="1"/>
  <c r="G248" i="1"/>
  <c r="G268" i="4"/>
  <c r="G256" i="1"/>
  <c r="G276" i="4"/>
  <c r="E262" i="4"/>
  <c r="E246" i="4"/>
  <c r="E222" i="4"/>
  <c r="E214" i="4"/>
  <c r="E206" i="4"/>
  <c r="E198" i="4"/>
  <c r="E190" i="4"/>
  <c r="E182" i="4"/>
  <c r="E166" i="4"/>
  <c r="E158" i="4"/>
  <c r="E150" i="4"/>
  <c r="E142" i="4"/>
  <c r="E134" i="4"/>
  <c r="E94" i="4"/>
  <c r="E78" i="4"/>
  <c r="E62" i="4"/>
  <c r="E54" i="4"/>
  <c r="E46" i="4"/>
  <c r="E38" i="4"/>
  <c r="E30" i="4"/>
  <c r="F274" i="4"/>
  <c r="H274" i="4"/>
  <c r="I274" i="4"/>
  <c r="F258" i="4"/>
  <c r="F241" i="4"/>
  <c r="F225" i="4"/>
  <c r="H225" i="4"/>
  <c r="I225" i="4"/>
  <c r="F191" i="4"/>
  <c r="H191" i="4"/>
  <c r="I191" i="4"/>
  <c r="F169" i="4"/>
  <c r="F143" i="4"/>
  <c r="H143" i="4"/>
  <c r="I143" i="4"/>
  <c r="F79" i="4"/>
  <c r="F47" i="4"/>
  <c r="G237" i="4"/>
  <c r="H237" i="4"/>
  <c r="E237" i="4"/>
  <c r="I237" i="4"/>
  <c r="G205" i="4"/>
  <c r="G173" i="4"/>
  <c r="G141" i="4"/>
  <c r="G109" i="4"/>
  <c r="H109" i="4"/>
  <c r="E109" i="4"/>
  <c r="I109" i="4"/>
  <c r="G255" i="1"/>
  <c r="H255" i="1"/>
  <c r="I255" i="1"/>
  <c r="G181" i="1"/>
  <c r="F24" i="1"/>
  <c r="G249" i="4"/>
  <c r="G229" i="1"/>
  <c r="G272" i="4"/>
  <c r="G252" i="1"/>
  <c r="G10" i="1"/>
  <c r="G30" i="4"/>
  <c r="G34" i="1"/>
  <c r="G54" i="4"/>
  <c r="G66" i="1"/>
  <c r="F86" i="1"/>
  <c r="F106" i="4"/>
  <c r="G121" i="4"/>
  <c r="G101" i="1"/>
  <c r="G16" i="1"/>
  <c r="G36" i="4"/>
  <c r="G32" i="1"/>
  <c r="G52" i="4"/>
  <c r="H52" i="4"/>
  <c r="I52" i="4"/>
  <c r="F6" i="1"/>
  <c r="F26" i="4"/>
  <c r="F14" i="1"/>
  <c r="F22" i="1"/>
  <c r="F42" i="4"/>
  <c r="F30" i="1"/>
  <c r="F50" i="4"/>
  <c r="F38" i="1"/>
  <c r="F58" i="4"/>
  <c r="H58" i="4"/>
  <c r="I58" i="4"/>
  <c r="F46" i="1"/>
  <c r="F54" i="1"/>
  <c r="F74" i="4"/>
  <c r="F62" i="1"/>
  <c r="F82" i="4"/>
  <c r="H82" i="4"/>
  <c r="I82" i="4"/>
  <c r="F70" i="1"/>
  <c r="F90" i="4"/>
  <c r="H90" i="4"/>
  <c r="I90" i="4"/>
  <c r="F79" i="1"/>
  <c r="G84" i="1"/>
  <c r="F87" i="1"/>
  <c r="F107" i="4"/>
  <c r="H107" i="4"/>
  <c r="I107" i="4"/>
  <c r="G93" i="1"/>
  <c r="G113" i="4"/>
  <c r="H113" i="4"/>
  <c r="I113" i="4"/>
  <c r="F96" i="1"/>
  <c r="F116" i="4"/>
  <c r="G102" i="1"/>
  <c r="G122" i="4"/>
  <c r="F105" i="1"/>
  <c r="F125" i="4"/>
  <c r="G111" i="1"/>
  <c r="G131" i="4"/>
  <c r="G120" i="1"/>
  <c r="G140" i="4"/>
  <c r="F124" i="1"/>
  <c r="F144" i="4"/>
  <c r="F132" i="1"/>
  <c r="F152" i="4"/>
  <c r="H152" i="4"/>
  <c r="I152" i="4"/>
  <c r="F140" i="1"/>
  <c r="F160" i="4"/>
  <c r="H160" i="4"/>
  <c r="I160" i="4"/>
  <c r="G146" i="1"/>
  <c r="G166" i="4"/>
  <c r="F156" i="1"/>
  <c r="F176" i="4"/>
  <c r="F164" i="1"/>
  <c r="F184" i="4"/>
  <c r="H184" i="4"/>
  <c r="I184" i="4"/>
  <c r="F172" i="1"/>
  <c r="F192" i="4"/>
  <c r="H192" i="4"/>
  <c r="I192" i="4"/>
  <c r="F180" i="1"/>
  <c r="F200" i="4"/>
  <c r="F188" i="1"/>
  <c r="F208" i="4"/>
  <c r="H208" i="4"/>
  <c r="F196" i="1"/>
  <c r="F216" i="4"/>
  <c r="H216" i="4"/>
  <c r="I216" i="4"/>
  <c r="G200" i="1"/>
  <c r="G88" i="1"/>
  <c r="G108" i="4"/>
  <c r="F210" i="1"/>
  <c r="F230" i="4"/>
  <c r="G215" i="1"/>
  <c r="G235" i="4"/>
  <c r="F218" i="1"/>
  <c r="F238" i="4"/>
  <c r="G112" i="1"/>
  <c r="G132" i="4"/>
  <c r="G242" i="1"/>
  <c r="G262" i="4"/>
  <c r="E277" i="4"/>
  <c r="E261" i="4"/>
  <c r="E253" i="4"/>
  <c r="E229" i="4"/>
  <c r="E221" i="4"/>
  <c r="E213" i="4"/>
  <c r="E205" i="4"/>
  <c r="E197" i="4"/>
  <c r="E189" i="4"/>
  <c r="E181" i="4"/>
  <c r="H181" i="4"/>
  <c r="I181" i="4"/>
  <c r="E173" i="4"/>
  <c r="E165" i="4"/>
  <c r="E157" i="4"/>
  <c r="E149" i="4"/>
  <c r="E141" i="4"/>
  <c r="E133" i="4"/>
  <c r="E117" i="4"/>
  <c r="F273" i="4"/>
  <c r="F265" i="4"/>
  <c r="H265" i="4"/>
  <c r="I265" i="4"/>
  <c r="F257" i="4"/>
  <c r="F239" i="4"/>
  <c r="F223" i="4"/>
  <c r="H223" i="4"/>
  <c r="I223" i="4"/>
  <c r="F187" i="4"/>
  <c r="H187" i="4"/>
  <c r="I187" i="4"/>
  <c r="F41" i="4"/>
  <c r="G263" i="4"/>
  <c r="G231" i="4"/>
  <c r="G199" i="4"/>
  <c r="H199" i="4"/>
  <c r="I199" i="4"/>
  <c r="G103" i="4"/>
  <c r="G71" i="4"/>
  <c r="G39" i="4"/>
  <c r="H39" i="4"/>
  <c r="G253" i="1"/>
  <c r="I77" i="4"/>
  <c r="H201" i="4"/>
  <c r="I201" i="4"/>
  <c r="H193" i="4"/>
  <c r="H78" i="4"/>
  <c r="I78" i="4"/>
  <c r="H236" i="4"/>
  <c r="I236" i="4"/>
  <c r="H235" i="4"/>
  <c r="I235" i="4"/>
  <c r="H273" i="4"/>
  <c r="I273" i="4"/>
  <c r="H229" i="4"/>
  <c r="I229" i="4"/>
  <c r="H222" i="4"/>
  <c r="H262" i="4"/>
  <c r="H139" i="4"/>
  <c r="I139" i="4"/>
  <c r="H54" i="4"/>
  <c r="I54" i="4"/>
  <c r="H102" i="4"/>
  <c r="H214" i="4"/>
  <c r="I214" i="4"/>
  <c r="H91" i="4"/>
  <c r="I91" i="4"/>
  <c r="H256" i="1"/>
  <c r="I256" i="1"/>
  <c r="H121" i="4"/>
  <c r="I121" i="4"/>
  <c r="H239" i="4"/>
  <c r="I239" i="4"/>
  <c r="H116" i="4"/>
  <c r="H238" i="4"/>
  <c r="I238" i="4"/>
  <c r="I39" i="4"/>
  <c r="H144" i="4"/>
  <c r="I144" i="4"/>
  <c r="H247" i="4"/>
  <c r="H122" i="4"/>
  <c r="H198" i="4"/>
  <c r="H195" i="4"/>
  <c r="I195" i="4"/>
  <c r="H125" i="4"/>
  <c r="I125" i="4"/>
  <c r="H96" i="4"/>
  <c r="I96" i="4"/>
  <c r="H89" i="4"/>
  <c r="I89" i="4"/>
  <c r="H170" i="4"/>
  <c r="I170" i="4"/>
  <c r="H71" i="4"/>
  <c r="I71" i="4"/>
  <c r="H41" i="4"/>
  <c r="I41" i="4"/>
  <c r="H248" i="4"/>
  <c r="I248" i="4"/>
  <c r="H156" i="4"/>
  <c r="I156" i="4"/>
  <c r="H45" i="4"/>
  <c r="H79" i="4"/>
  <c r="I79" i="4"/>
  <c r="H119" i="4"/>
  <c r="I119" i="4"/>
  <c r="H75" i="4"/>
  <c r="I75" i="4"/>
  <c r="H74" i="4"/>
  <c r="H72" i="4"/>
  <c r="H255" i="4"/>
  <c r="I255" i="4"/>
  <c r="H151" i="4"/>
  <c r="I151" i="4"/>
  <c r="H228" i="4"/>
  <c r="I228" i="4"/>
  <c r="H63" i="4"/>
  <c r="I63" i="4"/>
  <c r="H277" i="4"/>
  <c r="H32" i="4"/>
  <c r="I32" i="4"/>
  <c r="H257" i="1"/>
  <c r="I257" i="1"/>
  <c r="L257" i="1"/>
  <c r="L256" i="1"/>
  <c r="L255" i="1"/>
  <c r="H278" i="4"/>
  <c r="I278" i="4"/>
  <c r="H233" i="4"/>
  <c r="I233" i="4"/>
  <c r="H176" i="4"/>
  <c r="H57" i="4"/>
  <c r="I57" i="4"/>
  <c r="H84" i="4"/>
  <c r="I84" i="4"/>
  <c r="H140" i="4"/>
  <c r="I140" i="4"/>
  <c r="H62" i="4"/>
  <c r="I62" i="4"/>
  <c r="H276" i="4"/>
  <c r="I276" i="4"/>
  <c r="H123" i="4"/>
  <c r="I123" i="4"/>
  <c r="H275" i="4"/>
  <c r="I275" i="4"/>
  <c r="I259" i="4"/>
  <c r="H197" i="4"/>
  <c r="H194" i="4"/>
  <c r="I194" i="4"/>
  <c r="H183" i="4"/>
  <c r="I183" i="4"/>
  <c r="H219" i="4"/>
  <c r="I219" i="4"/>
  <c r="H141" i="4"/>
  <c r="H138" i="4"/>
  <c r="H50" i="4"/>
  <c r="I50" i="4"/>
  <c r="H61" i="4"/>
  <c r="H167" i="4"/>
  <c r="H124" i="4"/>
  <c r="H115" i="4"/>
  <c r="I115" i="4"/>
  <c r="H100" i="4"/>
  <c r="I100" i="4"/>
  <c r="H177" i="4"/>
  <c r="I177" i="4"/>
  <c r="H211" i="4"/>
  <c r="I211" i="4"/>
  <c r="H264" i="4"/>
  <c r="I264" i="4"/>
  <c r="H258" i="4"/>
  <c r="I258" i="4"/>
  <c r="H202" i="4"/>
  <c r="I202" i="4"/>
  <c r="I69" i="4"/>
  <c r="H43" i="4"/>
  <c r="I43" i="4"/>
  <c r="H133" i="4"/>
  <c r="I122" i="4"/>
  <c r="H108" i="4"/>
  <c r="I108" i="4"/>
  <c r="I218" i="4"/>
  <c r="H169" i="4"/>
  <c r="I169" i="4"/>
  <c r="H150" i="4"/>
  <c r="I150" i="4"/>
  <c r="H132" i="4"/>
  <c r="H196" i="4"/>
  <c r="H241" i="4"/>
  <c r="I241" i="4"/>
  <c r="H117" i="4"/>
  <c r="I117" i="4"/>
  <c r="H226" i="4"/>
  <c r="I226" i="4"/>
  <c r="I74" i="4"/>
  <c r="H270" i="4"/>
  <c r="I270" i="4"/>
  <c r="H168" i="4"/>
  <c r="H85" i="4"/>
  <c r="I85" i="4"/>
  <c r="H40" i="4"/>
  <c r="I40" i="4"/>
  <c r="H271" i="4"/>
  <c r="I271" i="4"/>
  <c r="H210" i="4"/>
  <c r="I210" i="4"/>
  <c r="H173" i="4"/>
  <c r="I173" i="4"/>
  <c r="H257" i="4"/>
  <c r="I257" i="4"/>
  <c r="H81" i="4"/>
  <c r="I81" i="4"/>
  <c r="H203" i="4"/>
  <c r="I203" i="4"/>
  <c r="H157" i="4"/>
  <c r="I157" i="4"/>
  <c r="H148" i="4"/>
  <c r="I148" i="4"/>
  <c r="H51" i="4"/>
  <c r="I51" i="4"/>
  <c r="H42" i="4"/>
  <c r="H46" i="4"/>
  <c r="H245" i="4"/>
  <c r="I245" i="4"/>
  <c r="H240" i="4"/>
  <c r="I240" i="4"/>
  <c r="H186" i="4"/>
  <c r="I186" i="4"/>
  <c r="H97" i="4"/>
  <c r="I97" i="4"/>
  <c r="H94" i="4"/>
  <c r="I94" i="4"/>
  <c r="H87" i="4"/>
  <c r="I87" i="4"/>
  <c r="H267" i="4"/>
  <c r="I267" i="4"/>
  <c r="H261" i="4"/>
  <c r="I261" i="4"/>
  <c r="H44" i="4"/>
  <c r="I44" i="4"/>
  <c r="H142" i="4"/>
  <c r="I142" i="4"/>
  <c r="H136" i="4"/>
  <c r="I136" i="4"/>
  <c r="H47" i="4"/>
  <c r="I47" i="4"/>
  <c r="H243" i="4"/>
  <c r="I243" i="4"/>
  <c r="H231" i="4"/>
  <c r="I231" i="4"/>
  <c r="H268" i="4"/>
  <c r="I268" i="4"/>
  <c r="H206" i="4"/>
  <c r="I206" i="4"/>
  <c r="H253" i="4"/>
  <c r="H30" i="4"/>
  <c r="I30" i="4"/>
  <c r="H134" i="4"/>
  <c r="I134" i="4"/>
  <c r="H29" i="4"/>
  <c r="I29" i="4"/>
  <c r="H93" i="4"/>
  <c r="I93" i="4"/>
  <c r="H213" i="4"/>
  <c r="I213" i="4"/>
  <c r="H175" i="4"/>
  <c r="I175" i="4"/>
  <c r="H165" i="4"/>
  <c r="I165" i="4"/>
  <c r="H158" i="4"/>
  <c r="I158" i="4"/>
  <c r="H153" i="4"/>
  <c r="I153" i="4"/>
  <c r="H149" i="4"/>
  <c r="I149" i="4"/>
  <c r="H31" i="4"/>
  <c r="I31" i="4"/>
  <c r="H200" i="4"/>
  <c r="H65" i="4"/>
  <c r="I65" i="4"/>
  <c r="H131" i="4"/>
  <c r="I131" i="4"/>
  <c r="H246" i="4"/>
  <c r="I246" i="4"/>
  <c r="H189" i="4"/>
  <c r="I189" i="4"/>
  <c r="H59" i="4"/>
  <c r="I59" i="4"/>
  <c r="H230" i="4"/>
  <c r="H103" i="4"/>
  <c r="I103" i="4"/>
  <c r="H182" i="4"/>
  <c r="I182" i="4"/>
  <c r="H105" i="4"/>
  <c r="I105" i="4"/>
  <c r="H179" i="4"/>
  <c r="I179" i="4"/>
  <c r="H95" i="4"/>
  <c r="I95" i="4"/>
  <c r="H212" i="4"/>
  <c r="I212" i="4"/>
  <c r="H209" i="4"/>
  <c r="I209" i="4"/>
  <c r="H172" i="4"/>
  <c r="I172" i="4"/>
  <c r="H37" i="4"/>
  <c r="H56" i="4"/>
  <c r="I56" i="4"/>
  <c r="H159" i="4"/>
  <c r="H35" i="4"/>
  <c r="I35" i="4"/>
  <c r="H249" i="4"/>
  <c r="I249" i="4"/>
  <c r="H190" i="4"/>
  <c r="I190" i="4"/>
  <c r="I247" i="4"/>
  <c r="H129" i="4"/>
  <c r="I129" i="4"/>
  <c r="I116" i="4"/>
  <c r="H188" i="4"/>
  <c r="I188" i="4"/>
  <c r="H106" i="4"/>
  <c r="I106" i="4"/>
  <c r="H221" i="4"/>
  <c r="I221" i="4"/>
  <c r="H180" i="4"/>
  <c r="I180" i="4"/>
  <c r="I208" i="4"/>
  <c r="H260" i="4"/>
  <c r="H263" i="4"/>
  <c r="I263" i="4"/>
  <c r="H60" i="4"/>
  <c r="I60" i="4"/>
  <c r="H48" i="4"/>
  <c r="I48" i="4"/>
  <c r="I159" i="4"/>
  <c r="I124" i="4"/>
  <c r="I230" i="4"/>
  <c r="I200" i="4"/>
  <c r="I253" i="4"/>
  <c r="I46" i="4"/>
  <c r="I132" i="4"/>
  <c r="I138" i="4"/>
  <c r="I197" i="4"/>
  <c r="I176" i="4"/>
  <c r="I198" i="4"/>
  <c r="I262" i="4"/>
  <c r="H38" i="4"/>
  <c r="I38" i="4"/>
  <c r="H205" i="4"/>
  <c r="I205" i="4"/>
  <c r="I222" i="4"/>
  <c r="I42" i="4"/>
  <c r="I45" i="4"/>
  <c r="H272" i="4"/>
  <c r="I272" i="4"/>
  <c r="I196" i="4"/>
  <c r="I141" i="4"/>
  <c r="I37" i="4"/>
  <c r="I133" i="4"/>
  <c r="I167" i="4"/>
  <c r="H92" i="4"/>
  <c r="I92" i="4"/>
  <c r="I277" i="4"/>
  <c r="I193" i="4"/>
  <c r="I168" i="4"/>
  <c r="I72" i="4"/>
  <c r="I260" i="4"/>
  <c r="I61" i="4"/>
  <c r="I102" i="4"/>
  <c r="H166" i="4"/>
  <c r="I166" i="4"/>
  <c r="H98" i="4"/>
  <c r="I98" i="4"/>
  <c r="H36" i="4"/>
  <c r="I36" i="4"/>
  <c r="H64" i="4"/>
  <c r="I64" i="4"/>
  <c r="I3" i="24"/>
  <c r="H251" i="1"/>
  <c r="E10" i="4"/>
  <c r="E11" i="4"/>
  <c r="R4" i="1"/>
  <c r="H6" i="1"/>
  <c r="H7" i="1"/>
  <c r="H8" i="1"/>
  <c r="H9" i="1"/>
  <c r="H10" i="1"/>
  <c r="H11" i="1"/>
  <c r="H15" i="1"/>
  <c r="H16" i="1"/>
  <c r="H17" i="1"/>
  <c r="H18" i="1"/>
  <c r="H19" i="1"/>
  <c r="H23" i="1"/>
  <c r="H24" i="1"/>
  <c r="H25" i="1"/>
  <c r="H26" i="1"/>
  <c r="H27" i="1"/>
  <c r="H31" i="1"/>
  <c r="H32" i="1"/>
  <c r="H33" i="1"/>
  <c r="H34" i="1"/>
  <c r="H35" i="1"/>
  <c r="H39" i="1"/>
  <c r="H40" i="1"/>
  <c r="H41" i="1"/>
  <c r="H42" i="1"/>
  <c r="H43" i="1"/>
  <c r="H47" i="1"/>
  <c r="H48" i="1"/>
  <c r="H49" i="1"/>
  <c r="H50" i="1"/>
  <c r="H51" i="1"/>
  <c r="H55" i="1"/>
  <c r="H56" i="1"/>
  <c r="H57" i="1"/>
  <c r="H58" i="1"/>
  <c r="H59" i="1"/>
  <c r="H63" i="1"/>
  <c r="H64" i="1"/>
  <c r="H65" i="1"/>
  <c r="H66" i="1"/>
  <c r="H67" i="1"/>
  <c r="H71" i="1"/>
  <c r="H72" i="1"/>
  <c r="H73" i="1"/>
  <c r="H74" i="1"/>
  <c r="H75" i="1"/>
  <c r="H79" i="1"/>
  <c r="H80" i="1"/>
  <c r="H81" i="1"/>
  <c r="H82" i="1"/>
  <c r="H83" i="1"/>
  <c r="H87" i="1"/>
  <c r="H88" i="1"/>
  <c r="H89" i="1"/>
  <c r="H90" i="1"/>
  <c r="H91" i="1"/>
  <c r="H95" i="1"/>
  <c r="H96" i="1"/>
  <c r="H97" i="1"/>
  <c r="H98" i="1"/>
  <c r="H99" i="1"/>
  <c r="H103" i="1"/>
  <c r="H104" i="1"/>
  <c r="H105" i="1"/>
  <c r="H106" i="1"/>
  <c r="H107" i="1"/>
  <c r="H111" i="1"/>
  <c r="H112" i="1"/>
  <c r="H113" i="1"/>
  <c r="H114" i="1"/>
  <c r="H115" i="1"/>
  <c r="H119" i="1"/>
  <c r="H120" i="1"/>
  <c r="H121" i="1"/>
  <c r="H122" i="1"/>
  <c r="H123" i="1"/>
  <c r="H127" i="1"/>
  <c r="H128" i="1"/>
  <c r="H129" i="1"/>
  <c r="H130" i="1"/>
  <c r="H131" i="1"/>
  <c r="H135" i="1"/>
  <c r="H136" i="1"/>
  <c r="H137" i="1"/>
  <c r="H138" i="1"/>
  <c r="H139" i="1"/>
  <c r="H143" i="1"/>
  <c r="H144" i="1"/>
  <c r="H145" i="1"/>
  <c r="H146" i="1"/>
  <c r="H147" i="1"/>
  <c r="H151" i="1"/>
  <c r="H152" i="1"/>
  <c r="H153" i="1"/>
  <c r="H154" i="1"/>
  <c r="H155" i="1"/>
  <c r="H159" i="1"/>
  <c r="H160" i="1"/>
  <c r="H161" i="1"/>
  <c r="H162" i="1"/>
  <c r="H163" i="1"/>
  <c r="H167" i="1"/>
  <c r="H168" i="1"/>
  <c r="H169" i="1"/>
  <c r="H170" i="1"/>
  <c r="H171" i="1"/>
  <c r="H175" i="1"/>
  <c r="H176" i="1"/>
  <c r="H177" i="1"/>
  <c r="H178" i="1"/>
  <c r="H179" i="1"/>
  <c r="H183" i="1"/>
  <c r="H184" i="1"/>
  <c r="H185" i="1"/>
  <c r="H186" i="1"/>
  <c r="H187" i="1"/>
  <c r="H191" i="1"/>
  <c r="H192" i="1"/>
  <c r="H193" i="1"/>
  <c r="H194" i="1"/>
  <c r="H195" i="1"/>
  <c r="H199" i="1"/>
  <c r="H200" i="1"/>
  <c r="H201" i="1"/>
  <c r="H202" i="1"/>
  <c r="H203" i="1"/>
  <c r="H207" i="1"/>
  <c r="H208" i="1"/>
  <c r="H209" i="1"/>
  <c r="H210" i="1"/>
  <c r="H211" i="1"/>
  <c r="H215" i="1"/>
  <c r="H216" i="1"/>
  <c r="H217" i="1"/>
  <c r="H218" i="1"/>
  <c r="H219" i="1"/>
  <c r="H223" i="1"/>
  <c r="H224" i="1"/>
  <c r="H225" i="1"/>
  <c r="H226" i="1"/>
  <c r="H227" i="1"/>
  <c r="H231" i="1"/>
  <c r="H232" i="1"/>
  <c r="H233" i="1"/>
  <c r="H234" i="1"/>
  <c r="H235" i="1"/>
  <c r="H239" i="1"/>
  <c r="H240" i="1"/>
  <c r="H241" i="1"/>
  <c r="H242" i="1"/>
  <c r="H243" i="1"/>
  <c r="H247" i="1"/>
  <c r="H248" i="1"/>
  <c r="H249" i="1"/>
  <c r="L2" i="9"/>
  <c r="M30" i="21"/>
  <c r="M34" i="21"/>
  <c r="M38" i="21"/>
  <c r="M44" i="21"/>
  <c r="M46" i="21"/>
  <c r="M48" i="21"/>
  <c r="M50" i="21"/>
  <c r="M52" i="21"/>
  <c r="M54" i="21"/>
  <c r="M56" i="21"/>
  <c r="M58" i="21"/>
  <c r="M62" i="21"/>
  <c r="M66" i="21"/>
  <c r="M70" i="21"/>
  <c r="M74" i="21"/>
  <c r="M78" i="21"/>
  <c r="M80" i="21"/>
  <c r="M82" i="21"/>
  <c r="M84" i="21"/>
  <c r="M86" i="21"/>
  <c r="M88" i="21"/>
  <c r="M94" i="21"/>
  <c r="M98" i="21"/>
  <c r="M102" i="21"/>
  <c r="M106" i="21"/>
  <c r="M108" i="21"/>
  <c r="M110" i="21"/>
  <c r="M114" i="21"/>
  <c r="M118" i="21"/>
  <c r="M122" i="21"/>
  <c r="M130" i="21"/>
  <c r="M138" i="21"/>
  <c r="M142" i="21"/>
  <c r="M144" i="21"/>
  <c r="M146" i="21"/>
  <c r="M148" i="21"/>
  <c r="M154" i="21"/>
  <c r="M158" i="21"/>
  <c r="M162" i="21"/>
  <c r="M166" i="21"/>
  <c r="M168" i="21"/>
  <c r="M170" i="21"/>
  <c r="M172" i="21"/>
  <c r="M174" i="21"/>
  <c r="M176" i="21"/>
  <c r="M178" i="21"/>
  <c r="M180" i="21"/>
  <c r="M182" i="21"/>
  <c r="M186" i="21"/>
  <c r="M194" i="21"/>
  <c r="M196" i="21"/>
  <c r="M198" i="21"/>
  <c r="M200" i="21"/>
  <c r="M202" i="21"/>
  <c r="M204" i="21"/>
  <c r="M206" i="21"/>
  <c r="M210" i="21"/>
  <c r="M214" i="21"/>
  <c r="M218" i="21"/>
  <c r="M220" i="21"/>
  <c r="M222" i="21"/>
  <c r="M224" i="21"/>
  <c r="M226" i="21"/>
  <c r="M228" i="21"/>
  <c r="M230" i="21"/>
  <c r="M234" i="21"/>
  <c r="M238" i="21"/>
  <c r="M242" i="21"/>
  <c r="M246" i="21"/>
  <c r="M247" i="21"/>
  <c r="M248" i="21"/>
  <c r="M250" i="21"/>
  <c r="M252" i="21"/>
  <c r="M254" i="21"/>
  <c r="M258" i="21"/>
  <c r="M260" i="21"/>
  <c r="M264" i="21"/>
  <c r="M266" i="21"/>
  <c r="M268" i="21"/>
  <c r="J28" i="21"/>
  <c r="J30" i="21"/>
  <c r="J33" i="21"/>
  <c r="J37" i="21"/>
  <c r="O45" i="21"/>
  <c r="J49" i="21"/>
  <c r="J51" i="21"/>
  <c r="J53" i="21"/>
  <c r="J57" i="21"/>
  <c r="O65" i="21"/>
  <c r="O72" i="21"/>
  <c r="O80" i="21"/>
  <c r="J88" i="21"/>
  <c r="O96" i="21"/>
  <c r="J101" i="21"/>
  <c r="O103" i="21"/>
  <c r="O111" i="21"/>
  <c r="J112" i="21"/>
  <c r="J116" i="21"/>
  <c r="J117" i="21"/>
  <c r="J120" i="21"/>
  <c r="O124" i="21"/>
  <c r="J128" i="21"/>
  <c r="O130" i="21"/>
  <c r="J132" i="21"/>
  <c r="J136" i="21"/>
  <c r="J140" i="21"/>
  <c r="J143" i="21"/>
  <c r="J146" i="21"/>
  <c r="O150" i="21"/>
  <c r="J154" i="21"/>
  <c r="O156" i="21"/>
  <c r="J158" i="21"/>
  <c r="O162" i="21"/>
  <c r="J167" i="21"/>
  <c r="O168" i="21"/>
  <c r="O176" i="21"/>
  <c r="J178" i="21"/>
  <c r="O179" i="21"/>
  <c r="J180" i="21"/>
  <c r="O181" i="21"/>
  <c r="J182" i="21"/>
  <c r="J184" i="21"/>
  <c r="J186" i="21"/>
  <c r="O187" i="21"/>
  <c r="J190" i="21"/>
  <c r="O192" i="21"/>
  <c r="J194" i="21"/>
  <c r="J196" i="21"/>
  <c r="J197" i="21"/>
  <c r="J198" i="21"/>
  <c r="J202" i="21"/>
  <c r="O203" i="21"/>
  <c r="J206" i="21"/>
  <c r="O207" i="21"/>
  <c r="O209" i="21"/>
  <c r="J214" i="21"/>
  <c r="O216" i="21"/>
  <c r="J217" i="21"/>
  <c r="J219" i="21"/>
  <c r="O222" i="21"/>
  <c r="J223" i="21"/>
  <c r="O227" i="21"/>
  <c r="O228" i="21"/>
  <c r="O231" i="21"/>
  <c r="J240" i="21"/>
  <c r="O242" i="21"/>
  <c r="J243" i="21"/>
  <c r="J244" i="21"/>
  <c r="J247" i="21"/>
  <c r="O248" i="21"/>
  <c r="J249" i="21"/>
  <c r="J255" i="21"/>
  <c r="O256" i="21"/>
  <c r="J261" i="21"/>
  <c r="O262" i="21"/>
  <c r="O263" i="21"/>
  <c r="J265" i="21"/>
  <c r="O26" i="21"/>
  <c r="N268" i="21"/>
  <c r="N267" i="21"/>
  <c r="J267" i="21"/>
  <c r="N266" i="21"/>
  <c r="N265" i="21"/>
  <c r="M265" i="21"/>
  <c r="N264" i="21"/>
  <c r="N263" i="21"/>
  <c r="M263" i="21"/>
  <c r="N262" i="21"/>
  <c r="M262" i="21"/>
  <c r="N261" i="21"/>
  <c r="M261" i="21"/>
  <c r="N260" i="21"/>
  <c r="N259" i="21"/>
  <c r="M259" i="21"/>
  <c r="J259" i="21"/>
  <c r="N258" i="21"/>
  <c r="N257" i="21"/>
  <c r="M257" i="21"/>
  <c r="N256" i="21"/>
  <c r="M256" i="21"/>
  <c r="N255" i="21"/>
  <c r="M255" i="21"/>
  <c r="N254" i="21"/>
  <c r="N253" i="21"/>
  <c r="M253" i="21"/>
  <c r="N252" i="21"/>
  <c r="O251" i="21"/>
  <c r="N251" i="21"/>
  <c r="M251" i="21"/>
  <c r="J251" i="21"/>
  <c r="N250" i="21"/>
  <c r="N249" i="21"/>
  <c r="M249" i="21"/>
  <c r="N248" i="21"/>
  <c r="O247" i="21"/>
  <c r="N247" i="21"/>
  <c r="N246" i="21"/>
  <c r="N245" i="21"/>
  <c r="M245" i="21"/>
  <c r="N244" i="21"/>
  <c r="O243" i="21"/>
  <c r="Q243" i="21"/>
  <c r="N243" i="21"/>
  <c r="M243" i="21"/>
  <c r="N242" i="21"/>
  <c r="N241" i="21"/>
  <c r="M241" i="21"/>
  <c r="N240" i="21"/>
  <c r="O239" i="21"/>
  <c r="N239" i="21"/>
  <c r="M239" i="21"/>
  <c r="J239" i="21"/>
  <c r="N238" i="21"/>
  <c r="N237" i="21"/>
  <c r="M237" i="21"/>
  <c r="N236" i="21"/>
  <c r="J236" i="21"/>
  <c r="N235" i="21"/>
  <c r="M235" i="21"/>
  <c r="N234" i="21"/>
  <c r="N233" i="21"/>
  <c r="M233" i="21"/>
  <c r="N232" i="21"/>
  <c r="M232" i="21"/>
  <c r="J232" i="21"/>
  <c r="N231" i="21"/>
  <c r="M231" i="21"/>
  <c r="J231" i="21"/>
  <c r="N230" i="21"/>
  <c r="N229" i="21"/>
  <c r="M229" i="21"/>
  <c r="N228" i="21"/>
  <c r="N227" i="21"/>
  <c r="M227" i="21"/>
  <c r="J227" i="21"/>
  <c r="N226" i="21"/>
  <c r="N225" i="21"/>
  <c r="M225" i="21"/>
  <c r="N224" i="21"/>
  <c r="N223" i="21"/>
  <c r="M223" i="21"/>
  <c r="N222" i="21"/>
  <c r="N221" i="21"/>
  <c r="M221" i="21"/>
  <c r="N220" i="21"/>
  <c r="O219" i="21"/>
  <c r="N219" i="21"/>
  <c r="M219" i="21"/>
  <c r="N218" i="21"/>
  <c r="O217" i="21"/>
  <c r="N217" i="21"/>
  <c r="M217" i="21"/>
  <c r="N216" i="21"/>
  <c r="M216" i="21"/>
  <c r="N215" i="21"/>
  <c r="M215" i="21"/>
  <c r="N214" i="21"/>
  <c r="N213" i="21"/>
  <c r="M213" i="21"/>
  <c r="N212" i="21"/>
  <c r="M212" i="21"/>
  <c r="N211" i="21"/>
  <c r="M211" i="21"/>
  <c r="O211" i="21"/>
  <c r="P211" i="21"/>
  <c r="N210" i="21"/>
  <c r="J210" i="21"/>
  <c r="N209" i="21"/>
  <c r="M209" i="21"/>
  <c r="N208" i="21"/>
  <c r="M208" i="21"/>
  <c r="N207" i="21"/>
  <c r="M207" i="21"/>
  <c r="N206" i="21"/>
  <c r="N205" i="21"/>
  <c r="M205" i="21"/>
  <c r="N204" i="21"/>
  <c r="O204" i="21"/>
  <c r="N203" i="21"/>
  <c r="M203" i="21"/>
  <c r="N202" i="21"/>
  <c r="N201" i="21"/>
  <c r="M201" i="21"/>
  <c r="N200" i="21"/>
  <c r="N199" i="21"/>
  <c r="M199" i="21"/>
  <c r="N198" i="21"/>
  <c r="N197" i="21"/>
  <c r="M197" i="21"/>
  <c r="N196" i="21"/>
  <c r="N195" i="21"/>
  <c r="M195" i="21"/>
  <c r="O195" i="21"/>
  <c r="N194" i="21"/>
  <c r="N193" i="21"/>
  <c r="M193" i="21"/>
  <c r="N192" i="21"/>
  <c r="N191" i="21"/>
  <c r="M191" i="21"/>
  <c r="N190" i="21"/>
  <c r="M190" i="21"/>
  <c r="N189" i="21"/>
  <c r="M189" i="21"/>
  <c r="N188" i="21"/>
  <c r="J188" i="21"/>
  <c r="N187" i="21"/>
  <c r="M187" i="21"/>
  <c r="N186" i="21"/>
  <c r="N185" i="21"/>
  <c r="M185" i="21"/>
  <c r="N184" i="21"/>
  <c r="M184" i="21"/>
  <c r="N183" i="21"/>
  <c r="M183" i="21"/>
  <c r="N182" i="21"/>
  <c r="N181" i="21"/>
  <c r="M181" i="21"/>
  <c r="N180" i="21"/>
  <c r="N179" i="21"/>
  <c r="M179" i="21"/>
  <c r="N178" i="21"/>
  <c r="N177" i="21"/>
  <c r="M177" i="21"/>
  <c r="N176" i="21"/>
  <c r="N175" i="21"/>
  <c r="M175" i="21"/>
  <c r="N174" i="21"/>
  <c r="N173" i="21"/>
  <c r="M173" i="21"/>
  <c r="N172" i="21"/>
  <c r="O171" i="21"/>
  <c r="N171" i="21"/>
  <c r="M171" i="21"/>
  <c r="J171" i="21"/>
  <c r="N170" i="21"/>
  <c r="N169" i="21"/>
  <c r="M169" i="21"/>
  <c r="O169" i="21"/>
  <c r="N168" i="21"/>
  <c r="O167" i="21"/>
  <c r="N167" i="21"/>
  <c r="P167" i="21"/>
  <c r="M167" i="21"/>
  <c r="N166" i="21"/>
  <c r="N165" i="21"/>
  <c r="M165" i="21"/>
  <c r="N164" i="21"/>
  <c r="J164" i="21"/>
  <c r="O163" i="21"/>
  <c r="N163" i="21"/>
  <c r="M163" i="21"/>
  <c r="J163" i="21"/>
  <c r="N162" i="21"/>
  <c r="N161" i="21"/>
  <c r="M161" i="21"/>
  <c r="N160" i="21"/>
  <c r="M160" i="21"/>
  <c r="J160" i="21"/>
  <c r="O160" i="21"/>
  <c r="N159" i="21"/>
  <c r="M159" i="21"/>
  <c r="N158" i="21"/>
  <c r="N157" i="21"/>
  <c r="M157" i="21"/>
  <c r="N156" i="21"/>
  <c r="M156" i="21"/>
  <c r="O155" i="21"/>
  <c r="N155" i="21"/>
  <c r="M155" i="21"/>
  <c r="J155" i="21"/>
  <c r="N154" i="21"/>
  <c r="N153" i="21"/>
  <c r="M153" i="21"/>
  <c r="N152" i="21"/>
  <c r="M152" i="21"/>
  <c r="J152" i="21"/>
  <c r="N151" i="21"/>
  <c r="M151" i="21"/>
  <c r="N150" i="21"/>
  <c r="M150" i="21"/>
  <c r="N149" i="21"/>
  <c r="M149" i="21"/>
  <c r="N148" i="21"/>
  <c r="O147" i="21"/>
  <c r="N147" i="21"/>
  <c r="M147" i="21"/>
  <c r="J147" i="21"/>
  <c r="N146" i="21"/>
  <c r="N145" i="21"/>
  <c r="M145" i="21"/>
  <c r="N144" i="21"/>
  <c r="J144" i="21"/>
  <c r="N143" i="21"/>
  <c r="M143" i="21"/>
  <c r="N142" i="21"/>
  <c r="N141" i="21"/>
  <c r="M141" i="21"/>
  <c r="N140" i="21"/>
  <c r="O139" i="21"/>
  <c r="Q139" i="21"/>
  <c r="N139" i="21"/>
  <c r="M139" i="21"/>
  <c r="J139" i="21"/>
  <c r="N138" i="21"/>
  <c r="N137" i="21"/>
  <c r="M137" i="21"/>
  <c r="N136" i="21"/>
  <c r="N135" i="21"/>
  <c r="M135" i="21"/>
  <c r="N134" i="21"/>
  <c r="M134" i="21"/>
  <c r="N133" i="21"/>
  <c r="M133" i="21"/>
  <c r="O133" i="21"/>
  <c r="N132" i="21"/>
  <c r="O131" i="21"/>
  <c r="N131" i="21"/>
  <c r="M131" i="21"/>
  <c r="J131" i="21"/>
  <c r="N130" i="21"/>
  <c r="N129" i="21"/>
  <c r="M129" i="21"/>
  <c r="N128" i="21"/>
  <c r="O127" i="21"/>
  <c r="Q127" i="21"/>
  <c r="N127" i="21"/>
  <c r="M127" i="21"/>
  <c r="J127" i="21"/>
  <c r="N126" i="21"/>
  <c r="M126" i="21"/>
  <c r="N125" i="21"/>
  <c r="M125" i="21"/>
  <c r="O125" i="21"/>
  <c r="N124" i="21"/>
  <c r="O123" i="21"/>
  <c r="N123" i="21"/>
  <c r="M123" i="21"/>
  <c r="J123" i="21"/>
  <c r="N122" i="21"/>
  <c r="N121" i="21"/>
  <c r="M121" i="21"/>
  <c r="O121" i="21"/>
  <c r="N120" i="21"/>
  <c r="O119" i="21"/>
  <c r="N119" i="21"/>
  <c r="M119" i="21"/>
  <c r="J119" i="21"/>
  <c r="N118" i="21"/>
  <c r="N117" i="21"/>
  <c r="M117" i="21"/>
  <c r="N116" i="21"/>
  <c r="O115" i="21"/>
  <c r="Q115" i="21"/>
  <c r="N115" i="21"/>
  <c r="M115" i="21"/>
  <c r="J115" i="21"/>
  <c r="N114" i="21"/>
  <c r="N113" i="21"/>
  <c r="M113" i="21"/>
  <c r="O113" i="21"/>
  <c r="N112" i="21"/>
  <c r="N111" i="21"/>
  <c r="M111" i="21"/>
  <c r="N110" i="21"/>
  <c r="N109" i="21"/>
  <c r="M109" i="21"/>
  <c r="N108" i="21"/>
  <c r="O107" i="21"/>
  <c r="N107" i="21"/>
  <c r="M107" i="21"/>
  <c r="J107" i="21"/>
  <c r="N106" i="21"/>
  <c r="N105" i="21"/>
  <c r="M105" i="21"/>
  <c r="N104" i="21"/>
  <c r="M104" i="21"/>
  <c r="N103" i="21"/>
  <c r="M103" i="21"/>
  <c r="N102" i="21"/>
  <c r="O101" i="21"/>
  <c r="N101" i="21"/>
  <c r="M101" i="21"/>
  <c r="N100" i="21"/>
  <c r="M100" i="21"/>
  <c r="O99" i="21"/>
  <c r="Q99" i="21"/>
  <c r="N99" i="21"/>
  <c r="M99" i="21"/>
  <c r="J99" i="21"/>
  <c r="N98" i="21"/>
  <c r="N97" i="21"/>
  <c r="M97" i="21"/>
  <c r="N96" i="21"/>
  <c r="M96" i="21"/>
  <c r="O95" i="21"/>
  <c r="N95" i="21"/>
  <c r="M95" i="21"/>
  <c r="J95" i="21"/>
  <c r="N94" i="21"/>
  <c r="N93" i="21"/>
  <c r="M93" i="21"/>
  <c r="N92" i="21"/>
  <c r="M92" i="21"/>
  <c r="O91" i="21"/>
  <c r="N91" i="21"/>
  <c r="M91" i="21"/>
  <c r="J91" i="21"/>
  <c r="N90" i="21"/>
  <c r="M90" i="21"/>
  <c r="N89" i="21"/>
  <c r="M89" i="21"/>
  <c r="J89" i="21"/>
  <c r="N88" i="21"/>
  <c r="O87" i="21"/>
  <c r="N87" i="21"/>
  <c r="M87" i="21"/>
  <c r="J87" i="21"/>
  <c r="N86" i="21"/>
  <c r="N85" i="21"/>
  <c r="M85" i="21"/>
  <c r="J85" i="21"/>
  <c r="N84" i="21"/>
  <c r="O83" i="21"/>
  <c r="N83" i="21"/>
  <c r="M83" i="21"/>
  <c r="J83" i="21"/>
  <c r="N82" i="21"/>
  <c r="N81" i="21"/>
  <c r="M81" i="21"/>
  <c r="J81" i="21"/>
  <c r="N80" i="21"/>
  <c r="O79" i="21"/>
  <c r="N79" i="21"/>
  <c r="P79" i="21"/>
  <c r="M79" i="21"/>
  <c r="J79" i="21"/>
  <c r="N78" i="21"/>
  <c r="N77" i="21"/>
  <c r="M77" i="21"/>
  <c r="N76" i="21"/>
  <c r="M76" i="21"/>
  <c r="O75" i="21"/>
  <c r="N75" i="21"/>
  <c r="M75" i="21"/>
  <c r="J75" i="21"/>
  <c r="N74" i="21"/>
  <c r="O73" i="21"/>
  <c r="Q73" i="21"/>
  <c r="N73" i="21"/>
  <c r="M73" i="21"/>
  <c r="J73" i="21"/>
  <c r="N72" i="21"/>
  <c r="M72" i="21"/>
  <c r="O71" i="21"/>
  <c r="N71" i="21"/>
  <c r="M71" i="21"/>
  <c r="J71" i="21"/>
  <c r="N70" i="21"/>
  <c r="N69" i="21"/>
  <c r="M69" i="21"/>
  <c r="J69" i="21"/>
  <c r="N68" i="21"/>
  <c r="M68" i="21"/>
  <c r="O67" i="21"/>
  <c r="Q67" i="21"/>
  <c r="N67" i="21"/>
  <c r="M67" i="21"/>
  <c r="J67" i="21"/>
  <c r="N66" i="21"/>
  <c r="N65" i="21"/>
  <c r="M65" i="21"/>
  <c r="N64" i="21"/>
  <c r="M64" i="21"/>
  <c r="O63" i="21"/>
  <c r="N63" i="21"/>
  <c r="M63" i="21"/>
  <c r="J63" i="21"/>
  <c r="N62" i="21"/>
  <c r="O61" i="21"/>
  <c r="N61" i="21"/>
  <c r="M61" i="21"/>
  <c r="J61" i="21"/>
  <c r="N60" i="21"/>
  <c r="M60" i="21"/>
  <c r="O59" i="21"/>
  <c r="N59" i="21"/>
  <c r="M59" i="21"/>
  <c r="J59" i="21"/>
  <c r="N58" i="21"/>
  <c r="O57" i="21"/>
  <c r="N57" i="21"/>
  <c r="M57" i="21"/>
  <c r="N56" i="21"/>
  <c r="O55" i="21"/>
  <c r="N55" i="21"/>
  <c r="M55" i="21"/>
  <c r="J55" i="21"/>
  <c r="N54" i="21"/>
  <c r="O53" i="21"/>
  <c r="N53" i="21"/>
  <c r="P53" i="21"/>
  <c r="M53" i="21"/>
  <c r="N52" i="21"/>
  <c r="O51" i="21"/>
  <c r="Q51" i="21"/>
  <c r="N51" i="21"/>
  <c r="M51" i="21"/>
  <c r="N50" i="21"/>
  <c r="O49" i="21"/>
  <c r="N49" i="21"/>
  <c r="P49" i="21"/>
  <c r="M49" i="21"/>
  <c r="N48" i="21"/>
  <c r="O47" i="21"/>
  <c r="N47" i="21"/>
  <c r="M47" i="21"/>
  <c r="J47" i="21"/>
  <c r="N46" i="21"/>
  <c r="N45" i="21"/>
  <c r="M45" i="21"/>
  <c r="N44" i="21"/>
  <c r="O43" i="21"/>
  <c r="N43" i="21"/>
  <c r="M43" i="21"/>
  <c r="J43" i="21"/>
  <c r="N42" i="21"/>
  <c r="M42" i="21"/>
  <c r="O41" i="21"/>
  <c r="N41" i="21"/>
  <c r="M41" i="21"/>
  <c r="J41" i="21"/>
  <c r="N40" i="21"/>
  <c r="M40" i="21"/>
  <c r="O39" i="21"/>
  <c r="N39" i="21"/>
  <c r="P39" i="21"/>
  <c r="M39" i="21"/>
  <c r="J39" i="21"/>
  <c r="N38" i="21"/>
  <c r="N37" i="21"/>
  <c r="M37" i="21"/>
  <c r="N36" i="21"/>
  <c r="M36" i="21"/>
  <c r="J36" i="21"/>
  <c r="N35" i="21"/>
  <c r="M35" i="21"/>
  <c r="O35" i="21"/>
  <c r="N34" i="21"/>
  <c r="O33" i="21"/>
  <c r="N33" i="21"/>
  <c r="M33" i="21"/>
  <c r="N32" i="21"/>
  <c r="M32" i="21"/>
  <c r="N31" i="21"/>
  <c r="M31" i="21"/>
  <c r="O31" i="21"/>
  <c r="N30" i="21"/>
  <c r="N29" i="21"/>
  <c r="O28" i="21"/>
  <c r="N28" i="21"/>
  <c r="M28" i="21"/>
  <c r="N27" i="21"/>
  <c r="M27" i="21"/>
  <c r="N26" i="21"/>
  <c r="Z19" i="21"/>
  <c r="Z24" i="21"/>
  <c r="U18" i="21"/>
  <c r="E10" i="21"/>
  <c r="E11" i="21"/>
  <c r="O245" i="21"/>
  <c r="O241" i="21"/>
  <c r="P241" i="21"/>
  <c r="O237" i="21"/>
  <c r="O233" i="21"/>
  <c r="O229" i="21"/>
  <c r="P229" i="21"/>
  <c r="O225" i="21"/>
  <c r="P225" i="21"/>
  <c r="O221" i="21"/>
  <c r="P221" i="21"/>
  <c r="O173" i="21"/>
  <c r="Q173" i="21"/>
  <c r="O165" i="21"/>
  <c r="O137" i="21"/>
  <c r="P137" i="21"/>
  <c r="O129" i="21"/>
  <c r="O97" i="21"/>
  <c r="P97" i="21"/>
  <c r="O89" i="21"/>
  <c r="P89" i="21"/>
  <c r="O85" i="21"/>
  <c r="P85" i="21"/>
  <c r="O81" i="21"/>
  <c r="P81" i="21"/>
  <c r="O69" i="21"/>
  <c r="O259" i="21"/>
  <c r="O196" i="21"/>
  <c r="P196" i="21"/>
  <c r="O144" i="21"/>
  <c r="Q144" i="21"/>
  <c r="O257" i="21"/>
  <c r="J257" i="21"/>
  <c r="P71" i="21"/>
  <c r="O261" i="21"/>
  <c r="P261" i="21"/>
  <c r="J97" i="21"/>
  <c r="O265" i="21"/>
  <c r="Q265" i="21"/>
  <c r="J253" i="21"/>
  <c r="O253" i="21"/>
  <c r="P253" i="21"/>
  <c r="J109" i="21"/>
  <c r="O109" i="21"/>
  <c r="J105" i="21"/>
  <c r="O105" i="21"/>
  <c r="J93" i="21"/>
  <c r="O93" i="21"/>
  <c r="P93" i="21"/>
  <c r="J77" i="21"/>
  <c r="O77" i="21"/>
  <c r="P77" i="21"/>
  <c r="O37" i="21"/>
  <c r="Q37" i="21"/>
  <c r="O29" i="21"/>
  <c r="P29" i="21"/>
  <c r="J29" i="21"/>
  <c r="M267" i="21"/>
  <c r="O267" i="21"/>
  <c r="Q267" i="21"/>
  <c r="P63" i="21"/>
  <c r="P67" i="21"/>
  <c r="P75" i="21"/>
  <c r="O212" i="21"/>
  <c r="P212" i="21"/>
  <c r="O208" i="21"/>
  <c r="O188" i="21"/>
  <c r="O184" i="21"/>
  <c r="P184" i="21"/>
  <c r="O152" i="21"/>
  <c r="Q152" i="21"/>
  <c r="O32" i="21"/>
  <c r="P47" i="21"/>
  <c r="O180" i="21"/>
  <c r="M188" i="21"/>
  <c r="M192" i="21"/>
  <c r="O200" i="21"/>
  <c r="Q200" i="21"/>
  <c r="O110" i="21"/>
  <c r="P110" i="21"/>
  <c r="O172" i="21"/>
  <c r="Q172" i="21"/>
  <c r="O264" i="21"/>
  <c r="O202" i="21"/>
  <c r="O158" i="21"/>
  <c r="O30" i="21"/>
  <c r="P30" i="21"/>
  <c r="O210" i="21"/>
  <c r="P210" i="21"/>
  <c r="O198" i="21"/>
  <c r="P198" i="21"/>
  <c r="O194" i="21"/>
  <c r="O182" i="21"/>
  <c r="P182" i="21"/>
  <c r="O154" i="21"/>
  <c r="Q154" i="21"/>
  <c r="O146" i="21"/>
  <c r="P146" i="21"/>
  <c r="O190" i="21"/>
  <c r="P190" i="21"/>
  <c r="O206" i="21"/>
  <c r="O214" i="21"/>
  <c r="O178" i="21"/>
  <c r="P178" i="21"/>
  <c r="O186" i="21"/>
  <c r="P186" i="21"/>
  <c r="P43" i="21"/>
  <c r="P107" i="21"/>
  <c r="P113" i="21"/>
  <c r="P133" i="21"/>
  <c r="P208" i="21"/>
  <c r="P237" i="21"/>
  <c r="P55" i="21"/>
  <c r="P57" i="21"/>
  <c r="P129" i="21"/>
  <c r="P169" i="21"/>
  <c r="P204" i="21"/>
  <c r="P257" i="21"/>
  <c r="P179" i="21"/>
  <c r="P195" i="21"/>
  <c r="P35" i="21"/>
  <c r="P31" i="21"/>
  <c r="O46" i="21"/>
  <c r="P46" i="21"/>
  <c r="J46" i="21"/>
  <c r="O54" i="21"/>
  <c r="J54" i="21"/>
  <c r="O62" i="21"/>
  <c r="P62" i="21"/>
  <c r="J62" i="21"/>
  <c r="J27" i="21"/>
  <c r="O27" i="21"/>
  <c r="P27" i="21"/>
  <c r="P28" i="21"/>
  <c r="M29" i="21"/>
  <c r="J31" i="21"/>
  <c r="J32" i="21"/>
  <c r="P33" i="21"/>
  <c r="O36" i="21"/>
  <c r="O44" i="21"/>
  <c r="P44" i="21"/>
  <c r="J44" i="21"/>
  <c r="O52" i="21"/>
  <c r="Q52" i="21"/>
  <c r="J52" i="21"/>
  <c r="O60" i="21"/>
  <c r="J60" i="21"/>
  <c r="O68" i="21"/>
  <c r="P68" i="21"/>
  <c r="J68" i="21"/>
  <c r="O76" i="21"/>
  <c r="P76" i="21"/>
  <c r="J76" i="21"/>
  <c r="O84" i="21"/>
  <c r="Q84" i="21"/>
  <c r="J84" i="21"/>
  <c r="O92" i="21"/>
  <c r="J92" i="21"/>
  <c r="O100" i="21"/>
  <c r="P100" i="21"/>
  <c r="J100" i="21"/>
  <c r="O104" i="21"/>
  <c r="P104" i="21"/>
  <c r="J104" i="21"/>
  <c r="O116" i="21"/>
  <c r="Q116" i="21"/>
  <c r="M116" i="21"/>
  <c r="O126" i="21"/>
  <c r="J126" i="21"/>
  <c r="O132" i="21"/>
  <c r="M132" i="21"/>
  <c r="P160" i="21"/>
  <c r="J26" i="21"/>
  <c r="J35" i="21"/>
  <c r="O42" i="21"/>
  <c r="J42" i="21"/>
  <c r="O50" i="21"/>
  <c r="P50" i="21"/>
  <c r="J50" i="21"/>
  <c r="O58" i="21"/>
  <c r="Q58" i="21"/>
  <c r="J58" i="21"/>
  <c r="O66" i="21"/>
  <c r="Q66" i="21"/>
  <c r="J66" i="21"/>
  <c r="O74" i="21"/>
  <c r="J74" i="21"/>
  <c r="O82" i="21"/>
  <c r="P82" i="21"/>
  <c r="J82" i="21"/>
  <c r="O90" i="21"/>
  <c r="P90" i="21"/>
  <c r="J90" i="21"/>
  <c r="O98" i="21"/>
  <c r="Q98" i="21"/>
  <c r="J98" i="21"/>
  <c r="O106" i="21"/>
  <c r="P106" i="21"/>
  <c r="O145" i="21"/>
  <c r="P145" i="21"/>
  <c r="J145" i="21"/>
  <c r="O38" i="21"/>
  <c r="J38" i="21"/>
  <c r="O70" i="21"/>
  <c r="P70" i="21"/>
  <c r="J70" i="21"/>
  <c r="O78" i="21"/>
  <c r="Q78" i="21"/>
  <c r="J78" i="21"/>
  <c r="O86" i="21"/>
  <c r="P86" i="21"/>
  <c r="J86" i="21"/>
  <c r="O94" i="21"/>
  <c r="J94" i="21"/>
  <c r="O102" i="21"/>
  <c r="J102" i="21"/>
  <c r="O34" i="21"/>
  <c r="P34" i="21"/>
  <c r="J34" i="21"/>
  <c r="O40" i="21"/>
  <c r="P40" i="21"/>
  <c r="J40" i="21"/>
  <c r="O48" i="21"/>
  <c r="J48" i="21"/>
  <c r="O56" i="21"/>
  <c r="J56" i="21"/>
  <c r="O64" i="21"/>
  <c r="P64" i="21"/>
  <c r="J64" i="21"/>
  <c r="O88" i="21"/>
  <c r="Q88" i="21"/>
  <c r="O108" i="21"/>
  <c r="P108" i="21"/>
  <c r="J108" i="21"/>
  <c r="P127" i="21"/>
  <c r="O153" i="21"/>
  <c r="J153" i="21"/>
  <c r="O170" i="21"/>
  <c r="J170" i="21"/>
  <c r="O114" i="21"/>
  <c r="J114" i="21"/>
  <c r="O120" i="21"/>
  <c r="Q120" i="21"/>
  <c r="M120" i="21"/>
  <c r="O136" i="21"/>
  <c r="M136" i="21"/>
  <c r="P206" i="21"/>
  <c r="O118" i="21"/>
  <c r="P118" i="21"/>
  <c r="J118" i="21"/>
  <c r="M124" i="21"/>
  <c r="O134" i="21"/>
  <c r="J134" i="21"/>
  <c r="O140" i="21"/>
  <c r="M140" i="21"/>
  <c r="O149" i="21"/>
  <c r="P149" i="21"/>
  <c r="J149" i="21"/>
  <c r="O157" i="21"/>
  <c r="P157" i="21"/>
  <c r="J157" i="21"/>
  <c r="J106" i="21"/>
  <c r="J110" i="21"/>
  <c r="O112" i="21"/>
  <c r="P112" i="21"/>
  <c r="M112" i="21"/>
  <c r="O122" i="21"/>
  <c r="Q122" i="21"/>
  <c r="J122" i="21"/>
  <c r="P123" i="21"/>
  <c r="O128" i="21"/>
  <c r="M128" i="21"/>
  <c r="O138" i="21"/>
  <c r="J138" i="21"/>
  <c r="O142" i="21"/>
  <c r="Q142" i="21"/>
  <c r="J142" i="21"/>
  <c r="P155" i="21"/>
  <c r="O161" i="21"/>
  <c r="J161" i="21"/>
  <c r="O166" i="21"/>
  <c r="P166" i="21"/>
  <c r="J166" i="21"/>
  <c r="J113" i="21"/>
  <c r="J121" i="21"/>
  <c r="J125" i="21"/>
  <c r="J129" i="21"/>
  <c r="J133" i="21"/>
  <c r="J137" i="21"/>
  <c r="O141" i="21"/>
  <c r="J141" i="21"/>
  <c r="O193" i="21"/>
  <c r="P193" i="21"/>
  <c r="J193" i="21"/>
  <c r="O164" i="21"/>
  <c r="P164" i="21"/>
  <c r="M164" i="21"/>
  <c r="P171" i="21"/>
  <c r="O174" i="21"/>
  <c r="P174" i="21"/>
  <c r="J174" i="21"/>
  <c r="O185" i="21"/>
  <c r="P185" i="21"/>
  <c r="J185" i="21"/>
  <c r="O175" i="21"/>
  <c r="P175" i="21"/>
  <c r="J175" i="21"/>
  <c r="P202" i="21"/>
  <c r="O205" i="21"/>
  <c r="P205" i="21"/>
  <c r="J205" i="21"/>
  <c r="J165" i="21"/>
  <c r="J169" i="21"/>
  <c r="J173" i="21"/>
  <c r="O177" i="21"/>
  <c r="P177" i="21"/>
  <c r="J177" i="21"/>
  <c r="O189" i="21"/>
  <c r="P189" i="21"/>
  <c r="J189" i="21"/>
  <c r="O197" i="21"/>
  <c r="Q197" i="21"/>
  <c r="O201" i="21"/>
  <c r="P201" i="21"/>
  <c r="J201" i="21"/>
  <c r="P214" i="21"/>
  <c r="J172" i="21"/>
  <c r="O183" i="21"/>
  <c r="P183" i="21"/>
  <c r="O191" i="21"/>
  <c r="O199" i="21"/>
  <c r="O213" i="21"/>
  <c r="P213" i="21"/>
  <c r="J213" i="21"/>
  <c r="O226" i="21"/>
  <c r="Q226" i="21"/>
  <c r="J226" i="21"/>
  <c r="O230" i="21"/>
  <c r="P230" i="21"/>
  <c r="J230" i="21"/>
  <c r="P233" i="21"/>
  <c r="O238" i="21"/>
  <c r="P238" i="21"/>
  <c r="J238" i="21"/>
  <c r="O244" i="21"/>
  <c r="Q244" i="21"/>
  <c r="M244" i="21"/>
  <c r="J200" i="21"/>
  <c r="J204" i="21"/>
  <c r="J208" i="21"/>
  <c r="J212" i="21"/>
  <c r="O218" i="21"/>
  <c r="P218" i="21"/>
  <c r="J218" i="21"/>
  <c r="P219" i="21"/>
  <c r="O224" i="21"/>
  <c r="J179" i="21"/>
  <c r="J183" i="21"/>
  <c r="J187" i="21"/>
  <c r="J191" i="21"/>
  <c r="J195" i="21"/>
  <c r="J199" i="21"/>
  <c r="J207" i="21"/>
  <c r="J211" i="21"/>
  <c r="O220" i="21"/>
  <c r="P220" i="21"/>
  <c r="O232" i="21"/>
  <c r="Q232" i="21"/>
  <c r="J221" i="21"/>
  <c r="J225" i="21"/>
  <c r="J229" i="21"/>
  <c r="O236" i="21"/>
  <c r="M236" i="21"/>
  <c r="O246" i="21"/>
  <c r="J246" i="21"/>
  <c r="J220" i="21"/>
  <c r="J224" i="21"/>
  <c r="O234" i="21"/>
  <c r="P234" i="21"/>
  <c r="J234" i="21"/>
  <c r="O240" i="21"/>
  <c r="P240" i="21"/>
  <c r="M240" i="21"/>
  <c r="P264" i="21"/>
  <c r="O250" i="21"/>
  <c r="P250" i="21"/>
  <c r="J250" i="21"/>
  <c r="P251" i="21"/>
  <c r="O258" i="21"/>
  <c r="P258" i="21"/>
  <c r="J258" i="21"/>
  <c r="P259" i="21"/>
  <c r="O266" i="21"/>
  <c r="J266" i="21"/>
  <c r="J233" i="21"/>
  <c r="J237" i="21"/>
  <c r="J241" i="21"/>
  <c r="J245" i="21"/>
  <c r="O252" i="21"/>
  <c r="P252" i="21"/>
  <c r="O260" i="21"/>
  <c r="P260" i="21"/>
  <c r="O268" i="21"/>
  <c r="P268" i="21"/>
  <c r="O254" i="21"/>
  <c r="P254" i="21"/>
  <c r="J254" i="21"/>
  <c r="J252" i="21"/>
  <c r="J256" i="21"/>
  <c r="J260" i="21"/>
  <c r="J264" i="21"/>
  <c r="J268" i="21"/>
  <c r="P158" i="21"/>
  <c r="P180" i="21"/>
  <c r="P194" i="21"/>
  <c r="P199" i="21"/>
  <c r="P126" i="21"/>
  <c r="P236" i="21"/>
  <c r="P191" i="21"/>
  <c r="P48" i="21"/>
  <c r="P138" i="21"/>
  <c r="P153" i="21"/>
  <c r="P102" i="21"/>
  <c r="P246" i="21"/>
  <c r="P161" i="21"/>
  <c r="P170" i="21"/>
  <c r="P94" i="21"/>
  <c r="P38" i="21"/>
  <c r="P92" i="21"/>
  <c r="P60" i="21"/>
  <c r="P266" i="21"/>
  <c r="P226" i="21"/>
  <c r="P141" i="21"/>
  <c r="P128" i="21"/>
  <c r="P56" i="21"/>
  <c r="P74" i="21"/>
  <c r="P42" i="21"/>
  <c r="P36" i="21"/>
  <c r="P54" i="21"/>
  <c r="R4" i="22"/>
  <c r="G31" i="21"/>
  <c r="G41" i="21"/>
  <c r="G32" i="21"/>
  <c r="G42" i="21"/>
  <c r="G55" i="21"/>
  <c r="G72" i="21"/>
  <c r="G78" i="21"/>
  <c r="G27" i="21"/>
  <c r="G30" i="21"/>
  <c r="G33" i="21"/>
  <c r="G36" i="21"/>
  <c r="G39" i="21"/>
  <c r="G43" i="21"/>
  <c r="G50" i="21"/>
  <c r="G53" i="21"/>
  <c r="G56" i="21"/>
  <c r="G60" i="21"/>
  <c r="G63" i="21"/>
  <c r="G66" i="21"/>
  <c r="G70" i="21"/>
  <c r="G73" i="21"/>
  <c r="G76" i="21"/>
  <c r="G79" i="21"/>
  <c r="G89" i="21"/>
  <c r="G92" i="21"/>
  <c r="G95" i="21"/>
  <c r="G102" i="21"/>
  <c r="G104" i="21"/>
  <c r="G111" i="21"/>
  <c r="G113" i="21"/>
  <c r="G118" i="21"/>
  <c r="G120" i="21"/>
  <c r="G130" i="21"/>
  <c r="G140" i="21"/>
  <c r="G142" i="21"/>
  <c r="G146" i="21"/>
  <c r="G149" i="21"/>
  <c r="G156" i="21"/>
  <c r="G159" i="21"/>
  <c r="G162" i="21"/>
  <c r="G167" i="21"/>
  <c r="G171" i="21"/>
  <c r="G179" i="21"/>
  <c r="G187" i="21"/>
  <c r="G191" i="21"/>
  <c r="G193" i="21"/>
  <c r="G196" i="21"/>
  <c r="G199" i="21"/>
  <c r="G201" i="21"/>
  <c r="G204" i="21"/>
  <c r="G208" i="21"/>
  <c r="G210" i="21"/>
  <c r="G213" i="21"/>
  <c r="G224" i="21"/>
  <c r="G230" i="21"/>
  <c r="G236" i="21"/>
  <c r="G238" i="21"/>
  <c r="G241" i="21"/>
  <c r="G244" i="21"/>
  <c r="G246" i="21"/>
  <c r="G249" i="21"/>
  <c r="G252" i="21"/>
  <c r="G254" i="21"/>
  <c r="G257" i="21"/>
  <c r="G260" i="21"/>
  <c r="G262" i="21"/>
  <c r="G265" i="21"/>
  <c r="G45" i="21"/>
  <c r="G35" i="21"/>
  <c r="G46" i="21"/>
  <c r="G52" i="21"/>
  <c r="G69" i="21"/>
  <c r="G82" i="21"/>
  <c r="G28" i="21"/>
  <c r="G34" i="21"/>
  <c r="G37" i="21"/>
  <c r="G40" i="21"/>
  <c r="G44" i="21"/>
  <c r="G47" i="21"/>
  <c r="G54" i="21"/>
  <c r="G57" i="21"/>
  <c r="G61" i="21"/>
  <c r="G64" i="21"/>
  <c r="G67" i="21"/>
  <c r="G77" i="21"/>
  <c r="G80" i="21"/>
  <c r="G83" i="21"/>
  <c r="G86" i="21"/>
  <c r="G90" i="21"/>
  <c r="G93" i="21"/>
  <c r="G96" i="21"/>
  <c r="G98" i="21"/>
  <c r="G100" i="21"/>
  <c r="G107" i="21"/>
  <c r="G109" i="21"/>
  <c r="G114" i="21"/>
  <c r="G116" i="21"/>
  <c r="G123" i="21"/>
  <c r="G125" i="21"/>
  <c r="G128" i="21"/>
  <c r="G131" i="21"/>
  <c r="G133" i="21"/>
  <c r="G136" i="21"/>
  <c r="G138" i="21"/>
  <c r="G143" i="21"/>
  <c r="G147" i="21"/>
  <c r="G150" i="21"/>
  <c r="G153" i="21"/>
  <c r="G160" i="21"/>
  <c r="G165" i="21"/>
  <c r="G168" i="21"/>
  <c r="G172" i="21"/>
  <c r="G174" i="21"/>
  <c r="G177" i="21"/>
  <c r="G180" i="21"/>
  <c r="G183" i="21"/>
  <c r="G185" i="21"/>
  <c r="G188" i="21"/>
  <c r="G205" i="21"/>
  <c r="G211" i="21"/>
  <c r="G214" i="21"/>
  <c r="G217" i="21"/>
  <c r="G220" i="21"/>
  <c r="G222" i="21"/>
  <c r="G225" i="21"/>
  <c r="G228" i="21"/>
  <c r="G231" i="21"/>
  <c r="G234" i="21"/>
  <c r="G239" i="21"/>
  <c r="G247" i="21"/>
  <c r="G258" i="21"/>
  <c r="G266" i="21"/>
  <c r="G38" i="21"/>
  <c r="G48" i="21"/>
  <c r="G51" i="21"/>
  <c r="G58" i="21"/>
  <c r="G62" i="21"/>
  <c r="G65" i="21"/>
  <c r="G68" i="21"/>
  <c r="G71" i="21"/>
  <c r="G74" i="21"/>
  <c r="G81" i="21"/>
  <c r="G84" i="21"/>
  <c r="G87" i="21"/>
  <c r="G103" i="21"/>
  <c r="G105" i="21"/>
  <c r="G110" i="21"/>
  <c r="G112" i="21"/>
  <c r="G119" i="21"/>
  <c r="G121" i="21"/>
  <c r="G126" i="21"/>
  <c r="G134" i="21"/>
  <c r="G139" i="21"/>
  <c r="G141" i="21"/>
  <c r="G144" i="21"/>
  <c r="G148" i="21"/>
  <c r="G151" i="21"/>
  <c r="G154" i="21"/>
  <c r="G157" i="21"/>
  <c r="G163" i="21"/>
  <c r="G166" i="21"/>
  <c r="G169" i="21"/>
  <c r="G175" i="21"/>
  <c r="G178" i="21"/>
  <c r="G181" i="21"/>
  <c r="G189" i="21"/>
  <c r="G192" i="21"/>
  <c r="G194" i="21"/>
  <c r="G197" i="21"/>
  <c r="G200" i="21"/>
  <c r="G202" i="21"/>
  <c r="G206" i="21"/>
  <c r="G209" i="21"/>
  <c r="G212" i="21"/>
  <c r="G215" i="21"/>
  <c r="G218" i="21"/>
  <c r="G226" i="21"/>
  <c r="G232" i="21"/>
  <c r="G237" i="21"/>
  <c r="G240" i="21"/>
  <c r="G242" i="21"/>
  <c r="G245" i="21"/>
  <c r="G248" i="21"/>
  <c r="G250" i="21"/>
  <c r="G253" i="21"/>
  <c r="G255" i="21"/>
  <c r="G259" i="21"/>
  <c r="G261" i="21"/>
  <c r="G263" i="21"/>
  <c r="G267" i="21"/>
  <c r="G29" i="21"/>
  <c r="G49" i="21"/>
  <c r="G59" i="21"/>
  <c r="G75" i="21"/>
  <c r="G85" i="21"/>
  <c r="G88" i="21"/>
  <c r="G91" i="21"/>
  <c r="G94" i="21"/>
  <c r="G97" i="21"/>
  <c r="G99" i="21"/>
  <c r="G101" i="21"/>
  <c r="G106" i="21"/>
  <c r="G108" i="21"/>
  <c r="G115" i="21"/>
  <c r="G117" i="21"/>
  <c r="G122" i="21"/>
  <c r="G124" i="21"/>
  <c r="G127" i="21"/>
  <c r="G129" i="21"/>
  <c r="G132" i="21"/>
  <c r="G135" i="21"/>
  <c r="G137" i="21"/>
  <c r="G145" i="21"/>
  <c r="G152" i="21"/>
  <c r="G155" i="21"/>
  <c r="G158" i="21"/>
  <c r="G161" i="21"/>
  <c r="G164" i="21"/>
  <c r="G170" i="21"/>
  <c r="G173" i="21"/>
  <c r="G176" i="21"/>
  <c r="G182" i="21"/>
  <c r="G184" i="21"/>
  <c r="G186" i="21"/>
  <c r="G190" i="21"/>
  <c r="G195" i="21"/>
  <c r="G198" i="21"/>
  <c r="G203" i="21"/>
  <c r="G207" i="21"/>
  <c r="G216" i="21"/>
  <c r="G219" i="21"/>
  <c r="G221" i="21"/>
  <c r="G223" i="21"/>
  <c r="G227" i="21"/>
  <c r="G229" i="21"/>
  <c r="G233" i="21"/>
  <c r="G235" i="21"/>
  <c r="G243" i="21"/>
  <c r="G251" i="21"/>
  <c r="G256" i="21"/>
  <c r="G264" i="21"/>
  <c r="G268" i="21"/>
  <c r="Q186" i="21"/>
  <c r="Q48" i="21"/>
  <c r="Q266" i="21"/>
  <c r="Q225" i="21"/>
  <c r="Q214" i="21"/>
  <c r="Q185" i="21"/>
  <c r="Q180" i="21"/>
  <c r="Q174" i="21"/>
  <c r="Q138" i="21"/>
  <c r="Q133" i="21"/>
  <c r="Q128" i="21"/>
  <c r="Q123" i="21"/>
  <c r="Q100" i="21"/>
  <c r="Q90" i="21"/>
  <c r="Q83" i="21"/>
  <c r="Q77" i="21"/>
  <c r="Q54" i="21"/>
  <c r="Q82" i="21"/>
  <c r="Q35" i="21"/>
  <c r="Q254" i="21"/>
  <c r="Q238" i="21"/>
  <c r="Q213" i="21"/>
  <c r="Q208" i="21"/>
  <c r="Q201" i="21"/>
  <c r="Q196" i="21"/>
  <c r="Q191" i="21"/>
  <c r="Q179" i="21"/>
  <c r="Q167" i="21"/>
  <c r="Q149" i="21"/>
  <c r="Q118" i="21"/>
  <c r="Q102" i="21"/>
  <c r="Q92" i="21"/>
  <c r="Q76" i="21"/>
  <c r="Q70" i="21"/>
  <c r="Q63" i="21"/>
  <c r="Q56" i="21"/>
  <c r="Q50" i="21"/>
  <c r="Q39" i="21"/>
  <c r="Q33" i="21"/>
  <c r="Q27" i="21"/>
  <c r="Q42" i="21"/>
  <c r="Q251" i="21"/>
  <c r="Q233" i="21"/>
  <c r="Q198" i="21"/>
  <c r="Q164" i="21"/>
  <c r="Q129" i="21"/>
  <c r="Q108" i="21"/>
  <c r="Q101" i="21"/>
  <c r="Q97" i="21"/>
  <c r="Q91" i="21"/>
  <c r="Q85" i="21"/>
  <c r="Q59" i="21"/>
  <c r="Q261" i="21"/>
  <c r="Q245" i="21"/>
  <c r="Q240" i="21"/>
  <c r="Q218" i="21"/>
  <c r="Q212" i="21"/>
  <c r="Q206" i="21"/>
  <c r="Q194" i="21"/>
  <c r="Q189" i="21"/>
  <c r="Q178" i="21"/>
  <c r="Q169" i="21"/>
  <c r="Q163" i="21"/>
  <c r="Q141" i="21"/>
  <c r="Q134" i="21"/>
  <c r="Q121" i="21"/>
  <c r="Q112" i="21"/>
  <c r="Q105" i="21"/>
  <c r="Q74" i="21"/>
  <c r="Q68" i="21"/>
  <c r="Q62" i="21"/>
  <c r="Q205" i="21"/>
  <c r="Q160" i="21"/>
  <c r="Q114" i="21"/>
  <c r="Q107" i="21"/>
  <c r="Q44" i="21"/>
  <c r="Q190" i="21"/>
  <c r="Q184" i="21"/>
  <c r="T6" i="21"/>
  <c r="T10" i="21"/>
  <c r="T7" i="21"/>
  <c r="T4" i="21"/>
  <c r="T3" i="21"/>
  <c r="T5" i="21"/>
  <c r="T8" i="21"/>
  <c r="T9" i="21"/>
  <c r="Q81" i="21"/>
  <c r="Q38" i="21"/>
  <c r="Q234" i="21"/>
  <c r="Q217" i="21"/>
  <c r="Q188" i="21"/>
  <c r="Q183" i="21"/>
  <c r="Q165" i="21"/>
  <c r="Q136" i="21"/>
  <c r="Q131" i="21"/>
  <c r="Q93" i="21"/>
  <c r="Q86" i="21"/>
  <c r="Q64" i="21"/>
  <c r="Q57" i="21"/>
  <c r="Q257" i="21"/>
  <c r="Q246" i="21"/>
  <c r="Q241" i="21"/>
  <c r="Q236" i="21"/>
  <c r="Q224" i="21"/>
  <c r="Q210" i="21"/>
  <c r="Q204" i="21"/>
  <c r="Q199" i="21"/>
  <c r="Q193" i="21"/>
  <c r="Q171" i="21"/>
  <c r="Q146" i="21"/>
  <c r="Q140" i="21"/>
  <c r="Q113" i="21"/>
  <c r="Q104" i="21"/>
  <c r="Q95" i="21"/>
  <c r="Q89" i="21"/>
  <c r="Q79" i="21"/>
  <c r="Q60" i="21"/>
  <c r="Q53" i="21"/>
  <c r="Q43" i="21"/>
  <c r="Q36" i="21"/>
  <c r="Q55" i="21"/>
  <c r="Q32" i="21"/>
  <c r="Q31" i="21"/>
  <c r="Q229" i="21"/>
  <c r="Q219" i="21"/>
  <c r="Q195" i="21"/>
  <c r="Q170" i="21"/>
  <c r="Q161" i="21"/>
  <c r="Q155" i="21"/>
  <c r="Q137" i="21"/>
  <c r="Q132" i="21"/>
  <c r="Q106" i="21"/>
  <c r="Q94" i="21"/>
  <c r="Q75" i="21"/>
  <c r="Q49" i="21"/>
  <c r="Q29" i="21"/>
  <c r="Q259" i="21"/>
  <c r="Q253" i="21"/>
  <c r="Q237" i="21"/>
  <c r="Q202" i="21"/>
  <c r="Q166" i="21"/>
  <c r="Q157" i="21"/>
  <c r="Q126" i="21"/>
  <c r="Q119" i="21"/>
  <c r="Q110" i="21"/>
  <c r="Q71" i="21"/>
  <c r="Q258" i="21"/>
  <c r="Q247" i="21"/>
  <c r="Q153" i="21"/>
  <c r="Q109" i="21"/>
  <c r="Q47" i="21"/>
  <c r="Q40" i="21"/>
  <c r="Q34" i="21"/>
  <c r="M33" i="18"/>
  <c r="M39" i="18"/>
  <c r="M41" i="18"/>
  <c r="M43" i="18"/>
  <c r="M54" i="18"/>
  <c r="M58" i="18"/>
  <c r="M60" i="18"/>
  <c r="M63" i="18"/>
  <c r="M64" i="18"/>
  <c r="M66" i="18"/>
  <c r="M72" i="18"/>
  <c r="M78" i="18"/>
  <c r="M80" i="18"/>
  <c r="M83" i="18"/>
  <c r="M89" i="18"/>
  <c r="M98" i="18"/>
  <c r="M100" i="18"/>
  <c r="M108" i="18"/>
  <c r="M109" i="18"/>
  <c r="M117" i="18"/>
  <c r="M119" i="18"/>
  <c r="M125" i="18"/>
  <c r="M135" i="18"/>
  <c r="M136" i="18"/>
  <c r="M139" i="18"/>
  <c r="M148" i="18"/>
  <c r="M152" i="18"/>
  <c r="M155" i="18"/>
  <c r="M156" i="18"/>
  <c r="M160" i="18"/>
  <c r="M162" i="18"/>
  <c r="M165" i="18"/>
  <c r="M172" i="18"/>
  <c r="M177" i="18"/>
  <c r="M180" i="18"/>
  <c r="M184" i="18"/>
  <c r="M185" i="18"/>
  <c r="M186" i="18"/>
  <c r="M188" i="18"/>
  <c r="M192" i="18"/>
  <c r="M200" i="18"/>
  <c r="M202" i="18"/>
  <c r="M207" i="18"/>
  <c r="M212" i="18"/>
  <c r="M213" i="18"/>
  <c r="M220" i="18"/>
  <c r="M225" i="18"/>
  <c r="M226" i="18"/>
  <c r="M228" i="18"/>
  <c r="M229" i="18"/>
  <c r="M250" i="18"/>
  <c r="M258" i="18"/>
  <c r="J28" i="18"/>
  <c r="J36" i="18"/>
  <c r="J66" i="18"/>
  <c r="J73" i="18"/>
  <c r="J81" i="18"/>
  <c r="J89" i="18"/>
  <c r="J108" i="18"/>
  <c r="J122" i="18"/>
  <c r="J170" i="18"/>
  <c r="O178" i="18"/>
  <c r="P178" i="18"/>
  <c r="J209" i="18"/>
  <c r="J217" i="18"/>
  <c r="J249" i="18"/>
  <c r="J261" i="18"/>
  <c r="J265" i="18"/>
  <c r="M26" i="18"/>
  <c r="G69" i="18"/>
  <c r="G85" i="18"/>
  <c r="G266" i="18"/>
  <c r="G254" i="18"/>
  <c r="G252" i="18"/>
  <c r="G251" i="18"/>
  <c r="G247" i="18"/>
  <c r="G237" i="18"/>
  <c r="G218" i="18"/>
  <c r="G215" i="18"/>
  <c r="G214" i="18"/>
  <c r="G210" i="18"/>
  <c r="G202" i="18"/>
  <c r="G190" i="18"/>
  <c r="G185" i="18"/>
  <c r="G174" i="18"/>
  <c r="G173" i="18"/>
  <c r="G170" i="18"/>
  <c r="G167" i="18"/>
  <c r="G154" i="18"/>
  <c r="G146" i="18"/>
  <c r="G126" i="18"/>
  <c r="G122" i="18"/>
  <c r="G110" i="18"/>
  <c r="G108" i="18"/>
  <c r="G57" i="18"/>
  <c r="G29" i="18"/>
  <c r="G49" i="18"/>
  <c r="G196" i="18"/>
  <c r="G212" i="18"/>
  <c r="G145" i="18"/>
  <c r="G37" i="18"/>
  <c r="G31" i="18"/>
  <c r="G111" i="18"/>
  <c r="G143" i="18"/>
  <c r="G44" i="18"/>
  <c r="G46" i="18"/>
  <c r="G48" i="18"/>
  <c r="G64" i="18"/>
  <c r="G65" i="18"/>
  <c r="G75" i="18"/>
  <c r="G91" i="18"/>
  <c r="G93" i="18"/>
  <c r="G121" i="18"/>
  <c r="G133" i="18"/>
  <c r="G140" i="18"/>
  <c r="G141" i="18"/>
  <c r="G149" i="18"/>
  <c r="G151" i="18"/>
  <c r="G70" i="18"/>
  <c r="G125" i="18"/>
  <c r="G132" i="18"/>
  <c r="G28" i="18"/>
  <c r="G60" i="18"/>
  <c r="G68" i="18"/>
  <c r="G76" i="18"/>
  <c r="G103" i="18"/>
  <c r="G97" i="18"/>
  <c r="G61" i="18"/>
  <c r="O40" i="18"/>
  <c r="P40" i="18"/>
  <c r="J124" i="18"/>
  <c r="O114" i="18"/>
  <c r="P114" i="18"/>
  <c r="O162" i="18"/>
  <c r="Q162" i="18"/>
  <c r="J138" i="18"/>
  <c r="J90" i="18"/>
  <c r="J50" i="18"/>
  <c r="J34" i="18"/>
  <c r="J239" i="18"/>
  <c r="O239" i="18"/>
  <c r="P239" i="18"/>
  <c r="J192" i="18"/>
  <c r="O192" i="18"/>
  <c r="J142" i="18"/>
  <c r="J95" i="18"/>
  <c r="J45" i="18"/>
  <c r="J37" i="18"/>
  <c r="O37" i="18"/>
  <c r="J29" i="18"/>
  <c r="J234" i="18"/>
  <c r="O234" i="18"/>
  <c r="P234" i="18"/>
  <c r="J210" i="18"/>
  <c r="J155" i="18"/>
  <c r="J141" i="18"/>
  <c r="J131" i="18"/>
  <c r="O131" i="18"/>
  <c r="J128" i="18"/>
  <c r="J112" i="18"/>
  <c r="J101" i="18"/>
  <c r="J87" i="18"/>
  <c r="J63" i="18"/>
  <c r="O63" i="18"/>
  <c r="O229" i="18"/>
  <c r="J223" i="18"/>
  <c r="J211" i="18"/>
  <c r="J199" i="18"/>
  <c r="J167" i="18"/>
  <c r="J91" i="18"/>
  <c r="J61" i="18"/>
  <c r="O61" i="18"/>
  <c r="P61" i="18"/>
  <c r="J158" i="18"/>
  <c r="J154" i="18"/>
  <c r="J133" i="18"/>
  <c r="J114" i="18"/>
  <c r="J86" i="18"/>
  <c r="J82" i="18"/>
  <c r="J75" i="18"/>
  <c r="O75" i="18"/>
  <c r="J69" i="18"/>
  <c r="O69" i="18"/>
  <c r="O165" i="18"/>
  <c r="P165" i="18"/>
  <c r="J77" i="18"/>
  <c r="J64" i="18"/>
  <c r="J51" i="18"/>
  <c r="J252" i="18"/>
  <c r="J216" i="18"/>
  <c r="J189" i="18"/>
  <c r="J175" i="18"/>
  <c r="J171" i="18"/>
  <c r="J157" i="18"/>
  <c r="J143" i="18"/>
  <c r="J136" i="18"/>
  <c r="J123" i="18"/>
  <c r="J120" i="18"/>
  <c r="J106" i="18"/>
  <c r="J96" i="18"/>
  <c r="O78" i="18"/>
  <c r="P78" i="18"/>
  <c r="J71" i="18"/>
  <c r="J55" i="18"/>
  <c r="J40" i="18"/>
  <c r="J35" i="18"/>
  <c r="J32" i="18"/>
  <c r="J27" i="18"/>
  <c r="O76" i="18"/>
  <c r="P76" i="18"/>
  <c r="R4" i="19"/>
  <c r="Z19" i="18"/>
  <c r="U18" i="18"/>
  <c r="E10" i="18"/>
  <c r="E11" i="18"/>
  <c r="Z24" i="18"/>
  <c r="R19" i="4"/>
  <c r="R24" i="4"/>
  <c r="M18" i="4"/>
  <c r="Q6" i="4"/>
  <c r="Q4" i="4"/>
  <c r="J178" i="18"/>
  <c r="T11" i="21"/>
  <c r="Q250" i="21"/>
  <c r="Q264" i="21"/>
  <c r="G26" i="21"/>
  <c r="Q158" i="21"/>
  <c r="Q268" i="21"/>
  <c r="J235" i="21"/>
  <c r="O235" i="21"/>
  <c r="O159" i="21"/>
  <c r="P159" i="21"/>
  <c r="J159" i="21"/>
  <c r="J148" i="21"/>
  <c r="O148" i="21"/>
  <c r="Q148" i="21"/>
  <c r="P73" i="21"/>
  <c r="O215" i="21"/>
  <c r="P215" i="21"/>
  <c r="J215" i="21"/>
  <c r="J151" i="21"/>
  <c r="O151" i="21"/>
  <c r="J135" i="21"/>
  <c r="O135" i="21"/>
  <c r="P135" i="21"/>
  <c r="O249" i="21"/>
  <c r="P235" i="21"/>
  <c r="Q235" i="21"/>
  <c r="Q159" i="21"/>
  <c r="Q46" i="21"/>
  <c r="Q230" i="21"/>
  <c r="P66" i="21"/>
  <c r="P267" i="21"/>
  <c r="P172" i="21"/>
  <c r="P32" i="21"/>
  <c r="P116" i="21"/>
  <c r="P134" i="21"/>
  <c r="P165" i="21"/>
  <c r="P224" i="21"/>
  <c r="P245" i="21"/>
  <c r="Q175" i="21"/>
  <c r="Q177" i="21"/>
  <c r="P98" i="21"/>
  <c r="P109" i="21"/>
  <c r="P121" i="21"/>
  <c r="P140" i="21"/>
  <c r="P152" i="21"/>
  <c r="P163" i="21"/>
  <c r="Q211" i="21"/>
  <c r="Q182" i="21"/>
  <c r="P105" i="21"/>
  <c r="P114" i="21"/>
  <c r="P132" i="21"/>
  <c r="P136" i="21"/>
  <c r="P84" i="21"/>
  <c r="P125" i="21"/>
  <c r="P217" i="21"/>
  <c r="P69" i="21"/>
  <c r="P173" i="21"/>
  <c r="P115" i="21"/>
  <c r="P188" i="21"/>
  <c r="P131" i="21"/>
  <c r="N24" i="21"/>
  <c r="P151" i="21"/>
  <c r="P232" i="21"/>
  <c r="P41" i="21"/>
  <c r="P59" i="21"/>
  <c r="P99" i="21"/>
  <c r="P119" i="21"/>
  <c r="P87" i="21"/>
  <c r="P247" i="21"/>
  <c r="P95" i="21"/>
  <c r="G24" i="21"/>
  <c r="E15" i="21"/>
  <c r="E16" i="21"/>
  <c r="E14" i="21"/>
  <c r="P148" i="21"/>
  <c r="Q135" i="21"/>
  <c r="P101" i="21"/>
  <c r="Q26" i="21"/>
  <c r="Q151" i="21"/>
  <c r="P147" i="21"/>
  <c r="P61" i="21"/>
  <c r="P91" i="21"/>
  <c r="P239" i="21"/>
  <c r="P83" i="21"/>
  <c r="Q263" i="21"/>
  <c r="P263" i="21"/>
  <c r="Q209" i="21"/>
  <c r="P209" i="21"/>
  <c r="Q111" i="21"/>
  <c r="P111" i="21"/>
  <c r="P103" i="21"/>
  <c r="Q103" i="21"/>
  <c r="Q262" i="21"/>
  <c r="P262" i="21"/>
  <c r="Q231" i="21"/>
  <c r="P231" i="21"/>
  <c r="Q216" i="21"/>
  <c r="P216" i="21"/>
  <c r="Q192" i="21"/>
  <c r="P192" i="21"/>
  <c r="Q156" i="21"/>
  <c r="P156" i="21"/>
  <c r="Q215" i="21"/>
  <c r="P26" i="21"/>
  <c r="Q222" i="21"/>
  <c r="P222" i="21"/>
  <c r="P207" i="21"/>
  <c r="Q207" i="21"/>
  <c r="P162" i="21"/>
  <c r="Q162" i="21"/>
  <c r="Q124" i="21"/>
  <c r="P124" i="21"/>
  <c r="P45" i="21"/>
  <c r="Q45" i="21"/>
  <c r="P228" i="21"/>
  <c r="Q228" i="21"/>
  <c r="P249" i="21"/>
  <c r="Q249" i="21"/>
  <c r="P227" i="21"/>
  <c r="Q227" i="21"/>
  <c r="Q176" i="21"/>
  <c r="P176" i="21"/>
  <c r="P168" i="21"/>
  <c r="Q168" i="21"/>
  <c r="Q130" i="21"/>
  <c r="P130" i="21"/>
  <c r="Q242" i="21"/>
  <c r="P242" i="21"/>
  <c r="Q203" i="21"/>
  <c r="P203" i="21"/>
  <c r="Q187" i="21"/>
  <c r="P187" i="21"/>
  <c r="P65" i="21"/>
  <c r="Q65" i="21"/>
  <c r="Q256" i="21"/>
  <c r="P256" i="21"/>
  <c r="P248" i="21"/>
  <c r="Q248" i="21"/>
  <c r="P181" i="21"/>
  <c r="Q181" i="21"/>
  <c r="P150" i="21"/>
  <c r="Q150" i="21"/>
  <c r="Q96" i="21"/>
  <c r="P96" i="21"/>
  <c r="Q80" i="21"/>
  <c r="P80" i="21"/>
  <c r="P72" i="21"/>
  <c r="Q72" i="21"/>
  <c r="Q30" i="21"/>
  <c r="Q69" i="21"/>
  <c r="Q125" i="21"/>
  <c r="Q87" i="21"/>
  <c r="Q145" i="21"/>
  <c r="P197" i="21"/>
  <c r="J262" i="21"/>
  <c r="J228" i="21"/>
  <c r="P244" i="21"/>
  <c r="O143" i="21"/>
  <c r="P120" i="21"/>
  <c r="P88" i="21"/>
  <c r="P58" i="21"/>
  <c r="P52" i="21"/>
  <c r="P51" i="21"/>
  <c r="P200" i="21"/>
  <c r="P37" i="21"/>
  <c r="P265" i="21"/>
  <c r="P144" i="21"/>
  <c r="J103" i="21"/>
  <c r="M26" i="21"/>
  <c r="M24" i="21"/>
  <c r="J192" i="21"/>
  <c r="J162" i="21"/>
  <c r="J156" i="21"/>
  <c r="J150" i="21"/>
  <c r="J124" i="21"/>
  <c r="J65" i="21"/>
  <c r="J45" i="21"/>
  <c r="Q147" i="21"/>
  <c r="Q61" i="21"/>
  <c r="Q220" i="21"/>
  <c r="P154" i="21"/>
  <c r="J248" i="21"/>
  <c r="J168" i="21"/>
  <c r="P139" i="21"/>
  <c r="J80" i="21"/>
  <c r="O117" i="21"/>
  <c r="J111" i="21"/>
  <c r="O223" i="21"/>
  <c r="Q252" i="21"/>
  <c r="P122" i="21"/>
  <c r="P142" i="21"/>
  <c r="J216" i="21"/>
  <c r="P243" i="21"/>
  <c r="Q239" i="21"/>
  <c r="Q260" i="21"/>
  <c r="J242" i="21"/>
  <c r="J203" i="21"/>
  <c r="J72" i="21"/>
  <c r="J176" i="21"/>
  <c r="Q221" i="21"/>
  <c r="P78" i="21"/>
  <c r="J181" i="21"/>
  <c r="J130" i="21"/>
  <c r="J96" i="21"/>
  <c r="O255" i="21"/>
  <c r="J263" i="21"/>
  <c r="J222" i="21"/>
  <c r="J209" i="21"/>
  <c r="Q41" i="21"/>
  <c r="G118" i="18"/>
  <c r="G92" i="18"/>
  <c r="J31" i="18"/>
  <c r="M256" i="18"/>
  <c r="G41" i="18"/>
  <c r="G169" i="18"/>
  <c r="G62" i="18"/>
  <c r="J186" i="18"/>
  <c r="G235" i="18"/>
  <c r="G53" i="18"/>
  <c r="G175" i="18"/>
  <c r="E14" i="18"/>
  <c r="E16" i="18"/>
  <c r="E15" i="18"/>
  <c r="H250" i="1"/>
  <c r="I33" i="1"/>
  <c r="L33" i="1"/>
  <c r="I9" i="1"/>
  <c r="I248" i="1"/>
  <c r="L248" i="1"/>
  <c r="H244" i="1"/>
  <c r="I244" i="1"/>
  <c r="I240" i="1"/>
  <c r="L240" i="1"/>
  <c r="H236" i="1"/>
  <c r="I236" i="1"/>
  <c r="I232" i="1"/>
  <c r="L232" i="1"/>
  <c r="H228" i="1"/>
  <c r="I228" i="1"/>
  <c r="L228" i="1"/>
  <c r="I224" i="1"/>
  <c r="H220" i="1"/>
  <c r="I220" i="1"/>
  <c r="I216" i="1"/>
  <c r="L216" i="1"/>
  <c r="H212" i="1"/>
  <c r="I212" i="1"/>
  <c r="I208" i="1"/>
  <c r="L208" i="1"/>
  <c r="H204" i="1"/>
  <c r="I204" i="1"/>
  <c r="I200" i="1"/>
  <c r="L200" i="1"/>
  <c r="H196" i="1"/>
  <c r="I196" i="1"/>
  <c r="L196" i="1"/>
  <c r="I192" i="1"/>
  <c r="H188" i="1"/>
  <c r="I188" i="1"/>
  <c r="I184" i="1"/>
  <c r="L184" i="1"/>
  <c r="H180" i="1"/>
  <c r="I180" i="1"/>
  <c r="I176" i="1"/>
  <c r="L176" i="1"/>
  <c r="H172" i="1"/>
  <c r="I172" i="1"/>
  <c r="I168" i="1"/>
  <c r="L168" i="1"/>
  <c r="H164" i="1"/>
  <c r="I164" i="1"/>
  <c r="L164" i="1"/>
  <c r="I160" i="1"/>
  <c r="L160" i="1"/>
  <c r="H156" i="1"/>
  <c r="I156" i="1"/>
  <c r="I152" i="1"/>
  <c r="L152" i="1"/>
  <c r="H148" i="1"/>
  <c r="I148" i="1"/>
  <c r="I144" i="1"/>
  <c r="L144" i="1"/>
  <c r="H140" i="1"/>
  <c r="I140" i="1"/>
  <c r="I136" i="1"/>
  <c r="H132" i="1"/>
  <c r="I132" i="1"/>
  <c r="L132" i="1"/>
  <c r="I128" i="1"/>
  <c r="L128" i="1"/>
  <c r="H124" i="1"/>
  <c r="I124" i="1"/>
  <c r="I120" i="1"/>
  <c r="L120" i="1"/>
  <c r="H116" i="1"/>
  <c r="I116" i="1"/>
  <c r="I112" i="1"/>
  <c r="L112" i="1"/>
  <c r="H108" i="1"/>
  <c r="I108" i="1"/>
  <c r="I104" i="1"/>
  <c r="L104" i="1"/>
  <c r="H100" i="1"/>
  <c r="I100" i="1"/>
  <c r="L100" i="1"/>
  <c r="I96" i="1"/>
  <c r="H92" i="1"/>
  <c r="I92" i="1"/>
  <c r="I88" i="1"/>
  <c r="L88" i="1"/>
  <c r="H84" i="1"/>
  <c r="I84" i="1"/>
  <c r="I80" i="1"/>
  <c r="L80" i="1"/>
  <c r="H76" i="1"/>
  <c r="I76" i="1"/>
  <c r="I72" i="1"/>
  <c r="L72" i="1"/>
  <c r="H68" i="1"/>
  <c r="I68" i="1"/>
  <c r="L68" i="1"/>
  <c r="I64" i="1"/>
  <c r="H60" i="1"/>
  <c r="I60" i="1"/>
  <c r="I56" i="1"/>
  <c r="L56" i="1"/>
  <c r="H52" i="1"/>
  <c r="I52" i="1"/>
  <c r="I48" i="1"/>
  <c r="L48" i="1"/>
  <c r="H44" i="1"/>
  <c r="I44" i="1"/>
  <c r="I40" i="1"/>
  <c r="L40" i="1"/>
  <c r="H36" i="1"/>
  <c r="I36" i="1"/>
  <c r="L36" i="1"/>
  <c r="I32" i="1"/>
  <c r="H28" i="1"/>
  <c r="I28" i="1"/>
  <c r="H20" i="1"/>
  <c r="I20" i="1"/>
  <c r="L20" i="1"/>
  <c r="H12" i="1"/>
  <c r="I65" i="1"/>
  <c r="L65" i="1"/>
  <c r="I25" i="1"/>
  <c r="I49" i="1"/>
  <c r="L49" i="1"/>
  <c r="I17" i="1"/>
  <c r="L17" i="1"/>
  <c r="I57" i="1"/>
  <c r="I41" i="1"/>
  <c r="I247" i="1"/>
  <c r="I231" i="1"/>
  <c r="L231" i="1"/>
  <c r="I211" i="1"/>
  <c r="I199" i="1"/>
  <c r="I187" i="1"/>
  <c r="L187" i="1"/>
  <c r="I167" i="1"/>
  <c r="I155" i="1"/>
  <c r="L155" i="1"/>
  <c r="I143" i="1"/>
  <c r="L143" i="1"/>
  <c r="I123" i="1"/>
  <c r="I111" i="1"/>
  <c r="L111" i="1"/>
  <c r="I99" i="1"/>
  <c r="I87" i="1"/>
  <c r="L87" i="1"/>
  <c r="I71" i="1"/>
  <c r="L71" i="1"/>
  <c r="I59" i="1"/>
  <c r="L59" i="1"/>
  <c r="I43" i="1"/>
  <c r="L43" i="1"/>
  <c r="I31" i="1"/>
  <c r="L31" i="1"/>
  <c r="I15" i="1"/>
  <c r="I7" i="1"/>
  <c r="L7" i="1"/>
  <c r="H254" i="1"/>
  <c r="I239" i="1"/>
  <c r="L239" i="1"/>
  <c r="I235" i="1"/>
  <c r="L235" i="1"/>
  <c r="I223" i="1"/>
  <c r="I215" i="1"/>
  <c r="I207" i="1"/>
  <c r="L207" i="1"/>
  <c r="I191" i="1"/>
  <c r="I183" i="1"/>
  <c r="L183" i="1"/>
  <c r="I171" i="1"/>
  <c r="I163" i="1"/>
  <c r="L163" i="1"/>
  <c r="I151" i="1"/>
  <c r="L151" i="1"/>
  <c r="I135" i="1"/>
  <c r="I127" i="1"/>
  <c r="L127" i="1"/>
  <c r="I115" i="1"/>
  <c r="L115" i="1"/>
  <c r="I95" i="1"/>
  <c r="L95" i="1"/>
  <c r="I79" i="1"/>
  <c r="L79" i="1"/>
  <c r="I75" i="1"/>
  <c r="I55" i="1"/>
  <c r="L55" i="1"/>
  <c r="I47" i="1"/>
  <c r="L47" i="1"/>
  <c r="I35" i="1"/>
  <c r="I23" i="1"/>
  <c r="H246" i="1"/>
  <c r="I246" i="1"/>
  <c r="L246" i="1"/>
  <c r="H238" i="1"/>
  <c r="H230" i="1"/>
  <c r="I230" i="1"/>
  <c r="L230" i="1"/>
  <c r="H222" i="1"/>
  <c r="H214" i="1"/>
  <c r="I214" i="1"/>
  <c r="L214" i="1"/>
  <c r="H206" i="1"/>
  <c r="I206" i="1"/>
  <c r="L206" i="1"/>
  <c r="H198" i="1"/>
  <c r="I198" i="1"/>
  <c r="L198" i="1"/>
  <c r="H190" i="1"/>
  <c r="H182" i="1"/>
  <c r="I182" i="1"/>
  <c r="L182" i="1"/>
  <c r="H174" i="1"/>
  <c r="H166" i="1"/>
  <c r="I166" i="1"/>
  <c r="L166" i="1"/>
  <c r="H158" i="1"/>
  <c r="H150" i="1"/>
  <c r="I150" i="1"/>
  <c r="L150" i="1"/>
  <c r="H142" i="1"/>
  <c r="I142" i="1"/>
  <c r="L142" i="1"/>
  <c r="H134" i="1"/>
  <c r="I134" i="1"/>
  <c r="L134" i="1"/>
  <c r="H126" i="1"/>
  <c r="H118" i="1"/>
  <c r="I118" i="1"/>
  <c r="L118" i="1"/>
  <c r="H110" i="1"/>
  <c r="H102" i="1"/>
  <c r="I102" i="1"/>
  <c r="L102" i="1"/>
  <c r="H94" i="1"/>
  <c r="I94" i="1"/>
  <c r="L94" i="1"/>
  <c r="H86" i="1"/>
  <c r="I86" i="1"/>
  <c r="L86" i="1"/>
  <c r="H78" i="1"/>
  <c r="I78" i="1"/>
  <c r="L78" i="1"/>
  <c r="H70" i="1"/>
  <c r="I70" i="1"/>
  <c r="L70" i="1"/>
  <c r="H62" i="1"/>
  <c r="H54" i="1"/>
  <c r="I54" i="1"/>
  <c r="L54" i="1"/>
  <c r="H46" i="1"/>
  <c r="H38" i="1"/>
  <c r="I38" i="1"/>
  <c r="L38" i="1"/>
  <c r="H30" i="1"/>
  <c r="H22" i="1"/>
  <c r="I22" i="1"/>
  <c r="L22" i="1"/>
  <c r="H14" i="1"/>
  <c r="I14" i="1"/>
  <c r="L14" i="1"/>
  <c r="I243" i="1"/>
  <c r="L243" i="1"/>
  <c r="I227" i="1"/>
  <c r="I219" i="1"/>
  <c r="I203" i="1"/>
  <c r="I195" i="1"/>
  <c r="L195" i="1"/>
  <c r="I179" i="1"/>
  <c r="I175" i="1"/>
  <c r="L175" i="1"/>
  <c r="I159" i="1"/>
  <c r="L159" i="1"/>
  <c r="I147" i="1"/>
  <c r="I139" i="1"/>
  <c r="I131" i="1"/>
  <c r="L131" i="1"/>
  <c r="I119" i="1"/>
  <c r="L119" i="1"/>
  <c r="I107" i="1"/>
  <c r="L107" i="1"/>
  <c r="I103" i="1"/>
  <c r="I91" i="1"/>
  <c r="L91" i="1"/>
  <c r="I83" i="1"/>
  <c r="L83" i="1"/>
  <c r="I67" i="1"/>
  <c r="I63" i="1"/>
  <c r="L63" i="1"/>
  <c r="I51" i="1"/>
  <c r="L51" i="1"/>
  <c r="I39" i="1"/>
  <c r="I27" i="1"/>
  <c r="L27" i="1"/>
  <c r="I19" i="1"/>
  <c r="I11" i="1"/>
  <c r="L11" i="1"/>
  <c r="H252" i="1"/>
  <c r="I252" i="1"/>
  <c r="J7" i="4"/>
  <c r="I242" i="1"/>
  <c r="L242" i="1"/>
  <c r="I238" i="1"/>
  <c r="L238" i="1"/>
  <c r="I234" i="1"/>
  <c r="L234" i="1"/>
  <c r="I226" i="1"/>
  <c r="I222" i="1"/>
  <c r="L222" i="1"/>
  <c r="I218" i="1"/>
  <c r="L218" i="1"/>
  <c r="I210" i="1"/>
  <c r="L210" i="1"/>
  <c r="I202" i="1"/>
  <c r="L202" i="1"/>
  <c r="I194" i="1"/>
  <c r="I190" i="1"/>
  <c r="L190" i="1"/>
  <c r="I186" i="1"/>
  <c r="L186" i="1"/>
  <c r="I178" i="1"/>
  <c r="L178" i="1"/>
  <c r="I174" i="1"/>
  <c r="L174" i="1"/>
  <c r="I170" i="1"/>
  <c r="L170" i="1"/>
  <c r="I162" i="1"/>
  <c r="I158" i="1"/>
  <c r="L158" i="1"/>
  <c r="I154" i="1"/>
  <c r="I146" i="1"/>
  <c r="L146" i="1"/>
  <c r="I138" i="1"/>
  <c r="I130" i="1"/>
  <c r="L130" i="1"/>
  <c r="I126" i="1"/>
  <c r="L126" i="1"/>
  <c r="I122" i="1"/>
  <c r="I114" i="1"/>
  <c r="I110" i="1"/>
  <c r="L110" i="1"/>
  <c r="I106" i="1"/>
  <c r="I98" i="1"/>
  <c r="L98" i="1"/>
  <c r="I90" i="1"/>
  <c r="L90" i="1"/>
  <c r="I82" i="1"/>
  <c r="L82" i="1"/>
  <c r="I74" i="1"/>
  <c r="L74" i="1"/>
  <c r="I66" i="1"/>
  <c r="L66" i="1"/>
  <c r="I62" i="1"/>
  <c r="L62" i="1"/>
  <c r="I58" i="1"/>
  <c r="L58" i="1"/>
  <c r="I50" i="1"/>
  <c r="L50" i="1"/>
  <c r="I46" i="1"/>
  <c r="L46" i="1"/>
  <c r="I42" i="1"/>
  <c r="L42" i="1"/>
  <c r="I34" i="1"/>
  <c r="L34" i="1"/>
  <c r="I30" i="1"/>
  <c r="L30" i="1"/>
  <c r="I26" i="1"/>
  <c r="L26" i="1"/>
  <c r="I18" i="1"/>
  <c r="L18" i="1"/>
  <c r="I10" i="1"/>
  <c r="L10" i="1"/>
  <c r="I6" i="1"/>
  <c r="L6" i="1"/>
  <c r="H253" i="1"/>
  <c r="H26" i="4"/>
  <c r="I26" i="4"/>
  <c r="H245" i="1"/>
  <c r="I245" i="1"/>
  <c r="H237" i="1"/>
  <c r="I237" i="1"/>
  <c r="H229" i="1"/>
  <c r="I229" i="1"/>
  <c r="H221" i="1"/>
  <c r="I221" i="1"/>
  <c r="H213" i="1"/>
  <c r="I213" i="1"/>
  <c r="H205" i="1"/>
  <c r="I205" i="1"/>
  <c r="H197" i="1"/>
  <c r="H189" i="1"/>
  <c r="H181" i="1"/>
  <c r="I181" i="1"/>
  <c r="H173" i="1"/>
  <c r="I173" i="1"/>
  <c r="H165" i="1"/>
  <c r="I165" i="1"/>
  <c r="H157" i="1"/>
  <c r="I157" i="1"/>
  <c r="H149" i="1"/>
  <c r="I149" i="1"/>
  <c r="H141" i="1"/>
  <c r="I141" i="1"/>
  <c r="H133" i="1"/>
  <c r="I133" i="1"/>
  <c r="H125" i="1"/>
  <c r="H117" i="1"/>
  <c r="I117" i="1"/>
  <c r="H109" i="1"/>
  <c r="I109" i="1"/>
  <c r="H101" i="1"/>
  <c r="I101" i="1"/>
  <c r="H93" i="1"/>
  <c r="I93" i="1"/>
  <c r="H85" i="1"/>
  <c r="I85" i="1"/>
  <c r="H77" i="1"/>
  <c r="I77" i="1"/>
  <c r="H69" i="1"/>
  <c r="I69" i="1"/>
  <c r="H61" i="1"/>
  <c r="I61" i="1"/>
  <c r="L61" i="1"/>
  <c r="H53" i="1"/>
  <c r="I53" i="1"/>
  <c r="L53" i="1"/>
  <c r="H45" i="1"/>
  <c r="I45" i="1"/>
  <c r="L45" i="1"/>
  <c r="H37" i="1"/>
  <c r="I37" i="1"/>
  <c r="H29" i="1"/>
  <c r="I29" i="1"/>
  <c r="H21" i="1"/>
  <c r="I21" i="1"/>
  <c r="H13" i="1"/>
  <c r="I24" i="1"/>
  <c r="L24" i="1"/>
  <c r="I16" i="1"/>
  <c r="L16" i="1"/>
  <c r="I12" i="1"/>
  <c r="L12" i="1"/>
  <c r="I8" i="1"/>
  <c r="J3" i="4"/>
  <c r="F24" i="4"/>
  <c r="J4" i="4"/>
  <c r="L226" i="1"/>
  <c r="L194" i="1"/>
  <c r="L162" i="1"/>
  <c r="L154" i="1"/>
  <c r="G24" i="4"/>
  <c r="J6" i="4"/>
  <c r="J9" i="4"/>
  <c r="J8" i="4"/>
  <c r="J5" i="4"/>
  <c r="E24" i="4"/>
  <c r="J11" i="4"/>
  <c r="L244" i="1"/>
  <c r="L236" i="1"/>
  <c r="L224" i="1"/>
  <c r="L220" i="1"/>
  <c r="L212" i="1"/>
  <c r="L204" i="1"/>
  <c r="L192" i="1"/>
  <c r="L188" i="1"/>
  <c r="L180" i="1"/>
  <c r="L172" i="1"/>
  <c r="L156" i="1"/>
  <c r="L148" i="1"/>
  <c r="J10" i="4"/>
  <c r="I249" i="1"/>
  <c r="I241" i="1"/>
  <c r="I233" i="1"/>
  <c r="I225" i="1"/>
  <c r="I217" i="1"/>
  <c r="I209" i="1"/>
  <c r="I201" i="1"/>
  <c r="I197" i="1"/>
  <c r="I193" i="1"/>
  <c r="I189" i="1"/>
  <c r="I185" i="1"/>
  <c r="I177" i="1"/>
  <c r="I169" i="1"/>
  <c r="I161" i="1"/>
  <c r="I153" i="1"/>
  <c r="I145" i="1"/>
  <c r="I137" i="1"/>
  <c r="I129" i="1"/>
  <c r="I125" i="1"/>
  <c r="I121" i="1"/>
  <c r="I113" i="1"/>
  <c r="I105" i="1"/>
  <c r="I97" i="1"/>
  <c r="I89" i="1"/>
  <c r="I81" i="1"/>
  <c r="I73" i="1"/>
  <c r="L69" i="1"/>
  <c r="L57" i="1"/>
  <c r="L41" i="1"/>
  <c r="L37" i="1"/>
  <c r="L29" i="1"/>
  <c r="L25" i="1"/>
  <c r="L21" i="1"/>
  <c r="L9" i="1"/>
  <c r="L140" i="1"/>
  <c r="L136" i="1"/>
  <c r="L124" i="1"/>
  <c r="L116" i="1"/>
  <c r="L108" i="1"/>
  <c r="L96" i="1"/>
  <c r="L92" i="1"/>
  <c r="L84" i="1"/>
  <c r="L76" i="1"/>
  <c r="L64" i="1"/>
  <c r="L60" i="1"/>
  <c r="L52" i="1"/>
  <c r="L44" i="1"/>
  <c r="L32" i="1"/>
  <c r="L28" i="1"/>
  <c r="L8" i="1"/>
  <c r="L247" i="1"/>
  <c r="L227" i="1"/>
  <c r="L223" i="1"/>
  <c r="L219" i="1"/>
  <c r="L215" i="1"/>
  <c r="L211" i="1"/>
  <c r="L203" i="1"/>
  <c r="L199" i="1"/>
  <c r="L191" i="1"/>
  <c r="L179" i="1"/>
  <c r="L138" i="1"/>
  <c r="L122" i="1"/>
  <c r="L114" i="1"/>
  <c r="L106" i="1"/>
  <c r="L171" i="1"/>
  <c r="L167" i="1"/>
  <c r="L147" i="1"/>
  <c r="L139" i="1"/>
  <c r="L135" i="1"/>
  <c r="L123" i="1"/>
  <c r="L103" i="1"/>
  <c r="L99" i="1"/>
  <c r="L75" i="1"/>
  <c r="L67" i="1"/>
  <c r="L39" i="1"/>
  <c r="L35" i="1"/>
  <c r="L23" i="1"/>
  <c r="L19" i="1"/>
  <c r="L15" i="1"/>
  <c r="I254" i="1"/>
  <c r="I253" i="1"/>
  <c r="I251" i="1"/>
  <c r="I250" i="1"/>
  <c r="O24" i="21"/>
  <c r="J24" i="21"/>
  <c r="V269" i="21"/>
  <c r="V270" i="21"/>
  <c r="V38" i="21"/>
  <c r="V222" i="21"/>
  <c r="V104" i="21"/>
  <c r="V195" i="21"/>
  <c r="V202" i="21"/>
  <c r="V247" i="21"/>
  <c r="V101" i="21"/>
  <c r="V97" i="21"/>
  <c r="V44" i="21"/>
  <c r="V112" i="21"/>
  <c r="V228" i="21"/>
  <c r="V78" i="21"/>
  <c r="V80" i="21"/>
  <c r="V61" i="21"/>
  <c r="V168" i="21"/>
  <c r="V201" i="21"/>
  <c r="V82" i="21"/>
  <c r="V127" i="21"/>
  <c r="V218" i="21"/>
  <c r="V190" i="21"/>
  <c r="V45" i="21"/>
  <c r="V248" i="21"/>
  <c r="V267" i="21"/>
  <c r="V143" i="21"/>
  <c r="V161" i="21"/>
  <c r="V118" i="21"/>
  <c r="V158" i="21"/>
  <c r="V89" i="21"/>
  <c r="V147" i="21"/>
  <c r="V265" i="21"/>
  <c r="V27" i="21"/>
  <c r="V177" i="21"/>
  <c r="V136" i="21"/>
  <c r="V73" i="21"/>
  <c r="V155" i="21"/>
  <c r="V192" i="21"/>
  <c r="V153" i="21"/>
  <c r="V42" i="21"/>
  <c r="V33" i="21"/>
  <c r="V178" i="21"/>
  <c r="V240" i="21"/>
  <c r="V172" i="21"/>
  <c r="V176" i="21"/>
  <c r="V81" i="21"/>
  <c r="V186" i="21"/>
  <c r="V204" i="21"/>
  <c r="V77" i="21"/>
  <c r="V138" i="21"/>
  <c r="V115" i="21"/>
  <c r="V39" i="21"/>
  <c r="V206" i="21"/>
  <c r="V120" i="21"/>
  <c r="V119" i="21"/>
  <c r="V111" i="21"/>
  <c r="V135" i="21"/>
  <c r="V29" i="21"/>
  <c r="V220" i="21"/>
  <c r="V238" i="21"/>
  <c r="V32" i="21"/>
  <c r="V188" i="21"/>
  <c r="V214" i="21"/>
  <c r="V96" i="21"/>
  <c r="V257" i="21"/>
  <c r="V98" i="21"/>
  <c r="V43" i="21"/>
  <c r="V132" i="21"/>
  <c r="V157" i="21"/>
  <c r="V116" i="21"/>
  <c r="V70" i="21"/>
  <c r="V149" i="21"/>
  <c r="V91" i="21"/>
  <c r="V152" i="21"/>
  <c r="V236" i="21"/>
  <c r="V88" i="21"/>
  <c r="V160" i="21"/>
  <c r="V134" i="21"/>
  <c r="V86" i="21"/>
  <c r="V266" i="21"/>
  <c r="V26" i="21"/>
  <c r="V94" i="21"/>
  <c r="V249" i="21"/>
  <c r="V130" i="21"/>
  <c r="V60" i="21"/>
  <c r="V34" i="21"/>
  <c r="V123" i="21"/>
  <c r="V196" i="21"/>
  <c r="V181" i="21"/>
  <c r="V154" i="21"/>
  <c r="V145" i="21"/>
  <c r="V170" i="21"/>
  <c r="V105" i="21"/>
  <c r="V183" i="21"/>
  <c r="V246" i="21"/>
  <c r="V57" i="21"/>
  <c r="V106" i="21"/>
  <c r="V144" i="21"/>
  <c r="V47" i="21"/>
  <c r="V213" i="21"/>
  <c r="V54" i="21"/>
  <c r="V216" i="21"/>
  <c r="V56" i="21"/>
  <c r="V210" i="21"/>
  <c r="V226" i="21"/>
  <c r="V163" i="21"/>
  <c r="V245" i="21"/>
  <c r="V184" i="21"/>
  <c r="V264" i="21"/>
  <c r="V125" i="21"/>
  <c r="V253" i="21"/>
  <c r="V68" i="21"/>
  <c r="V100" i="21"/>
  <c r="V229" i="21"/>
  <c r="V221" i="21"/>
  <c r="V262" i="21"/>
  <c r="V225" i="21"/>
  <c r="V139" i="21"/>
  <c r="V164" i="21"/>
  <c r="V200" i="21"/>
  <c r="V99" i="21"/>
  <c r="V227" i="21"/>
  <c r="V148" i="21"/>
  <c r="V224" i="21"/>
  <c r="V46" i="21"/>
  <c r="V55" i="21"/>
  <c r="V75" i="21"/>
  <c r="V126" i="21"/>
  <c r="V64" i="21"/>
  <c r="V35" i="21"/>
  <c r="V128" i="21"/>
  <c r="V167" i="21"/>
  <c r="V52" i="21"/>
  <c r="V193" i="21"/>
  <c r="V209" i="21"/>
  <c r="V108" i="21"/>
  <c r="V124" i="21"/>
  <c r="V150" i="21"/>
  <c r="V169" i="21"/>
  <c r="V252" i="21"/>
  <c r="V242" i="21"/>
  <c r="V250" i="21"/>
  <c r="V114" i="21"/>
  <c r="V137" i="21"/>
  <c r="V59" i="21"/>
  <c r="V37" i="21"/>
  <c r="V69" i="21"/>
  <c r="V109" i="21"/>
  <c r="V208" i="21"/>
  <c r="V233" i="21"/>
  <c r="V197" i="21"/>
  <c r="V191" i="21"/>
  <c r="V198" i="21"/>
  <c r="V171" i="21"/>
  <c r="V187" i="21"/>
  <c r="V31" i="21"/>
  <c r="V259" i="21"/>
  <c r="V110" i="21"/>
  <c r="V234" i="21"/>
  <c r="V84" i="21"/>
  <c r="V182" i="21"/>
  <c r="V260" i="21"/>
  <c r="V133" i="21"/>
  <c r="V140" i="21"/>
  <c r="V166" i="21"/>
  <c r="V72" i="21"/>
  <c r="V63" i="21"/>
  <c r="V189" i="21"/>
  <c r="V255" i="21"/>
  <c r="V199" i="21"/>
  <c r="V103" i="21"/>
  <c r="V102" i="21"/>
  <c r="V85" i="21"/>
  <c r="V122" i="21"/>
  <c r="V50" i="21"/>
  <c r="V261" i="21"/>
  <c r="V95" i="21"/>
  <c r="V165" i="21"/>
  <c r="V174" i="21"/>
  <c r="V67" i="21"/>
  <c r="V175" i="21"/>
  <c r="V48" i="21"/>
  <c r="V244" i="21"/>
  <c r="H15" i="21"/>
  <c r="V156" i="21"/>
  <c r="V162" i="21"/>
  <c r="V235" i="21"/>
  <c r="V237" i="21"/>
  <c r="V71" i="21"/>
  <c r="V107" i="21"/>
  <c r="V121" i="21"/>
  <c r="V28" i="21"/>
  <c r="V231" i="21"/>
  <c r="V207" i="21"/>
  <c r="V66" i="21"/>
  <c r="V258" i="21"/>
  <c r="V76" i="21"/>
  <c r="V179" i="21"/>
  <c r="V117" i="21"/>
  <c r="V173" i="21"/>
  <c r="V53" i="21"/>
  <c r="V239" i="21"/>
  <c r="V90" i="21"/>
  <c r="V159" i="21"/>
  <c r="V49" i="21"/>
  <c r="V254" i="21"/>
  <c r="V142" i="21"/>
  <c r="V79" i="21"/>
  <c r="V205" i="21"/>
  <c r="V131" i="21"/>
  <c r="V211" i="21"/>
  <c r="V151" i="21"/>
  <c r="V194" i="21"/>
  <c r="V243" i="21"/>
  <c r="V87" i="21"/>
  <c r="V113" i="21"/>
  <c r="V146" i="21"/>
  <c r="V223" i="21"/>
  <c r="V215" i="21"/>
  <c r="V58" i="21"/>
  <c r="V141" i="21"/>
  <c r="V212" i="21"/>
  <c r="V217" i="21"/>
  <c r="V268" i="21"/>
  <c r="V51" i="21"/>
  <c r="V36" i="21"/>
  <c r="V40" i="21"/>
  <c r="V230" i="21"/>
  <c r="V83" i="21"/>
  <c r="V251" i="21"/>
  <c r="V92" i="21"/>
  <c r="V219" i="21"/>
  <c r="V203" i="21"/>
  <c r="V241" i="21"/>
  <c r="V180" i="21"/>
  <c r="V263" i="21"/>
  <c r="V74" i="21"/>
  <c r="V185" i="21"/>
  <c r="V256" i="21"/>
  <c r="V129" i="21"/>
  <c r="V62" i="21"/>
  <c r="V93" i="21"/>
  <c r="V65" i="21"/>
  <c r="V41" i="21"/>
  <c r="V232" i="21"/>
  <c r="E17" i="21"/>
  <c r="Q143" i="21"/>
  <c r="P143" i="21"/>
  <c r="P255" i="21"/>
  <c r="Q255" i="21"/>
  <c r="P223" i="21"/>
  <c r="Q223" i="21"/>
  <c r="Q117" i="21"/>
  <c r="P117" i="21"/>
  <c r="E17" i="18"/>
  <c r="E19" i="4"/>
  <c r="I13" i="1"/>
  <c r="L13" i="1"/>
  <c r="L250" i="1"/>
  <c r="L73" i="1"/>
  <c r="L105" i="1"/>
  <c r="L137" i="1"/>
  <c r="L169" i="1"/>
  <c r="L201" i="1"/>
  <c r="L233" i="1"/>
  <c r="L251" i="1"/>
  <c r="L77" i="1"/>
  <c r="L109" i="1"/>
  <c r="L141" i="1"/>
  <c r="L173" i="1"/>
  <c r="L205" i="1"/>
  <c r="L237" i="1"/>
  <c r="L252" i="1"/>
  <c r="L81" i="1"/>
  <c r="L113" i="1"/>
  <c r="L145" i="1"/>
  <c r="L177" i="1"/>
  <c r="L209" i="1"/>
  <c r="L241" i="1"/>
  <c r="L101" i="1"/>
  <c r="L133" i="1"/>
  <c r="L165" i="1"/>
  <c r="L197" i="1"/>
  <c r="L229" i="1"/>
  <c r="L253" i="1"/>
  <c r="L85" i="1"/>
  <c r="L117" i="1"/>
  <c r="L149" i="1"/>
  <c r="L181" i="1"/>
  <c r="L213" i="1"/>
  <c r="L245" i="1"/>
  <c r="H24" i="4"/>
  <c r="L254" i="1"/>
  <c r="L89" i="1"/>
  <c r="L121" i="1"/>
  <c r="L153" i="1"/>
  <c r="L185" i="1"/>
  <c r="L217" i="1"/>
  <c r="L249" i="1"/>
  <c r="L93" i="1"/>
  <c r="L125" i="1"/>
  <c r="L157" i="1"/>
  <c r="L189" i="1"/>
  <c r="L221" i="1"/>
  <c r="L97" i="1"/>
  <c r="L129" i="1"/>
  <c r="L161" i="1"/>
  <c r="L193" i="1"/>
  <c r="L225" i="1"/>
  <c r="P24" i="21"/>
  <c r="V24" i="21"/>
  <c r="K11" i="4"/>
  <c r="K9" i="4"/>
  <c r="K7" i="4"/>
  <c r="K4" i="4"/>
  <c r="K8" i="4"/>
  <c r="K3" i="4"/>
  <c r="K10" i="4"/>
  <c r="K6" i="4"/>
  <c r="K5" i="4"/>
  <c r="P116" i="22"/>
  <c r="P213" i="22"/>
  <c r="P200" i="22"/>
  <c r="P117" i="22"/>
  <c r="P54" i="22"/>
  <c r="P120" i="22"/>
  <c r="P69" i="22"/>
  <c r="P103" i="22"/>
  <c r="P176" i="22"/>
  <c r="P208" i="22"/>
  <c r="P9" i="22"/>
  <c r="P164" i="22"/>
  <c r="P64" i="22"/>
  <c r="P189" i="22"/>
  <c r="P47" i="22"/>
  <c r="P70" i="22"/>
  <c r="Q70" i="22"/>
  <c r="P212" i="22"/>
  <c r="P59" i="22"/>
  <c r="P96" i="22"/>
  <c r="P88" i="22"/>
  <c r="P146" i="22"/>
  <c r="P191" i="22"/>
  <c r="P30" i="22"/>
  <c r="P194" i="22"/>
  <c r="R194" i="22"/>
  <c r="P209" i="22"/>
  <c r="P138" i="22"/>
  <c r="P80" i="22"/>
  <c r="P154" i="22"/>
  <c r="P233" i="22"/>
  <c r="P26" i="22"/>
  <c r="P37" i="22"/>
  <c r="P204" i="22"/>
  <c r="R204" i="22"/>
  <c r="P217" i="22"/>
  <c r="P139" i="22"/>
  <c r="P14" i="22"/>
  <c r="P49" i="22"/>
  <c r="P13" i="22"/>
  <c r="P135" i="22"/>
  <c r="P104" i="22"/>
  <c r="P245" i="22"/>
  <c r="Q245" i="22"/>
  <c r="P203" i="22"/>
  <c r="P7" i="22"/>
  <c r="P180" i="22"/>
  <c r="P113" i="22"/>
  <c r="P177" i="22"/>
  <c r="P247" i="22"/>
  <c r="P181" i="22"/>
  <c r="P83" i="22"/>
  <c r="Q83" i="22"/>
  <c r="P28" i="22"/>
  <c r="P174" i="22"/>
  <c r="P48" i="22"/>
  <c r="P145" i="22"/>
  <c r="P82" i="22"/>
  <c r="P202" i="22"/>
  <c r="P186" i="22"/>
  <c r="P199" i="22"/>
  <c r="R199" i="22"/>
  <c r="P210" i="22"/>
  <c r="P222" i="22"/>
  <c r="P57" i="22"/>
  <c r="P36" i="22"/>
  <c r="P110" i="22"/>
  <c r="P101" i="22"/>
  <c r="P92" i="22"/>
  <c r="P148" i="22"/>
  <c r="Q148" i="22"/>
  <c r="P45" i="22"/>
  <c r="P23" i="22"/>
  <c r="P216" i="22"/>
  <c r="P137" i="22"/>
  <c r="P35" i="22"/>
  <c r="P93" i="22"/>
  <c r="P123" i="22"/>
  <c r="P95" i="22"/>
  <c r="R95" i="22"/>
  <c r="P11" i="22"/>
  <c r="P15" i="22"/>
  <c r="P218" i="22"/>
  <c r="P115" i="22"/>
  <c r="P114" i="22"/>
  <c r="P85" i="22"/>
  <c r="P78" i="22"/>
  <c r="R78" i="22"/>
  <c r="P90" i="22"/>
  <c r="R90" i="22"/>
  <c r="P73" i="22"/>
  <c r="P240" i="22"/>
  <c r="P29" i="22"/>
  <c r="P196" i="22"/>
  <c r="P197" i="22"/>
  <c r="P109" i="22"/>
  <c r="P147" i="22"/>
  <c r="R147" i="22"/>
  <c r="J147" i="22"/>
  <c r="P215" i="22"/>
  <c r="Q215" i="22"/>
  <c r="P198" i="22"/>
  <c r="P159" i="22"/>
  <c r="P112" i="22"/>
  <c r="P58" i="22"/>
  <c r="P127" i="22"/>
  <c r="P223" i="22"/>
  <c r="P231" i="22"/>
  <c r="Q231" i="22"/>
  <c r="P75" i="22"/>
  <c r="Q75" i="22"/>
  <c r="P161" i="22"/>
  <c r="P66" i="22"/>
  <c r="P236" i="22"/>
  <c r="P63" i="22"/>
  <c r="P46" i="22"/>
  <c r="P155" i="22"/>
  <c r="P33" i="22"/>
  <c r="R33" i="22"/>
  <c r="P133" i="22"/>
  <c r="R133" i="22"/>
  <c r="J133" i="22"/>
  <c r="K133" i="22"/>
  <c r="P153" i="22"/>
  <c r="P149" i="22"/>
  <c r="P160" i="22"/>
  <c r="P39" i="22"/>
  <c r="P242" i="22"/>
  <c r="P248" i="22"/>
  <c r="P141" i="22"/>
  <c r="Q141" i="22"/>
  <c r="P27" i="22"/>
  <c r="R27" i="22"/>
  <c r="J27" i="22"/>
  <c r="K27" i="22"/>
  <c r="P171" i="22"/>
  <c r="P130" i="22"/>
  <c r="P206" i="22"/>
  <c r="P182" i="22"/>
  <c r="P84" i="22"/>
  <c r="P185" i="22"/>
  <c r="P94" i="22"/>
  <c r="R94" i="22"/>
  <c r="J94" i="22"/>
  <c r="P44" i="22"/>
  <c r="R44" i="22"/>
  <c r="J44" i="22"/>
  <c r="K44" i="22"/>
  <c r="P162" i="22"/>
  <c r="P42" i="22"/>
  <c r="P119" i="22"/>
  <c r="P100" i="22"/>
  <c r="P229" i="22"/>
  <c r="P156" i="22"/>
  <c r="P165" i="22"/>
  <c r="Q165" i="22"/>
  <c r="P179" i="22"/>
  <c r="P136" i="22"/>
  <c r="P237" i="22"/>
  <c r="P157" i="22"/>
  <c r="P89" i="22"/>
  <c r="P175" i="22"/>
  <c r="P152" i="22"/>
  <c r="P195" i="22"/>
  <c r="R195" i="22"/>
  <c r="P151" i="22"/>
  <c r="R151" i="22"/>
  <c r="P168" i="22"/>
  <c r="P220" i="22"/>
  <c r="P188" i="22"/>
  <c r="P193" i="22"/>
  <c r="P238" i="22"/>
  <c r="P72" i="22"/>
  <c r="P143" i="22"/>
  <c r="R143" i="22"/>
  <c r="P207" i="22"/>
  <c r="R207" i="22"/>
  <c r="P105" i="22"/>
  <c r="P34" i="22"/>
  <c r="P121" i="22"/>
  <c r="P126" i="22"/>
  <c r="P134" i="22"/>
  <c r="P122" i="22"/>
  <c r="P32" i="22"/>
  <c r="Q32" i="22"/>
  <c r="P108" i="22"/>
  <c r="Q108" i="22"/>
  <c r="P150" i="22"/>
  <c r="P65" i="22"/>
  <c r="P144" i="22"/>
  <c r="P178" i="22"/>
  <c r="P79" i="22"/>
  <c r="P205" i="22"/>
  <c r="P132" i="22"/>
  <c r="P142" i="22"/>
  <c r="R142" i="22"/>
  <c r="J142" i="22"/>
  <c r="K142" i="22"/>
  <c r="P51" i="22"/>
  <c r="P99" i="22"/>
  <c r="P52" i="22"/>
  <c r="P24" i="22"/>
  <c r="P10" i="22"/>
  <c r="P190" i="22"/>
  <c r="P163" i="22"/>
  <c r="Q163" i="22"/>
  <c r="P17" i="22"/>
  <c r="P60" i="22"/>
  <c r="P102" i="22"/>
  <c r="P227" i="22"/>
  <c r="P97" i="22"/>
  <c r="P74" i="22"/>
  <c r="P140" i="22"/>
  <c r="P211" i="22"/>
  <c r="R211" i="22"/>
  <c r="J211" i="22"/>
  <c r="K211" i="22"/>
  <c r="P226" i="22"/>
  <c r="R226" i="22"/>
  <c r="P234" i="22"/>
  <c r="P56" i="22"/>
  <c r="P43" i="22"/>
  <c r="P221" i="22"/>
  <c r="P239" i="22"/>
  <c r="P118" i="22"/>
  <c r="P183" i="22"/>
  <c r="Q183" i="22"/>
  <c r="P230" i="22"/>
  <c r="R230" i="22"/>
  <c r="J230" i="22"/>
  <c r="K230" i="22"/>
  <c r="P235" i="22"/>
  <c r="P87" i="22"/>
  <c r="P201" i="22"/>
  <c r="P76" i="22"/>
  <c r="P50" i="22"/>
  <c r="P98" i="22"/>
  <c r="P129" i="22"/>
  <c r="R129" i="22"/>
  <c r="P246" i="22"/>
  <c r="R246" i="22"/>
  <c r="J246" i="22"/>
  <c r="K246" i="22"/>
  <c r="P128" i="22"/>
  <c r="P19" i="22"/>
  <c r="P131" i="22"/>
  <c r="P224" i="22"/>
  <c r="P192" i="22"/>
  <c r="P71" i="22"/>
  <c r="P8" i="22"/>
  <c r="Q8" i="22"/>
  <c r="P158" i="22"/>
  <c r="R158" i="22"/>
  <c r="P166" i="22"/>
  <c r="P68" i="22"/>
  <c r="P232" i="22"/>
  <c r="P20" i="22"/>
  <c r="P22" i="22"/>
  <c r="P107" i="22"/>
  <c r="P214" i="22"/>
  <c r="Q214" i="22"/>
  <c r="P55" i="22"/>
  <c r="P169" i="22"/>
  <c r="P86" i="22"/>
  <c r="P38" i="22"/>
  <c r="P243" i="22"/>
  <c r="P124" i="22"/>
  <c r="P244" i="22"/>
  <c r="R244" i="22"/>
  <c r="P111" i="22"/>
  <c r="Q111" i="22"/>
  <c r="P21" i="22"/>
  <c r="Q21" i="22"/>
  <c r="P241" i="22"/>
  <c r="P228" i="22"/>
  <c r="R228" i="22"/>
  <c r="P225" i="22"/>
  <c r="P91" i="22"/>
  <c r="P173" i="22"/>
  <c r="R173" i="22"/>
  <c r="P81" i="22"/>
  <c r="P184" i="22"/>
  <c r="Q184" i="22"/>
  <c r="P62" i="22"/>
  <c r="R62" i="22"/>
  <c r="P125" i="22"/>
  <c r="P67" i="22"/>
  <c r="R67" i="22"/>
  <c r="P172" i="22"/>
  <c r="R172" i="22"/>
  <c r="P16" i="22"/>
  <c r="P41" i="22"/>
  <c r="Q41" i="22"/>
  <c r="P53" i="22"/>
  <c r="Q53" i="22"/>
  <c r="P187" i="22"/>
  <c r="Q187" i="22"/>
  <c r="P31" i="22"/>
  <c r="Q31" i="22"/>
  <c r="P170" i="22"/>
  <c r="P77" i="22"/>
  <c r="R77" i="22"/>
  <c r="R184" i="22"/>
  <c r="J184" i="22"/>
  <c r="K184" i="22"/>
  <c r="Q61" i="22"/>
  <c r="R221" i="22"/>
  <c r="Q221" i="22"/>
  <c r="R76" i="22"/>
  <c r="Q76" i="22"/>
  <c r="R225" i="22"/>
  <c r="Q225" i="22"/>
  <c r="Q224" i="22"/>
  <c r="S224" i="22"/>
  <c r="R224" i="22"/>
  <c r="Q172" i="22"/>
  <c r="Q20" i="22"/>
  <c r="R20" i="22"/>
  <c r="S20" i="22"/>
  <c r="Q226" i="22"/>
  <c r="R51" i="22"/>
  <c r="S51" i="22"/>
  <c r="Q51" i="22"/>
  <c r="R150" i="22"/>
  <c r="J150" i="22"/>
  <c r="Q150" i="22"/>
  <c r="R34" i="22"/>
  <c r="Q34" i="22"/>
  <c r="R220" i="22"/>
  <c r="J220" i="22"/>
  <c r="K220" i="22"/>
  <c r="Q220" i="22"/>
  <c r="Q157" i="22"/>
  <c r="S157" i="22"/>
  <c r="R157" i="22"/>
  <c r="R100" i="22"/>
  <c r="Q100" i="22"/>
  <c r="R182" i="22"/>
  <c r="J182" i="22"/>
  <c r="K182" i="22"/>
  <c r="Q182" i="22"/>
  <c r="Q39" i="22"/>
  <c r="S39" i="22"/>
  <c r="R39" i="22"/>
  <c r="Q63" i="22"/>
  <c r="S63" i="22"/>
  <c r="R63" i="22"/>
  <c r="Q58" i="22"/>
  <c r="S58" i="22"/>
  <c r="R58" i="22"/>
  <c r="J58" i="22"/>
  <c r="Q196" i="22"/>
  <c r="R196" i="22"/>
  <c r="Q115" i="22"/>
  <c r="S115" i="22"/>
  <c r="R115" i="22"/>
  <c r="Q137" i="22"/>
  <c r="S137" i="22"/>
  <c r="R137" i="22"/>
  <c r="R36" i="22"/>
  <c r="J36" i="22"/>
  <c r="K36" i="22"/>
  <c r="Q36" i="22"/>
  <c r="R145" i="22"/>
  <c r="Q145" i="22"/>
  <c r="R177" i="22"/>
  <c r="J177" i="22"/>
  <c r="K177" i="22"/>
  <c r="Q177" i="22"/>
  <c r="Q135" i="22"/>
  <c r="S135" i="22"/>
  <c r="R135" i="22"/>
  <c r="R103" i="22"/>
  <c r="S103" i="22"/>
  <c r="Q103" i="22"/>
  <c r="R53" i="22"/>
  <c r="J53" i="22"/>
  <c r="K53" i="22"/>
  <c r="R81" i="22"/>
  <c r="S81" i="22"/>
  <c r="Q81" i="22"/>
  <c r="Q244" i="22"/>
  <c r="R8" i="22"/>
  <c r="J8" i="22"/>
  <c r="K8" i="22"/>
  <c r="R108" i="22"/>
  <c r="J108" i="22"/>
  <c r="K108" i="22"/>
  <c r="Q105" i="22"/>
  <c r="R105" i="22"/>
  <c r="Q168" i="22"/>
  <c r="R168" i="22"/>
  <c r="Q237" i="22"/>
  <c r="R237" i="22"/>
  <c r="Q119" i="22"/>
  <c r="S119" i="22"/>
  <c r="R119" i="22"/>
  <c r="R206" i="22"/>
  <c r="Q206" i="22"/>
  <c r="S206" i="22"/>
  <c r="Q160" i="22"/>
  <c r="R160" i="22"/>
  <c r="S160" i="22"/>
  <c r="R236" i="22"/>
  <c r="J236" i="22"/>
  <c r="Q236" i="22"/>
  <c r="Q112" i="22"/>
  <c r="S112" i="22"/>
  <c r="R112" i="22"/>
  <c r="Q29" i="22"/>
  <c r="R29" i="22"/>
  <c r="S29" i="22"/>
  <c r="Q218" i="22"/>
  <c r="R218" i="22"/>
  <c r="R216" i="22"/>
  <c r="S216" i="22"/>
  <c r="Q216" i="22"/>
  <c r="R57" i="22"/>
  <c r="S57" i="22"/>
  <c r="Q57" i="22"/>
  <c r="R48" i="22"/>
  <c r="Q48" i="22"/>
  <c r="Q40" i="22"/>
  <c r="Q18" i="22"/>
  <c r="R37" i="22"/>
  <c r="J37" i="22"/>
  <c r="Q37" i="22"/>
  <c r="R30" i="22"/>
  <c r="S30" i="22"/>
  <c r="Q30" i="22"/>
  <c r="R47" i="22"/>
  <c r="Q47" i="22"/>
  <c r="Q69" i="22"/>
  <c r="R69" i="22"/>
  <c r="S69" i="22"/>
  <c r="R41" i="22"/>
  <c r="J41" i="22"/>
  <c r="Q173" i="22"/>
  <c r="S173" i="22"/>
  <c r="Q124" i="22"/>
  <c r="R124" i="22"/>
  <c r="R107" i="22"/>
  <c r="J107" i="22"/>
  <c r="Q107" i="22"/>
  <c r="Q71" i="22"/>
  <c r="R71" i="22"/>
  <c r="Q98" i="22"/>
  <c r="R98" i="22"/>
  <c r="Q118" i="22"/>
  <c r="R118" i="22"/>
  <c r="J118" i="22"/>
  <c r="K118" i="22"/>
  <c r="Q140" i="22"/>
  <c r="R140" i="22"/>
  <c r="S140" i="22"/>
  <c r="R190" i="22"/>
  <c r="Q190" i="22"/>
  <c r="Q25" i="22"/>
  <c r="Q136" i="22"/>
  <c r="S136" i="22"/>
  <c r="R136" i="22"/>
  <c r="Q42" i="22"/>
  <c r="R42" i="22"/>
  <c r="S42" i="22"/>
  <c r="Q130" i="22"/>
  <c r="R130" i="22"/>
  <c r="R149" i="22"/>
  <c r="J149" i="22"/>
  <c r="K149" i="22"/>
  <c r="Q149" i="22"/>
  <c r="R66" i="22"/>
  <c r="S66" i="22"/>
  <c r="Q66" i="22"/>
  <c r="Q159" i="22"/>
  <c r="R159" i="22"/>
  <c r="S159" i="22"/>
  <c r="R240" i="22"/>
  <c r="J240" i="22"/>
  <c r="Q240" i="22"/>
  <c r="R15" i="22"/>
  <c r="J15" i="22"/>
  <c r="K15" i="22"/>
  <c r="Q15" i="22"/>
  <c r="R23" i="22"/>
  <c r="J23" i="22"/>
  <c r="K23" i="22"/>
  <c r="Q23" i="22"/>
  <c r="Q222" i="22"/>
  <c r="R222" i="22"/>
  <c r="R174" i="22"/>
  <c r="J174" i="22"/>
  <c r="K174" i="22"/>
  <c r="Q174" i="22"/>
  <c r="R113" i="22"/>
  <c r="J113" i="22"/>
  <c r="K113" i="22"/>
  <c r="Q113" i="22"/>
  <c r="Q13" i="22"/>
  <c r="R13" i="22"/>
  <c r="Q26" i="22"/>
  <c r="R26" i="22"/>
  <c r="S26" i="22"/>
  <c r="R191" i="22"/>
  <c r="J191" i="22"/>
  <c r="K191" i="22"/>
  <c r="Q191" i="22"/>
  <c r="Q189" i="22"/>
  <c r="R189" i="22"/>
  <c r="Q120" i="22"/>
  <c r="S120" i="22"/>
  <c r="R120" i="22"/>
  <c r="R91" i="22"/>
  <c r="Q91" i="22"/>
  <c r="R243" i="22"/>
  <c r="J243" i="22"/>
  <c r="K243" i="22"/>
  <c r="Q243" i="22"/>
  <c r="Q22" i="22"/>
  <c r="R22" i="22"/>
  <c r="R192" i="22"/>
  <c r="Q192" i="22"/>
  <c r="Q50" i="22"/>
  <c r="R50" i="22"/>
  <c r="Q239" i="22"/>
  <c r="R239" i="22"/>
  <c r="S239" i="22"/>
  <c r="R74" i="22"/>
  <c r="S74" i="22"/>
  <c r="Q74" i="22"/>
  <c r="Q10" i="22"/>
  <c r="R10" i="22"/>
  <c r="Q205" i="22"/>
  <c r="R205" i="22"/>
  <c r="R32" i="22"/>
  <c r="J32" i="22"/>
  <c r="K32" i="22"/>
  <c r="Q143" i="22"/>
  <c r="Q106" i="22"/>
  <c r="R162" i="22"/>
  <c r="S162" i="22"/>
  <c r="Q162" i="22"/>
  <c r="R171" i="22"/>
  <c r="Q171" i="22"/>
  <c r="S171" i="22"/>
  <c r="Q153" i="22"/>
  <c r="S153" i="22"/>
  <c r="R153" i="22"/>
  <c r="R161" i="22"/>
  <c r="Q161" i="22"/>
  <c r="Q198" i="22"/>
  <c r="S198" i="22"/>
  <c r="R198" i="22"/>
  <c r="J198" i="22"/>
  <c r="K198" i="22"/>
  <c r="Q73" i="22"/>
  <c r="R73" i="22"/>
  <c r="S73" i="22"/>
  <c r="R11" i="22"/>
  <c r="J11" i="22"/>
  <c r="K11" i="22"/>
  <c r="Q11" i="22"/>
  <c r="R45" i="22"/>
  <c r="Q45" i="22"/>
  <c r="R210" i="22"/>
  <c r="Q210" i="22"/>
  <c r="R28" i="22"/>
  <c r="Q28" i="22"/>
  <c r="R180" i="22"/>
  <c r="S180" i="22"/>
  <c r="Q180" i="22"/>
  <c r="Q49" i="22"/>
  <c r="R49" i="22"/>
  <c r="Q233" i="22"/>
  <c r="R233" i="22"/>
  <c r="J233" i="22"/>
  <c r="R146" i="22"/>
  <c r="Q146" i="22"/>
  <c r="R64" i="22"/>
  <c r="J64" i="22"/>
  <c r="K64" i="22"/>
  <c r="Q64" i="22"/>
  <c r="R54" i="22"/>
  <c r="Q54" i="22"/>
  <c r="Q97" i="22"/>
  <c r="S97" i="22"/>
  <c r="R97" i="22"/>
  <c r="Q12" i="22"/>
  <c r="S12" i="22"/>
  <c r="R79" i="22"/>
  <c r="Q79" i="22"/>
  <c r="R122" i="22"/>
  <c r="Q122" i="22"/>
  <c r="R72" i="22"/>
  <c r="Q72" i="22"/>
  <c r="R165" i="22"/>
  <c r="Q44" i="22"/>
  <c r="Q95" i="22"/>
  <c r="R7" i="22"/>
  <c r="Q7" i="22"/>
  <c r="S7" i="22"/>
  <c r="R14" i="22"/>
  <c r="Q14" i="22"/>
  <c r="R154" i="22"/>
  <c r="Q154" i="22"/>
  <c r="S154" i="22"/>
  <c r="R88" i="22"/>
  <c r="S88" i="22"/>
  <c r="Q88" i="22"/>
  <c r="Q164" i="22"/>
  <c r="R164" i="22"/>
  <c r="J164" i="22"/>
  <c r="K164" i="22"/>
  <c r="R117" i="22"/>
  <c r="S117" i="22"/>
  <c r="Q117" i="22"/>
  <c r="Q67" i="22"/>
  <c r="Q228" i="22"/>
  <c r="R38" i="22"/>
  <c r="Q38" i="22"/>
  <c r="S38" i="22"/>
  <c r="Q232" i="22"/>
  <c r="R232" i="22"/>
  <c r="R131" i="22"/>
  <c r="J131" i="22"/>
  <c r="Q131" i="22"/>
  <c r="R201" i="22"/>
  <c r="Q201" i="22"/>
  <c r="R43" i="22"/>
  <c r="Q43" i="22"/>
  <c r="R227" i="22"/>
  <c r="Q227" i="22"/>
  <c r="R24" i="22"/>
  <c r="Q24" i="22"/>
  <c r="Q178" i="22"/>
  <c r="S178" i="22"/>
  <c r="R178" i="22"/>
  <c r="Q134" i="22"/>
  <c r="R134" i="22"/>
  <c r="S134" i="22"/>
  <c r="Q238" i="22"/>
  <c r="R238" i="22"/>
  <c r="R152" i="22"/>
  <c r="J152" i="22"/>
  <c r="K152" i="22"/>
  <c r="Q152" i="22"/>
  <c r="Q6" i="22"/>
  <c r="Q33" i="22"/>
  <c r="R231" i="22"/>
  <c r="S231" i="22"/>
  <c r="Q147" i="22"/>
  <c r="Q78" i="22"/>
  <c r="R123" i="22"/>
  <c r="S123" i="22"/>
  <c r="Q123" i="22"/>
  <c r="R92" i="22"/>
  <c r="Q92" i="22"/>
  <c r="S92" i="22"/>
  <c r="Q186" i="22"/>
  <c r="R186" i="22"/>
  <c r="S186" i="22"/>
  <c r="Q219" i="22"/>
  <c r="Q203" i="22"/>
  <c r="R203" i="22"/>
  <c r="S203" i="22"/>
  <c r="Q167" i="22"/>
  <c r="R80" i="22"/>
  <c r="Q80" i="22"/>
  <c r="S80" i="22"/>
  <c r="Q96" i="22"/>
  <c r="R96" i="22"/>
  <c r="R9" i="22"/>
  <c r="J9" i="22"/>
  <c r="Q9" i="22"/>
  <c r="Q200" i="22"/>
  <c r="R200" i="22"/>
  <c r="R170" i="22"/>
  <c r="J170" i="22"/>
  <c r="K170" i="22"/>
  <c r="Q170" i="22"/>
  <c r="S170" i="22"/>
  <c r="R125" i="22"/>
  <c r="J125" i="22"/>
  <c r="Q125" i="22"/>
  <c r="S125" i="22"/>
  <c r="R241" i="22"/>
  <c r="Q241" i="22"/>
  <c r="R86" i="22"/>
  <c r="J86" i="22"/>
  <c r="Q86" i="22"/>
  <c r="Q68" i="22"/>
  <c r="R68" i="22"/>
  <c r="S68" i="22"/>
  <c r="Q19" i="22"/>
  <c r="R19" i="22"/>
  <c r="S19" i="22"/>
  <c r="Q87" i="22"/>
  <c r="R87" i="22"/>
  <c r="Q56" i="22"/>
  <c r="R56" i="22"/>
  <c r="Q102" i="22"/>
  <c r="R102" i="22"/>
  <c r="S102" i="22"/>
  <c r="Q52" i="22"/>
  <c r="R52" i="22"/>
  <c r="J52" i="22"/>
  <c r="K52" i="22"/>
  <c r="R144" i="22"/>
  <c r="Q144" i="22"/>
  <c r="Q126" i="22"/>
  <c r="R126" i="22"/>
  <c r="R193" i="22"/>
  <c r="Q193" i="22"/>
  <c r="R175" i="22"/>
  <c r="J175" i="22"/>
  <c r="Q175" i="22"/>
  <c r="R156" i="22"/>
  <c r="J156" i="22"/>
  <c r="Q156" i="22"/>
  <c r="Q185" i="22"/>
  <c r="R185" i="22"/>
  <c r="J185" i="22"/>
  <c r="R248" i="22"/>
  <c r="Q248" i="22"/>
  <c r="Q155" i="22"/>
  <c r="R155" i="22"/>
  <c r="S155" i="22"/>
  <c r="R223" i="22"/>
  <c r="Q223" i="22"/>
  <c r="R109" i="22"/>
  <c r="Q109" i="22"/>
  <c r="Q85" i="22"/>
  <c r="R85" i="22"/>
  <c r="R93" i="22"/>
  <c r="Q93" i="22"/>
  <c r="S93" i="22"/>
  <c r="R101" i="22"/>
  <c r="Q101" i="22"/>
  <c r="R202" i="22"/>
  <c r="Q202" i="22"/>
  <c r="R181" i="22"/>
  <c r="Q181" i="22"/>
  <c r="R139" i="22"/>
  <c r="S139" i="22"/>
  <c r="Q139" i="22"/>
  <c r="R138" i="22"/>
  <c r="J138" i="22"/>
  <c r="K138" i="22"/>
  <c r="Q138" i="22"/>
  <c r="Q59" i="22"/>
  <c r="R59" i="22"/>
  <c r="S59" i="22"/>
  <c r="Q208" i="22"/>
  <c r="R208" i="22"/>
  <c r="S208" i="22"/>
  <c r="Q213" i="22"/>
  <c r="R213" i="22"/>
  <c r="R169" i="22"/>
  <c r="Q169" i="22"/>
  <c r="R166" i="22"/>
  <c r="Q166" i="22"/>
  <c r="Q128" i="22"/>
  <c r="R128" i="22"/>
  <c r="Q235" i="22"/>
  <c r="R235" i="22"/>
  <c r="S235" i="22"/>
  <c r="R234" i="22"/>
  <c r="S234" i="22"/>
  <c r="Q234" i="22"/>
  <c r="Q60" i="22"/>
  <c r="R60" i="22"/>
  <c r="S60" i="22"/>
  <c r="Q99" i="22"/>
  <c r="R99" i="22"/>
  <c r="J99" i="22"/>
  <c r="R65" i="22"/>
  <c r="J65" i="22"/>
  <c r="Q65" i="22"/>
  <c r="S65" i="22"/>
  <c r="R121" i="22"/>
  <c r="Q121" i="22"/>
  <c r="Q188" i="22"/>
  <c r="R188" i="22"/>
  <c r="S188" i="22"/>
  <c r="Q89" i="22"/>
  <c r="R89" i="22"/>
  <c r="Q229" i="22"/>
  <c r="R229" i="22"/>
  <c r="J229" i="22"/>
  <c r="K229" i="22"/>
  <c r="Q84" i="22"/>
  <c r="R84" i="22"/>
  <c r="R242" i="22"/>
  <c r="Q242" i="22"/>
  <c r="R46" i="22"/>
  <c r="Q46" i="22"/>
  <c r="Q127" i="22"/>
  <c r="R127" i="22"/>
  <c r="S127" i="22"/>
  <c r="Q197" i="22"/>
  <c r="R197" i="22"/>
  <c r="Q114" i="22"/>
  <c r="R114" i="22"/>
  <c r="R35" i="22"/>
  <c r="S35" i="22"/>
  <c r="Q35" i="22"/>
  <c r="Q110" i="22"/>
  <c r="R110" i="22"/>
  <c r="Q82" i="22"/>
  <c r="R82" i="22"/>
  <c r="R247" i="22"/>
  <c r="Q247" i="22"/>
  <c r="S247" i="22"/>
  <c r="Q104" i="22"/>
  <c r="R104" i="22"/>
  <c r="Q217" i="22"/>
  <c r="R217" i="22"/>
  <c r="S217" i="22"/>
  <c r="Q209" i="22"/>
  <c r="R209" i="22"/>
  <c r="R212" i="22"/>
  <c r="Q212" i="22"/>
  <c r="Q176" i="22"/>
  <c r="R176" i="22"/>
  <c r="J176" i="22"/>
  <c r="Q116" i="22"/>
  <c r="R116" i="22"/>
  <c r="S116" i="22"/>
  <c r="J209" i="22"/>
  <c r="K209" i="22"/>
  <c r="S209" i="22"/>
  <c r="S82" i="22"/>
  <c r="J82" i="22"/>
  <c r="K82" i="22"/>
  <c r="S197" i="22"/>
  <c r="J197" i="22"/>
  <c r="K197" i="22"/>
  <c r="J84" i="22"/>
  <c r="K84" i="22"/>
  <c r="S84" i="22"/>
  <c r="S213" i="22"/>
  <c r="J213" i="22"/>
  <c r="K213" i="22"/>
  <c r="S87" i="22"/>
  <c r="J87" i="22"/>
  <c r="K87" i="22"/>
  <c r="J203" i="22"/>
  <c r="K203" i="22"/>
  <c r="J97" i="22"/>
  <c r="K97" i="22"/>
  <c r="K233" i="22"/>
  <c r="S233" i="22"/>
  <c r="J239" i="22"/>
  <c r="K239" i="22"/>
  <c r="J189" i="22"/>
  <c r="K189" i="22"/>
  <c r="J71" i="22"/>
  <c r="K71" i="22"/>
  <c r="S71" i="22"/>
  <c r="J112" i="22"/>
  <c r="K112" i="22"/>
  <c r="J119" i="22"/>
  <c r="K119" i="22"/>
  <c r="S244" i="22"/>
  <c r="J244" i="22"/>
  <c r="K244" i="22"/>
  <c r="J115" i="22"/>
  <c r="K115" i="22"/>
  <c r="J39" i="22"/>
  <c r="K39" i="22"/>
  <c r="J224" i="22"/>
  <c r="K224" i="22"/>
  <c r="J121" i="22"/>
  <c r="K121" i="22"/>
  <c r="S121" i="22"/>
  <c r="J234" i="22"/>
  <c r="K234" i="22"/>
  <c r="S169" i="22"/>
  <c r="J169" i="22"/>
  <c r="K169" i="22"/>
  <c r="J139" i="22"/>
  <c r="K139" i="22"/>
  <c r="J101" i="22"/>
  <c r="K101" i="22"/>
  <c r="S101" i="22"/>
  <c r="S223" i="22"/>
  <c r="J223" i="22"/>
  <c r="K223" i="22"/>
  <c r="S156" i="22"/>
  <c r="K156" i="22"/>
  <c r="S144" i="22"/>
  <c r="J144" i="22"/>
  <c r="K144" i="22"/>
  <c r="J241" i="22"/>
  <c r="K241" i="22"/>
  <c r="S241" i="22"/>
  <c r="K9" i="22"/>
  <c r="S9" i="22"/>
  <c r="J123" i="22"/>
  <c r="K123" i="22"/>
  <c r="S152" i="22"/>
  <c r="S24" i="22"/>
  <c r="J24" i="22"/>
  <c r="K24" i="22"/>
  <c r="S131" i="22"/>
  <c r="K131" i="22"/>
  <c r="J72" i="22"/>
  <c r="K72" i="22"/>
  <c r="S210" i="22"/>
  <c r="J210" i="22"/>
  <c r="K210" i="22"/>
  <c r="S243" i="22"/>
  <c r="S113" i="22"/>
  <c r="S190" i="22"/>
  <c r="J190" i="22"/>
  <c r="K190" i="22"/>
  <c r="K41" i="22"/>
  <c r="S41" i="22"/>
  <c r="S37" i="22"/>
  <c r="K37" i="22"/>
  <c r="J61" i="22"/>
  <c r="K61" i="22"/>
  <c r="S110" i="22"/>
  <c r="J110" i="22"/>
  <c r="K110" i="22"/>
  <c r="J235" i="22"/>
  <c r="K235" i="22"/>
  <c r="S52" i="22"/>
  <c r="J78" i="22"/>
  <c r="K78" i="22"/>
  <c r="S78" i="22"/>
  <c r="S238" i="22"/>
  <c r="J238" i="22"/>
  <c r="K238" i="22"/>
  <c r="S49" i="22"/>
  <c r="J49" i="22"/>
  <c r="K49" i="22"/>
  <c r="J205" i="22"/>
  <c r="K205" i="22"/>
  <c r="S205" i="22"/>
  <c r="J50" i="22"/>
  <c r="K50" i="22"/>
  <c r="S50" i="22"/>
  <c r="J140" i="22"/>
  <c r="K140" i="22"/>
  <c r="J69" i="22"/>
  <c r="K69" i="22"/>
  <c r="J18" i="22"/>
  <c r="K18" i="22"/>
  <c r="S18" i="22"/>
  <c r="J237" i="22"/>
  <c r="K237" i="22"/>
  <c r="S196" i="22"/>
  <c r="J196" i="22"/>
  <c r="K196" i="22"/>
  <c r="K65" i="22"/>
  <c r="J93" i="22"/>
  <c r="K93" i="22"/>
  <c r="S175" i="22"/>
  <c r="K175" i="22"/>
  <c r="K125" i="22"/>
  <c r="J219" i="22"/>
  <c r="K219" i="22"/>
  <c r="S219" i="22"/>
  <c r="S227" i="22"/>
  <c r="J227" i="22"/>
  <c r="K227" i="22"/>
  <c r="J154" i="22"/>
  <c r="K154" i="22"/>
  <c r="J199" i="22"/>
  <c r="K199" i="22"/>
  <c r="J122" i="22"/>
  <c r="K122" i="22"/>
  <c r="S122" i="22"/>
  <c r="J54" i="22"/>
  <c r="K54" i="22"/>
  <c r="S54" i="22"/>
  <c r="J45" i="22"/>
  <c r="K45" i="22"/>
  <c r="S161" i="22"/>
  <c r="J161" i="22"/>
  <c r="K161" i="22"/>
  <c r="J91" i="22"/>
  <c r="K91" i="22"/>
  <c r="S91" i="22"/>
  <c r="K240" i="22"/>
  <c r="S240" i="22"/>
  <c r="S107" i="22"/>
  <c r="K107" i="22"/>
  <c r="J216" i="22"/>
  <c r="K216" i="22"/>
  <c r="S236" i="22"/>
  <c r="K236" i="22"/>
  <c r="J81" i="22"/>
  <c r="K81" i="22"/>
  <c r="J145" i="22"/>
  <c r="K145" i="22"/>
  <c r="S182" i="22"/>
  <c r="S225" i="22"/>
  <c r="J225" i="22"/>
  <c r="K225" i="22"/>
  <c r="K176" i="22"/>
  <c r="S176" i="22"/>
  <c r="J104" i="22"/>
  <c r="K104" i="22"/>
  <c r="S104" i="22"/>
  <c r="S99" i="22"/>
  <c r="K99" i="22"/>
  <c r="J128" i="22"/>
  <c r="K128" i="22"/>
  <c r="J59" i="22"/>
  <c r="K59" i="22"/>
  <c r="S85" i="22"/>
  <c r="J85" i="22"/>
  <c r="K85" i="22"/>
  <c r="J102" i="22"/>
  <c r="K102" i="22"/>
  <c r="K147" i="22"/>
  <c r="S147" i="22"/>
  <c r="J165" i="22"/>
  <c r="K165" i="22"/>
  <c r="J153" i="22"/>
  <c r="K153" i="22"/>
  <c r="J10" i="22"/>
  <c r="K10" i="22"/>
  <c r="S10" i="22"/>
  <c r="J26" i="22"/>
  <c r="K26" i="22"/>
  <c r="S222" i="22"/>
  <c r="J222" i="22"/>
  <c r="K222" i="22"/>
  <c r="J159" i="22"/>
  <c r="K159" i="22"/>
  <c r="J42" i="22"/>
  <c r="K42" i="22"/>
  <c r="S25" i="22"/>
  <c r="J25" i="22"/>
  <c r="K25" i="22"/>
  <c r="S218" i="22"/>
  <c r="J218" i="22"/>
  <c r="K218" i="22"/>
  <c r="J160" i="22"/>
  <c r="K160" i="22"/>
  <c r="S53" i="22"/>
  <c r="J204" i="22"/>
  <c r="K204" i="22"/>
  <c r="K58" i="22"/>
  <c r="J35" i="22"/>
  <c r="K35" i="22"/>
  <c r="J181" i="22"/>
  <c r="K181" i="22"/>
  <c r="J248" i="22"/>
  <c r="K248" i="22"/>
  <c r="S248" i="22"/>
  <c r="J193" i="22"/>
  <c r="K193" i="22"/>
  <c r="J80" i="22"/>
  <c r="K80" i="22"/>
  <c r="K94" i="22"/>
  <c r="J38" i="22"/>
  <c r="K38" i="22"/>
  <c r="S79" i="22"/>
  <c r="J79" i="22"/>
  <c r="K79" i="22"/>
  <c r="S11" i="22"/>
  <c r="S106" i="22"/>
  <c r="S192" i="22"/>
  <c r="J192" i="22"/>
  <c r="K192" i="22"/>
  <c r="J47" i="22"/>
  <c r="K47" i="22"/>
  <c r="J40" i="22"/>
  <c r="K40" i="22"/>
  <c r="S40" i="22"/>
  <c r="S36" i="22"/>
  <c r="S100" i="22"/>
  <c r="J100" i="22"/>
  <c r="K100" i="22"/>
  <c r="S150" i="22"/>
  <c r="K150" i="22"/>
  <c r="S114" i="22"/>
  <c r="J114" i="22"/>
  <c r="K114" i="22"/>
  <c r="J188" i="22"/>
  <c r="K188" i="22"/>
  <c r="S185" i="22"/>
  <c r="K185" i="22"/>
  <c r="J126" i="22"/>
  <c r="K126" i="22"/>
  <c r="J56" i="22"/>
  <c r="K56" i="22"/>
  <c r="S56" i="22"/>
  <c r="S200" i="22"/>
  <c r="J200" i="22"/>
  <c r="K200" i="22"/>
  <c r="J231" i="22"/>
  <c r="K231" i="22"/>
  <c r="J178" i="22"/>
  <c r="K178" i="22"/>
  <c r="J228" i="22"/>
  <c r="K228" i="22"/>
  <c r="S228" i="22"/>
  <c r="S164" i="22"/>
  <c r="J73" i="22"/>
  <c r="K73" i="22"/>
  <c r="J120" i="22"/>
  <c r="K120" i="22"/>
  <c r="J13" i="22"/>
  <c r="K13" i="22"/>
  <c r="J136" i="22"/>
  <c r="K136" i="22"/>
  <c r="J98" i="22"/>
  <c r="K98" i="22"/>
  <c r="S98" i="22"/>
  <c r="J173" i="22"/>
  <c r="K173" i="22"/>
  <c r="J105" i="22"/>
  <c r="K105" i="22"/>
  <c r="S105" i="22"/>
  <c r="J135" i="22"/>
  <c r="K135" i="22"/>
  <c r="J137" i="22"/>
  <c r="K137" i="22"/>
  <c r="J63" i="22"/>
  <c r="K63" i="22"/>
  <c r="J157" i="22"/>
  <c r="K157" i="22"/>
  <c r="S212" i="22"/>
  <c r="J212" i="22"/>
  <c r="K212" i="22"/>
  <c r="J247" i="22"/>
  <c r="K247" i="22"/>
  <c r="J242" i="22"/>
  <c r="K242" i="22"/>
  <c r="S166" i="22"/>
  <c r="J166" i="22"/>
  <c r="K166" i="22"/>
  <c r="S138" i="22"/>
  <c r="S202" i="22"/>
  <c r="J202" i="22"/>
  <c r="K202" i="22"/>
  <c r="S109" i="22"/>
  <c r="J109" i="22"/>
  <c r="K109" i="22"/>
  <c r="S86" i="22"/>
  <c r="K86" i="22"/>
  <c r="S167" i="22"/>
  <c r="J167" i="22"/>
  <c r="K167" i="22"/>
  <c r="J92" i="22"/>
  <c r="K92" i="22"/>
  <c r="S6" i="22"/>
  <c r="S201" i="22"/>
  <c r="J201" i="22"/>
  <c r="K201" i="22"/>
  <c r="J7" i="22"/>
  <c r="K7" i="22"/>
  <c r="J12" i="22"/>
  <c r="K12" i="22"/>
  <c r="S146" i="22"/>
  <c r="J146" i="22"/>
  <c r="K146" i="22"/>
  <c r="J28" i="22"/>
  <c r="K28" i="22"/>
  <c r="J171" i="22"/>
  <c r="K171" i="22"/>
  <c r="S23" i="22"/>
  <c r="J30" i="22"/>
  <c r="K30" i="22"/>
  <c r="S48" i="22"/>
  <c r="J48" i="22"/>
  <c r="K48" i="22"/>
  <c r="J206" i="22"/>
  <c r="K206" i="22"/>
  <c r="J51" i="22"/>
  <c r="K51" i="22"/>
  <c r="S172" i="22"/>
  <c r="J172" i="22"/>
  <c r="K172" i="22"/>
  <c r="J221" i="22"/>
  <c r="K221" i="22"/>
  <c r="S221" i="22"/>
  <c r="R120" i="21"/>
  <c r="S120" i="21"/>
  <c r="R102" i="21"/>
  <c r="S102" i="21"/>
  <c r="R111" i="21"/>
  <c r="S111" i="21"/>
  <c r="R88" i="21"/>
  <c r="S88" i="21"/>
  <c r="R93" i="21"/>
  <c r="S93" i="21"/>
  <c r="R106" i="21"/>
  <c r="S106" i="21"/>
  <c r="R92" i="21"/>
  <c r="S92" i="21"/>
  <c r="R98" i="21"/>
  <c r="S98" i="21"/>
  <c r="R105" i="21"/>
  <c r="S105" i="21"/>
  <c r="R83" i="21"/>
  <c r="S83" i="21"/>
  <c r="R100" i="21"/>
  <c r="S100" i="21"/>
  <c r="R103" i="21"/>
  <c r="S103" i="21"/>
  <c r="R82" i="21"/>
  <c r="S82" i="21"/>
  <c r="R123" i="21"/>
  <c r="S123" i="21"/>
  <c r="R118" i="21"/>
  <c r="S118" i="21"/>
  <c r="R104" i="21"/>
  <c r="S104" i="21"/>
  <c r="R90" i="21"/>
  <c r="S90" i="21"/>
  <c r="R107" i="21"/>
  <c r="S107" i="21"/>
  <c r="R81" i="21"/>
  <c r="S81" i="21"/>
  <c r="R113" i="21"/>
  <c r="S113" i="21"/>
  <c r="R99" i="21"/>
  <c r="S99" i="21"/>
  <c r="R91" i="21"/>
  <c r="S91" i="21"/>
  <c r="R119" i="21"/>
  <c r="S119" i="21"/>
  <c r="R117" i="21"/>
  <c r="S117" i="21"/>
  <c r="R125" i="21"/>
  <c r="S125" i="21"/>
  <c r="R87" i="21"/>
  <c r="S87" i="21"/>
  <c r="R97" i="21"/>
  <c r="S97" i="21"/>
  <c r="R124" i="21"/>
  <c r="S124" i="21"/>
  <c r="R122" i="21"/>
  <c r="S122" i="21"/>
  <c r="R89" i="21"/>
  <c r="S89" i="21"/>
  <c r="R110" i="21"/>
  <c r="S110" i="21"/>
  <c r="R84" i="21"/>
  <c r="S84" i="21"/>
  <c r="R96" i="21"/>
  <c r="S96" i="21"/>
  <c r="R85" i="21"/>
  <c r="S85" i="21"/>
  <c r="R112" i="21"/>
  <c r="S112" i="21"/>
  <c r="R95" i="21"/>
  <c r="S95" i="21"/>
  <c r="R101" i="21"/>
  <c r="S101" i="21"/>
  <c r="R114" i="21"/>
  <c r="S114" i="21"/>
  <c r="R86" i="21"/>
  <c r="S86" i="21"/>
  <c r="R94" i="21"/>
  <c r="S94" i="21"/>
  <c r="R109" i="21"/>
  <c r="S109" i="21"/>
  <c r="R116" i="21"/>
  <c r="S116" i="21"/>
  <c r="R121" i="21"/>
  <c r="S121" i="21"/>
  <c r="R115" i="21"/>
  <c r="S115" i="21"/>
  <c r="R108" i="21"/>
  <c r="S108" i="21"/>
  <c r="R32" i="21"/>
  <c r="S32" i="21"/>
  <c r="R37" i="21"/>
  <c r="S37" i="21"/>
  <c r="R33" i="21"/>
  <c r="S33" i="21"/>
  <c r="R34" i="21"/>
  <c r="S34" i="21"/>
  <c r="R35" i="21"/>
  <c r="S35" i="21"/>
  <c r="R36" i="21"/>
  <c r="S36" i="21"/>
  <c r="R191" i="21"/>
  <c r="S191" i="21"/>
  <c r="R214" i="21"/>
  <c r="S214" i="21"/>
  <c r="R196" i="21"/>
  <c r="S196" i="21"/>
  <c r="R238" i="21"/>
  <c r="S238" i="21"/>
  <c r="R233" i="21"/>
  <c r="S233" i="21"/>
  <c r="R213" i="21"/>
  <c r="S213" i="21"/>
  <c r="R219" i="21"/>
  <c r="S219" i="21"/>
  <c r="R204" i="21"/>
  <c r="S204" i="21"/>
  <c r="R217" i="21"/>
  <c r="S217" i="21"/>
  <c r="R223" i="21"/>
  <c r="S223" i="21"/>
  <c r="R188" i="21"/>
  <c r="S188" i="21"/>
  <c r="R229" i="21"/>
  <c r="S229" i="21"/>
  <c r="R212" i="21"/>
  <c r="S212" i="21"/>
  <c r="R220" i="21"/>
  <c r="S220" i="21"/>
  <c r="R195" i="21"/>
  <c r="S195" i="21"/>
  <c r="R199" i="21"/>
  <c r="S199" i="21"/>
  <c r="R203" i="21"/>
  <c r="S203" i="21"/>
  <c r="R230" i="21"/>
  <c r="S230" i="21"/>
  <c r="R207" i="21"/>
  <c r="S207" i="21"/>
  <c r="R200" i="21"/>
  <c r="S200" i="21"/>
  <c r="R221" i="21"/>
  <c r="S221" i="21"/>
  <c r="R206" i="21"/>
  <c r="S206" i="21"/>
  <c r="R227" i="21"/>
  <c r="S227" i="21"/>
  <c r="R197" i="21"/>
  <c r="S197" i="21"/>
  <c r="R234" i="21"/>
  <c r="S234" i="21"/>
  <c r="R190" i="21"/>
  <c r="S190" i="21"/>
  <c r="R235" i="21"/>
  <c r="S235" i="21"/>
  <c r="R218" i="21"/>
  <c r="S218" i="21"/>
  <c r="R192" i="21"/>
  <c r="S192" i="21"/>
  <c r="R210" i="21"/>
  <c r="S210" i="21"/>
  <c r="R215" i="21"/>
  <c r="S215" i="21"/>
  <c r="R201" i="21"/>
  <c r="S201" i="21"/>
  <c r="R232" i="21"/>
  <c r="S232" i="21"/>
  <c r="R205" i="21"/>
  <c r="S205" i="21"/>
  <c r="R208" i="21"/>
  <c r="S208" i="21"/>
  <c r="R193" i="21"/>
  <c r="S193" i="21"/>
  <c r="R228" i="21"/>
  <c r="S228" i="21"/>
  <c r="R226" i="21"/>
  <c r="S226" i="21"/>
  <c r="R189" i="21"/>
  <c r="S189" i="21"/>
  <c r="R224" i="21"/>
  <c r="S224" i="21"/>
  <c r="R222" i="21"/>
  <c r="S222" i="21"/>
  <c r="R237" i="21"/>
  <c r="S237" i="21"/>
  <c r="R209" i="21"/>
  <c r="S209" i="21"/>
  <c r="R211" i="21"/>
  <c r="S211" i="21"/>
  <c r="R216" i="21"/>
  <c r="S216" i="21"/>
  <c r="R225" i="21"/>
  <c r="S225" i="21"/>
  <c r="R187" i="21"/>
  <c r="S187" i="21"/>
  <c r="R231" i="21"/>
  <c r="S231" i="21"/>
  <c r="R202" i="21"/>
  <c r="S202" i="21"/>
  <c r="R194" i="21"/>
  <c r="S194" i="21"/>
  <c r="R198" i="21"/>
  <c r="S198" i="21"/>
  <c r="R236" i="21"/>
  <c r="S236" i="21"/>
  <c r="R267" i="21"/>
  <c r="S267" i="21"/>
  <c r="R240" i="21"/>
  <c r="S240" i="21"/>
  <c r="R259" i="21"/>
  <c r="S259" i="21"/>
  <c r="R255" i="21"/>
  <c r="S255" i="21"/>
  <c r="R242" i="21"/>
  <c r="S242" i="21"/>
  <c r="R243" i="21"/>
  <c r="S243" i="21"/>
  <c r="R266" i="21"/>
  <c r="S266" i="21"/>
  <c r="R268" i="21"/>
  <c r="S268" i="21"/>
  <c r="R248" i="21"/>
  <c r="S248" i="21"/>
  <c r="R245" i="21"/>
  <c r="S245" i="21"/>
  <c r="R71" i="21"/>
  <c r="S71" i="21"/>
  <c r="R70" i="21"/>
  <c r="S70" i="21"/>
  <c r="R66" i="21"/>
  <c r="S66" i="21"/>
  <c r="R65" i="21"/>
  <c r="S65" i="21"/>
  <c r="R76" i="21"/>
  <c r="S76" i="21"/>
  <c r="R61" i="21"/>
  <c r="S61" i="21"/>
  <c r="R75" i="21"/>
  <c r="S75" i="21"/>
  <c r="R67" i="21"/>
  <c r="S67" i="21"/>
  <c r="R79" i="21"/>
  <c r="S79" i="21"/>
  <c r="R72" i="21"/>
  <c r="S72" i="21"/>
  <c r="R80" i="21"/>
  <c r="S80" i="21"/>
  <c r="R63" i="21"/>
  <c r="S63" i="21"/>
  <c r="R74" i="21"/>
  <c r="S74" i="21"/>
  <c r="R77" i="21"/>
  <c r="S77" i="21"/>
  <c r="R60" i="21"/>
  <c r="S60" i="21"/>
  <c r="R73" i="21"/>
  <c r="S73" i="21"/>
  <c r="R68" i="21"/>
  <c r="S68" i="21"/>
  <c r="R78" i="21"/>
  <c r="S78" i="21"/>
  <c r="R64" i="21"/>
  <c r="S64" i="21"/>
  <c r="R62" i="21"/>
  <c r="S62" i="21"/>
  <c r="R69" i="21"/>
  <c r="S69" i="21"/>
  <c r="R51" i="21"/>
  <c r="S51" i="21"/>
  <c r="R46" i="21"/>
  <c r="S46" i="21"/>
  <c r="R54" i="21"/>
  <c r="S54" i="21"/>
  <c r="R59" i="21"/>
  <c r="S59" i="21"/>
  <c r="R52" i="21"/>
  <c r="S52" i="21"/>
  <c r="R48" i="21"/>
  <c r="S48" i="21"/>
  <c r="R49" i="21"/>
  <c r="S49" i="21"/>
  <c r="R53" i="21"/>
  <c r="S53" i="21"/>
  <c r="R45" i="21"/>
  <c r="S45" i="21"/>
  <c r="R56" i="21"/>
  <c r="S56" i="21"/>
  <c r="R47" i="21"/>
  <c r="S47" i="21"/>
  <c r="R55" i="21"/>
  <c r="S55" i="21"/>
  <c r="R58" i="21"/>
  <c r="S58" i="21"/>
  <c r="R50" i="21"/>
  <c r="S50" i="21"/>
  <c r="R57" i="21"/>
  <c r="S57" i="21"/>
  <c r="R40" i="21"/>
  <c r="S40" i="21"/>
  <c r="R39" i="21"/>
  <c r="S39" i="21"/>
  <c r="R41" i="21"/>
  <c r="S41" i="21"/>
  <c r="R44" i="21"/>
  <c r="S44" i="21"/>
  <c r="R42" i="21"/>
  <c r="S42" i="21"/>
  <c r="R38" i="21"/>
  <c r="S38" i="21"/>
  <c r="R43" i="21"/>
  <c r="S43" i="21"/>
  <c r="O29" i="18"/>
  <c r="P29" i="18"/>
  <c r="F107" i="18"/>
  <c r="G107" i="18"/>
  <c r="L219" i="18"/>
  <c r="M219" i="18"/>
  <c r="L134" i="18"/>
  <c r="M134" i="18"/>
  <c r="L30" i="18"/>
  <c r="M30" i="18"/>
  <c r="I222" i="18"/>
  <c r="J222" i="18"/>
  <c r="G236" i="25"/>
  <c r="H144" i="19"/>
  <c r="I135" i="25"/>
  <c r="G149" i="25"/>
  <c r="I149" i="25"/>
  <c r="I221" i="25"/>
  <c r="I235" i="25"/>
  <c r="F155" i="18"/>
  <c r="G155" i="18"/>
  <c r="O217" i="18"/>
  <c r="L182" i="18"/>
  <c r="M182" i="18"/>
  <c r="L158" i="18"/>
  <c r="L102" i="18"/>
  <c r="M102" i="18"/>
  <c r="F272" i="18"/>
  <c r="F256" i="18"/>
  <c r="F179" i="18"/>
  <c r="G179" i="18"/>
  <c r="L203" i="18"/>
  <c r="M203" i="18"/>
  <c r="L142" i="18"/>
  <c r="L110" i="18"/>
  <c r="M110" i="18"/>
  <c r="I201" i="18"/>
  <c r="J201" i="18"/>
  <c r="G173" i="25"/>
  <c r="I251" i="25"/>
  <c r="F123" i="18"/>
  <c r="G123" i="18"/>
  <c r="F56" i="18"/>
  <c r="G56" i="18"/>
  <c r="L227" i="18"/>
  <c r="M227" i="18"/>
  <c r="L190" i="18"/>
  <c r="M190" i="18"/>
  <c r="L118" i="18"/>
  <c r="O44" i="18"/>
  <c r="I97" i="18"/>
  <c r="O160" i="18"/>
  <c r="P160" i="18"/>
  <c r="O92" i="18"/>
  <c r="G183" i="25"/>
  <c r="I183" i="25"/>
  <c r="F131" i="18"/>
  <c r="G131" i="18"/>
  <c r="L267" i="18"/>
  <c r="M267" i="18"/>
  <c r="I214" i="18"/>
  <c r="J214" i="18"/>
  <c r="G253" i="25"/>
  <c r="H113" i="19"/>
  <c r="I226" i="25"/>
  <c r="F187" i="18"/>
  <c r="G187" i="18"/>
  <c r="F99" i="18"/>
  <c r="G99" i="18"/>
  <c r="L211" i="18"/>
  <c r="M211" i="18"/>
  <c r="L126" i="18"/>
  <c r="L85" i="18"/>
  <c r="M85" i="18"/>
  <c r="I246" i="18"/>
  <c r="I177" i="18"/>
  <c r="I129" i="18"/>
  <c r="I121" i="18"/>
  <c r="J121" i="18"/>
  <c r="I49" i="18"/>
  <c r="O220" i="18"/>
  <c r="G223" i="25"/>
  <c r="F264" i="18"/>
  <c r="F248" i="18"/>
  <c r="F224" i="18"/>
  <c r="F139" i="18"/>
  <c r="G139" i="18"/>
  <c r="L259" i="18"/>
  <c r="M259" i="18"/>
  <c r="L174" i="18"/>
  <c r="L150" i="18"/>
  <c r="M150" i="18"/>
  <c r="I153" i="18"/>
  <c r="J153" i="18"/>
  <c r="I105" i="18"/>
  <c r="I33" i="18"/>
  <c r="O83" i="18"/>
  <c r="P83" i="18"/>
  <c r="O125" i="18"/>
  <c r="H52" i="19"/>
  <c r="O134" i="18"/>
  <c r="O65" i="18"/>
  <c r="P65" i="18"/>
  <c r="H236" i="19"/>
  <c r="G92" i="25"/>
  <c r="I92" i="25"/>
  <c r="Q64" i="18"/>
  <c r="O108" i="18"/>
  <c r="I253" i="25"/>
  <c r="G245" i="25"/>
  <c r="H157" i="19"/>
  <c r="G105" i="25"/>
  <c r="I105" i="25"/>
  <c r="O207" i="18"/>
  <c r="I24" i="25"/>
  <c r="G27" i="25"/>
  <c r="I27" i="25"/>
  <c r="G100" i="25"/>
  <c r="I100" i="25"/>
  <c r="G166" i="25"/>
  <c r="I166" i="25"/>
  <c r="G225" i="25"/>
  <c r="I225" i="25"/>
  <c r="G228" i="25"/>
  <c r="I228" i="25"/>
  <c r="L232" i="18"/>
  <c r="M232" i="18"/>
  <c r="O136" i="18"/>
  <c r="P136" i="18"/>
  <c r="I85" i="18"/>
  <c r="I53" i="18"/>
  <c r="J53" i="18"/>
  <c r="G222" i="19"/>
  <c r="G189" i="19"/>
  <c r="H189" i="19"/>
  <c r="G172" i="25"/>
  <c r="F110" i="19"/>
  <c r="G100" i="19"/>
  <c r="H100" i="19"/>
  <c r="G87" i="25"/>
  <c r="I87" i="25"/>
  <c r="M44" i="18"/>
  <c r="I61" i="25"/>
  <c r="G72" i="25"/>
  <c r="I72" i="25"/>
  <c r="G98" i="25"/>
  <c r="I98" i="25"/>
  <c r="G136" i="25"/>
  <c r="I136" i="25"/>
  <c r="G146" i="25"/>
  <c r="I146" i="25"/>
  <c r="G198" i="25"/>
  <c r="I198" i="25"/>
  <c r="G201" i="25"/>
  <c r="F239" i="18"/>
  <c r="F221" i="18"/>
  <c r="G221" i="18"/>
  <c r="F137" i="18"/>
  <c r="G137" i="18"/>
  <c r="F87" i="18"/>
  <c r="G87" i="18"/>
  <c r="L260" i="18"/>
  <c r="M260" i="18"/>
  <c r="L209" i="18"/>
  <c r="O209" i="18"/>
  <c r="P209" i="18"/>
  <c r="L189" i="18"/>
  <c r="L140" i="18"/>
  <c r="M140" i="18"/>
  <c r="L122" i="18"/>
  <c r="I202" i="18"/>
  <c r="I187" i="18"/>
  <c r="J187" i="18"/>
  <c r="G239" i="25"/>
  <c r="I239" i="25"/>
  <c r="H232" i="19"/>
  <c r="G206" i="25"/>
  <c r="I206" i="25"/>
  <c r="H107" i="19"/>
  <c r="I107" i="19"/>
  <c r="G82" i="25"/>
  <c r="O123" i="18"/>
  <c r="P123" i="18"/>
  <c r="I19" i="25"/>
  <c r="I53" i="25"/>
  <c r="G64" i="25"/>
  <c r="I64" i="25"/>
  <c r="G84" i="25"/>
  <c r="I93" i="25"/>
  <c r="G161" i="25"/>
  <c r="I161" i="25"/>
  <c r="G174" i="25"/>
  <c r="I174" i="25"/>
  <c r="I214" i="25"/>
  <c r="G217" i="25"/>
  <c r="I217" i="25"/>
  <c r="F184" i="18"/>
  <c r="F166" i="18"/>
  <c r="G166" i="18"/>
  <c r="F117" i="18"/>
  <c r="G117" i="18"/>
  <c r="F40" i="18"/>
  <c r="G40" i="18"/>
  <c r="F32" i="18"/>
  <c r="G32" i="18"/>
  <c r="L62" i="18"/>
  <c r="M62" i="18"/>
  <c r="I174" i="18"/>
  <c r="J174" i="18"/>
  <c r="I164" i="18"/>
  <c r="J164" i="18"/>
  <c r="I72" i="18"/>
  <c r="I38" i="18"/>
  <c r="G34" i="25"/>
  <c r="I34" i="25"/>
  <c r="G56" i="25"/>
  <c r="I56" i="25"/>
  <c r="G96" i="25"/>
  <c r="I189" i="25"/>
  <c r="F96" i="18"/>
  <c r="F74" i="18"/>
  <c r="G74" i="18"/>
  <c r="I227" i="18"/>
  <c r="I130" i="18"/>
  <c r="I99" i="18"/>
  <c r="J99" i="18"/>
  <c r="I80" i="18"/>
  <c r="H176" i="19"/>
  <c r="H143" i="19"/>
  <c r="I131" i="25"/>
  <c r="G141" i="25"/>
  <c r="I141" i="25"/>
  <c r="I156" i="25"/>
  <c r="G159" i="25"/>
  <c r="I159" i="25"/>
  <c r="F265" i="18"/>
  <c r="F234" i="18"/>
  <c r="G234" i="18"/>
  <c r="F142" i="18"/>
  <c r="G142" i="18"/>
  <c r="F82" i="18"/>
  <c r="G82" i="18"/>
  <c r="L237" i="18"/>
  <c r="M237" i="18"/>
  <c r="L214" i="18"/>
  <c r="L194" i="18"/>
  <c r="M194" i="18"/>
  <c r="L127" i="18"/>
  <c r="M127" i="18"/>
  <c r="L90" i="18"/>
  <c r="M90" i="18"/>
  <c r="I263" i="18"/>
  <c r="J263" i="18"/>
  <c r="I182" i="18"/>
  <c r="J182" i="18"/>
  <c r="I107" i="18"/>
  <c r="J107" i="18"/>
  <c r="O89" i="18"/>
  <c r="P89" i="18"/>
  <c r="I48" i="18"/>
  <c r="J48" i="18"/>
  <c r="O35" i="18"/>
  <c r="Q35" i="18"/>
  <c r="H168" i="19"/>
  <c r="H119" i="19"/>
  <c r="H91" i="19"/>
  <c r="O201" i="18"/>
  <c r="P201" i="18"/>
  <c r="G102" i="25"/>
  <c r="I102" i="25"/>
  <c r="I123" i="25"/>
  <c r="G187" i="25"/>
  <c r="I187" i="25"/>
  <c r="F216" i="18"/>
  <c r="F171" i="18"/>
  <c r="G171" i="18"/>
  <c r="F150" i="18"/>
  <c r="G150" i="18"/>
  <c r="F45" i="18"/>
  <c r="G45" i="18"/>
  <c r="L204" i="18"/>
  <c r="M204" i="18"/>
  <c r="L77" i="18"/>
  <c r="M77" i="18"/>
  <c r="G46" i="25"/>
  <c r="I46" i="25"/>
  <c r="O106" i="18"/>
  <c r="Q106" i="18"/>
  <c r="I6" i="25"/>
  <c r="G9" i="25"/>
  <c r="I9" i="25"/>
  <c r="G41" i="25"/>
  <c r="I41" i="25"/>
  <c r="I111" i="25"/>
  <c r="G129" i="25"/>
  <c r="I129" i="25"/>
  <c r="I148" i="25"/>
  <c r="G154" i="25"/>
  <c r="I154" i="25"/>
  <c r="F158" i="18"/>
  <c r="G158" i="18"/>
  <c r="L252" i="18"/>
  <c r="M252" i="18"/>
  <c r="L224" i="18"/>
  <c r="M224" i="18"/>
  <c r="I169" i="18"/>
  <c r="I148" i="18"/>
  <c r="J148" i="18"/>
  <c r="I67" i="18"/>
  <c r="E217" i="19"/>
  <c r="H160" i="19"/>
  <c r="H126" i="19"/>
  <c r="J65" i="18"/>
  <c r="O124" i="18"/>
  <c r="P124" i="18"/>
  <c r="M124" i="18"/>
  <c r="M107" i="18"/>
  <c r="M56" i="18"/>
  <c r="O56" i="18"/>
  <c r="P56" i="18"/>
  <c r="G237" i="25"/>
  <c r="I237" i="25"/>
  <c r="F238" i="19"/>
  <c r="I258" i="18"/>
  <c r="O150" i="18"/>
  <c r="O133" i="18"/>
  <c r="P133" i="18"/>
  <c r="O210" i="18"/>
  <c r="O46" i="18"/>
  <c r="Q46" i="18"/>
  <c r="G214" i="19"/>
  <c r="G208" i="25"/>
  <c r="I208" i="25"/>
  <c r="E206" i="19"/>
  <c r="F226" i="18"/>
  <c r="G226" i="18"/>
  <c r="G179" i="19"/>
  <c r="G171" i="25"/>
  <c r="L199" i="18"/>
  <c r="M199" i="18"/>
  <c r="F177" i="19"/>
  <c r="I197" i="18"/>
  <c r="J197" i="18"/>
  <c r="J83" i="18"/>
  <c r="O250" i="18"/>
  <c r="Q155" i="18"/>
  <c r="P162" i="18"/>
  <c r="O237" i="18"/>
  <c r="P237" i="18"/>
  <c r="P92" i="18"/>
  <c r="Q92" i="18"/>
  <c r="M120" i="18"/>
  <c r="O120" i="18"/>
  <c r="P120" i="18"/>
  <c r="O51" i="18"/>
  <c r="M51" i="18"/>
  <c r="J184" i="18"/>
  <c r="O184" i="18"/>
  <c r="J163" i="18"/>
  <c r="O163" i="18"/>
  <c r="O27" i="18"/>
  <c r="H252" i="19"/>
  <c r="I252" i="19"/>
  <c r="L241" i="18"/>
  <c r="G216" i="25"/>
  <c r="I216" i="25"/>
  <c r="O267" i="18"/>
  <c r="P267" i="18"/>
  <c r="G223" i="19"/>
  <c r="L243" i="18"/>
  <c r="M243" i="18"/>
  <c r="J125" i="18"/>
  <c r="O144" i="18"/>
  <c r="P144" i="18"/>
  <c r="O70" i="18"/>
  <c r="P70" i="18"/>
  <c r="J70" i="18"/>
  <c r="Q65" i="18"/>
  <c r="O212" i="18"/>
  <c r="O96" i="18"/>
  <c r="P96" i="18"/>
  <c r="J26" i="18"/>
  <c r="O226" i="18"/>
  <c r="O146" i="18"/>
  <c r="Q146" i="18"/>
  <c r="J242" i="18"/>
  <c r="O242" i="18"/>
  <c r="P242" i="18"/>
  <c r="E225" i="19"/>
  <c r="F245" i="18"/>
  <c r="G245" i="18"/>
  <c r="E172" i="19"/>
  <c r="F192" i="18"/>
  <c r="G192" i="18"/>
  <c r="F170" i="19"/>
  <c r="I190" i="18"/>
  <c r="G162" i="25"/>
  <c r="I162" i="25"/>
  <c r="O218" i="18"/>
  <c r="P218" i="18"/>
  <c r="J218" i="18"/>
  <c r="O74" i="18"/>
  <c r="P74" i="18"/>
  <c r="J74" i="18"/>
  <c r="O116" i="18"/>
  <c r="Q178" i="18"/>
  <c r="J134" i="18"/>
  <c r="M170" i="18"/>
  <c r="O170" i="18"/>
  <c r="P170" i="18"/>
  <c r="O66" i="18"/>
  <c r="G202" i="19"/>
  <c r="G195" i="25"/>
  <c r="I195" i="25"/>
  <c r="L222" i="18"/>
  <c r="G252" i="25"/>
  <c r="I252" i="25"/>
  <c r="F258" i="18"/>
  <c r="F244" i="18"/>
  <c r="G244" i="18"/>
  <c r="F233" i="18"/>
  <c r="L264" i="18"/>
  <c r="M264" i="18"/>
  <c r="L235" i="18"/>
  <c r="M235" i="18"/>
  <c r="L216" i="18"/>
  <c r="O105" i="18"/>
  <c r="P105" i="18"/>
  <c r="E251" i="19"/>
  <c r="F247" i="19"/>
  <c r="H242" i="19"/>
  <c r="I242" i="19"/>
  <c r="F230" i="19"/>
  <c r="H192" i="19"/>
  <c r="I192" i="19"/>
  <c r="H174" i="19"/>
  <c r="I174" i="19"/>
  <c r="G114" i="25"/>
  <c r="I114" i="25"/>
  <c r="I113" i="19"/>
  <c r="G66" i="25"/>
  <c r="I66" i="25"/>
  <c r="H53" i="19"/>
  <c r="H38" i="19"/>
  <c r="I38" i="19"/>
  <c r="I29" i="19"/>
  <c r="H27" i="19"/>
  <c r="I27" i="19"/>
  <c r="L27" i="19"/>
  <c r="G89" i="25"/>
  <c r="I89" i="25"/>
  <c r="G243" i="25"/>
  <c r="I243" i="25"/>
  <c r="H110" i="19"/>
  <c r="I110" i="19"/>
  <c r="L271" i="18"/>
  <c r="M271" i="18"/>
  <c r="I198" i="18"/>
  <c r="J198" i="18"/>
  <c r="G29" i="25"/>
  <c r="I29" i="25"/>
  <c r="H26" i="19"/>
  <c r="I26" i="19"/>
  <c r="L26" i="19"/>
  <c r="G18" i="25"/>
  <c r="I18" i="25"/>
  <c r="I173" i="25"/>
  <c r="I200" i="25"/>
  <c r="G230" i="25"/>
  <c r="I230" i="25"/>
  <c r="G233" i="25"/>
  <c r="I233" i="25"/>
  <c r="I245" i="25"/>
  <c r="I172" i="25"/>
  <c r="I82" i="25"/>
  <c r="H23" i="19"/>
  <c r="I23" i="19"/>
  <c r="H13" i="19"/>
  <c r="I13" i="19"/>
  <c r="L254" i="18"/>
  <c r="M254" i="18"/>
  <c r="I273" i="18"/>
  <c r="J273" i="18"/>
  <c r="I259" i="18"/>
  <c r="I247" i="18"/>
  <c r="J247" i="18"/>
  <c r="I231" i="18"/>
  <c r="I205" i="18"/>
  <c r="H142" i="19"/>
  <c r="I142" i="19"/>
  <c r="H128" i="19"/>
  <c r="I128" i="19"/>
  <c r="L128" i="19"/>
  <c r="Q218" i="18"/>
  <c r="Q242" i="18"/>
  <c r="O172" i="18"/>
  <c r="Q172" i="18"/>
  <c r="J105" i="18"/>
  <c r="M209" i="18"/>
  <c r="M95" i="18"/>
  <c r="F240" i="18"/>
  <c r="G240" i="18"/>
  <c r="I94" i="18"/>
  <c r="F74" i="19"/>
  <c r="G73" i="25"/>
  <c r="E187" i="19"/>
  <c r="F207" i="18"/>
  <c r="G207" i="18"/>
  <c r="F165" i="19"/>
  <c r="H165" i="19"/>
  <c r="I165" i="19"/>
  <c r="G157" i="25"/>
  <c r="I157" i="25"/>
  <c r="I185" i="18"/>
  <c r="H85" i="19"/>
  <c r="F199" i="19"/>
  <c r="G192" i="25"/>
  <c r="I192" i="25"/>
  <c r="I219" i="18"/>
  <c r="G147" i="19"/>
  <c r="H147" i="19"/>
  <c r="I147" i="19"/>
  <c r="G139" i="25"/>
  <c r="I139" i="25"/>
  <c r="L167" i="18"/>
  <c r="M217" i="18"/>
  <c r="M197" i="18"/>
  <c r="G241" i="19"/>
  <c r="L261" i="18"/>
  <c r="G224" i="19"/>
  <c r="H224" i="19"/>
  <c r="I224" i="19"/>
  <c r="G220" i="25"/>
  <c r="I220" i="25"/>
  <c r="L244" i="18"/>
  <c r="M244" i="18"/>
  <c r="E166" i="19"/>
  <c r="F186" i="18"/>
  <c r="G153" i="19"/>
  <c r="G145" i="25"/>
  <c r="I145" i="25"/>
  <c r="L173" i="18"/>
  <c r="G151" i="19"/>
  <c r="H151" i="19"/>
  <c r="I151" i="19"/>
  <c r="L151" i="19"/>
  <c r="L171" i="18"/>
  <c r="G143" i="25"/>
  <c r="I143" i="25"/>
  <c r="I159" i="18"/>
  <c r="F139" i="19"/>
  <c r="G132" i="25"/>
  <c r="E124" i="19"/>
  <c r="F144" i="18"/>
  <c r="H35" i="19"/>
  <c r="I35" i="19"/>
  <c r="E160" i="19"/>
  <c r="I160" i="19"/>
  <c r="F180" i="18"/>
  <c r="G180" i="18"/>
  <c r="G108" i="19"/>
  <c r="L128" i="18"/>
  <c r="O59" i="18"/>
  <c r="E243" i="19"/>
  <c r="F263" i="18"/>
  <c r="G263" i="18"/>
  <c r="L249" i="18"/>
  <c r="G227" i="25"/>
  <c r="I227" i="25"/>
  <c r="G229" i="19"/>
  <c r="E226" i="19"/>
  <c r="F246" i="18"/>
  <c r="G246" i="18"/>
  <c r="I201" i="25"/>
  <c r="F227" i="18"/>
  <c r="G227" i="18"/>
  <c r="E207" i="19"/>
  <c r="E205" i="19"/>
  <c r="F225" i="18"/>
  <c r="G225" i="18"/>
  <c r="G203" i="19"/>
  <c r="L223" i="18"/>
  <c r="G197" i="25"/>
  <c r="F171" i="19"/>
  <c r="I191" i="18"/>
  <c r="G163" i="25"/>
  <c r="I163" i="25"/>
  <c r="E168" i="19"/>
  <c r="F188" i="18"/>
  <c r="G188" i="18"/>
  <c r="G155" i="19"/>
  <c r="G147" i="25"/>
  <c r="I147" i="25"/>
  <c r="L175" i="18"/>
  <c r="G134" i="25"/>
  <c r="I134" i="25"/>
  <c r="L161" i="18"/>
  <c r="M161" i="18"/>
  <c r="G141" i="19"/>
  <c r="G129" i="19"/>
  <c r="H129" i="19"/>
  <c r="I129" i="19"/>
  <c r="L149" i="18"/>
  <c r="F112" i="19"/>
  <c r="I132" i="18"/>
  <c r="G106" i="25"/>
  <c r="I106" i="25"/>
  <c r="E185" i="19"/>
  <c r="F205" i="18"/>
  <c r="G205" i="18"/>
  <c r="O119" i="18"/>
  <c r="O127" i="18"/>
  <c r="G103" i="25"/>
  <c r="I103" i="25"/>
  <c r="I238" i="18"/>
  <c r="J238" i="18"/>
  <c r="G131" i="19"/>
  <c r="L151" i="18"/>
  <c r="M151" i="18"/>
  <c r="G124" i="25"/>
  <c r="I124" i="25"/>
  <c r="H45" i="19"/>
  <c r="I45" i="19"/>
  <c r="J271" i="18"/>
  <c r="O271" i="18"/>
  <c r="P271" i="18"/>
  <c r="F229" i="18"/>
  <c r="G229" i="18"/>
  <c r="E209" i="19"/>
  <c r="E179" i="19"/>
  <c r="F199" i="18"/>
  <c r="G177" i="19"/>
  <c r="G169" i="25"/>
  <c r="I169" i="25"/>
  <c r="G175" i="19"/>
  <c r="H175" i="19"/>
  <c r="I175" i="19"/>
  <c r="L175" i="19"/>
  <c r="L195" i="18"/>
  <c r="G167" i="25"/>
  <c r="I167" i="25"/>
  <c r="G133" i="19"/>
  <c r="G126" i="25"/>
  <c r="I126" i="25"/>
  <c r="L153" i="18"/>
  <c r="E115" i="19"/>
  <c r="F135" i="18"/>
  <c r="G135" i="18"/>
  <c r="F120" i="18"/>
  <c r="G120" i="18"/>
  <c r="E100" i="19"/>
  <c r="O31" i="18"/>
  <c r="I274" i="18"/>
  <c r="F254" i="19"/>
  <c r="H254" i="19"/>
  <c r="I254" i="19"/>
  <c r="F250" i="19"/>
  <c r="H250" i="19"/>
  <c r="I250" i="19"/>
  <c r="G249" i="25"/>
  <c r="I249" i="25"/>
  <c r="I270" i="18"/>
  <c r="J270" i="18"/>
  <c r="G245" i="19"/>
  <c r="H245" i="19"/>
  <c r="I245" i="19"/>
  <c r="L245" i="19"/>
  <c r="G244" i="25"/>
  <c r="I244" i="25"/>
  <c r="F233" i="19"/>
  <c r="I253" i="18"/>
  <c r="J253" i="18"/>
  <c r="F195" i="19"/>
  <c r="I215" i="18"/>
  <c r="F203" i="18"/>
  <c r="G203" i="18"/>
  <c r="E183" i="19"/>
  <c r="E181" i="19"/>
  <c r="F201" i="18"/>
  <c r="G201" i="18"/>
  <c r="I179" i="18"/>
  <c r="F159" i="19"/>
  <c r="G151" i="25"/>
  <c r="I151" i="25"/>
  <c r="H138" i="19"/>
  <c r="O93" i="18"/>
  <c r="O265" i="18"/>
  <c r="E237" i="19"/>
  <c r="F257" i="18"/>
  <c r="G257" i="18"/>
  <c r="G235" i="19"/>
  <c r="L255" i="18"/>
  <c r="M255" i="18"/>
  <c r="G211" i="25"/>
  <c r="I211" i="25"/>
  <c r="I236" i="18"/>
  <c r="F216" i="19"/>
  <c r="H216" i="19"/>
  <c r="G190" i="25"/>
  <c r="I190" i="25"/>
  <c r="G197" i="19"/>
  <c r="H197" i="19"/>
  <c r="I197" i="19"/>
  <c r="L197" i="19"/>
  <c r="F145" i="19"/>
  <c r="G137" i="25"/>
  <c r="I137" i="25"/>
  <c r="F157" i="18"/>
  <c r="G157" i="18"/>
  <c r="E137" i="19"/>
  <c r="E104" i="19"/>
  <c r="F124" i="18"/>
  <c r="H76" i="19"/>
  <c r="I76" i="19"/>
  <c r="L76" i="19"/>
  <c r="G22" i="25"/>
  <c r="I22" i="25"/>
  <c r="G59" i="25"/>
  <c r="I59" i="25"/>
  <c r="G182" i="25"/>
  <c r="I182" i="25"/>
  <c r="I215" i="25"/>
  <c r="F253" i="18"/>
  <c r="G253" i="18"/>
  <c r="F165" i="18"/>
  <c r="F116" i="18"/>
  <c r="G116" i="18"/>
  <c r="F90" i="18"/>
  <c r="G90" i="18"/>
  <c r="L236" i="18"/>
  <c r="M236" i="18"/>
  <c r="L87" i="18"/>
  <c r="I262" i="18"/>
  <c r="I230" i="18"/>
  <c r="J230" i="18"/>
  <c r="I204" i="18"/>
  <c r="J204" i="18"/>
  <c r="I194" i="18"/>
  <c r="O137" i="18"/>
  <c r="Q137" i="18"/>
  <c r="I43" i="18"/>
  <c r="F244" i="19"/>
  <c r="H244" i="19"/>
  <c r="I244" i="19"/>
  <c r="L244" i="19"/>
  <c r="F240" i="19"/>
  <c r="H240" i="19"/>
  <c r="I240" i="19"/>
  <c r="E231" i="19"/>
  <c r="G221" i="19"/>
  <c r="H221" i="19"/>
  <c r="F208" i="19"/>
  <c r="H208" i="19"/>
  <c r="H204" i="19"/>
  <c r="E199" i="19"/>
  <c r="H196" i="19"/>
  <c r="E191" i="19"/>
  <c r="F190" i="19"/>
  <c r="H190" i="19"/>
  <c r="I190" i="19"/>
  <c r="L190" i="19"/>
  <c r="F150" i="19"/>
  <c r="H150" i="19"/>
  <c r="I150" i="19"/>
  <c r="L150" i="19"/>
  <c r="G140" i="25"/>
  <c r="I140" i="25"/>
  <c r="E143" i="19"/>
  <c r="H109" i="19"/>
  <c r="H86" i="19"/>
  <c r="I86" i="19"/>
  <c r="H214" i="19"/>
  <c r="I214" i="19"/>
  <c r="I57" i="25"/>
  <c r="I96" i="25"/>
  <c r="I130" i="25"/>
  <c r="G224" i="25"/>
  <c r="I224" i="25"/>
  <c r="G241" i="25"/>
  <c r="I241" i="25"/>
  <c r="F270" i="18"/>
  <c r="G270" i="18"/>
  <c r="F232" i="18"/>
  <c r="F114" i="18"/>
  <c r="F71" i="18"/>
  <c r="G71" i="18"/>
  <c r="O273" i="18"/>
  <c r="P273" i="18"/>
  <c r="L147" i="18"/>
  <c r="M147" i="18"/>
  <c r="L112" i="18"/>
  <c r="I260" i="18"/>
  <c r="I104" i="18"/>
  <c r="J104" i="18"/>
  <c r="O86" i="18"/>
  <c r="P86" i="18"/>
  <c r="I58" i="18"/>
  <c r="J58" i="18"/>
  <c r="I41" i="18"/>
  <c r="H167" i="19"/>
  <c r="I167" i="19"/>
  <c r="L167" i="19"/>
  <c r="G92" i="19"/>
  <c r="H92" i="19"/>
  <c r="I92" i="19"/>
  <c r="L92" i="19"/>
  <c r="F84" i="19"/>
  <c r="E72" i="19"/>
  <c r="G67" i="19"/>
  <c r="E65" i="19"/>
  <c r="G60" i="19"/>
  <c r="E58" i="19"/>
  <c r="H57" i="19"/>
  <c r="I57" i="19"/>
  <c r="L57" i="19"/>
  <c r="F55" i="19"/>
  <c r="E49" i="19"/>
  <c r="H36" i="19"/>
  <c r="G25" i="19"/>
  <c r="F19" i="19"/>
  <c r="H19" i="19"/>
  <c r="I19" i="19"/>
  <c r="L19" i="19"/>
  <c r="F17" i="19"/>
  <c r="H15" i="19"/>
  <c r="I15" i="19"/>
  <c r="L15" i="19"/>
  <c r="F11" i="19"/>
  <c r="G10" i="25"/>
  <c r="I10" i="25"/>
  <c r="G26" i="25"/>
  <c r="I26" i="25"/>
  <c r="G37" i="25"/>
  <c r="I37" i="25"/>
  <c r="I50" i="25"/>
  <c r="I71" i="25"/>
  <c r="I84" i="25"/>
  <c r="I117" i="25"/>
  <c r="G178" i="25"/>
  <c r="I178" i="25"/>
  <c r="I236" i="25"/>
  <c r="F161" i="18"/>
  <c r="G161" i="18"/>
  <c r="L145" i="18"/>
  <c r="M145" i="18"/>
  <c r="L73" i="18"/>
  <c r="O28" i="18"/>
  <c r="O55" i="18"/>
  <c r="Q55" i="18"/>
  <c r="I47" i="18"/>
  <c r="J47" i="18"/>
  <c r="I39" i="18"/>
  <c r="H241" i="19"/>
  <c r="H229" i="19"/>
  <c r="H108" i="19"/>
  <c r="I108" i="19"/>
  <c r="H32" i="19"/>
  <c r="I32" i="19"/>
  <c r="I79" i="25"/>
  <c r="I152" i="25"/>
  <c r="I160" i="25"/>
  <c r="F26" i="18"/>
  <c r="G26" i="18"/>
  <c r="L187" i="18"/>
  <c r="L179" i="18"/>
  <c r="M179" i="18"/>
  <c r="L99" i="18"/>
  <c r="O36" i="18"/>
  <c r="I256" i="18"/>
  <c r="J256" i="18"/>
  <c r="I224" i="18"/>
  <c r="O188" i="18"/>
  <c r="P188" i="18"/>
  <c r="I152" i="18"/>
  <c r="I54" i="18"/>
  <c r="J54" i="18"/>
  <c r="O30" i="18"/>
  <c r="Q30" i="18"/>
  <c r="H239" i="19"/>
  <c r="I239" i="19"/>
  <c r="H207" i="19"/>
  <c r="H149" i="19"/>
  <c r="I149" i="19"/>
  <c r="L149" i="19"/>
  <c r="H70" i="19"/>
  <c r="I70" i="19"/>
  <c r="H41" i="19"/>
  <c r="I203" i="25"/>
  <c r="F101" i="18"/>
  <c r="G101" i="18"/>
  <c r="I264" i="18"/>
  <c r="I206" i="18"/>
  <c r="O130" i="18"/>
  <c r="P130" i="18"/>
  <c r="H253" i="19"/>
  <c r="I253" i="19"/>
  <c r="H181" i="19"/>
  <c r="H61" i="19"/>
  <c r="I61" i="19"/>
  <c r="G21" i="25"/>
  <c r="I21" i="25"/>
  <c r="H20" i="19"/>
  <c r="I20" i="19"/>
  <c r="L20" i="19"/>
  <c r="G77" i="25"/>
  <c r="I77" i="25"/>
  <c r="I158" i="25"/>
  <c r="I171" i="25"/>
  <c r="I179" i="25"/>
  <c r="I223" i="25"/>
  <c r="F83" i="18"/>
  <c r="G83" i="18"/>
  <c r="L268" i="18"/>
  <c r="M268" i="18"/>
  <c r="L247" i="18"/>
  <c r="O211" i="18"/>
  <c r="L52" i="18"/>
  <c r="O121" i="18"/>
  <c r="P121" i="18"/>
  <c r="H182" i="19"/>
  <c r="I182" i="19"/>
  <c r="L182" i="19"/>
  <c r="H164" i="19"/>
  <c r="H116" i="19"/>
  <c r="I116" i="19"/>
  <c r="H68" i="19"/>
  <c r="I68" i="19"/>
  <c r="L68" i="19"/>
  <c r="H47" i="19"/>
  <c r="J129" i="22"/>
  <c r="K129" i="22"/>
  <c r="S143" i="22"/>
  <c r="J143" i="22"/>
  <c r="K143" i="22"/>
  <c r="J195" i="22"/>
  <c r="K195" i="22"/>
  <c r="S33" i="22"/>
  <c r="J33" i="22"/>
  <c r="K33" i="22"/>
  <c r="J226" i="22"/>
  <c r="K226" i="22"/>
  <c r="S226" i="22"/>
  <c r="J62" i="22"/>
  <c r="K62" i="22"/>
  <c r="J207" i="22"/>
  <c r="K207" i="22"/>
  <c r="S199" i="22"/>
  <c r="J67" i="22"/>
  <c r="K67" i="22"/>
  <c r="S67" i="22"/>
  <c r="J158" i="22"/>
  <c r="K158" i="22"/>
  <c r="J151" i="22"/>
  <c r="K151" i="22"/>
  <c r="S151" i="22"/>
  <c r="J95" i="22"/>
  <c r="K95" i="22"/>
  <c r="S95" i="22"/>
  <c r="J194" i="22"/>
  <c r="K194" i="22"/>
  <c r="J96" i="22"/>
  <c r="K96" i="22"/>
  <c r="S96" i="22"/>
  <c r="S124" i="22"/>
  <c r="J124" i="22"/>
  <c r="K124" i="22"/>
  <c r="Q151" i="22"/>
  <c r="S90" i="22"/>
  <c r="J74" i="22"/>
  <c r="K74" i="22"/>
  <c r="S220" i="22"/>
  <c r="Q90" i="22"/>
  <c r="Q207" i="22"/>
  <c r="S207" i="22"/>
  <c r="R163" i="22"/>
  <c r="R214" i="22"/>
  <c r="Q194" i="22"/>
  <c r="S194" i="22"/>
  <c r="S145" i="22"/>
  <c r="J34" i="22"/>
  <c r="K34" i="22"/>
  <c r="S34" i="22"/>
  <c r="R187" i="22"/>
  <c r="S249" i="22"/>
  <c r="J249" i="22"/>
  <c r="K249" i="22"/>
  <c r="R17" i="22"/>
  <c r="Q17" i="22"/>
  <c r="S108" i="22"/>
  <c r="J14" i="22"/>
  <c r="K14" i="22"/>
  <c r="S14" i="22"/>
  <c r="J130" i="22"/>
  <c r="K130" i="22"/>
  <c r="S130" i="22"/>
  <c r="S76" i="22"/>
  <c r="J103" i="22"/>
  <c r="K103" i="22"/>
  <c r="J117" i="22"/>
  <c r="K117" i="22"/>
  <c r="J186" i="22"/>
  <c r="K186" i="22"/>
  <c r="J217" i="22"/>
  <c r="K217" i="22"/>
  <c r="S177" i="22"/>
  <c r="S149" i="22"/>
  <c r="J88" i="22"/>
  <c r="K88" i="22"/>
  <c r="S32" i="22"/>
  <c r="J90" i="22"/>
  <c r="K90" i="22"/>
  <c r="Q62" i="22"/>
  <c r="S62" i="22"/>
  <c r="S181" i="22"/>
  <c r="S193" i="22"/>
  <c r="R141" i="22"/>
  <c r="S43" i="22"/>
  <c r="J43" i="22"/>
  <c r="K43" i="22"/>
  <c r="R215" i="22"/>
  <c r="Q195" i="22"/>
  <c r="S195" i="22"/>
  <c r="S28" i="22"/>
  <c r="Q230" i="22"/>
  <c r="R179" i="22"/>
  <c r="Q179" i="22"/>
  <c r="R21" i="22"/>
  <c r="S184" i="22"/>
  <c r="J29" i="22"/>
  <c r="K29" i="22"/>
  <c r="J60" i="22"/>
  <c r="K60" i="22"/>
  <c r="J180" i="22"/>
  <c r="K180" i="22"/>
  <c r="J20" i="22"/>
  <c r="K20" i="22"/>
  <c r="J77" i="22"/>
  <c r="K77" i="22"/>
  <c r="J57" i="22"/>
  <c r="K57" i="22"/>
  <c r="J162" i="22"/>
  <c r="K162" i="22"/>
  <c r="J89" i="22"/>
  <c r="K89" i="22"/>
  <c r="S89" i="22"/>
  <c r="S128" i="22"/>
  <c r="S126" i="22"/>
  <c r="Q94" i="22"/>
  <c r="R83" i="22"/>
  <c r="R75" i="22"/>
  <c r="J168" i="22"/>
  <c r="K168" i="22"/>
  <c r="S168" i="22"/>
  <c r="Q211" i="22"/>
  <c r="S211" i="22"/>
  <c r="Q204" i="22"/>
  <c r="S204" i="22"/>
  <c r="R111" i="22"/>
  <c r="Q55" i="22"/>
  <c r="R55" i="22"/>
  <c r="S174" i="22"/>
  <c r="J66" i="22"/>
  <c r="K66" i="22"/>
  <c r="S8" i="22"/>
  <c r="S118" i="22"/>
  <c r="S191" i="22"/>
  <c r="S44" i="22"/>
  <c r="S229" i="22"/>
  <c r="J116" i="22"/>
  <c r="K116" i="22"/>
  <c r="S15" i="22"/>
  <c r="J46" i="22"/>
  <c r="K46" i="22"/>
  <c r="S46" i="22"/>
  <c r="R31" i="22"/>
  <c r="R183" i="22"/>
  <c r="Q246" i="22"/>
  <c r="S246" i="22"/>
  <c r="R245" i="22"/>
  <c r="S165" i="22"/>
  <c r="Q142" i="22"/>
  <c r="S142" i="22"/>
  <c r="R70" i="22"/>
  <c r="S230" i="22"/>
  <c r="J19" i="22"/>
  <c r="K19" i="22"/>
  <c r="Q199" i="22"/>
  <c r="Q133" i="22"/>
  <c r="S133" i="22"/>
  <c r="Q129" i="22"/>
  <c r="S129" i="22"/>
  <c r="Q158" i="22"/>
  <c r="S158" i="22"/>
  <c r="Q132" i="22"/>
  <c r="R132" i="22"/>
  <c r="S94" i="22"/>
  <c r="J155" i="22"/>
  <c r="K155" i="22"/>
  <c r="J76" i="22"/>
  <c r="K76" i="22"/>
  <c r="S64" i="22"/>
  <c r="J68" i="22"/>
  <c r="K68" i="22"/>
  <c r="J134" i="22"/>
  <c r="K134" i="22"/>
  <c r="J208" i="22"/>
  <c r="K208" i="22"/>
  <c r="J127" i="22"/>
  <c r="K127" i="22"/>
  <c r="S242" i="22"/>
  <c r="Q77" i="22"/>
  <c r="S77" i="22"/>
  <c r="R148" i="22"/>
  <c r="Q27" i="22"/>
  <c r="S27" i="22"/>
  <c r="S22" i="22"/>
  <c r="J22" i="22"/>
  <c r="K22" i="22"/>
  <c r="S189" i="22"/>
  <c r="S47" i="22"/>
  <c r="Q16" i="22"/>
  <c r="R16" i="22"/>
  <c r="V9" i="21"/>
  <c r="J106" i="22"/>
  <c r="K106" i="22"/>
  <c r="S232" i="22"/>
  <c r="J232" i="22"/>
  <c r="K232" i="22"/>
  <c r="S72" i="22"/>
  <c r="S13" i="22"/>
  <c r="J250" i="22"/>
  <c r="K250" i="22"/>
  <c r="S250" i="22"/>
  <c r="S45" i="22"/>
  <c r="S237" i="22"/>
  <c r="Q250" i="22"/>
  <c r="V3" i="21"/>
  <c r="J6" i="22"/>
  <c r="K6" i="22"/>
  <c r="R269" i="21"/>
  <c r="S269" i="21"/>
  <c r="R262" i="21"/>
  <c r="S262" i="21"/>
  <c r="R254" i="21"/>
  <c r="S254" i="21"/>
  <c r="R257" i="21"/>
  <c r="S257" i="21"/>
  <c r="R241" i="21"/>
  <c r="S241" i="21"/>
  <c r="R251" i="21"/>
  <c r="S251" i="21"/>
  <c r="R261" i="21"/>
  <c r="S261" i="21"/>
  <c r="R265" i="21"/>
  <c r="S265" i="21"/>
  <c r="R264" i="21"/>
  <c r="S264" i="21"/>
  <c r="R250" i="21"/>
  <c r="S250" i="21"/>
  <c r="R239" i="21"/>
  <c r="S239" i="21"/>
  <c r="R246" i="21"/>
  <c r="S246" i="21"/>
  <c r="R244" i="21"/>
  <c r="S244" i="21"/>
  <c r="R270" i="21"/>
  <c r="S270" i="21"/>
  <c r="R249" i="21"/>
  <c r="S249" i="21"/>
  <c r="R247" i="21"/>
  <c r="S247" i="21"/>
  <c r="R260" i="21"/>
  <c r="S260" i="21"/>
  <c r="R252" i="21"/>
  <c r="S252" i="21"/>
  <c r="R258" i="21"/>
  <c r="S258" i="21"/>
  <c r="R253" i="21"/>
  <c r="S253" i="21"/>
  <c r="R263" i="21"/>
  <c r="S263" i="21"/>
  <c r="R256" i="21"/>
  <c r="S256" i="21"/>
  <c r="R67" i="1"/>
  <c r="R8" i="1"/>
  <c r="R16" i="1"/>
  <c r="R24" i="1"/>
  <c r="R32" i="1"/>
  <c r="R40" i="1"/>
  <c r="R48" i="1"/>
  <c r="R56" i="1"/>
  <c r="R64" i="1"/>
  <c r="R72" i="1"/>
  <c r="R80" i="1"/>
  <c r="R88" i="1"/>
  <c r="R96" i="1"/>
  <c r="R104" i="1"/>
  <c r="R112" i="1"/>
  <c r="R120" i="1"/>
  <c r="R128" i="1"/>
  <c r="R136" i="1"/>
  <c r="R144" i="1"/>
  <c r="R152" i="1"/>
  <c r="R160" i="1"/>
  <c r="R168" i="1"/>
  <c r="R176" i="1"/>
  <c r="R184" i="1"/>
  <c r="R192" i="1"/>
  <c r="R200" i="1"/>
  <c r="R208" i="1"/>
  <c r="R216" i="1"/>
  <c r="R7" i="1"/>
  <c r="R15" i="1"/>
  <c r="R23" i="1"/>
  <c r="R31" i="1"/>
  <c r="R39" i="1"/>
  <c r="R47" i="1"/>
  <c r="R55" i="1"/>
  <c r="R63" i="1"/>
  <c r="R71" i="1"/>
  <c r="R79" i="1"/>
  <c r="R87" i="1"/>
  <c r="R95" i="1"/>
  <c r="R103" i="1"/>
  <c r="R111" i="1"/>
  <c r="R119" i="1"/>
  <c r="R127" i="1"/>
  <c r="R135" i="1"/>
  <c r="R143" i="1"/>
  <c r="R151" i="1"/>
  <c r="R159" i="1"/>
  <c r="R167" i="1"/>
  <c r="R175" i="1"/>
  <c r="R183" i="1"/>
  <c r="R191" i="1"/>
  <c r="R199" i="1"/>
  <c r="R207" i="1"/>
  <c r="R215" i="1"/>
  <c r="R14" i="1"/>
  <c r="R22" i="1"/>
  <c r="R30" i="1"/>
  <c r="R38" i="1"/>
  <c r="R46" i="1"/>
  <c r="R54" i="1"/>
  <c r="R62" i="1"/>
  <c r="R70" i="1"/>
  <c r="R78" i="1"/>
  <c r="R86" i="1"/>
  <c r="R94" i="1"/>
  <c r="R102" i="1"/>
  <c r="R110" i="1"/>
  <c r="R118" i="1"/>
  <c r="R126" i="1"/>
  <c r="R134" i="1"/>
  <c r="R142" i="1"/>
  <c r="R150" i="1"/>
  <c r="R158" i="1"/>
  <c r="R166" i="1"/>
  <c r="R174" i="1"/>
  <c r="R182" i="1"/>
  <c r="R13" i="1"/>
  <c r="R21" i="1"/>
  <c r="R29" i="1"/>
  <c r="R37" i="1"/>
  <c r="R45" i="1"/>
  <c r="R53" i="1"/>
  <c r="R61" i="1"/>
  <c r="R69" i="1"/>
  <c r="R77" i="1"/>
  <c r="R85" i="1"/>
  <c r="R93" i="1"/>
  <c r="R101" i="1"/>
  <c r="R109" i="1"/>
  <c r="R117" i="1"/>
  <c r="R125" i="1"/>
  <c r="R133" i="1"/>
  <c r="R141" i="1"/>
  <c r="R149" i="1"/>
  <c r="R157" i="1"/>
  <c r="R165" i="1"/>
  <c r="R173" i="1"/>
  <c r="R181" i="1"/>
  <c r="R189" i="1"/>
  <c r="R197" i="1"/>
  <c r="R205" i="1"/>
  <c r="R213" i="1"/>
  <c r="R221" i="1"/>
  <c r="R229" i="1"/>
  <c r="R12" i="1"/>
  <c r="R20" i="1"/>
  <c r="R28" i="1"/>
  <c r="R36" i="1"/>
  <c r="R44" i="1"/>
  <c r="R52" i="1"/>
  <c r="R60" i="1"/>
  <c r="R68" i="1"/>
  <c r="R76" i="1"/>
  <c r="R84" i="1"/>
  <c r="R92" i="1"/>
  <c r="R100" i="1"/>
  <c r="R108" i="1"/>
  <c r="R116" i="1"/>
  <c r="R124" i="1"/>
  <c r="R132" i="1"/>
  <c r="R140" i="1"/>
  <c r="R148" i="1"/>
  <c r="R156" i="1"/>
  <c r="R164" i="1"/>
  <c r="R172" i="1"/>
  <c r="R180" i="1"/>
  <c r="R188" i="1"/>
  <c r="R196" i="1"/>
  <c r="R204" i="1"/>
  <c r="R212" i="1"/>
  <c r="R10" i="1"/>
  <c r="R18" i="1"/>
  <c r="R26" i="1"/>
  <c r="R34" i="1"/>
  <c r="R42" i="1"/>
  <c r="R50" i="1"/>
  <c r="R58" i="1"/>
  <c r="R66" i="1"/>
  <c r="R74" i="1"/>
  <c r="R82" i="1"/>
  <c r="R90" i="1"/>
  <c r="R98" i="1"/>
  <c r="R106" i="1"/>
  <c r="R114" i="1"/>
  <c r="R122" i="1"/>
  <c r="R130" i="1"/>
  <c r="R138" i="1"/>
  <c r="R146" i="1"/>
  <c r="R154" i="1"/>
  <c r="R162" i="1"/>
  <c r="R170" i="1"/>
  <c r="R178" i="1"/>
  <c r="R186" i="1"/>
  <c r="R194" i="1"/>
  <c r="R202" i="1"/>
  <c r="R210" i="1"/>
  <c r="R218" i="1"/>
  <c r="R226" i="1"/>
  <c r="R9" i="1"/>
  <c r="R17" i="1"/>
  <c r="R25" i="1"/>
  <c r="R33" i="1"/>
  <c r="R41" i="1"/>
  <c r="R49" i="1"/>
  <c r="R57" i="1"/>
  <c r="R65" i="1"/>
  <c r="R73" i="1"/>
  <c r="R81" i="1"/>
  <c r="R89" i="1"/>
  <c r="R97" i="1"/>
  <c r="R105" i="1"/>
  <c r="R113" i="1"/>
  <c r="R121" i="1"/>
  <c r="R129" i="1"/>
  <c r="R137" i="1"/>
  <c r="R51" i="1"/>
  <c r="R115" i="1"/>
  <c r="R161" i="1"/>
  <c r="R234" i="1"/>
  <c r="R242" i="1"/>
  <c r="R250" i="1"/>
  <c r="R258" i="1"/>
  <c r="R11" i="1"/>
  <c r="R75" i="1"/>
  <c r="R139" i="1"/>
  <c r="R171" i="1"/>
  <c r="R224" i="1"/>
  <c r="R228" i="1"/>
  <c r="R233" i="1"/>
  <c r="R241" i="1"/>
  <c r="R249" i="1"/>
  <c r="R257" i="1"/>
  <c r="R6" i="1"/>
  <c r="R35" i="1"/>
  <c r="R99" i="1"/>
  <c r="R153" i="1"/>
  <c r="R185" i="1"/>
  <c r="R193" i="1"/>
  <c r="R219" i="1"/>
  <c r="R223" i="1"/>
  <c r="R240" i="1"/>
  <c r="R248" i="1"/>
  <c r="R256" i="1"/>
  <c r="R59" i="1"/>
  <c r="R123" i="1"/>
  <c r="R163" i="1"/>
  <c r="R190" i="1"/>
  <c r="R201" i="1"/>
  <c r="R232" i="1"/>
  <c r="R239" i="1"/>
  <c r="R247" i="1"/>
  <c r="R255" i="1"/>
  <c r="R19" i="1"/>
  <c r="R83" i="1"/>
  <c r="R145" i="1"/>
  <c r="R177" i="1"/>
  <c r="R198" i="1"/>
  <c r="R209" i="1"/>
  <c r="R222" i="1"/>
  <c r="R227" i="1"/>
  <c r="R231" i="1"/>
  <c r="R238" i="1"/>
  <c r="R246" i="1"/>
  <c r="R254" i="1"/>
  <c r="R43" i="1"/>
  <c r="R107" i="1"/>
  <c r="R155" i="1"/>
  <c r="R187" i="1"/>
  <c r="R195" i="1"/>
  <c r="R206" i="1"/>
  <c r="R217" i="1"/>
  <c r="R237" i="1"/>
  <c r="R245" i="1"/>
  <c r="R253" i="1"/>
  <c r="R252" i="1"/>
  <c r="R230" i="1"/>
  <c r="R235" i="1"/>
  <c r="R147" i="1"/>
  <c r="S67" i="1"/>
  <c r="J67" i="1"/>
  <c r="K67" i="1"/>
  <c r="R243" i="1"/>
  <c r="R179" i="1"/>
  <c r="R236" i="1"/>
  <c r="R211" i="1"/>
  <c r="R131" i="1"/>
  <c r="R251" i="1"/>
  <c r="R220" i="1"/>
  <c r="R27" i="1"/>
  <c r="R244" i="1"/>
  <c r="R203" i="1"/>
  <c r="R169" i="1"/>
  <c r="Q4" i="1"/>
  <c r="R225" i="1"/>
  <c r="R214" i="1"/>
  <c r="R91" i="1"/>
  <c r="E14" i="4"/>
  <c r="E16" i="4"/>
  <c r="E15" i="4"/>
  <c r="Q63" i="18"/>
  <c r="P63" i="18"/>
  <c r="Q237" i="18"/>
  <c r="Q76" i="18"/>
  <c r="Q59" i="18"/>
  <c r="P59" i="18"/>
  <c r="P116" i="18"/>
  <c r="P106" i="18"/>
  <c r="P146" i="18"/>
  <c r="O38" i="18"/>
  <c r="J38" i="18"/>
  <c r="G146" i="19"/>
  <c r="H146" i="19"/>
  <c r="I146" i="19"/>
  <c r="L146" i="19"/>
  <c r="L166" i="18"/>
  <c r="G138" i="25"/>
  <c r="I138" i="25"/>
  <c r="Q134" i="18"/>
  <c r="P134" i="18"/>
  <c r="J231" i="18"/>
  <c r="O231" i="18"/>
  <c r="J129" i="18"/>
  <c r="O129" i="18"/>
  <c r="Q121" i="18"/>
  <c r="G178" i="19"/>
  <c r="H178" i="19"/>
  <c r="I178" i="19"/>
  <c r="L178" i="19"/>
  <c r="L198" i="18"/>
  <c r="G170" i="25"/>
  <c r="I170" i="25"/>
  <c r="M32" i="18"/>
  <c r="O32" i="18"/>
  <c r="Q170" i="18"/>
  <c r="I243" i="18"/>
  <c r="F223" i="19"/>
  <c r="H223" i="19"/>
  <c r="I223" i="19"/>
  <c r="L223" i="19"/>
  <c r="E218" i="19"/>
  <c r="F238" i="18"/>
  <c r="G238" i="18"/>
  <c r="E235" i="19"/>
  <c r="F255" i="18"/>
  <c r="G255" i="18"/>
  <c r="G233" i="19"/>
  <c r="G231" i="25"/>
  <c r="I231" i="25"/>
  <c r="L253" i="18"/>
  <c r="G231" i="19"/>
  <c r="H231" i="19"/>
  <c r="G229" i="25"/>
  <c r="I229" i="25"/>
  <c r="L251" i="18"/>
  <c r="P75" i="18"/>
  <c r="Q75" i="18"/>
  <c r="P155" i="18"/>
  <c r="Q217" i="18"/>
  <c r="P217" i="18"/>
  <c r="E247" i="19"/>
  <c r="F267" i="18"/>
  <c r="O157" i="18"/>
  <c r="O148" i="18"/>
  <c r="G243" i="19"/>
  <c r="G242" i="25"/>
  <c r="I242" i="25"/>
  <c r="L263" i="18"/>
  <c r="G218" i="19"/>
  <c r="H218" i="19"/>
  <c r="I218" i="19"/>
  <c r="L218" i="19"/>
  <c r="L238" i="18"/>
  <c r="G213" i="25"/>
  <c r="I213" i="25"/>
  <c r="L208" i="18"/>
  <c r="G188" i="19"/>
  <c r="H188" i="19"/>
  <c r="I188" i="19"/>
  <c r="G180" i="25"/>
  <c r="I180" i="25"/>
  <c r="H172" i="19"/>
  <c r="L176" i="18"/>
  <c r="G156" i="19"/>
  <c r="H156" i="19"/>
  <c r="I156" i="19"/>
  <c r="H140" i="19"/>
  <c r="G134" i="19"/>
  <c r="H134" i="19"/>
  <c r="L154" i="18"/>
  <c r="F120" i="19"/>
  <c r="H120" i="19"/>
  <c r="I120" i="19"/>
  <c r="I140" i="18"/>
  <c r="F89" i="19"/>
  <c r="H89" i="19"/>
  <c r="I89" i="19"/>
  <c r="L89" i="19"/>
  <c r="I109" i="18"/>
  <c r="F37" i="19"/>
  <c r="I57" i="18"/>
  <c r="J57" i="18"/>
  <c r="G14" i="19"/>
  <c r="L34" i="18"/>
  <c r="F235" i="19"/>
  <c r="G234" i="25"/>
  <c r="I234" i="25"/>
  <c r="F223" i="18"/>
  <c r="G223" i="18"/>
  <c r="E203" i="19"/>
  <c r="F191" i="18"/>
  <c r="G191" i="18"/>
  <c r="E171" i="19"/>
  <c r="I91" i="19"/>
  <c r="J130" i="18"/>
  <c r="G86" i="18"/>
  <c r="O270" i="18"/>
  <c r="I73" i="25"/>
  <c r="I80" i="25"/>
  <c r="I132" i="25"/>
  <c r="O164" i="18"/>
  <c r="Q164" i="18"/>
  <c r="I88" i="18"/>
  <c r="F237" i="19"/>
  <c r="H237" i="19"/>
  <c r="I257" i="18"/>
  <c r="L240" i="18"/>
  <c r="M240" i="18"/>
  <c r="G220" i="19"/>
  <c r="F231" i="18"/>
  <c r="G231" i="18"/>
  <c r="E211" i="19"/>
  <c r="H199" i="19"/>
  <c r="I199" i="19"/>
  <c r="E189" i="19"/>
  <c r="F209" i="18"/>
  <c r="E157" i="19"/>
  <c r="I157" i="19"/>
  <c r="L157" i="19"/>
  <c r="F177" i="18"/>
  <c r="F78" i="19"/>
  <c r="H78" i="19"/>
  <c r="I78" i="19"/>
  <c r="L78" i="19"/>
  <c r="I98" i="18"/>
  <c r="L79" i="18"/>
  <c r="G59" i="19"/>
  <c r="H59" i="19"/>
  <c r="I59" i="19"/>
  <c r="L59" i="19"/>
  <c r="G22" i="19"/>
  <c r="H22" i="19"/>
  <c r="I22" i="19"/>
  <c r="L22" i="19"/>
  <c r="L42" i="18"/>
  <c r="O139" i="18"/>
  <c r="Q139" i="18"/>
  <c r="P64" i="18"/>
  <c r="O156" i="18"/>
  <c r="P156" i="18"/>
  <c r="O254" i="18"/>
  <c r="I197" i="25"/>
  <c r="H238" i="19"/>
  <c r="I238" i="19"/>
  <c r="F220" i="19"/>
  <c r="I240" i="18"/>
  <c r="I207" i="19"/>
  <c r="F163" i="19"/>
  <c r="H163" i="19"/>
  <c r="I163" i="19"/>
  <c r="I183" i="18"/>
  <c r="G123" i="19"/>
  <c r="L143" i="18"/>
  <c r="L104" i="18"/>
  <c r="G84" i="19"/>
  <c r="H69" i="19"/>
  <c r="I69" i="19"/>
  <c r="L69" i="19"/>
  <c r="F40" i="19"/>
  <c r="H40" i="19"/>
  <c r="I40" i="19"/>
  <c r="I60" i="18"/>
  <c r="F212" i="19"/>
  <c r="H212" i="19"/>
  <c r="I212" i="19"/>
  <c r="I232" i="18"/>
  <c r="J232" i="18"/>
  <c r="I168" i="18"/>
  <c r="F148" i="19"/>
  <c r="H148" i="19"/>
  <c r="I148" i="19"/>
  <c r="H14" i="19"/>
  <c r="I14" i="19"/>
  <c r="Q83" i="18"/>
  <c r="O204" i="18"/>
  <c r="P204" i="18"/>
  <c r="O252" i="18"/>
  <c r="P252" i="18"/>
  <c r="Q69" i="18"/>
  <c r="G88" i="25"/>
  <c r="I88" i="25"/>
  <c r="L221" i="18"/>
  <c r="L266" i="18"/>
  <c r="M266" i="18"/>
  <c r="G246" i="19"/>
  <c r="L248" i="18"/>
  <c r="G228" i="19"/>
  <c r="H228" i="19"/>
  <c r="I228" i="19"/>
  <c r="F205" i="19"/>
  <c r="H205" i="19"/>
  <c r="I205" i="19"/>
  <c r="L205" i="19"/>
  <c r="G199" i="25"/>
  <c r="I199" i="25"/>
  <c r="I225" i="18"/>
  <c r="F97" i="19"/>
  <c r="H97" i="19"/>
  <c r="I97" i="19"/>
  <c r="I117" i="18"/>
  <c r="I84" i="18"/>
  <c r="F64" i="19"/>
  <c r="H64" i="19"/>
  <c r="I64" i="19"/>
  <c r="L64" i="19"/>
  <c r="F180" i="19"/>
  <c r="H180" i="19"/>
  <c r="I180" i="19"/>
  <c r="I200" i="18"/>
  <c r="F159" i="18"/>
  <c r="G159" i="18"/>
  <c r="E139" i="19"/>
  <c r="P265" i="18"/>
  <c r="Q61" i="18"/>
  <c r="I255" i="18"/>
  <c r="F246" i="19"/>
  <c r="I266" i="18"/>
  <c r="E221" i="19"/>
  <c r="F241" i="18"/>
  <c r="I235" i="18"/>
  <c r="F215" i="19"/>
  <c r="H215" i="19"/>
  <c r="I215" i="19"/>
  <c r="H206" i="19"/>
  <c r="I206" i="19"/>
  <c r="I203" i="18"/>
  <c r="F183" i="19"/>
  <c r="H183" i="19"/>
  <c r="I183" i="19"/>
  <c r="L183" i="19"/>
  <c r="F173" i="19"/>
  <c r="H173" i="19"/>
  <c r="I173" i="19"/>
  <c r="L173" i="19"/>
  <c r="I193" i="18"/>
  <c r="F141" i="19"/>
  <c r="H141" i="19"/>
  <c r="I141" i="19"/>
  <c r="I161" i="18"/>
  <c r="F131" i="19"/>
  <c r="H131" i="19"/>
  <c r="I131" i="19"/>
  <c r="L131" i="19"/>
  <c r="I151" i="18"/>
  <c r="F105" i="18"/>
  <c r="Q105" i="18"/>
  <c r="E85" i="19"/>
  <c r="I85" i="19"/>
  <c r="I68" i="18"/>
  <c r="F48" i="19"/>
  <c r="H48" i="19"/>
  <c r="I48" i="19"/>
  <c r="L48" i="19"/>
  <c r="H43" i="19"/>
  <c r="I43" i="19"/>
  <c r="L43" i="19"/>
  <c r="H21" i="19"/>
  <c r="I21" i="19"/>
  <c r="H11" i="19"/>
  <c r="I11" i="19"/>
  <c r="L11" i="19"/>
  <c r="I111" i="18"/>
  <c r="I268" i="18"/>
  <c r="G247" i="25"/>
  <c r="I247" i="25"/>
  <c r="F248" i="19"/>
  <c r="H248" i="19"/>
  <c r="I248" i="19"/>
  <c r="E241" i="19"/>
  <c r="I241" i="19"/>
  <c r="L241" i="19"/>
  <c r="F261" i="18"/>
  <c r="G261" i="18"/>
  <c r="E229" i="19"/>
  <c r="I229" i="19"/>
  <c r="L229" i="19"/>
  <c r="F249" i="18"/>
  <c r="G249" i="18"/>
  <c r="F213" i="19"/>
  <c r="H213" i="19"/>
  <c r="I213" i="19"/>
  <c r="L213" i="19"/>
  <c r="I233" i="18"/>
  <c r="G204" i="25"/>
  <c r="I204" i="25"/>
  <c r="G210" i="19"/>
  <c r="H210" i="19"/>
  <c r="I210" i="19"/>
  <c r="L210" i="19"/>
  <c r="L230" i="18"/>
  <c r="M230" i="18"/>
  <c r="I135" i="18"/>
  <c r="F115" i="19"/>
  <c r="H115" i="19"/>
  <c r="G81" i="19"/>
  <c r="H81" i="19"/>
  <c r="I81" i="19"/>
  <c r="L81" i="19"/>
  <c r="L101" i="18"/>
  <c r="F95" i="18"/>
  <c r="G95" i="18"/>
  <c r="E75" i="19"/>
  <c r="L71" i="18"/>
  <c r="O71" i="18"/>
  <c r="P71" i="18"/>
  <c r="G51" i="19"/>
  <c r="H51" i="19"/>
  <c r="I51" i="19"/>
  <c r="L51" i="19"/>
  <c r="H230" i="19"/>
  <c r="I230" i="19"/>
  <c r="H198" i="19"/>
  <c r="I198" i="19"/>
  <c r="H166" i="19"/>
  <c r="I166" i="19"/>
  <c r="L166" i="19"/>
  <c r="H106" i="19"/>
  <c r="I106" i="19"/>
  <c r="L106" i="19"/>
  <c r="H77" i="19"/>
  <c r="I77" i="19"/>
  <c r="L77" i="19"/>
  <c r="H67" i="19"/>
  <c r="I67" i="19"/>
  <c r="I185" i="25"/>
  <c r="G74" i="19"/>
  <c r="H74" i="19"/>
  <c r="O48" i="18"/>
  <c r="H251" i="19"/>
  <c r="I251" i="19"/>
  <c r="L251" i="19"/>
  <c r="H234" i="19"/>
  <c r="I234" i="19"/>
  <c r="L234" i="19"/>
  <c r="H202" i="19"/>
  <c r="I202" i="19"/>
  <c r="L202" i="19"/>
  <c r="H185" i="19"/>
  <c r="I185" i="19"/>
  <c r="L185" i="19"/>
  <c r="H170" i="19"/>
  <c r="I170" i="19"/>
  <c r="L170" i="19"/>
  <c r="H153" i="19"/>
  <c r="I153" i="19"/>
  <c r="L153" i="19"/>
  <c r="H133" i="19"/>
  <c r="I133" i="19"/>
  <c r="L133" i="19"/>
  <c r="H112" i="19"/>
  <c r="I112" i="19"/>
  <c r="L112" i="19"/>
  <c r="H99" i="19"/>
  <c r="I99" i="19"/>
  <c r="L99" i="19"/>
  <c r="H73" i="19"/>
  <c r="I73" i="19"/>
  <c r="L73" i="19"/>
  <c r="H58" i="19"/>
  <c r="I58" i="19"/>
  <c r="L58" i="19"/>
  <c r="H46" i="19"/>
  <c r="I46" i="19"/>
  <c r="H34" i="19"/>
  <c r="I34" i="19"/>
  <c r="L34" i="19"/>
  <c r="H243" i="19"/>
  <c r="I243" i="19"/>
  <c r="H191" i="19"/>
  <c r="I189" i="19"/>
  <c r="L189" i="19"/>
  <c r="H159" i="19"/>
  <c r="I159" i="19"/>
  <c r="L159" i="19"/>
  <c r="H136" i="19"/>
  <c r="I136" i="19"/>
  <c r="L136" i="19"/>
  <c r="H123" i="19"/>
  <c r="I123" i="19"/>
  <c r="L123" i="19"/>
  <c r="H87" i="19"/>
  <c r="I87" i="19"/>
  <c r="L87" i="19"/>
  <c r="H28" i="19"/>
  <c r="I28" i="19"/>
  <c r="H184" i="19"/>
  <c r="I184" i="19"/>
  <c r="H152" i="19"/>
  <c r="H139" i="19"/>
  <c r="H75" i="19"/>
  <c r="H54" i="19"/>
  <c r="I54" i="19"/>
  <c r="L54" i="19"/>
  <c r="H49" i="19"/>
  <c r="H44" i="19"/>
  <c r="I44" i="19"/>
  <c r="L44" i="19"/>
  <c r="H25" i="19"/>
  <c r="I25" i="19"/>
  <c r="L25" i="19"/>
  <c r="H17" i="19"/>
  <c r="I17" i="19"/>
  <c r="L17" i="19"/>
  <c r="H12" i="19"/>
  <c r="I12" i="19"/>
  <c r="L12" i="19"/>
  <c r="H9" i="19"/>
  <c r="I9" i="19"/>
  <c r="L9" i="19"/>
  <c r="Q89" i="18"/>
  <c r="O269" i="18"/>
  <c r="H249" i="19"/>
  <c r="I249" i="19"/>
  <c r="L249" i="19"/>
  <c r="H233" i="19"/>
  <c r="I233" i="19"/>
  <c r="L233" i="19"/>
  <c r="H186" i="19"/>
  <c r="I186" i="19"/>
  <c r="L186" i="19"/>
  <c r="H169" i="19"/>
  <c r="I169" i="19"/>
  <c r="L169" i="19"/>
  <c r="H154" i="19"/>
  <c r="I154" i="19"/>
  <c r="L154" i="19"/>
  <c r="H111" i="19"/>
  <c r="I111" i="19"/>
  <c r="H72" i="19"/>
  <c r="I72" i="19"/>
  <c r="L72" i="19"/>
  <c r="H60" i="19"/>
  <c r="I60" i="19"/>
  <c r="H222" i="19"/>
  <c r="I222" i="19"/>
  <c r="L222" i="19"/>
  <c r="H158" i="19"/>
  <c r="I158" i="19"/>
  <c r="L158" i="19"/>
  <c r="I138" i="19"/>
  <c r="H132" i="19"/>
  <c r="I132" i="19"/>
  <c r="I126" i="19"/>
  <c r="L126" i="19"/>
  <c r="H124" i="19"/>
  <c r="I124" i="19"/>
  <c r="I119" i="19"/>
  <c r="L119" i="19"/>
  <c r="H117" i="19"/>
  <c r="I117" i="19"/>
  <c r="H101" i="19"/>
  <c r="I101" i="19"/>
  <c r="L101" i="19"/>
  <c r="H98" i="19"/>
  <c r="I98" i="19"/>
  <c r="H88" i="19"/>
  <c r="I88" i="19"/>
  <c r="I47" i="19"/>
  <c r="L47" i="19"/>
  <c r="I41" i="19"/>
  <c r="L41" i="19"/>
  <c r="O272" i="18"/>
  <c r="P272" i="18"/>
  <c r="O256" i="18"/>
  <c r="H226" i="19"/>
  <c r="I226" i="19"/>
  <c r="L226" i="19"/>
  <c r="H209" i="19"/>
  <c r="I209" i="19"/>
  <c r="H194" i="19"/>
  <c r="I194" i="19"/>
  <c r="L194" i="19"/>
  <c r="H162" i="19"/>
  <c r="I162" i="19"/>
  <c r="L162" i="19"/>
  <c r="H145" i="19"/>
  <c r="I145" i="19"/>
  <c r="L145" i="19"/>
  <c r="H137" i="19"/>
  <c r="I137" i="19"/>
  <c r="L137" i="19"/>
  <c r="H135" i="19"/>
  <c r="I135" i="19"/>
  <c r="H130" i="19"/>
  <c r="I130" i="19"/>
  <c r="H102" i="19"/>
  <c r="I102" i="19"/>
  <c r="L102" i="19"/>
  <c r="I53" i="19"/>
  <c r="L53" i="19"/>
  <c r="H33" i="19"/>
  <c r="I33" i="19"/>
  <c r="L33" i="19"/>
  <c r="P119" i="18"/>
  <c r="Q119" i="18"/>
  <c r="P192" i="18"/>
  <c r="Q192" i="18"/>
  <c r="Q204" i="18"/>
  <c r="P220" i="18"/>
  <c r="Q220" i="18"/>
  <c r="P108" i="18"/>
  <c r="Q108" i="18"/>
  <c r="P229" i="18"/>
  <c r="Q229" i="18"/>
  <c r="P44" i="18"/>
  <c r="Q44" i="18"/>
  <c r="J180" i="18"/>
  <c r="O180" i="18"/>
  <c r="P164" i="18"/>
  <c r="O103" i="18"/>
  <c r="J103" i="18"/>
  <c r="F225" i="19"/>
  <c r="H225" i="19"/>
  <c r="G222" i="25"/>
  <c r="I222" i="25"/>
  <c r="I245" i="18"/>
  <c r="F193" i="19"/>
  <c r="H193" i="19"/>
  <c r="I193" i="19"/>
  <c r="G186" i="25"/>
  <c r="I186" i="25"/>
  <c r="I213" i="18"/>
  <c r="F161" i="19"/>
  <c r="H161" i="19"/>
  <c r="I161" i="19"/>
  <c r="I181" i="18"/>
  <c r="G153" i="25"/>
  <c r="I153" i="25"/>
  <c r="Q29" i="18"/>
  <c r="P55" i="18"/>
  <c r="Q78" i="18"/>
  <c r="P131" i="18"/>
  <c r="Q131" i="18"/>
  <c r="Q234" i="18"/>
  <c r="P37" i="18"/>
  <c r="Q37" i="18"/>
  <c r="J196" i="18"/>
  <c r="O196" i="18"/>
  <c r="P31" i="18"/>
  <c r="Q31" i="18"/>
  <c r="Q212" i="18"/>
  <c r="P212" i="18"/>
  <c r="P207" i="18"/>
  <c r="P69" i="18"/>
  <c r="P137" i="18"/>
  <c r="G273" i="18"/>
  <c r="G265" i="18"/>
  <c r="G241" i="18"/>
  <c r="J244" i="18"/>
  <c r="O244" i="18"/>
  <c r="J228" i="18"/>
  <c r="O228" i="18"/>
  <c r="G272" i="18"/>
  <c r="G264" i="18"/>
  <c r="G256" i="18"/>
  <c r="G248" i="18"/>
  <c r="G232" i="18"/>
  <c r="G224" i="18"/>
  <c r="G216" i="18"/>
  <c r="G208" i="18"/>
  <c r="G200" i="18"/>
  <c r="G184" i="18"/>
  <c r="G176" i="18"/>
  <c r="G168" i="18"/>
  <c r="Q160" i="18"/>
  <c r="G160" i="18"/>
  <c r="G152" i="18"/>
  <c r="G144" i="18"/>
  <c r="Q136" i="18"/>
  <c r="G128" i="18"/>
  <c r="G112" i="18"/>
  <c r="G104" i="18"/>
  <c r="G96" i="18"/>
  <c r="Q96" i="18"/>
  <c r="M53" i="18"/>
  <c r="O53" i="18"/>
  <c r="J260" i="18"/>
  <c r="O260" i="18"/>
  <c r="P184" i="18"/>
  <c r="Q184" i="18"/>
  <c r="P163" i="18"/>
  <c r="Q163" i="18"/>
  <c r="Q74" i="18"/>
  <c r="P125" i="18"/>
  <c r="Q125" i="18"/>
  <c r="P95" i="18"/>
  <c r="Q81" i="18"/>
  <c r="G89" i="18"/>
  <c r="G233" i="18"/>
  <c r="M126" i="18"/>
  <c r="O126" i="18"/>
  <c r="M118" i="18"/>
  <c r="O118" i="18"/>
  <c r="F201" i="19"/>
  <c r="H201" i="19"/>
  <c r="I201" i="19"/>
  <c r="G194" i="25"/>
  <c r="I194" i="25"/>
  <c r="L199" i="19"/>
  <c r="L165" i="19"/>
  <c r="L111" i="19"/>
  <c r="O45" i="18"/>
  <c r="J269" i="18"/>
  <c r="G269" i="18"/>
  <c r="G181" i="18"/>
  <c r="G52" i="18"/>
  <c r="G36" i="18"/>
  <c r="M214" i="18"/>
  <c r="O214" i="18"/>
  <c r="M174" i="18"/>
  <c r="O174" i="18"/>
  <c r="J100" i="18"/>
  <c r="O100" i="18"/>
  <c r="L132" i="19"/>
  <c r="L86" i="19"/>
  <c r="L239" i="19"/>
  <c r="L209" i="19"/>
  <c r="L207" i="19"/>
  <c r="L141" i="19"/>
  <c r="L135" i="19"/>
  <c r="G258" i="18"/>
  <c r="G250" i="18"/>
  <c r="L252" i="19"/>
  <c r="L248" i="19"/>
  <c r="F217" i="19"/>
  <c r="H217" i="19"/>
  <c r="G212" i="25"/>
  <c r="I212" i="25"/>
  <c r="L215" i="19"/>
  <c r="L57" i="18"/>
  <c r="G37" i="19"/>
  <c r="G36" i="25"/>
  <c r="I36" i="25"/>
  <c r="G81" i="18"/>
  <c r="I147" i="18"/>
  <c r="F127" i="19"/>
  <c r="H127" i="19"/>
  <c r="I127" i="19"/>
  <c r="G120" i="25"/>
  <c r="I120" i="25"/>
  <c r="F125" i="19"/>
  <c r="H125" i="19"/>
  <c r="I125" i="19"/>
  <c r="I145" i="18"/>
  <c r="G118" i="25"/>
  <c r="I118" i="25"/>
  <c r="L138" i="18"/>
  <c r="G118" i="19"/>
  <c r="H118" i="19"/>
  <c r="I118" i="19"/>
  <c r="G112" i="25"/>
  <c r="I112" i="25"/>
  <c r="L116" i="19"/>
  <c r="L113" i="19"/>
  <c r="L46" i="19"/>
  <c r="F42" i="19"/>
  <c r="H42" i="19"/>
  <c r="I42" i="19"/>
  <c r="I62" i="18"/>
  <c r="L250" i="19"/>
  <c r="H104" i="19"/>
  <c r="I104" i="19"/>
  <c r="H96" i="19"/>
  <c r="I96" i="19"/>
  <c r="H94" i="19"/>
  <c r="I94" i="19"/>
  <c r="L67" i="19"/>
  <c r="L82" i="18"/>
  <c r="G62" i="19"/>
  <c r="H62" i="19"/>
  <c r="I62" i="19"/>
  <c r="F72" i="18"/>
  <c r="E52" i="19"/>
  <c r="I52" i="19"/>
  <c r="L40" i="19"/>
  <c r="L32" i="19"/>
  <c r="AC24" i="18"/>
  <c r="G121" i="19"/>
  <c r="H121" i="19"/>
  <c r="I121" i="19"/>
  <c r="L141" i="18"/>
  <c r="F90" i="19"/>
  <c r="H90" i="19"/>
  <c r="I90" i="19"/>
  <c r="I110" i="18"/>
  <c r="L88" i="19"/>
  <c r="H79" i="19"/>
  <c r="I79" i="19"/>
  <c r="L38" i="19"/>
  <c r="L253" i="19"/>
  <c r="L238" i="19"/>
  <c r="I232" i="19"/>
  <c r="L230" i="19"/>
  <c r="I216" i="19"/>
  <c r="L214" i="19"/>
  <c r="I208" i="19"/>
  <c r="L206" i="19"/>
  <c r="I200" i="19"/>
  <c r="L198" i="19"/>
  <c r="I176" i="19"/>
  <c r="L174" i="19"/>
  <c r="I168" i="19"/>
  <c r="I152" i="19"/>
  <c r="I144" i="19"/>
  <c r="L142" i="19"/>
  <c r="I134" i="19"/>
  <c r="L70" i="19"/>
  <c r="L28" i="19"/>
  <c r="L242" i="19"/>
  <c r="L117" i="19"/>
  <c r="L98" i="19"/>
  <c r="L60" i="19"/>
  <c r="L45" i="19"/>
  <c r="E74" i="19"/>
  <c r="H247" i="19"/>
  <c r="I236" i="19"/>
  <c r="H235" i="19"/>
  <c r="H227" i="19"/>
  <c r="I227" i="19"/>
  <c r="H219" i="19"/>
  <c r="I219" i="19"/>
  <c r="H211" i="19"/>
  <c r="I204" i="19"/>
  <c r="H203" i="19"/>
  <c r="I203" i="19"/>
  <c r="I196" i="19"/>
  <c r="H195" i="19"/>
  <c r="I195" i="19"/>
  <c r="H187" i="19"/>
  <c r="H179" i="19"/>
  <c r="I179" i="19"/>
  <c r="H171" i="19"/>
  <c r="I171" i="19"/>
  <c r="I164" i="19"/>
  <c r="H155" i="19"/>
  <c r="I155" i="19"/>
  <c r="I140" i="19"/>
  <c r="I115" i="19"/>
  <c r="I109" i="19"/>
  <c r="H105" i="19"/>
  <c r="I105" i="19"/>
  <c r="H103" i="19"/>
  <c r="I103" i="19"/>
  <c r="I115" i="18"/>
  <c r="F95" i="19"/>
  <c r="H95" i="19"/>
  <c r="I95" i="19"/>
  <c r="F93" i="19"/>
  <c r="H93" i="19"/>
  <c r="I93" i="19"/>
  <c r="I113" i="18"/>
  <c r="H80" i="19"/>
  <c r="I80" i="19"/>
  <c r="L91" i="18"/>
  <c r="G71" i="19"/>
  <c r="H71" i="19"/>
  <c r="I71" i="19"/>
  <c r="L61" i="19"/>
  <c r="H55" i="19"/>
  <c r="I55" i="19"/>
  <c r="L23" i="19"/>
  <c r="G122" i="25"/>
  <c r="I122" i="25"/>
  <c r="G210" i="25"/>
  <c r="I210" i="25"/>
  <c r="G218" i="25"/>
  <c r="I218" i="25"/>
  <c r="G238" i="25"/>
  <c r="I238" i="25"/>
  <c r="G240" i="25"/>
  <c r="I240" i="25"/>
  <c r="G246" i="25"/>
  <c r="I246" i="25"/>
  <c r="G248" i="25"/>
  <c r="I248" i="25"/>
  <c r="H122" i="19"/>
  <c r="I122" i="19"/>
  <c r="L91" i="19"/>
  <c r="I36" i="19"/>
  <c r="L50" i="18"/>
  <c r="G30" i="19"/>
  <c r="H30" i="19"/>
  <c r="I30" i="19"/>
  <c r="L138" i="19"/>
  <c r="L130" i="19"/>
  <c r="L120" i="19"/>
  <c r="L110" i="19"/>
  <c r="H18" i="19"/>
  <c r="I18" i="19"/>
  <c r="H10" i="19"/>
  <c r="I10" i="19"/>
  <c r="G7" i="19"/>
  <c r="H7" i="19"/>
  <c r="F3" i="25"/>
  <c r="E3" i="25"/>
  <c r="F6" i="19"/>
  <c r="L35" i="19"/>
  <c r="H114" i="19"/>
  <c r="I114" i="19"/>
  <c r="H82" i="19"/>
  <c r="I82" i="19"/>
  <c r="H63" i="19"/>
  <c r="I63" i="19"/>
  <c r="H56" i="19"/>
  <c r="I56" i="19"/>
  <c r="H50" i="19"/>
  <c r="I50" i="19"/>
  <c r="H31" i="19"/>
  <c r="I31" i="19"/>
  <c r="H24" i="19"/>
  <c r="I24" i="19"/>
  <c r="H83" i="19"/>
  <c r="I83" i="19"/>
  <c r="H16" i="19"/>
  <c r="I16" i="19"/>
  <c r="H8" i="19"/>
  <c r="I8" i="19"/>
  <c r="H65" i="19"/>
  <c r="I65" i="19"/>
  <c r="H39" i="19"/>
  <c r="I39" i="19"/>
  <c r="L29" i="19"/>
  <c r="L14" i="19"/>
  <c r="H66" i="19"/>
  <c r="I66" i="19"/>
  <c r="H3" i="25"/>
  <c r="E7" i="19"/>
  <c r="O102" i="18"/>
  <c r="P102" i="18"/>
  <c r="J33" i="18"/>
  <c r="O33" i="18"/>
  <c r="J246" i="18"/>
  <c r="O246" i="18"/>
  <c r="M158" i="18"/>
  <c r="O158" i="18"/>
  <c r="P158" i="18"/>
  <c r="I75" i="19"/>
  <c r="L75" i="19"/>
  <c r="H177" i="19"/>
  <c r="I177" i="19"/>
  <c r="L177" i="19"/>
  <c r="M142" i="18"/>
  <c r="O142" i="18"/>
  <c r="I231" i="19"/>
  <c r="L231" i="19"/>
  <c r="I100" i="19"/>
  <c r="L100" i="19"/>
  <c r="J49" i="18"/>
  <c r="O49" i="18"/>
  <c r="J177" i="18"/>
  <c r="O177" i="18"/>
  <c r="P177" i="18"/>
  <c r="J97" i="18"/>
  <c r="O97" i="18"/>
  <c r="I217" i="19"/>
  <c r="P30" i="18"/>
  <c r="Q71" i="18"/>
  <c r="I187" i="19"/>
  <c r="M71" i="18"/>
  <c r="Q120" i="18"/>
  <c r="I225" i="19"/>
  <c r="L225" i="19"/>
  <c r="I49" i="19"/>
  <c r="L49" i="19"/>
  <c r="I221" i="19"/>
  <c r="L221" i="19"/>
  <c r="O47" i="18"/>
  <c r="P46" i="18"/>
  <c r="Q130" i="18"/>
  <c r="P35" i="18"/>
  <c r="Q133" i="18"/>
  <c r="O77" i="18"/>
  <c r="Q77" i="18"/>
  <c r="H84" i="19"/>
  <c r="I84" i="19"/>
  <c r="I237" i="19"/>
  <c r="L237" i="19"/>
  <c r="Q70" i="18"/>
  <c r="O182" i="18"/>
  <c r="P182" i="18"/>
  <c r="P172" i="18"/>
  <c r="I211" i="19"/>
  <c r="Q95" i="18"/>
  <c r="Q56" i="18"/>
  <c r="I191" i="19"/>
  <c r="L191" i="19"/>
  <c r="I181" i="19"/>
  <c r="L181" i="19"/>
  <c r="I143" i="19"/>
  <c r="L143" i="19"/>
  <c r="Q123" i="18"/>
  <c r="Q271" i="18"/>
  <c r="I172" i="19"/>
  <c r="L172" i="19"/>
  <c r="O169" i="18"/>
  <c r="J169" i="18"/>
  <c r="O90" i="18"/>
  <c r="O189" i="18"/>
  <c r="M189" i="18"/>
  <c r="Q273" i="18"/>
  <c r="Q40" i="18"/>
  <c r="Q265" i="18"/>
  <c r="Q252" i="18"/>
  <c r="J227" i="18"/>
  <c r="O227" i="18"/>
  <c r="J72" i="18"/>
  <c r="O72" i="18"/>
  <c r="P72" i="18"/>
  <c r="T3" i="18" a="1"/>
  <c r="T3" i="18"/>
  <c r="Q188" i="18"/>
  <c r="J202" i="18"/>
  <c r="O202" i="18"/>
  <c r="Q156" i="18"/>
  <c r="Q201" i="18"/>
  <c r="O232" i="18"/>
  <c r="O54" i="18"/>
  <c r="J67" i="18"/>
  <c r="O67" i="18"/>
  <c r="M122" i="18"/>
  <c r="O122" i="18"/>
  <c r="G239" i="18"/>
  <c r="Q239" i="18"/>
  <c r="J85" i="18"/>
  <c r="O85" i="18"/>
  <c r="F24" i="18"/>
  <c r="E19" i="18"/>
  <c r="H15" i="18"/>
  <c r="I235" i="19"/>
  <c r="P139" i="18"/>
  <c r="Q144" i="18"/>
  <c r="Q207" i="18"/>
  <c r="O107" i="18"/>
  <c r="Q107" i="18"/>
  <c r="J80" i="18"/>
  <c r="O80" i="18"/>
  <c r="H220" i="19"/>
  <c r="I220" i="19"/>
  <c r="J259" i="18"/>
  <c r="O259" i="18"/>
  <c r="J190" i="18"/>
  <c r="O190" i="18"/>
  <c r="Q182" i="18"/>
  <c r="O199" i="18"/>
  <c r="P199" i="18"/>
  <c r="M241" i="18"/>
  <c r="O241" i="18"/>
  <c r="P241" i="18"/>
  <c r="M222" i="18"/>
  <c r="O222" i="18"/>
  <c r="Q226" i="18"/>
  <c r="P226" i="18"/>
  <c r="P51" i="18"/>
  <c r="Q51" i="18"/>
  <c r="Q210" i="18"/>
  <c r="P210" i="18"/>
  <c r="M216" i="18"/>
  <c r="O216" i="18"/>
  <c r="Q27" i="18"/>
  <c r="P27" i="18"/>
  <c r="G105" i="18"/>
  <c r="O197" i="18"/>
  <c r="Q150" i="18"/>
  <c r="P150" i="18"/>
  <c r="J205" i="18"/>
  <c r="O205" i="18"/>
  <c r="P66" i="18"/>
  <c r="Q66" i="18"/>
  <c r="P250" i="18"/>
  <c r="Q250" i="18"/>
  <c r="J258" i="18"/>
  <c r="O258" i="18"/>
  <c r="Q86" i="18"/>
  <c r="Q102" i="18"/>
  <c r="M187" i="18"/>
  <c r="O187" i="18"/>
  <c r="O41" i="18"/>
  <c r="J41" i="18"/>
  <c r="M87" i="18"/>
  <c r="O87" i="18"/>
  <c r="J191" i="18"/>
  <c r="O191" i="18"/>
  <c r="P191" i="18"/>
  <c r="M173" i="18"/>
  <c r="O173" i="18"/>
  <c r="O261" i="18"/>
  <c r="M261" i="18"/>
  <c r="O219" i="18"/>
  <c r="J219" i="18"/>
  <c r="J152" i="18"/>
  <c r="O152" i="18"/>
  <c r="Q28" i="18"/>
  <c r="P28" i="18"/>
  <c r="M73" i="18"/>
  <c r="O73" i="18"/>
  <c r="G114" i="18"/>
  <c r="Q114" i="18"/>
  <c r="J43" i="18"/>
  <c r="O43" i="18"/>
  <c r="M195" i="18"/>
  <c r="O195" i="18"/>
  <c r="M175" i="18"/>
  <c r="O175" i="18"/>
  <c r="J224" i="18"/>
  <c r="O224" i="18"/>
  <c r="Q124" i="18"/>
  <c r="G124" i="18"/>
  <c r="P93" i="18"/>
  <c r="Q93" i="18"/>
  <c r="J132" i="18"/>
  <c r="O132" i="18"/>
  <c r="M223" i="18"/>
  <c r="O223" i="18"/>
  <c r="P223" i="18"/>
  <c r="M128" i="18"/>
  <c r="O128" i="18"/>
  <c r="Q186" i="18"/>
  <c r="G186" i="18"/>
  <c r="O194" i="18"/>
  <c r="J194" i="18"/>
  <c r="Q165" i="18"/>
  <c r="G165" i="18"/>
  <c r="J236" i="18"/>
  <c r="O236" i="18"/>
  <c r="O215" i="18"/>
  <c r="J215" i="18"/>
  <c r="M153" i="18"/>
  <c r="O153" i="18"/>
  <c r="J159" i="18"/>
  <c r="O159" i="18"/>
  <c r="P159" i="18"/>
  <c r="Q26" i="18"/>
  <c r="J185" i="18"/>
  <c r="O185" i="18"/>
  <c r="J94" i="18"/>
  <c r="O94" i="18"/>
  <c r="I24" i="18"/>
  <c r="O52" i="18"/>
  <c r="M52" i="18"/>
  <c r="P36" i="18"/>
  <c r="Q36" i="18"/>
  <c r="O58" i="18"/>
  <c r="Q116" i="18"/>
  <c r="O149" i="18"/>
  <c r="M149" i="18"/>
  <c r="M167" i="18"/>
  <c r="O167" i="18"/>
  <c r="Q211" i="18"/>
  <c r="P211" i="18"/>
  <c r="O206" i="18"/>
  <c r="J206" i="18"/>
  <c r="M99" i="18"/>
  <c r="O99" i="18"/>
  <c r="J39" i="18"/>
  <c r="O39" i="18"/>
  <c r="M112" i="18"/>
  <c r="O112" i="18"/>
  <c r="J274" i="18"/>
  <c r="O274" i="18"/>
  <c r="G199" i="18"/>
  <c r="Q199" i="18"/>
  <c r="P127" i="18"/>
  <c r="Q127" i="18"/>
  <c r="O249" i="18"/>
  <c r="P249" i="18"/>
  <c r="M249" i="18"/>
  <c r="O171" i="18"/>
  <c r="M171" i="18"/>
  <c r="O247" i="18"/>
  <c r="M247" i="18"/>
  <c r="O264" i="18"/>
  <c r="J264" i="18"/>
  <c r="O262" i="18"/>
  <c r="J262" i="18"/>
  <c r="J179" i="18"/>
  <c r="O179" i="18"/>
  <c r="J31" i="22"/>
  <c r="K31" i="22"/>
  <c r="S31" i="22"/>
  <c r="S215" i="22"/>
  <c r="J215" i="22"/>
  <c r="K215" i="22"/>
  <c r="S17" i="22"/>
  <c r="J17" i="22"/>
  <c r="K17" i="22"/>
  <c r="J214" i="22"/>
  <c r="K214" i="22"/>
  <c r="S214" i="22"/>
  <c r="J132" i="22"/>
  <c r="K132" i="22"/>
  <c r="S132" i="22"/>
  <c r="J70" i="22"/>
  <c r="K70" i="22"/>
  <c r="S70" i="22"/>
  <c r="S163" i="22"/>
  <c r="J163" i="22"/>
  <c r="K163" i="22"/>
  <c r="J21" i="22"/>
  <c r="K21" i="22"/>
  <c r="S21" i="22"/>
  <c r="S75" i="22"/>
  <c r="J75" i="22"/>
  <c r="K75" i="22"/>
  <c r="J141" i="22"/>
  <c r="K141" i="22"/>
  <c r="S141" i="22"/>
  <c r="S187" i="22"/>
  <c r="J187" i="22"/>
  <c r="K187" i="22"/>
  <c r="S16" i="22"/>
  <c r="J16" i="22"/>
  <c r="K16" i="22"/>
  <c r="K4" i="22"/>
  <c r="S183" i="22"/>
  <c r="J183" i="22"/>
  <c r="K183" i="22"/>
  <c r="J245" i="22"/>
  <c r="K245" i="22"/>
  <c r="S245" i="22"/>
  <c r="S55" i="22"/>
  <c r="J55" i="22"/>
  <c r="K55" i="22"/>
  <c r="J83" i="22"/>
  <c r="K83" i="22"/>
  <c r="S83" i="22"/>
  <c r="J179" i="22"/>
  <c r="K179" i="22"/>
  <c r="S179" i="22"/>
  <c r="R137" i="21"/>
  <c r="S137" i="21"/>
  <c r="R181" i="21"/>
  <c r="S181" i="21"/>
  <c r="R156" i="21"/>
  <c r="S156" i="21"/>
  <c r="R155" i="21"/>
  <c r="S155" i="21"/>
  <c r="R169" i="21"/>
  <c r="S169" i="21"/>
  <c r="R172" i="21"/>
  <c r="S172" i="21"/>
  <c r="R163" i="21"/>
  <c r="S163" i="21"/>
  <c r="R183" i="21"/>
  <c r="S183" i="21"/>
  <c r="R175" i="21"/>
  <c r="S175" i="21"/>
  <c r="R133" i="21"/>
  <c r="S133" i="21"/>
  <c r="R158" i="21"/>
  <c r="S158" i="21"/>
  <c r="R141" i="21"/>
  <c r="S141" i="21"/>
  <c r="R167" i="21"/>
  <c r="S167" i="21"/>
  <c r="R145" i="21"/>
  <c r="S145" i="21"/>
  <c r="R170" i="21"/>
  <c r="S170" i="21"/>
  <c r="R134" i="21"/>
  <c r="S134" i="21"/>
  <c r="R129" i="21"/>
  <c r="S129" i="21"/>
  <c r="R157" i="21"/>
  <c r="S157" i="21"/>
  <c r="R136" i="21"/>
  <c r="S136" i="21"/>
  <c r="R148" i="21"/>
  <c r="S148" i="21"/>
  <c r="R178" i="21"/>
  <c r="S178" i="21"/>
  <c r="R150" i="21"/>
  <c r="S150" i="21"/>
  <c r="R153" i="21"/>
  <c r="S153" i="21"/>
  <c r="R152" i="21"/>
  <c r="S152" i="21"/>
  <c r="R131" i="21"/>
  <c r="S131" i="21"/>
  <c r="R144" i="21"/>
  <c r="S144" i="21"/>
  <c r="R132" i="21"/>
  <c r="S132" i="21"/>
  <c r="R177" i="21"/>
  <c r="S177" i="21"/>
  <c r="R182" i="21"/>
  <c r="S182" i="21"/>
  <c r="R140" i="21"/>
  <c r="S140" i="21"/>
  <c r="R162" i="21"/>
  <c r="S162" i="21"/>
  <c r="R143" i="21"/>
  <c r="S143" i="21"/>
  <c r="R161" i="21"/>
  <c r="S161" i="21"/>
  <c r="R165" i="21"/>
  <c r="S165" i="21"/>
  <c r="R185" i="21"/>
  <c r="S185" i="21"/>
  <c r="R127" i="21"/>
  <c r="S127" i="21"/>
  <c r="R146" i="21"/>
  <c r="S146" i="21"/>
  <c r="R164" i="21"/>
  <c r="S164" i="21"/>
  <c r="R130" i="21"/>
  <c r="S130" i="21"/>
  <c r="R151" i="21"/>
  <c r="S151" i="21"/>
  <c r="R186" i="21"/>
  <c r="S186" i="21"/>
  <c r="R154" i="21"/>
  <c r="S154" i="21"/>
  <c r="R184" i="21"/>
  <c r="S184" i="21"/>
  <c r="R166" i="21"/>
  <c r="S166" i="21"/>
  <c r="R168" i="21"/>
  <c r="S168" i="21"/>
  <c r="R139" i="21"/>
  <c r="S139" i="21"/>
  <c r="R171" i="21"/>
  <c r="S171" i="21"/>
  <c r="R147" i="21"/>
  <c r="S147" i="21"/>
  <c r="R180" i="21"/>
  <c r="S180" i="21"/>
  <c r="R138" i="21"/>
  <c r="S138" i="21"/>
  <c r="R126" i="21"/>
  <c r="S126" i="21"/>
  <c r="R135" i="21"/>
  <c r="S135" i="21"/>
  <c r="R176" i="21"/>
  <c r="S176" i="21"/>
  <c r="R160" i="21"/>
  <c r="S160" i="21"/>
  <c r="R173" i="21"/>
  <c r="S173" i="21"/>
  <c r="R142" i="21"/>
  <c r="S142" i="21"/>
  <c r="R159" i="21"/>
  <c r="S159" i="21"/>
  <c r="R174" i="21"/>
  <c r="S174" i="21"/>
  <c r="R128" i="21"/>
  <c r="S128" i="21"/>
  <c r="R149" i="21"/>
  <c r="S149" i="21"/>
  <c r="R179" i="21"/>
  <c r="S179" i="21"/>
  <c r="S148" i="22"/>
  <c r="J148" i="22"/>
  <c r="K148" i="22"/>
  <c r="S111" i="22"/>
  <c r="J111" i="22"/>
  <c r="K111" i="22"/>
  <c r="R29" i="21"/>
  <c r="S29" i="21"/>
  <c r="R30" i="21"/>
  <c r="S30" i="21"/>
  <c r="R28" i="21"/>
  <c r="S28" i="21"/>
  <c r="R31" i="21"/>
  <c r="S31" i="21"/>
  <c r="R27" i="21"/>
  <c r="S27" i="21"/>
  <c r="R26" i="21"/>
  <c r="S26" i="21"/>
  <c r="S243" i="1"/>
  <c r="J243" i="1"/>
  <c r="K243" i="1"/>
  <c r="S27" i="1"/>
  <c r="J27" i="1"/>
  <c r="K27" i="1"/>
  <c r="S237" i="1"/>
  <c r="J237" i="1"/>
  <c r="K237" i="1"/>
  <c r="S254" i="1"/>
  <c r="J254" i="1"/>
  <c r="K254" i="1"/>
  <c r="S177" i="1"/>
  <c r="J177" i="1"/>
  <c r="K177" i="1"/>
  <c r="S201" i="1"/>
  <c r="J201" i="1"/>
  <c r="K201" i="1"/>
  <c r="S223" i="1"/>
  <c r="J223" i="1"/>
  <c r="K223" i="1"/>
  <c r="S257" i="1"/>
  <c r="J257" i="1"/>
  <c r="K257" i="1"/>
  <c r="S75" i="1"/>
  <c r="J75" i="1"/>
  <c r="K75" i="1"/>
  <c r="S51" i="1"/>
  <c r="J51" i="1"/>
  <c r="K51" i="1"/>
  <c r="S81" i="1"/>
  <c r="J81" i="1"/>
  <c r="K81" i="1"/>
  <c r="S17" i="1"/>
  <c r="J17" i="1"/>
  <c r="K17" i="1"/>
  <c r="S178" i="1"/>
  <c r="J178" i="1"/>
  <c r="K178" i="1"/>
  <c r="S114" i="1"/>
  <c r="J114" i="1"/>
  <c r="K114" i="1"/>
  <c r="S50" i="1"/>
  <c r="J50" i="1"/>
  <c r="K50" i="1"/>
  <c r="S196" i="1"/>
  <c r="J196" i="1"/>
  <c r="K196" i="1"/>
  <c r="S132" i="1"/>
  <c r="J132" i="1"/>
  <c r="K132" i="1"/>
  <c r="S68" i="1"/>
  <c r="J68" i="1"/>
  <c r="K68" i="1"/>
  <c r="S229" i="1"/>
  <c r="J229" i="1"/>
  <c r="K229" i="1"/>
  <c r="L11" i="4"/>
  <c r="S165" i="1"/>
  <c r="J165" i="1"/>
  <c r="K165" i="1"/>
  <c r="S101" i="1"/>
  <c r="J101" i="1"/>
  <c r="K101" i="1"/>
  <c r="S37" i="1"/>
  <c r="J37" i="1"/>
  <c r="K37" i="1"/>
  <c r="S150" i="1"/>
  <c r="J150" i="1"/>
  <c r="K150" i="1"/>
  <c r="S86" i="1"/>
  <c r="J86" i="1"/>
  <c r="K86" i="1"/>
  <c r="S22" i="1"/>
  <c r="J22" i="1"/>
  <c r="K22" i="1"/>
  <c r="S167" i="1"/>
  <c r="J167" i="1"/>
  <c r="K167" i="1"/>
  <c r="S103" i="1"/>
  <c r="J103" i="1"/>
  <c r="K103" i="1"/>
  <c r="S39" i="1"/>
  <c r="J39" i="1"/>
  <c r="K39" i="1"/>
  <c r="S192" i="1"/>
  <c r="J192" i="1"/>
  <c r="K192" i="1"/>
  <c r="S128" i="1"/>
  <c r="J128" i="1"/>
  <c r="K128" i="1"/>
  <c r="S64" i="1"/>
  <c r="J64" i="1"/>
  <c r="K64" i="1"/>
  <c r="S244" i="1"/>
  <c r="J244" i="1"/>
  <c r="K244" i="1"/>
  <c r="S91" i="1"/>
  <c r="J91" i="1"/>
  <c r="K91" i="1"/>
  <c r="S220" i="1"/>
  <c r="J220" i="1"/>
  <c r="K220" i="1"/>
  <c r="J217" i="1"/>
  <c r="K217" i="1"/>
  <c r="S217" i="1"/>
  <c r="S246" i="1"/>
  <c r="J246" i="1"/>
  <c r="K246" i="1"/>
  <c r="S145" i="1"/>
  <c r="J145" i="1"/>
  <c r="K145" i="1"/>
  <c r="S190" i="1"/>
  <c r="J190" i="1"/>
  <c r="K190" i="1"/>
  <c r="S219" i="1"/>
  <c r="J219" i="1"/>
  <c r="K219" i="1"/>
  <c r="S249" i="1"/>
  <c r="J249" i="1"/>
  <c r="K249" i="1"/>
  <c r="S11" i="1"/>
  <c r="J11" i="1"/>
  <c r="K11" i="1"/>
  <c r="S137" i="1"/>
  <c r="J137" i="1"/>
  <c r="K137" i="1"/>
  <c r="S73" i="1"/>
  <c r="J73" i="1"/>
  <c r="K73" i="1"/>
  <c r="S9" i="1"/>
  <c r="J9" i="1"/>
  <c r="K9" i="1"/>
  <c r="J170" i="1"/>
  <c r="K170" i="1"/>
  <c r="S170" i="1"/>
  <c r="S106" i="1"/>
  <c r="J106" i="1"/>
  <c r="K106" i="1"/>
  <c r="S42" i="1"/>
  <c r="J42" i="1"/>
  <c r="K42" i="1"/>
  <c r="S188" i="1"/>
  <c r="J188" i="1"/>
  <c r="K188" i="1"/>
  <c r="S124" i="1"/>
  <c r="J124" i="1"/>
  <c r="K124" i="1"/>
  <c r="S60" i="1"/>
  <c r="J60" i="1"/>
  <c r="K60" i="1"/>
  <c r="J221" i="1"/>
  <c r="K221" i="1"/>
  <c r="S221" i="1"/>
  <c r="S157" i="1"/>
  <c r="J157" i="1"/>
  <c r="K157" i="1"/>
  <c r="S93" i="1"/>
  <c r="J93" i="1"/>
  <c r="K93" i="1"/>
  <c r="S29" i="1"/>
  <c r="J29" i="1"/>
  <c r="K29" i="1"/>
  <c r="S142" i="1"/>
  <c r="J142" i="1"/>
  <c r="K142" i="1"/>
  <c r="S78" i="1"/>
  <c r="J78" i="1"/>
  <c r="K78" i="1"/>
  <c r="S14" i="1"/>
  <c r="J14" i="1"/>
  <c r="K14" i="1"/>
  <c r="S159" i="1"/>
  <c r="J159" i="1"/>
  <c r="K159" i="1"/>
  <c r="S95" i="1"/>
  <c r="J95" i="1"/>
  <c r="K95" i="1"/>
  <c r="S31" i="1"/>
  <c r="J31" i="1"/>
  <c r="K31" i="1"/>
  <c r="S184" i="1"/>
  <c r="J184" i="1"/>
  <c r="K184" i="1"/>
  <c r="S120" i="1"/>
  <c r="J120" i="1"/>
  <c r="K120" i="1"/>
  <c r="S56" i="1"/>
  <c r="J56" i="1"/>
  <c r="K56" i="1"/>
  <c r="J245" i="1"/>
  <c r="K245" i="1"/>
  <c r="S245" i="1"/>
  <c r="S214" i="1"/>
  <c r="J214" i="1"/>
  <c r="K214" i="1"/>
  <c r="S251" i="1"/>
  <c r="J251" i="1"/>
  <c r="K251" i="1"/>
  <c r="S147" i="1"/>
  <c r="J147" i="1"/>
  <c r="K147" i="1"/>
  <c r="S206" i="1"/>
  <c r="J206" i="1"/>
  <c r="K206" i="1"/>
  <c r="S238" i="1"/>
  <c r="J238" i="1"/>
  <c r="K238" i="1"/>
  <c r="S83" i="1"/>
  <c r="J83" i="1"/>
  <c r="K83" i="1"/>
  <c r="S163" i="1"/>
  <c r="J163" i="1"/>
  <c r="K163" i="1"/>
  <c r="S193" i="1"/>
  <c r="J193" i="1"/>
  <c r="K193" i="1"/>
  <c r="S241" i="1"/>
  <c r="J241" i="1"/>
  <c r="K241" i="1"/>
  <c r="S258" i="1"/>
  <c r="J258" i="1"/>
  <c r="K258" i="1"/>
  <c r="S129" i="1"/>
  <c r="J129" i="1"/>
  <c r="K129" i="1"/>
  <c r="S65" i="1"/>
  <c r="J65" i="1"/>
  <c r="K65" i="1"/>
  <c r="S226" i="1"/>
  <c r="J226" i="1"/>
  <c r="K226" i="1"/>
  <c r="J162" i="1"/>
  <c r="K162" i="1"/>
  <c r="S162" i="1"/>
  <c r="S98" i="1"/>
  <c r="J98" i="1"/>
  <c r="K98" i="1"/>
  <c r="S34" i="1"/>
  <c r="J34" i="1"/>
  <c r="K34" i="1"/>
  <c r="S180" i="1"/>
  <c r="J180" i="1"/>
  <c r="K180" i="1"/>
  <c r="S116" i="1"/>
  <c r="J116" i="1"/>
  <c r="K116" i="1"/>
  <c r="S52" i="1"/>
  <c r="J52" i="1"/>
  <c r="K52" i="1"/>
  <c r="S213" i="1"/>
  <c r="J213" i="1"/>
  <c r="K213" i="1"/>
  <c r="S149" i="1"/>
  <c r="J149" i="1"/>
  <c r="K149" i="1"/>
  <c r="S85" i="1"/>
  <c r="J85" i="1"/>
  <c r="K85" i="1"/>
  <c r="S21" i="1"/>
  <c r="J21" i="1"/>
  <c r="K21" i="1"/>
  <c r="S134" i="1"/>
  <c r="J134" i="1"/>
  <c r="K134" i="1"/>
  <c r="S70" i="1"/>
  <c r="J70" i="1"/>
  <c r="K70" i="1"/>
  <c r="S215" i="1"/>
  <c r="J215" i="1"/>
  <c r="K215" i="1"/>
  <c r="S151" i="1"/>
  <c r="J151" i="1"/>
  <c r="K151" i="1"/>
  <c r="S87" i="1"/>
  <c r="J87" i="1"/>
  <c r="K87" i="1"/>
  <c r="S23" i="1"/>
  <c r="J23" i="1"/>
  <c r="K23" i="1"/>
  <c r="S176" i="1"/>
  <c r="J176" i="1"/>
  <c r="K176" i="1"/>
  <c r="S112" i="1"/>
  <c r="J112" i="1"/>
  <c r="K112" i="1"/>
  <c r="S48" i="1"/>
  <c r="J48" i="1"/>
  <c r="K48" i="1"/>
  <c r="S90" i="1"/>
  <c r="J90" i="1"/>
  <c r="K90" i="1"/>
  <c r="S26" i="1"/>
  <c r="J26" i="1"/>
  <c r="K26" i="1"/>
  <c r="J172" i="1"/>
  <c r="K172" i="1"/>
  <c r="S172" i="1"/>
  <c r="S108" i="1"/>
  <c r="J108" i="1"/>
  <c r="K108" i="1"/>
  <c r="S44" i="1"/>
  <c r="J44" i="1"/>
  <c r="K44" i="1"/>
  <c r="S205" i="1"/>
  <c r="J205" i="1"/>
  <c r="K205" i="1"/>
  <c r="S141" i="1"/>
  <c r="J141" i="1"/>
  <c r="K141" i="1"/>
  <c r="S77" i="1"/>
  <c r="J77" i="1"/>
  <c r="K77" i="1"/>
  <c r="S13" i="1"/>
  <c r="J13" i="1"/>
  <c r="K13" i="1"/>
  <c r="S126" i="1"/>
  <c r="J126" i="1"/>
  <c r="K126" i="1"/>
  <c r="S62" i="1"/>
  <c r="J62" i="1"/>
  <c r="K62" i="1"/>
  <c r="S207" i="1"/>
  <c r="J207" i="1"/>
  <c r="K207" i="1"/>
  <c r="S143" i="1"/>
  <c r="J143" i="1"/>
  <c r="K143" i="1"/>
  <c r="S79" i="1"/>
  <c r="J79" i="1"/>
  <c r="K79" i="1"/>
  <c r="S15" i="1"/>
  <c r="J15" i="1"/>
  <c r="K15" i="1"/>
  <c r="S168" i="1"/>
  <c r="J168" i="1"/>
  <c r="K168" i="1"/>
  <c r="S104" i="1"/>
  <c r="J104" i="1"/>
  <c r="K104" i="1"/>
  <c r="S40" i="1"/>
  <c r="J40" i="1"/>
  <c r="K40" i="1"/>
  <c r="L7" i="4"/>
  <c r="S235" i="1"/>
  <c r="J235" i="1"/>
  <c r="K235" i="1"/>
  <c r="S19" i="1"/>
  <c r="J19" i="1"/>
  <c r="K19" i="1"/>
  <c r="S250" i="1"/>
  <c r="J250" i="1"/>
  <c r="K250" i="1"/>
  <c r="S154" i="1"/>
  <c r="J154" i="1"/>
  <c r="K154" i="1"/>
  <c r="Q7" i="1"/>
  <c r="Q15" i="1"/>
  <c r="Q23" i="1"/>
  <c r="Q31" i="1"/>
  <c r="Q39" i="1"/>
  <c r="Q47" i="1"/>
  <c r="Q55" i="1"/>
  <c r="Q63" i="1"/>
  <c r="Q71" i="1"/>
  <c r="Q79" i="1"/>
  <c r="Q87" i="1"/>
  <c r="Q95" i="1"/>
  <c r="Q103" i="1"/>
  <c r="Q111" i="1"/>
  <c r="Q119" i="1"/>
  <c r="Q127" i="1"/>
  <c r="Q135" i="1"/>
  <c r="Q143" i="1"/>
  <c r="Q151" i="1"/>
  <c r="Q159" i="1"/>
  <c r="Q167" i="1"/>
  <c r="Q175" i="1"/>
  <c r="Q183" i="1"/>
  <c r="Q191" i="1"/>
  <c r="Q199" i="1"/>
  <c r="Q207" i="1"/>
  <c r="Q215" i="1"/>
  <c r="Q14" i="1"/>
  <c r="Q22" i="1"/>
  <c r="Q30" i="1"/>
  <c r="Q38" i="1"/>
  <c r="Q46" i="1"/>
  <c r="Q54" i="1"/>
  <c r="Q62" i="1"/>
  <c r="Q70" i="1"/>
  <c r="Q78" i="1"/>
  <c r="Q86" i="1"/>
  <c r="Q94" i="1"/>
  <c r="Q102" i="1"/>
  <c r="Q110" i="1"/>
  <c r="Q118" i="1"/>
  <c r="Q126" i="1"/>
  <c r="Q134" i="1"/>
  <c r="Q142" i="1"/>
  <c r="Q150" i="1"/>
  <c r="Q158" i="1"/>
  <c r="Q166" i="1"/>
  <c r="Q174" i="1"/>
  <c r="Q182" i="1"/>
  <c r="Q190" i="1"/>
  <c r="Q198" i="1"/>
  <c r="Q206" i="1"/>
  <c r="Q214" i="1"/>
  <c r="Q13" i="1"/>
  <c r="Q21" i="1"/>
  <c r="Q29" i="1"/>
  <c r="Q37" i="1"/>
  <c r="Q45" i="1"/>
  <c r="Q53" i="1"/>
  <c r="Q61" i="1"/>
  <c r="Q69" i="1"/>
  <c r="Q77" i="1"/>
  <c r="Q85" i="1"/>
  <c r="Q93" i="1"/>
  <c r="Q101" i="1"/>
  <c r="Q109" i="1"/>
  <c r="Q117" i="1"/>
  <c r="Q125" i="1"/>
  <c r="Q133" i="1"/>
  <c r="Q141" i="1"/>
  <c r="Q149" i="1"/>
  <c r="Q157" i="1"/>
  <c r="Q165" i="1"/>
  <c r="Q173" i="1"/>
  <c r="Q181" i="1"/>
  <c r="Q189" i="1"/>
  <c r="Q12" i="1"/>
  <c r="Q20" i="1"/>
  <c r="Q28" i="1"/>
  <c r="Q36" i="1"/>
  <c r="Q44" i="1"/>
  <c r="Q52" i="1"/>
  <c r="Q60" i="1"/>
  <c r="Q68" i="1"/>
  <c r="Q76" i="1"/>
  <c r="Q84" i="1"/>
  <c r="Q92" i="1"/>
  <c r="Q100" i="1"/>
  <c r="Q108" i="1"/>
  <c r="Q116" i="1"/>
  <c r="Q124" i="1"/>
  <c r="Q132" i="1"/>
  <c r="Q140" i="1"/>
  <c r="Q148" i="1"/>
  <c r="Q156" i="1"/>
  <c r="Q164" i="1"/>
  <c r="Q172" i="1"/>
  <c r="Q180" i="1"/>
  <c r="Q188" i="1"/>
  <c r="Q196" i="1"/>
  <c r="Q204" i="1"/>
  <c r="Q212" i="1"/>
  <c r="Q220" i="1"/>
  <c r="Q228" i="1"/>
  <c r="Q11" i="1"/>
  <c r="Q19" i="1"/>
  <c r="Q27" i="1"/>
  <c r="Q35" i="1"/>
  <c r="Q43" i="1"/>
  <c r="Q51" i="1"/>
  <c r="Q59" i="1"/>
  <c r="Q67" i="1"/>
  <c r="Q75" i="1"/>
  <c r="Q83" i="1"/>
  <c r="Q91" i="1"/>
  <c r="Q99" i="1"/>
  <c r="Q107" i="1"/>
  <c r="Q115" i="1"/>
  <c r="Q123" i="1"/>
  <c r="Q131" i="1"/>
  <c r="Q139" i="1"/>
  <c r="Q147" i="1"/>
  <c r="Q155" i="1"/>
  <c r="Q163" i="1"/>
  <c r="Q171" i="1"/>
  <c r="Q179" i="1"/>
  <c r="Q187" i="1"/>
  <c r="Q195" i="1"/>
  <c r="Q203" i="1"/>
  <c r="Q211" i="1"/>
  <c r="Q9" i="1"/>
  <c r="Q17" i="1"/>
  <c r="Q25" i="1"/>
  <c r="Q33" i="1"/>
  <c r="Q41" i="1"/>
  <c r="Q49" i="1"/>
  <c r="Q57" i="1"/>
  <c r="Q65" i="1"/>
  <c r="Q73" i="1"/>
  <c r="Q81" i="1"/>
  <c r="Q89" i="1"/>
  <c r="Q97" i="1"/>
  <c r="Q105" i="1"/>
  <c r="Q113" i="1"/>
  <c r="Q121" i="1"/>
  <c r="Q129" i="1"/>
  <c r="Q137" i="1"/>
  <c r="Q145" i="1"/>
  <c r="Q153" i="1"/>
  <c r="Q161" i="1"/>
  <c r="Q169" i="1"/>
  <c r="Q177" i="1"/>
  <c r="Q185" i="1"/>
  <c r="Q193" i="1"/>
  <c r="Q201" i="1"/>
  <c r="Q209" i="1"/>
  <c r="Q217" i="1"/>
  <c r="Q225" i="1"/>
  <c r="Q233" i="1"/>
  <c r="Q8" i="1"/>
  <c r="Q16" i="1"/>
  <c r="Q24" i="1"/>
  <c r="Q32" i="1"/>
  <c r="Q40" i="1"/>
  <c r="Q48" i="1"/>
  <c r="Q56" i="1"/>
  <c r="Q64" i="1"/>
  <c r="Q72" i="1"/>
  <c r="Q80" i="1"/>
  <c r="Q88" i="1"/>
  <c r="Q96" i="1"/>
  <c r="Q104" i="1"/>
  <c r="Q112" i="1"/>
  <c r="Q120" i="1"/>
  <c r="Q128" i="1"/>
  <c r="Q136" i="1"/>
  <c r="Q42" i="1"/>
  <c r="Q106" i="1"/>
  <c r="Q202" i="1"/>
  <c r="Q205" i="1"/>
  <c r="Q216" i="1"/>
  <c r="Q224" i="1"/>
  <c r="Q241" i="1"/>
  <c r="Q249" i="1"/>
  <c r="Q257" i="1"/>
  <c r="Q66" i="1"/>
  <c r="Q130" i="1"/>
  <c r="Q146" i="1"/>
  <c r="Q168" i="1"/>
  <c r="Q178" i="1"/>
  <c r="Q210" i="1"/>
  <c r="Q213" i="1"/>
  <c r="Q219" i="1"/>
  <c r="Q223" i="1"/>
  <c r="Q240" i="1"/>
  <c r="Q248" i="1"/>
  <c r="Q256" i="1"/>
  <c r="Q26" i="1"/>
  <c r="Q90" i="1"/>
  <c r="Q232" i="1"/>
  <c r="Q239" i="1"/>
  <c r="Q247" i="1"/>
  <c r="Q255" i="1"/>
  <c r="Q50" i="1"/>
  <c r="Q114" i="1"/>
  <c r="Q160" i="1"/>
  <c r="Q170" i="1"/>
  <c r="Q218" i="1"/>
  <c r="Q222" i="1"/>
  <c r="Q227" i="1"/>
  <c r="Q231" i="1"/>
  <c r="Q238" i="1"/>
  <c r="Q246" i="1"/>
  <c r="Q254" i="1"/>
  <c r="Q10" i="1"/>
  <c r="Q74" i="1"/>
  <c r="Q138" i="1"/>
  <c r="Q237" i="1"/>
  <c r="Q245" i="1"/>
  <c r="Q253" i="1"/>
  <c r="Q34" i="1"/>
  <c r="Q98" i="1"/>
  <c r="Q152" i="1"/>
  <c r="Q162" i="1"/>
  <c r="Q184" i="1"/>
  <c r="Q192" i="1"/>
  <c r="Q221" i="1"/>
  <c r="Q226" i="1"/>
  <c r="Q230" i="1"/>
  <c r="Q236" i="1"/>
  <c r="Q244" i="1"/>
  <c r="Q252" i="1"/>
  <c r="Q58" i="1"/>
  <c r="Q234" i="1"/>
  <c r="Q144" i="1"/>
  <c r="Q186" i="1"/>
  <c r="Q251" i="1"/>
  <c r="Q194" i="1"/>
  <c r="Q229" i="1"/>
  <c r="Q258" i="1"/>
  <c r="Q82" i="1"/>
  <c r="Q154" i="1"/>
  <c r="Q243" i="1"/>
  <c r="Q200" i="1"/>
  <c r="Q250" i="1"/>
  <c r="Q18" i="1"/>
  <c r="Q235" i="1"/>
  <c r="Q122" i="1"/>
  <c r="Q208" i="1"/>
  <c r="Q242" i="1"/>
  <c r="Q6" i="1"/>
  <c r="Q176" i="1"/>
  <c r="Q197" i="1"/>
  <c r="S211" i="1"/>
  <c r="J211" i="1"/>
  <c r="K211" i="1"/>
  <c r="S230" i="1"/>
  <c r="J230" i="1"/>
  <c r="K230" i="1"/>
  <c r="S187" i="1"/>
  <c r="J187" i="1"/>
  <c r="K187" i="1"/>
  <c r="S227" i="1"/>
  <c r="J227" i="1"/>
  <c r="K227" i="1"/>
  <c r="S255" i="1"/>
  <c r="J255" i="1"/>
  <c r="K255" i="1"/>
  <c r="S59" i="1"/>
  <c r="J59" i="1"/>
  <c r="K59" i="1"/>
  <c r="S153" i="1"/>
  <c r="J153" i="1"/>
  <c r="K153" i="1"/>
  <c r="S228" i="1"/>
  <c r="J228" i="1"/>
  <c r="K228" i="1"/>
  <c r="S242" i="1"/>
  <c r="J242" i="1"/>
  <c r="K242" i="1"/>
  <c r="S113" i="1"/>
  <c r="J113" i="1"/>
  <c r="K113" i="1"/>
  <c r="S49" i="1"/>
  <c r="J49" i="1"/>
  <c r="K49" i="1"/>
  <c r="S210" i="1"/>
  <c r="J210" i="1"/>
  <c r="K210" i="1"/>
  <c r="S146" i="1"/>
  <c r="J146" i="1"/>
  <c r="K146" i="1"/>
  <c r="S82" i="1"/>
  <c r="J82" i="1"/>
  <c r="K82" i="1"/>
  <c r="S18" i="1"/>
  <c r="J18" i="1"/>
  <c r="K18" i="1"/>
  <c r="L5" i="4"/>
  <c r="S164" i="1"/>
  <c r="J164" i="1"/>
  <c r="K164" i="1"/>
  <c r="J100" i="1"/>
  <c r="K100" i="1"/>
  <c r="S100" i="1"/>
  <c r="J36" i="1"/>
  <c r="K36" i="1"/>
  <c r="S36" i="1"/>
  <c r="S197" i="1"/>
  <c r="J197" i="1"/>
  <c r="K197" i="1"/>
  <c r="S133" i="1"/>
  <c r="J133" i="1"/>
  <c r="K133" i="1"/>
  <c r="S69" i="1"/>
  <c r="J69" i="1"/>
  <c r="K69" i="1"/>
  <c r="S182" i="1"/>
  <c r="J182" i="1"/>
  <c r="K182" i="1"/>
  <c r="S118" i="1"/>
  <c r="J118" i="1"/>
  <c r="K118" i="1"/>
  <c r="S54" i="1"/>
  <c r="J54" i="1"/>
  <c r="K54" i="1"/>
  <c r="S199" i="1"/>
  <c r="J199" i="1"/>
  <c r="K199" i="1"/>
  <c r="S135" i="1"/>
  <c r="J135" i="1"/>
  <c r="K135" i="1"/>
  <c r="S71" i="1"/>
  <c r="J71" i="1"/>
  <c r="K71" i="1"/>
  <c r="S7" i="1"/>
  <c r="J7" i="1"/>
  <c r="K7" i="1"/>
  <c r="S160" i="1"/>
  <c r="J160" i="1"/>
  <c r="K160" i="1"/>
  <c r="S96" i="1"/>
  <c r="J96" i="1"/>
  <c r="K96" i="1"/>
  <c r="S32" i="1"/>
  <c r="J32" i="1"/>
  <c r="K32" i="1"/>
  <c r="S225" i="1"/>
  <c r="J225" i="1"/>
  <c r="K225" i="1"/>
  <c r="S195" i="1"/>
  <c r="J195" i="1"/>
  <c r="K195" i="1"/>
  <c r="S123" i="1"/>
  <c r="J123" i="1"/>
  <c r="K123" i="1"/>
  <c r="S233" i="1"/>
  <c r="J233" i="1"/>
  <c r="K233" i="1"/>
  <c r="S218" i="1"/>
  <c r="J218" i="1"/>
  <c r="K218" i="1"/>
  <c r="S169" i="1"/>
  <c r="J169" i="1"/>
  <c r="K169" i="1"/>
  <c r="J236" i="1"/>
  <c r="K236" i="1"/>
  <c r="S236" i="1"/>
  <c r="S252" i="1"/>
  <c r="J252" i="1"/>
  <c r="K252" i="1"/>
  <c r="S155" i="1"/>
  <c r="J155" i="1"/>
  <c r="K155" i="1"/>
  <c r="S222" i="1"/>
  <c r="J222" i="1"/>
  <c r="K222" i="1"/>
  <c r="S247" i="1"/>
  <c r="J247" i="1"/>
  <c r="K247" i="1"/>
  <c r="S256" i="1"/>
  <c r="J256" i="1"/>
  <c r="K256" i="1"/>
  <c r="S99" i="1"/>
  <c r="J99" i="1"/>
  <c r="K99" i="1"/>
  <c r="S224" i="1"/>
  <c r="J224" i="1"/>
  <c r="K224" i="1"/>
  <c r="S234" i="1"/>
  <c r="J234" i="1"/>
  <c r="K234" i="1"/>
  <c r="S105" i="1"/>
  <c r="J105" i="1"/>
  <c r="K105" i="1"/>
  <c r="S41" i="1"/>
  <c r="J41" i="1"/>
  <c r="K41" i="1"/>
  <c r="S202" i="1"/>
  <c r="J202" i="1"/>
  <c r="K202" i="1"/>
  <c r="S138" i="1"/>
  <c r="J138" i="1"/>
  <c r="K138" i="1"/>
  <c r="S74" i="1"/>
  <c r="J74" i="1"/>
  <c r="K74" i="1"/>
  <c r="S10" i="1"/>
  <c r="J10" i="1"/>
  <c r="K10" i="1"/>
  <c r="S156" i="1"/>
  <c r="J156" i="1"/>
  <c r="K156" i="1"/>
  <c r="S92" i="1"/>
  <c r="J92" i="1"/>
  <c r="K92" i="1"/>
  <c r="S28" i="1"/>
  <c r="J28" i="1"/>
  <c r="K28" i="1"/>
  <c r="S189" i="1"/>
  <c r="J189" i="1"/>
  <c r="K189" i="1"/>
  <c r="S125" i="1"/>
  <c r="J125" i="1"/>
  <c r="K125" i="1"/>
  <c r="S61" i="1"/>
  <c r="J61" i="1"/>
  <c r="K61" i="1"/>
  <c r="L8" i="4"/>
  <c r="S174" i="1"/>
  <c r="J174" i="1"/>
  <c r="K174" i="1"/>
  <c r="S110" i="1"/>
  <c r="J110" i="1"/>
  <c r="K110" i="1"/>
  <c r="L9" i="4"/>
  <c r="S46" i="1"/>
  <c r="J46" i="1"/>
  <c r="K46" i="1"/>
  <c r="S191" i="1"/>
  <c r="J191" i="1"/>
  <c r="K191" i="1"/>
  <c r="S127" i="1"/>
  <c r="J127" i="1"/>
  <c r="K127" i="1"/>
  <c r="S63" i="1"/>
  <c r="J63" i="1"/>
  <c r="K63" i="1"/>
  <c r="S216" i="1"/>
  <c r="J216" i="1"/>
  <c r="K216" i="1"/>
  <c r="S152" i="1"/>
  <c r="J152" i="1"/>
  <c r="K152" i="1"/>
  <c r="S88" i="1"/>
  <c r="J88" i="1"/>
  <c r="K88" i="1"/>
  <c r="S24" i="1"/>
  <c r="J24" i="1"/>
  <c r="K24" i="1"/>
  <c r="S131" i="1"/>
  <c r="J131" i="1"/>
  <c r="K131" i="1"/>
  <c r="S231" i="1"/>
  <c r="J231" i="1"/>
  <c r="K231" i="1"/>
  <c r="S185" i="1"/>
  <c r="J185" i="1"/>
  <c r="K185" i="1"/>
  <c r="S121" i="1"/>
  <c r="J121" i="1"/>
  <c r="K121" i="1"/>
  <c r="S57" i="1"/>
  <c r="J57" i="1"/>
  <c r="K57" i="1"/>
  <c r="S203" i="1"/>
  <c r="J203" i="1"/>
  <c r="K203" i="1"/>
  <c r="S179" i="1"/>
  <c r="J179" i="1"/>
  <c r="K179" i="1"/>
  <c r="L10" i="4"/>
  <c r="S253" i="1"/>
  <c r="J253" i="1"/>
  <c r="K253" i="1"/>
  <c r="S107" i="1"/>
  <c r="J107" i="1"/>
  <c r="K107" i="1"/>
  <c r="S209" i="1"/>
  <c r="J209" i="1"/>
  <c r="K209" i="1"/>
  <c r="S239" i="1"/>
  <c r="J239" i="1"/>
  <c r="K239" i="1"/>
  <c r="S248" i="1"/>
  <c r="J248" i="1"/>
  <c r="K248" i="1"/>
  <c r="S35" i="1"/>
  <c r="J35" i="1"/>
  <c r="K35" i="1"/>
  <c r="S171" i="1"/>
  <c r="J171" i="1"/>
  <c r="K171" i="1"/>
  <c r="S161" i="1"/>
  <c r="J161" i="1"/>
  <c r="K161" i="1"/>
  <c r="S97" i="1"/>
  <c r="J97" i="1"/>
  <c r="K97" i="1"/>
  <c r="S33" i="1"/>
  <c r="J33" i="1"/>
  <c r="K33" i="1"/>
  <c r="S194" i="1"/>
  <c r="J194" i="1"/>
  <c r="K194" i="1"/>
  <c r="S130" i="1"/>
  <c r="J130" i="1"/>
  <c r="K130" i="1"/>
  <c r="S66" i="1"/>
  <c r="J66" i="1"/>
  <c r="K66" i="1"/>
  <c r="S212" i="1"/>
  <c r="J212" i="1"/>
  <c r="K212" i="1"/>
  <c r="S148" i="1"/>
  <c r="J148" i="1"/>
  <c r="K148" i="1"/>
  <c r="S84" i="1"/>
  <c r="J84" i="1"/>
  <c r="K84" i="1"/>
  <c r="S20" i="1"/>
  <c r="J20" i="1"/>
  <c r="K20" i="1"/>
  <c r="S181" i="1"/>
  <c r="J181" i="1"/>
  <c r="K181" i="1"/>
  <c r="S117" i="1"/>
  <c r="J117" i="1"/>
  <c r="K117" i="1"/>
  <c r="S53" i="1"/>
  <c r="J53" i="1"/>
  <c r="K53" i="1"/>
  <c r="S166" i="1"/>
  <c r="J166" i="1"/>
  <c r="K166" i="1"/>
  <c r="S102" i="1"/>
  <c r="J102" i="1"/>
  <c r="K102" i="1"/>
  <c r="S38" i="1"/>
  <c r="J38" i="1"/>
  <c r="K38" i="1"/>
  <c r="S183" i="1"/>
  <c r="J183" i="1"/>
  <c r="K183" i="1"/>
  <c r="S119" i="1"/>
  <c r="J119" i="1"/>
  <c r="K119" i="1"/>
  <c r="S55" i="1"/>
  <c r="J55" i="1"/>
  <c r="K55" i="1"/>
  <c r="S208" i="1"/>
  <c r="J208" i="1"/>
  <c r="K208" i="1"/>
  <c r="S144" i="1"/>
  <c r="J144" i="1"/>
  <c r="K144" i="1"/>
  <c r="S80" i="1"/>
  <c r="J80" i="1"/>
  <c r="K80" i="1"/>
  <c r="S16" i="1"/>
  <c r="J16" i="1"/>
  <c r="K16" i="1"/>
  <c r="S43" i="1"/>
  <c r="J43" i="1"/>
  <c r="K43" i="1"/>
  <c r="S198" i="1"/>
  <c r="J198" i="1"/>
  <c r="K198" i="1"/>
  <c r="S232" i="1"/>
  <c r="J232" i="1"/>
  <c r="K232" i="1"/>
  <c r="S240" i="1"/>
  <c r="J240" i="1"/>
  <c r="K240" i="1"/>
  <c r="J6" i="1"/>
  <c r="K6" i="1"/>
  <c r="L3" i="4"/>
  <c r="S6" i="1"/>
  <c r="S139" i="1"/>
  <c r="J139" i="1"/>
  <c r="K139" i="1"/>
  <c r="S115" i="1"/>
  <c r="J115" i="1"/>
  <c r="K115" i="1"/>
  <c r="S89" i="1"/>
  <c r="J89" i="1"/>
  <c r="K89" i="1"/>
  <c r="S25" i="1"/>
  <c r="J25" i="1"/>
  <c r="K25" i="1"/>
  <c r="L6" i="4"/>
  <c r="S186" i="1"/>
  <c r="J186" i="1"/>
  <c r="K186" i="1"/>
  <c r="S122" i="1"/>
  <c r="J122" i="1"/>
  <c r="K122" i="1"/>
  <c r="S58" i="1"/>
  <c r="J58" i="1"/>
  <c r="K58" i="1"/>
  <c r="S204" i="1"/>
  <c r="J204" i="1"/>
  <c r="K204" i="1"/>
  <c r="S140" i="1"/>
  <c r="J140" i="1"/>
  <c r="K140" i="1"/>
  <c r="S76" i="1"/>
  <c r="J76" i="1"/>
  <c r="K76" i="1"/>
  <c r="L4" i="4"/>
  <c r="S12" i="1"/>
  <c r="J12" i="1"/>
  <c r="K12" i="1"/>
  <c r="S173" i="1"/>
  <c r="J173" i="1"/>
  <c r="K173" i="1"/>
  <c r="S109" i="1"/>
  <c r="J109" i="1"/>
  <c r="K109" i="1"/>
  <c r="S45" i="1"/>
  <c r="J45" i="1"/>
  <c r="K45" i="1"/>
  <c r="S158" i="1"/>
  <c r="J158" i="1"/>
  <c r="K158" i="1"/>
  <c r="S94" i="1"/>
  <c r="J94" i="1"/>
  <c r="K94" i="1"/>
  <c r="S30" i="1"/>
  <c r="J30" i="1"/>
  <c r="K30" i="1"/>
  <c r="S175" i="1"/>
  <c r="J175" i="1"/>
  <c r="K175" i="1"/>
  <c r="S111" i="1"/>
  <c r="J111" i="1"/>
  <c r="K111" i="1"/>
  <c r="S47" i="1"/>
  <c r="J47" i="1"/>
  <c r="K47" i="1"/>
  <c r="S200" i="1"/>
  <c r="J200" i="1"/>
  <c r="K200" i="1"/>
  <c r="S136" i="1"/>
  <c r="J136" i="1"/>
  <c r="K136" i="1"/>
  <c r="S72" i="1"/>
  <c r="J72" i="1"/>
  <c r="K72" i="1"/>
  <c r="S8" i="1"/>
  <c r="J8" i="1"/>
  <c r="K8" i="1"/>
  <c r="N29" i="4"/>
  <c r="N27" i="4"/>
  <c r="N67" i="4"/>
  <c r="N154" i="4"/>
  <c r="N160" i="4"/>
  <c r="N37" i="4"/>
  <c r="N261" i="4"/>
  <c r="N96" i="4"/>
  <c r="N97" i="4"/>
  <c r="N179" i="4"/>
  <c r="N184" i="4"/>
  <c r="N106" i="4"/>
  <c r="N126" i="4"/>
  <c r="N115" i="4"/>
  <c r="N189" i="4"/>
  <c r="N80" i="4"/>
  <c r="N194" i="4"/>
  <c r="N151" i="4"/>
  <c r="N228" i="4"/>
  <c r="N82" i="4"/>
  <c r="N139" i="4"/>
  <c r="N81" i="4"/>
  <c r="N98" i="4"/>
  <c r="N225" i="4"/>
  <c r="N85" i="4"/>
  <c r="N233" i="4"/>
  <c r="N76" i="4"/>
  <c r="N152" i="4"/>
  <c r="N231" i="4"/>
  <c r="N241" i="4"/>
  <c r="N140" i="4"/>
  <c r="F15" i="4"/>
  <c r="N49" i="4"/>
  <c r="N137" i="4"/>
  <c r="N150" i="4"/>
  <c r="N142" i="4"/>
  <c r="N204" i="4"/>
  <c r="N158" i="4"/>
  <c r="N169" i="4"/>
  <c r="N213" i="4"/>
  <c r="N176" i="4"/>
  <c r="N182" i="4"/>
  <c r="N109" i="4"/>
  <c r="N185" i="4"/>
  <c r="N79" i="4"/>
  <c r="N191" i="4"/>
  <c r="N192" i="4"/>
  <c r="N123" i="4"/>
  <c r="N188" i="4"/>
  <c r="N135" i="4"/>
  <c r="N214" i="4"/>
  <c r="N41" i="4"/>
  <c r="N43" i="4"/>
  <c r="N153" i="4"/>
  <c r="N170" i="4"/>
  <c r="N101" i="4"/>
  <c r="N69" i="4"/>
  <c r="N113" i="4"/>
  <c r="N217" i="4"/>
  <c r="N252" i="4"/>
  <c r="N77" i="4"/>
  <c r="N91" i="4"/>
  <c r="N199" i="4"/>
  <c r="N131" i="4"/>
  <c r="N136" i="4"/>
  <c r="N45" i="4"/>
  <c r="N156" i="4"/>
  <c r="N31" i="4"/>
  <c r="N84" i="4"/>
  <c r="N266" i="4"/>
  <c r="N206" i="4"/>
  <c r="N88" i="4"/>
  <c r="N268" i="4"/>
  <c r="N218" i="4"/>
  <c r="N103" i="4"/>
  <c r="N273" i="4"/>
  <c r="N196" i="4"/>
  <c r="N245" i="4"/>
  <c r="N198" i="4"/>
  <c r="N193" i="4"/>
  <c r="N121" i="4"/>
  <c r="N133" i="4"/>
  <c r="N180" i="4"/>
  <c r="N64" i="4"/>
  <c r="N50" i="4"/>
  <c r="N146" i="4"/>
  <c r="N209" i="4"/>
  <c r="N271" i="4"/>
  <c r="N149" i="4"/>
  <c r="N224" i="4"/>
  <c r="N207" i="4"/>
  <c r="N200" i="4"/>
  <c r="N99" i="4"/>
  <c r="N174" i="4"/>
  <c r="N46" i="4"/>
  <c r="N32" i="4"/>
  <c r="N40" i="4"/>
  <c r="N251" i="4"/>
  <c r="N145" i="4"/>
  <c r="N143" i="4"/>
  <c r="N44" i="4"/>
  <c r="N263" i="4"/>
  <c r="N167" i="4"/>
  <c r="N94" i="4"/>
  <c r="N93" i="4"/>
  <c r="N183" i="4"/>
  <c r="N222" i="4"/>
  <c r="N234" i="4"/>
  <c r="N246" i="4"/>
  <c r="N248" i="4"/>
  <c r="N124" i="4"/>
  <c r="N277" i="4"/>
  <c r="N215" i="4"/>
  <c r="N274" i="4"/>
  <c r="N92" i="4"/>
  <c r="N47" i="4"/>
  <c r="N60" i="4"/>
  <c r="N39" i="4"/>
  <c r="N56" i="4"/>
  <c r="N75" i="4"/>
  <c r="N144" i="4"/>
  <c r="N172" i="4"/>
  <c r="N89" i="4"/>
  <c r="N51" i="4"/>
  <c r="N62" i="4"/>
  <c r="N71" i="4"/>
  <c r="N53" i="4"/>
  <c r="N250" i="4"/>
  <c r="N61" i="4"/>
  <c r="N249" i="4"/>
  <c r="N68" i="4"/>
  <c r="N83" i="4"/>
  <c r="N161" i="4"/>
  <c r="N267" i="4"/>
  <c r="N265" i="4"/>
  <c r="N73" i="4"/>
  <c r="N216" i="4"/>
  <c r="N221" i="4"/>
  <c r="N229" i="4"/>
  <c r="N187" i="4"/>
  <c r="N232" i="4"/>
  <c r="N129" i="4"/>
  <c r="N275" i="4"/>
  <c r="N112" i="4"/>
  <c r="N219" i="4"/>
  <c r="N117" i="4"/>
  <c r="N210" i="4"/>
  <c r="N28" i="4"/>
  <c r="N42" i="4"/>
  <c r="N247" i="4"/>
  <c r="N36" i="4"/>
  <c r="N72" i="4"/>
  <c r="N138" i="4"/>
  <c r="N237" i="4"/>
  <c r="N86" i="4"/>
  <c r="N63" i="4"/>
  <c r="N125" i="4"/>
  <c r="N262" i="4"/>
  <c r="N141" i="4"/>
  <c r="N130" i="4"/>
  <c r="N52" i="4"/>
  <c r="N134" i="4"/>
  <c r="N147" i="4"/>
  <c r="N166" i="4"/>
  <c r="N35" i="4"/>
  <c r="N269" i="4"/>
  <c r="N173" i="4"/>
  <c r="N57" i="4"/>
  <c r="N220" i="4"/>
  <c r="N100" i="4"/>
  <c r="N226" i="4"/>
  <c r="N59" i="4"/>
  <c r="N236" i="4"/>
  <c r="N235" i="4"/>
  <c r="N107" i="4"/>
  <c r="N278" i="4"/>
  <c r="N165" i="4"/>
  <c r="N190" i="4"/>
  <c r="N258" i="4"/>
  <c r="N203" i="4"/>
  <c r="N104" i="4"/>
  <c r="N243" i="4"/>
  <c r="N128" i="4"/>
  <c r="N171" i="4"/>
  <c r="N164" i="4"/>
  <c r="N111" i="4"/>
  <c r="N264" i="4"/>
  <c r="N48" i="4"/>
  <c r="N197" i="4"/>
  <c r="N159" i="4"/>
  <c r="N38" i="4"/>
  <c r="N33" i="4"/>
  <c r="N54" i="4"/>
  <c r="N132" i="4"/>
  <c r="N201" i="4"/>
  <c r="N157" i="4"/>
  <c r="N202" i="4"/>
  <c r="N211" i="4"/>
  <c r="N175" i="4"/>
  <c r="N90" i="4"/>
  <c r="N272" i="4"/>
  <c r="N227" i="4"/>
  <c r="N181" i="4"/>
  <c r="N120" i="4"/>
  <c r="N78" i="4"/>
  <c r="N118" i="4"/>
  <c r="N110" i="4"/>
  <c r="N276" i="4"/>
  <c r="N155" i="4"/>
  <c r="N114" i="4"/>
  <c r="N205" i="4"/>
  <c r="N256" i="4"/>
  <c r="N212" i="4"/>
  <c r="N58" i="4"/>
  <c r="N239" i="4"/>
  <c r="N87" i="4"/>
  <c r="N30" i="4"/>
  <c r="N74" i="4"/>
  <c r="N163" i="4"/>
  <c r="N230" i="4"/>
  <c r="N127" i="4"/>
  <c r="N260" i="4"/>
  <c r="N26" i="4"/>
  <c r="N65" i="4"/>
  <c r="N108" i="4"/>
  <c r="N116" i="4"/>
  <c r="N177" i="4"/>
  <c r="N253" i="4"/>
  <c r="N102" i="4"/>
  <c r="N255" i="4"/>
  <c r="N254" i="4"/>
  <c r="N70" i="4"/>
  <c r="N244" i="4"/>
  <c r="N55" i="4"/>
  <c r="N122" i="4"/>
  <c r="N257" i="4"/>
  <c r="N240" i="4"/>
  <c r="N208" i="4"/>
  <c r="N186" i="4"/>
  <c r="N168" i="4"/>
  <c r="N242" i="4"/>
  <c r="N178" i="4"/>
  <c r="N148" i="4"/>
  <c r="N270" i="4"/>
  <c r="N119" i="4"/>
  <c r="N223" i="4"/>
  <c r="N34" i="4"/>
  <c r="N95" i="4"/>
  <c r="N195" i="4"/>
  <c r="N259" i="4"/>
  <c r="N162" i="4"/>
  <c r="N238" i="4"/>
  <c r="N66" i="4"/>
  <c r="N105" i="4"/>
  <c r="E17" i="4"/>
  <c r="J111" i="18"/>
  <c r="O111" i="18"/>
  <c r="T6" i="18" a="1"/>
  <c r="T6" i="18"/>
  <c r="P48" i="18"/>
  <c r="Q48" i="18"/>
  <c r="J203" i="18"/>
  <c r="O203" i="18"/>
  <c r="J255" i="18"/>
  <c r="O255" i="18"/>
  <c r="J225" i="18"/>
  <c r="O225" i="18"/>
  <c r="J168" i="18"/>
  <c r="O168" i="18"/>
  <c r="M104" i="18"/>
  <c r="O104" i="18"/>
  <c r="J109" i="18"/>
  <c r="O109" i="18"/>
  <c r="O176" i="18"/>
  <c r="M176" i="18"/>
  <c r="O230" i="18"/>
  <c r="I2" i="25" a="1"/>
  <c r="I2" i="25"/>
  <c r="E4" i="19"/>
  <c r="H37" i="19"/>
  <c r="I37" i="19"/>
  <c r="L37" i="19"/>
  <c r="Q191" i="18"/>
  <c r="I139" i="19"/>
  <c r="L139" i="19"/>
  <c r="O135" i="18"/>
  <c r="J135" i="18"/>
  <c r="J151" i="18"/>
  <c r="O151" i="18"/>
  <c r="O200" i="18"/>
  <c r="J200" i="18"/>
  <c r="O143" i="18"/>
  <c r="M143" i="18"/>
  <c r="O42" i="18"/>
  <c r="M42" i="18"/>
  <c r="O88" i="18"/>
  <c r="J88" i="18"/>
  <c r="M263" i="18"/>
  <c r="O263" i="18"/>
  <c r="P32" i="18"/>
  <c r="Q32" i="18"/>
  <c r="Q272" i="18"/>
  <c r="Q269" i="18"/>
  <c r="P269" i="18"/>
  <c r="P254" i="18"/>
  <c r="Q254" i="18"/>
  <c r="O98" i="18"/>
  <c r="J98" i="18"/>
  <c r="O140" i="18"/>
  <c r="J140" i="18"/>
  <c r="V100" i="18"/>
  <c r="I74" i="19"/>
  <c r="O161" i="18"/>
  <c r="J161" i="18"/>
  <c r="J235" i="18"/>
  <c r="O235" i="18"/>
  <c r="O183" i="18"/>
  <c r="J183" i="18"/>
  <c r="Q47" i="18"/>
  <c r="P47" i="18"/>
  <c r="P129" i="18"/>
  <c r="Q129" i="18"/>
  <c r="V34" i="18"/>
  <c r="J84" i="18"/>
  <c r="O84" i="18"/>
  <c r="M248" i="18"/>
  <c r="O248" i="18"/>
  <c r="O60" i="18"/>
  <c r="J60" i="18"/>
  <c r="M79" i="18"/>
  <c r="O79" i="18"/>
  <c r="G177" i="18"/>
  <c r="Q177" i="18"/>
  <c r="M34" i="18"/>
  <c r="O34" i="18"/>
  <c r="M154" i="18"/>
  <c r="O154" i="18"/>
  <c r="M208" i="18"/>
  <c r="O208" i="18"/>
  <c r="Q148" i="18"/>
  <c r="P148" i="18"/>
  <c r="O251" i="18"/>
  <c r="M251" i="18"/>
  <c r="M221" i="18"/>
  <c r="O221" i="18"/>
  <c r="M253" i="18"/>
  <c r="O253" i="18"/>
  <c r="V227" i="18"/>
  <c r="I247" i="19"/>
  <c r="P256" i="18"/>
  <c r="Q256" i="18"/>
  <c r="O233" i="18"/>
  <c r="J233" i="18"/>
  <c r="J193" i="18"/>
  <c r="O193" i="18"/>
  <c r="H246" i="19"/>
  <c r="I246" i="19"/>
  <c r="L246" i="19"/>
  <c r="P157" i="18"/>
  <c r="Q157" i="18"/>
  <c r="Q231" i="18"/>
  <c r="P231" i="18"/>
  <c r="P38" i="18"/>
  <c r="Q38" i="18"/>
  <c r="V71" i="18"/>
  <c r="Q209" i="18"/>
  <c r="G209" i="18"/>
  <c r="M101" i="18"/>
  <c r="O101" i="18"/>
  <c r="O268" i="18"/>
  <c r="J268" i="18"/>
  <c r="O68" i="18"/>
  <c r="J68" i="18"/>
  <c r="J266" i="18"/>
  <c r="O266" i="18"/>
  <c r="J117" i="18"/>
  <c r="O117" i="18"/>
  <c r="J240" i="18"/>
  <c r="O240" i="18"/>
  <c r="J257" i="18"/>
  <c r="O257" i="18"/>
  <c r="Q270" i="18"/>
  <c r="P270" i="18"/>
  <c r="M238" i="18"/>
  <c r="O238" i="18"/>
  <c r="Q267" i="18"/>
  <c r="G267" i="18"/>
  <c r="O243" i="18"/>
  <c r="J243" i="18"/>
  <c r="M198" i="18"/>
  <c r="O198" i="18"/>
  <c r="M166" i="18"/>
  <c r="O166" i="18"/>
  <c r="L121" i="19"/>
  <c r="L8" i="19"/>
  <c r="L140" i="19"/>
  <c r="L152" i="19"/>
  <c r="L16" i="19"/>
  <c r="L211" i="19"/>
  <c r="V233" i="18"/>
  <c r="O181" i="18"/>
  <c r="J181" i="18"/>
  <c r="I7" i="19"/>
  <c r="L83" i="19"/>
  <c r="L50" i="19"/>
  <c r="G4" i="19"/>
  <c r="V196" i="18"/>
  <c r="L56" i="19"/>
  <c r="L114" i="19"/>
  <c r="V95" i="18"/>
  <c r="L10" i="19"/>
  <c r="L122" i="19"/>
  <c r="V123" i="18"/>
  <c r="L80" i="19"/>
  <c r="L115" i="19"/>
  <c r="L155" i="19"/>
  <c r="L187" i="19"/>
  <c r="L219" i="19"/>
  <c r="L144" i="19"/>
  <c r="L90" i="19"/>
  <c r="T4" i="18" a="1"/>
  <c r="T4" i="18"/>
  <c r="T8" i="18" a="1"/>
  <c r="T8" i="18"/>
  <c r="T11" i="18" a="1"/>
  <c r="T11" i="18"/>
  <c r="T7" i="18" a="1"/>
  <c r="T7" i="18"/>
  <c r="T9" i="18" a="1"/>
  <c r="T9" i="18"/>
  <c r="G72" i="18"/>
  <c r="T5" i="18" a="1"/>
  <c r="T5" i="18"/>
  <c r="T10" i="18" a="1"/>
  <c r="T10" i="18"/>
  <c r="Q72" i="18"/>
  <c r="V81" i="18"/>
  <c r="V137" i="18"/>
  <c r="V193" i="18"/>
  <c r="V57" i="18"/>
  <c r="V226" i="18"/>
  <c r="V266" i="18"/>
  <c r="P174" i="18"/>
  <c r="Q174" i="18"/>
  <c r="V36" i="18"/>
  <c r="V117" i="18"/>
  <c r="V70" i="18"/>
  <c r="P244" i="18"/>
  <c r="Q244" i="18"/>
  <c r="V241" i="18"/>
  <c r="L118" i="19"/>
  <c r="L31" i="19"/>
  <c r="L147" i="19"/>
  <c r="V77" i="18"/>
  <c r="V39" i="18"/>
  <c r="V110" i="18"/>
  <c r="V174" i="18"/>
  <c r="L63" i="19"/>
  <c r="V32" i="18"/>
  <c r="V167" i="18"/>
  <c r="V27" i="18"/>
  <c r="L18" i="19"/>
  <c r="O50" i="18"/>
  <c r="M50" i="18"/>
  <c r="V66" i="18"/>
  <c r="V131" i="18"/>
  <c r="V259" i="18"/>
  <c r="J113" i="18"/>
  <c r="O113" i="18"/>
  <c r="L156" i="19"/>
  <c r="L188" i="19"/>
  <c r="L220" i="19"/>
  <c r="V59" i="18"/>
  <c r="L124" i="19"/>
  <c r="L184" i="19"/>
  <c r="L224" i="19"/>
  <c r="V214" i="18"/>
  <c r="L62" i="19"/>
  <c r="L107" i="19"/>
  <c r="O145" i="18"/>
  <c r="J145" i="18"/>
  <c r="V89" i="18"/>
  <c r="V145" i="18"/>
  <c r="V201" i="18"/>
  <c r="L217" i="19"/>
  <c r="V122" i="18"/>
  <c r="V186" i="18"/>
  <c r="V274" i="18"/>
  <c r="V44" i="18"/>
  <c r="V125" i="18"/>
  <c r="V181" i="18"/>
  <c r="V237" i="18"/>
  <c r="P45" i="18"/>
  <c r="Q45" i="18"/>
  <c r="P126" i="18"/>
  <c r="Q126" i="18"/>
  <c r="V207" i="18"/>
  <c r="V128" i="18"/>
  <c r="V176" i="18"/>
  <c r="V265" i="18"/>
  <c r="L201" i="19"/>
  <c r="L179" i="19"/>
  <c r="V254" i="18"/>
  <c r="V73" i="18"/>
  <c r="L193" i="19"/>
  <c r="V47" i="18"/>
  <c r="V111" i="18"/>
  <c r="V175" i="18"/>
  <c r="L36" i="19"/>
  <c r="V75" i="18"/>
  <c r="V203" i="18"/>
  <c r="L93" i="19"/>
  <c r="L163" i="19"/>
  <c r="L195" i="19"/>
  <c r="L227" i="19"/>
  <c r="L160" i="19"/>
  <c r="L200" i="19"/>
  <c r="V222" i="18"/>
  <c r="L79" i="19"/>
  <c r="L108" i="19"/>
  <c r="O82" i="18"/>
  <c r="M82" i="18"/>
  <c r="L129" i="19"/>
  <c r="L125" i="19"/>
  <c r="V97" i="18"/>
  <c r="V153" i="18"/>
  <c r="V209" i="18"/>
  <c r="L24" i="18"/>
  <c r="V74" i="18"/>
  <c r="V130" i="18"/>
  <c r="G3" i="25"/>
  <c r="I3" i="25"/>
  <c r="P214" i="18"/>
  <c r="Q214" i="18"/>
  <c r="V133" i="18"/>
  <c r="V189" i="18"/>
  <c r="V247" i="18"/>
  <c r="V152" i="18"/>
  <c r="V248" i="18"/>
  <c r="V272" i="18"/>
  <c r="V249" i="18"/>
  <c r="L82" i="19"/>
  <c r="L13" i="19"/>
  <c r="L105" i="19"/>
  <c r="L232" i="19"/>
  <c r="Q100" i="18"/>
  <c r="P100" i="18"/>
  <c r="V101" i="18"/>
  <c r="P53" i="18"/>
  <c r="Q53" i="18"/>
  <c r="V144" i="18"/>
  <c r="L66" i="19"/>
  <c r="V85" i="18"/>
  <c r="V118" i="18"/>
  <c r="V182" i="18"/>
  <c r="V40" i="18"/>
  <c r="L30" i="19"/>
  <c r="V139" i="18"/>
  <c r="V267" i="18"/>
  <c r="V29" i="18"/>
  <c r="V156" i="18"/>
  <c r="L39" i="19"/>
  <c r="V55" i="18"/>
  <c r="V190" i="18"/>
  <c r="V48" i="18"/>
  <c r="V119" i="18"/>
  <c r="V183" i="18"/>
  <c r="L52" i="19"/>
  <c r="V43" i="18"/>
  <c r="V83" i="18"/>
  <c r="V211" i="18"/>
  <c r="V26" i="18"/>
  <c r="O91" i="18"/>
  <c r="M91" i="18"/>
  <c r="L95" i="19"/>
  <c r="L164" i="19"/>
  <c r="L196" i="19"/>
  <c r="L228" i="19"/>
  <c r="V76" i="18"/>
  <c r="V244" i="18"/>
  <c r="L134" i="19"/>
  <c r="L240" i="19"/>
  <c r="V230" i="18"/>
  <c r="M141" i="18"/>
  <c r="O141" i="18"/>
  <c r="L94" i="19"/>
  <c r="O62" i="18"/>
  <c r="J62" i="18"/>
  <c r="V161" i="18"/>
  <c r="V217" i="18"/>
  <c r="V33" i="18"/>
  <c r="V202" i="18"/>
  <c r="V141" i="18"/>
  <c r="V197" i="18"/>
  <c r="V245" i="18"/>
  <c r="V30" i="18"/>
  <c r="V215" i="18"/>
  <c r="V255" i="18"/>
  <c r="V208" i="18"/>
  <c r="J245" i="18"/>
  <c r="O245" i="18"/>
  <c r="P180" i="18"/>
  <c r="Q180" i="18"/>
  <c r="L204" i="19"/>
  <c r="L65" i="19"/>
  <c r="L71" i="19"/>
  <c r="H6" i="19"/>
  <c r="F4" i="19"/>
  <c r="J115" i="18"/>
  <c r="O115" i="18"/>
  <c r="L171" i="19"/>
  <c r="L203" i="19"/>
  <c r="L235" i="19"/>
  <c r="L176" i="19"/>
  <c r="L216" i="19"/>
  <c r="L243" i="19"/>
  <c r="V78" i="18"/>
  <c r="V238" i="18"/>
  <c r="L96" i="19"/>
  <c r="L104" i="19"/>
  <c r="L42" i="19"/>
  <c r="L127" i="19"/>
  <c r="V105" i="18"/>
  <c r="V169" i="18"/>
  <c r="V225" i="18"/>
  <c r="V82" i="18"/>
  <c r="V146" i="18"/>
  <c r="V60" i="18"/>
  <c r="V253" i="18"/>
  <c r="V38" i="18"/>
  <c r="V263" i="18"/>
  <c r="P260" i="18"/>
  <c r="Q260" i="18"/>
  <c r="V192" i="18"/>
  <c r="V256" i="18"/>
  <c r="P196" i="18"/>
  <c r="Q196" i="18"/>
  <c r="O213" i="18"/>
  <c r="J213" i="18"/>
  <c r="L55" i="19"/>
  <c r="L236" i="19"/>
  <c r="L192" i="19"/>
  <c r="I1" i="25" a="1"/>
  <c r="I1" i="25"/>
  <c r="V98" i="18"/>
  <c r="L24" i="19"/>
  <c r="L103" i="19"/>
  <c r="J147" i="18"/>
  <c r="O147" i="18"/>
  <c r="L84" i="19"/>
  <c r="L247" i="19"/>
  <c r="V185" i="18"/>
  <c r="V162" i="18"/>
  <c r="V28" i="18"/>
  <c r="V213" i="18"/>
  <c r="Q228" i="18"/>
  <c r="P228" i="18"/>
  <c r="V61" i="18"/>
  <c r="V188" i="18"/>
  <c r="V87" i="18"/>
  <c r="V158" i="18"/>
  <c r="L85" i="19"/>
  <c r="V151" i="18"/>
  <c r="L21" i="19"/>
  <c r="L97" i="19"/>
  <c r="V115" i="18"/>
  <c r="V243" i="18"/>
  <c r="L109" i="19"/>
  <c r="L148" i="19"/>
  <c r="L180" i="19"/>
  <c r="L212" i="19"/>
  <c r="L254" i="19"/>
  <c r="V212" i="18"/>
  <c r="L168" i="19"/>
  <c r="L208" i="19"/>
  <c r="V198" i="18"/>
  <c r="V262" i="18"/>
  <c r="J110" i="18"/>
  <c r="O110" i="18"/>
  <c r="O138" i="18"/>
  <c r="M138" i="18"/>
  <c r="V129" i="18"/>
  <c r="M57" i="18"/>
  <c r="O57" i="18"/>
  <c r="V49" i="18"/>
  <c r="V170" i="18"/>
  <c r="V258" i="18"/>
  <c r="V109" i="18"/>
  <c r="V173" i="18"/>
  <c r="V221" i="18"/>
  <c r="V269" i="18"/>
  <c r="P118" i="18"/>
  <c r="Q118" i="18"/>
  <c r="V62" i="18"/>
  <c r="V231" i="18"/>
  <c r="V120" i="18"/>
  <c r="V168" i="18"/>
  <c r="V200" i="18"/>
  <c r="V216" i="18"/>
  <c r="V240" i="18"/>
  <c r="L161" i="19"/>
  <c r="P103" i="18"/>
  <c r="Q103" i="18"/>
  <c r="V116" i="18"/>
  <c r="P49" i="18"/>
  <c r="Q49" i="18"/>
  <c r="V166" i="18"/>
  <c r="V164" i="18"/>
  <c r="V41" i="18"/>
  <c r="Q158" i="18"/>
  <c r="P246" i="18"/>
  <c r="Q246" i="18"/>
  <c r="V69" i="18"/>
  <c r="V218" i="18"/>
  <c r="V191" i="18"/>
  <c r="V206" i="18"/>
  <c r="V235" i="18"/>
  <c r="Q97" i="18"/>
  <c r="P97" i="18"/>
  <c r="Q142" i="18"/>
  <c r="P142" i="18"/>
  <c r="Q33" i="18"/>
  <c r="P33" i="18"/>
  <c r="V273" i="18"/>
  <c r="V149" i="18"/>
  <c r="V252" i="18"/>
  <c r="V136" i="18"/>
  <c r="V138" i="18"/>
  <c r="V93" i="18"/>
  <c r="V148" i="18"/>
  <c r="V224" i="18"/>
  <c r="V242" i="18"/>
  <c r="V67" i="18"/>
  <c r="V35" i="18"/>
  <c r="V65" i="18"/>
  <c r="V140" i="18"/>
  <c r="V239" i="18"/>
  <c r="V178" i="18"/>
  <c r="V268" i="18"/>
  <c r="V232" i="18"/>
  <c r="V108" i="18"/>
  <c r="P77" i="18"/>
  <c r="V124" i="18"/>
  <c r="V63" i="18"/>
  <c r="V143" i="18"/>
  <c r="V154" i="18"/>
  <c r="Q249" i="18"/>
  <c r="Q223" i="18"/>
  <c r="V51" i="18"/>
  <c r="V94" i="18"/>
  <c r="V180" i="18"/>
  <c r="V68" i="18"/>
  <c r="Q159" i="18"/>
  <c r="V58" i="18"/>
  <c r="V102" i="18"/>
  <c r="V112" i="18"/>
  <c r="V91" i="18"/>
  <c r="V92" i="18"/>
  <c r="V37" i="18"/>
  <c r="V199" i="18"/>
  <c r="V210" i="18"/>
  <c r="V204" i="18"/>
  <c r="V135" i="18"/>
  <c r="V79" i="18"/>
  <c r="P107" i="18"/>
  <c r="V72" i="18"/>
  <c r="V31" i="18"/>
  <c r="V165" i="18"/>
  <c r="V64" i="18"/>
  <c r="V80" i="18"/>
  <c r="V150" i="18"/>
  <c r="V172" i="18"/>
  <c r="V177" i="18"/>
  <c r="V127" i="18"/>
  <c r="V160" i="18"/>
  <c r="V134" i="18"/>
  <c r="P67" i="18"/>
  <c r="Q67" i="18"/>
  <c r="V264" i="18"/>
  <c r="V106" i="18"/>
  <c r="V88" i="18"/>
  <c r="V54" i="18"/>
  <c r="V104" i="18"/>
  <c r="V250" i="18"/>
  <c r="V84" i="18"/>
  <c r="V184" i="18"/>
  <c r="V52" i="18"/>
  <c r="V147" i="18"/>
  <c r="V126" i="18"/>
  <c r="V96" i="18"/>
  <c r="V194" i="18"/>
  <c r="V236" i="18"/>
  <c r="V234" i="18"/>
  <c r="V228" i="18"/>
  <c r="V195" i="18"/>
  <c r="V103" i="18"/>
  <c r="V229" i="18"/>
  <c r="V114" i="18"/>
  <c r="V270" i="18"/>
  <c r="V159" i="18"/>
  <c r="V132" i="18"/>
  <c r="V121" i="18"/>
  <c r="V45" i="18"/>
  <c r="V53" i="18"/>
  <c r="V163" i="18"/>
  <c r="V86" i="18"/>
  <c r="V171" i="18"/>
  <c r="V223" i="18"/>
  <c r="V90" i="18"/>
  <c r="V261" i="18"/>
  <c r="P80" i="18"/>
  <c r="Q80" i="18"/>
  <c r="Q85" i="18"/>
  <c r="P85" i="18"/>
  <c r="Q54" i="18"/>
  <c r="P54" i="18"/>
  <c r="P232" i="18"/>
  <c r="Q232" i="18"/>
  <c r="Q189" i="18"/>
  <c r="P189" i="18"/>
  <c r="V251" i="18"/>
  <c r="V179" i="18"/>
  <c r="V46" i="18"/>
  <c r="V107" i="18"/>
  <c r="V42" i="18"/>
  <c r="V24" i="18"/>
  <c r="V157" i="18"/>
  <c r="V113" i="18"/>
  <c r="V99" i="18"/>
  <c r="V246" i="18"/>
  <c r="P227" i="18"/>
  <c r="Q227" i="18"/>
  <c r="Q90" i="18"/>
  <c r="P90" i="18"/>
  <c r="V220" i="18"/>
  <c r="V187" i="18"/>
  <c r="V50" i="18"/>
  <c r="V257" i="18"/>
  <c r="V205" i="18"/>
  <c r="V56" i="18"/>
  <c r="V219" i="18"/>
  <c r="V142" i="18"/>
  <c r="V260" i="18"/>
  <c r="V271" i="18"/>
  <c r="V155" i="18"/>
  <c r="Q122" i="18"/>
  <c r="P122" i="18"/>
  <c r="P202" i="18"/>
  <c r="Q202" i="18"/>
  <c r="Q169" i="18"/>
  <c r="P169" i="18"/>
  <c r="P205" i="18"/>
  <c r="Q205" i="18"/>
  <c r="P258" i="18"/>
  <c r="Q258" i="18"/>
  <c r="P216" i="18"/>
  <c r="Q216" i="18"/>
  <c r="P222" i="18"/>
  <c r="Q222" i="18"/>
  <c r="P190" i="18"/>
  <c r="Q190" i="18"/>
  <c r="P259" i="18"/>
  <c r="Q259" i="18"/>
  <c r="P197" i="18"/>
  <c r="Q197" i="18"/>
  <c r="Q241" i="18"/>
  <c r="Q112" i="18"/>
  <c r="P112" i="18"/>
  <c r="P236" i="18"/>
  <c r="Q236" i="18"/>
  <c r="P128" i="18"/>
  <c r="Q128" i="18"/>
  <c r="P43" i="18"/>
  <c r="Q43" i="18"/>
  <c r="P152" i="18"/>
  <c r="Q152" i="18"/>
  <c r="P262" i="18"/>
  <c r="Q262" i="18"/>
  <c r="Q39" i="18"/>
  <c r="P39" i="18"/>
  <c r="Q167" i="18"/>
  <c r="P167" i="18"/>
  <c r="Q224" i="18"/>
  <c r="P224" i="18"/>
  <c r="P87" i="18"/>
  <c r="Q87" i="18"/>
  <c r="P264" i="18"/>
  <c r="Q264" i="18"/>
  <c r="P52" i="18"/>
  <c r="Q52" i="18"/>
  <c r="P219" i="18"/>
  <c r="Q219" i="18"/>
  <c r="P99" i="18"/>
  <c r="Q99" i="18"/>
  <c r="Q153" i="18"/>
  <c r="P153" i="18"/>
  <c r="P132" i="18"/>
  <c r="Q132" i="18"/>
  <c r="P175" i="18"/>
  <c r="Q175" i="18"/>
  <c r="Q73" i="18"/>
  <c r="P73" i="18"/>
  <c r="Q247" i="18"/>
  <c r="P247" i="18"/>
  <c r="P149" i="18"/>
  <c r="Q149" i="18"/>
  <c r="Q94" i="18"/>
  <c r="P94" i="18"/>
  <c r="P194" i="18"/>
  <c r="Q194" i="18"/>
  <c r="Q261" i="18"/>
  <c r="P261" i="18"/>
  <c r="P41" i="18"/>
  <c r="Q41" i="18"/>
  <c r="Q179" i="18"/>
  <c r="P179" i="18"/>
  <c r="Q274" i="18"/>
  <c r="P274" i="18"/>
  <c r="P195" i="18"/>
  <c r="Q195" i="18"/>
  <c r="P173" i="18"/>
  <c r="Q173" i="18"/>
  <c r="P187" i="18"/>
  <c r="Q187" i="18"/>
  <c r="P171" i="18"/>
  <c r="Q171" i="18"/>
  <c r="Q206" i="18"/>
  <c r="P206" i="18"/>
  <c r="P58" i="18"/>
  <c r="Q58" i="18"/>
  <c r="P185" i="18"/>
  <c r="Q185" i="18"/>
  <c r="Q215" i="18"/>
  <c r="P215" i="18"/>
  <c r="K5" i="22"/>
  <c r="S24" i="21"/>
  <c r="U26" i="21"/>
  <c r="S25" i="21"/>
  <c r="U27" i="21"/>
  <c r="J278" i="4"/>
  <c r="K278" i="4"/>
  <c r="J249" i="4"/>
  <c r="K249" i="4"/>
  <c r="J266" i="4"/>
  <c r="K266" i="4"/>
  <c r="J255" i="4"/>
  <c r="K255" i="4"/>
  <c r="J275" i="4"/>
  <c r="K275" i="4"/>
  <c r="J252" i="4"/>
  <c r="K252" i="4"/>
  <c r="J260" i="4"/>
  <c r="K260" i="4"/>
  <c r="J256" i="4"/>
  <c r="K256" i="4"/>
  <c r="J267" i="4"/>
  <c r="K267" i="4"/>
  <c r="J270" i="4"/>
  <c r="K270" i="4"/>
  <c r="J272" i="4"/>
  <c r="K272" i="4"/>
  <c r="J261" i="4"/>
  <c r="K261" i="4"/>
  <c r="J271" i="4"/>
  <c r="K271" i="4"/>
  <c r="J273" i="4"/>
  <c r="K273" i="4"/>
  <c r="J251" i="4"/>
  <c r="K251" i="4"/>
  <c r="J263" i="4"/>
  <c r="K263" i="4"/>
  <c r="J258" i="4"/>
  <c r="K258" i="4"/>
  <c r="J254" i="4"/>
  <c r="K254" i="4"/>
  <c r="J276" i="4"/>
  <c r="K276" i="4"/>
  <c r="J259" i="4"/>
  <c r="K259" i="4"/>
  <c r="J257" i="4"/>
  <c r="K257" i="4"/>
  <c r="J262" i="4"/>
  <c r="K262" i="4"/>
  <c r="J250" i="4"/>
  <c r="K250" i="4"/>
  <c r="J264" i="4"/>
  <c r="K264" i="4"/>
  <c r="J274" i="4"/>
  <c r="K274" i="4"/>
  <c r="J277" i="4"/>
  <c r="K277" i="4"/>
  <c r="J253" i="4"/>
  <c r="K253" i="4"/>
  <c r="J269" i="4"/>
  <c r="K269" i="4"/>
  <c r="J265" i="4"/>
  <c r="K265" i="4"/>
  <c r="J268" i="4"/>
  <c r="K268" i="4"/>
  <c r="J138" i="4"/>
  <c r="K138" i="4"/>
  <c r="J133" i="4"/>
  <c r="K133" i="4"/>
  <c r="J145" i="4"/>
  <c r="K145" i="4"/>
  <c r="J147" i="4"/>
  <c r="K147" i="4"/>
  <c r="J139" i="4"/>
  <c r="K139" i="4"/>
  <c r="J183" i="4"/>
  <c r="K183" i="4"/>
  <c r="J132" i="4"/>
  <c r="K132" i="4"/>
  <c r="J150" i="4"/>
  <c r="K150" i="4"/>
  <c r="J197" i="4"/>
  <c r="K197" i="4"/>
  <c r="J135" i="4"/>
  <c r="K135" i="4"/>
  <c r="J160" i="4"/>
  <c r="K160" i="4"/>
  <c r="J159" i="4"/>
  <c r="K159" i="4"/>
  <c r="J155" i="4"/>
  <c r="K155" i="4"/>
  <c r="J151" i="4"/>
  <c r="K151" i="4"/>
  <c r="J186" i="4"/>
  <c r="K186" i="4"/>
  <c r="J172" i="4"/>
  <c r="K172" i="4"/>
  <c r="J167" i="4"/>
  <c r="K167" i="4"/>
  <c r="J164" i="4"/>
  <c r="K164" i="4"/>
  <c r="J166" i="4"/>
  <c r="K166" i="4"/>
  <c r="J170" i="4"/>
  <c r="K170" i="4"/>
  <c r="J144" i="4"/>
  <c r="K144" i="4"/>
  <c r="J157" i="4"/>
  <c r="K157" i="4"/>
  <c r="J134" i="4"/>
  <c r="K134" i="4"/>
  <c r="J174" i="4"/>
  <c r="K174" i="4"/>
  <c r="J181" i="4"/>
  <c r="K181" i="4"/>
  <c r="J190" i="4"/>
  <c r="K190" i="4"/>
  <c r="J184" i="4"/>
  <c r="K184" i="4"/>
  <c r="J148" i="4"/>
  <c r="K148" i="4"/>
  <c r="J165" i="4"/>
  <c r="K165" i="4"/>
  <c r="J158" i="4"/>
  <c r="K158" i="4"/>
  <c r="J136" i="4"/>
  <c r="K136" i="4"/>
  <c r="J177" i="4"/>
  <c r="K177" i="4"/>
  <c r="J137" i="4"/>
  <c r="K137" i="4"/>
  <c r="J163" i="4"/>
  <c r="K163" i="4"/>
  <c r="J185" i="4"/>
  <c r="K185" i="4"/>
  <c r="J182" i="4"/>
  <c r="K182" i="4"/>
  <c r="J154" i="4"/>
  <c r="K154" i="4"/>
  <c r="J196" i="4"/>
  <c r="K196" i="4"/>
  <c r="J161" i="4"/>
  <c r="K161" i="4"/>
  <c r="J187" i="4"/>
  <c r="K187" i="4"/>
  <c r="J176" i="4"/>
  <c r="K176" i="4"/>
  <c r="J198" i="4"/>
  <c r="K198" i="4"/>
  <c r="J146" i="4"/>
  <c r="K146" i="4"/>
  <c r="J162" i="4"/>
  <c r="K162" i="4"/>
  <c r="J175" i="4"/>
  <c r="K175" i="4"/>
  <c r="J130" i="4"/>
  <c r="K130" i="4"/>
  <c r="J191" i="4"/>
  <c r="K191" i="4"/>
  <c r="J149" i="4"/>
  <c r="K149" i="4"/>
  <c r="J195" i="4"/>
  <c r="K195" i="4"/>
  <c r="J171" i="4"/>
  <c r="K171" i="4"/>
  <c r="J152" i="4"/>
  <c r="K152" i="4"/>
  <c r="J180" i="4"/>
  <c r="K180" i="4"/>
  <c r="J192" i="4"/>
  <c r="K192" i="4"/>
  <c r="J194" i="4"/>
  <c r="K194" i="4"/>
  <c r="J153" i="4"/>
  <c r="K153" i="4"/>
  <c r="J143" i="4"/>
  <c r="K143" i="4"/>
  <c r="J168" i="4"/>
  <c r="K168" i="4"/>
  <c r="J140" i="4"/>
  <c r="K140" i="4"/>
  <c r="J188" i="4"/>
  <c r="K188" i="4"/>
  <c r="J142" i="4"/>
  <c r="K142" i="4"/>
  <c r="J189" i="4"/>
  <c r="K189" i="4"/>
  <c r="J173" i="4"/>
  <c r="K173" i="4"/>
  <c r="J179" i="4"/>
  <c r="K179" i="4"/>
  <c r="J141" i="4"/>
  <c r="K141" i="4"/>
  <c r="J193" i="4"/>
  <c r="K193" i="4"/>
  <c r="J156" i="4"/>
  <c r="K156" i="4"/>
  <c r="J169" i="4"/>
  <c r="K169" i="4"/>
  <c r="J178" i="4"/>
  <c r="K178" i="4"/>
  <c r="J131" i="4"/>
  <c r="K131" i="4"/>
  <c r="J69" i="4"/>
  <c r="K69" i="4"/>
  <c r="J76" i="4"/>
  <c r="K76" i="4"/>
  <c r="J72" i="4"/>
  <c r="K72" i="4"/>
  <c r="J74" i="4"/>
  <c r="K74" i="4"/>
  <c r="J78" i="4"/>
  <c r="K78" i="4"/>
  <c r="J66" i="4"/>
  <c r="K66" i="4"/>
  <c r="J67" i="4"/>
  <c r="K67" i="4"/>
  <c r="J79" i="4"/>
  <c r="K79" i="4"/>
  <c r="J63" i="4"/>
  <c r="K63" i="4"/>
  <c r="J60" i="4"/>
  <c r="K60" i="4"/>
  <c r="J61" i="4"/>
  <c r="K61" i="4"/>
  <c r="J73" i="4"/>
  <c r="K73" i="4"/>
  <c r="J64" i="4"/>
  <c r="K64" i="4"/>
  <c r="J80" i="4"/>
  <c r="K80" i="4"/>
  <c r="J75" i="4"/>
  <c r="K75" i="4"/>
  <c r="J68" i="4"/>
  <c r="K68" i="4"/>
  <c r="J77" i="4"/>
  <c r="K77" i="4"/>
  <c r="J62" i="4"/>
  <c r="K62" i="4"/>
  <c r="J70" i="4"/>
  <c r="K70" i="4"/>
  <c r="J71" i="4"/>
  <c r="K71" i="4"/>
  <c r="J65" i="4"/>
  <c r="K65" i="4"/>
  <c r="J57" i="4"/>
  <c r="K57" i="4"/>
  <c r="J50" i="4"/>
  <c r="K50" i="4"/>
  <c r="J48" i="4"/>
  <c r="K48" i="4"/>
  <c r="J52" i="4"/>
  <c r="K52" i="4"/>
  <c r="J51" i="4"/>
  <c r="K51" i="4"/>
  <c r="J49" i="4"/>
  <c r="K49" i="4"/>
  <c r="J46" i="4"/>
  <c r="K46" i="4"/>
  <c r="J59" i="4"/>
  <c r="K59" i="4"/>
  <c r="J55" i="4"/>
  <c r="K55" i="4"/>
  <c r="J45" i="4"/>
  <c r="K45" i="4"/>
  <c r="J54" i="4"/>
  <c r="K54" i="4"/>
  <c r="J53" i="4"/>
  <c r="K53" i="4"/>
  <c r="J47" i="4"/>
  <c r="K47" i="4"/>
  <c r="J58" i="4"/>
  <c r="K58" i="4"/>
  <c r="J56" i="4"/>
  <c r="K56" i="4"/>
  <c r="J218" i="4"/>
  <c r="K218" i="4"/>
  <c r="J224" i="4"/>
  <c r="K224" i="4"/>
  <c r="J238" i="4"/>
  <c r="K238" i="4"/>
  <c r="J244" i="4"/>
  <c r="K244" i="4"/>
  <c r="J199" i="4"/>
  <c r="K199" i="4"/>
  <c r="J239" i="4"/>
  <c r="K239" i="4"/>
  <c r="J217" i="4"/>
  <c r="K217" i="4"/>
  <c r="J208" i="4"/>
  <c r="K208" i="4"/>
  <c r="J236" i="4"/>
  <c r="K236" i="4"/>
  <c r="J209" i="4"/>
  <c r="K209" i="4"/>
  <c r="J206" i="4"/>
  <c r="K206" i="4"/>
  <c r="J215" i="4"/>
  <c r="K215" i="4"/>
  <c r="J219" i="4"/>
  <c r="K219" i="4"/>
  <c r="J201" i="4"/>
  <c r="K201" i="4"/>
  <c r="J223" i="4"/>
  <c r="K223" i="4"/>
  <c r="J207" i="4"/>
  <c r="K207" i="4"/>
  <c r="J205" i="4"/>
  <c r="K205" i="4"/>
  <c r="J228" i="4"/>
  <c r="K228" i="4"/>
  <c r="J243" i="4"/>
  <c r="K243" i="4"/>
  <c r="J221" i="4"/>
  <c r="K221" i="4"/>
  <c r="J233" i="4"/>
  <c r="K233" i="4"/>
  <c r="J225" i="4"/>
  <c r="K225" i="4"/>
  <c r="J245" i="4"/>
  <c r="K245" i="4"/>
  <c r="J242" i="4"/>
  <c r="K242" i="4"/>
  <c r="J214" i="4"/>
  <c r="K214" i="4"/>
  <c r="J234" i="4"/>
  <c r="K234" i="4"/>
  <c r="J203" i="4"/>
  <c r="K203" i="4"/>
  <c r="J240" i="4"/>
  <c r="K240" i="4"/>
  <c r="J222" i="4"/>
  <c r="K222" i="4"/>
  <c r="J246" i="4"/>
  <c r="K246" i="4"/>
  <c r="J227" i="4"/>
  <c r="K227" i="4"/>
  <c r="J202" i="4"/>
  <c r="K202" i="4"/>
  <c r="J212" i="4"/>
  <c r="K212" i="4"/>
  <c r="J216" i="4"/>
  <c r="K216" i="4"/>
  <c r="J247" i="4"/>
  <c r="K247" i="4"/>
  <c r="J230" i="4"/>
  <c r="K230" i="4"/>
  <c r="J241" i="4"/>
  <c r="K241" i="4"/>
  <c r="J204" i="4"/>
  <c r="K204" i="4"/>
  <c r="J231" i="4"/>
  <c r="K231" i="4"/>
  <c r="J211" i="4"/>
  <c r="K211" i="4"/>
  <c r="J200" i="4"/>
  <c r="K200" i="4"/>
  <c r="J229" i="4"/>
  <c r="K229" i="4"/>
  <c r="J220" i="4"/>
  <c r="K220" i="4"/>
  <c r="J237" i="4"/>
  <c r="K237" i="4"/>
  <c r="J210" i="4"/>
  <c r="K210" i="4"/>
  <c r="J213" i="4"/>
  <c r="K213" i="4"/>
  <c r="J235" i="4"/>
  <c r="K235" i="4"/>
  <c r="J232" i="4"/>
  <c r="K232" i="4"/>
  <c r="J248" i="4"/>
  <c r="K248" i="4"/>
  <c r="J226" i="4"/>
  <c r="K226" i="4"/>
  <c r="J29" i="4"/>
  <c r="K29" i="4"/>
  <c r="J31" i="4"/>
  <c r="K31" i="4"/>
  <c r="J30" i="4"/>
  <c r="K30" i="4"/>
  <c r="J26" i="4"/>
  <c r="K26" i="4"/>
  <c r="J27" i="4"/>
  <c r="K27" i="4"/>
  <c r="J28" i="4"/>
  <c r="K28" i="4"/>
  <c r="J32" i="4"/>
  <c r="K32" i="4"/>
  <c r="J34" i="4"/>
  <c r="K34" i="4"/>
  <c r="J33" i="4"/>
  <c r="K33" i="4"/>
  <c r="J36" i="4"/>
  <c r="K36" i="4"/>
  <c r="J35" i="4"/>
  <c r="K35" i="4"/>
  <c r="J37" i="4"/>
  <c r="K37" i="4"/>
  <c r="K4" i="1"/>
  <c r="J40" i="4"/>
  <c r="K40" i="4"/>
  <c r="J41" i="4"/>
  <c r="K41" i="4"/>
  <c r="J42" i="4"/>
  <c r="K42" i="4"/>
  <c r="J39" i="4"/>
  <c r="K39" i="4"/>
  <c r="J44" i="4"/>
  <c r="K44" i="4"/>
  <c r="J38" i="4"/>
  <c r="K38" i="4"/>
  <c r="J43" i="4"/>
  <c r="K43" i="4"/>
  <c r="J119" i="4"/>
  <c r="K119" i="4"/>
  <c r="J124" i="4"/>
  <c r="K124" i="4"/>
  <c r="J125" i="4"/>
  <c r="K125" i="4"/>
  <c r="J98" i="4"/>
  <c r="K98" i="4"/>
  <c r="J107" i="4"/>
  <c r="K107" i="4"/>
  <c r="J122" i="4"/>
  <c r="K122" i="4"/>
  <c r="J104" i="4"/>
  <c r="K104" i="4"/>
  <c r="J110" i="4"/>
  <c r="K110" i="4"/>
  <c r="J102" i="4"/>
  <c r="K102" i="4"/>
  <c r="J88" i="4"/>
  <c r="K88" i="4"/>
  <c r="J127" i="4"/>
  <c r="K127" i="4"/>
  <c r="J99" i="4"/>
  <c r="K99" i="4"/>
  <c r="J123" i="4"/>
  <c r="K123" i="4"/>
  <c r="J96" i="4"/>
  <c r="K96" i="4"/>
  <c r="J84" i="4"/>
  <c r="K84" i="4"/>
  <c r="J117" i="4"/>
  <c r="K117" i="4"/>
  <c r="J106" i="4"/>
  <c r="K106" i="4"/>
  <c r="J81" i="4"/>
  <c r="K81" i="4"/>
  <c r="J97" i="4"/>
  <c r="K97" i="4"/>
  <c r="J95" i="4"/>
  <c r="K95" i="4"/>
  <c r="J89" i="4"/>
  <c r="K89" i="4"/>
  <c r="J86" i="4"/>
  <c r="K86" i="4"/>
  <c r="J113" i="4"/>
  <c r="K113" i="4"/>
  <c r="J111" i="4"/>
  <c r="K111" i="4"/>
  <c r="J128" i="4"/>
  <c r="K128" i="4"/>
  <c r="J115" i="4"/>
  <c r="K115" i="4"/>
  <c r="J92" i="4"/>
  <c r="K92" i="4"/>
  <c r="J116" i="4"/>
  <c r="K116" i="4"/>
  <c r="J82" i="4"/>
  <c r="K82" i="4"/>
  <c r="J94" i="4"/>
  <c r="K94" i="4"/>
  <c r="J121" i="4"/>
  <c r="K121" i="4"/>
  <c r="J90" i="4"/>
  <c r="K90" i="4"/>
  <c r="J112" i="4"/>
  <c r="K112" i="4"/>
  <c r="J101" i="4"/>
  <c r="K101" i="4"/>
  <c r="J83" i="4"/>
  <c r="K83" i="4"/>
  <c r="J105" i="4"/>
  <c r="K105" i="4"/>
  <c r="J100" i="4"/>
  <c r="K100" i="4"/>
  <c r="J118" i="4"/>
  <c r="K118" i="4"/>
  <c r="J108" i="4"/>
  <c r="K108" i="4"/>
  <c r="J129" i="4"/>
  <c r="K129" i="4"/>
  <c r="J126" i="4"/>
  <c r="K126" i="4"/>
  <c r="J85" i="4"/>
  <c r="K85" i="4"/>
  <c r="J109" i="4"/>
  <c r="K109" i="4"/>
  <c r="J120" i="4"/>
  <c r="K120" i="4"/>
  <c r="J91" i="4"/>
  <c r="K91" i="4"/>
  <c r="J103" i="4"/>
  <c r="K103" i="4"/>
  <c r="J87" i="4"/>
  <c r="K87" i="4"/>
  <c r="J114" i="4"/>
  <c r="K114" i="4"/>
  <c r="J93" i="4"/>
  <c r="K93" i="4"/>
  <c r="N24" i="4"/>
  <c r="Q193" i="18"/>
  <c r="P193" i="18"/>
  <c r="Q151" i="18"/>
  <c r="P151" i="18"/>
  <c r="P168" i="18"/>
  <c r="Q168" i="18"/>
  <c r="Q198" i="18"/>
  <c r="P198" i="18"/>
  <c r="Q266" i="18"/>
  <c r="P266" i="18"/>
  <c r="Q253" i="18"/>
  <c r="P253" i="18"/>
  <c r="P208" i="18"/>
  <c r="Q208" i="18"/>
  <c r="Q79" i="18"/>
  <c r="P79" i="18"/>
  <c r="P88" i="18"/>
  <c r="Q88" i="18"/>
  <c r="Q230" i="18"/>
  <c r="P230" i="18"/>
  <c r="P161" i="18"/>
  <c r="Q161" i="18"/>
  <c r="Q225" i="18"/>
  <c r="P225" i="18"/>
  <c r="P257" i="18"/>
  <c r="Q257" i="18"/>
  <c r="Q233" i="18"/>
  <c r="P233" i="18"/>
  <c r="P221" i="18"/>
  <c r="Q221" i="18"/>
  <c r="Q154" i="18"/>
  <c r="P154" i="18"/>
  <c r="Q42" i="18"/>
  <c r="P42" i="18"/>
  <c r="Q135" i="18"/>
  <c r="P135" i="18"/>
  <c r="P176" i="18"/>
  <c r="Q176" i="18"/>
  <c r="P243" i="18"/>
  <c r="Q243" i="18"/>
  <c r="Q68" i="18"/>
  <c r="P68" i="18"/>
  <c r="Q60" i="18"/>
  <c r="P60" i="18"/>
  <c r="Q140" i="18"/>
  <c r="P140" i="18"/>
  <c r="P109" i="18"/>
  <c r="Q109" i="18"/>
  <c r="Q255" i="18"/>
  <c r="P255" i="18"/>
  <c r="P240" i="18"/>
  <c r="Q240" i="18"/>
  <c r="P34" i="18"/>
  <c r="Q34" i="18"/>
  <c r="P248" i="18"/>
  <c r="Q248" i="18"/>
  <c r="Q143" i="18"/>
  <c r="P143" i="18"/>
  <c r="P111" i="18"/>
  <c r="Q111" i="18"/>
  <c r="Q268" i="18"/>
  <c r="P268" i="18"/>
  <c r="P251" i="18"/>
  <c r="Q251" i="18"/>
  <c r="P183" i="18"/>
  <c r="Q183" i="18"/>
  <c r="Q98" i="18"/>
  <c r="P98" i="18"/>
  <c r="P263" i="18"/>
  <c r="Q263" i="18"/>
  <c r="Q104" i="18"/>
  <c r="P104" i="18"/>
  <c r="Q203" i="18"/>
  <c r="P203" i="18"/>
  <c r="G24" i="18"/>
  <c r="P166" i="18"/>
  <c r="Q166" i="18"/>
  <c r="P238" i="18"/>
  <c r="Q238" i="18"/>
  <c r="P117" i="18"/>
  <c r="Q117" i="18"/>
  <c r="P101" i="18"/>
  <c r="Q101" i="18"/>
  <c r="P84" i="18"/>
  <c r="Q84" i="18"/>
  <c r="P235" i="18"/>
  <c r="Q235" i="18"/>
  <c r="P200" i="18"/>
  <c r="Q200" i="18"/>
  <c r="P138" i="18"/>
  <c r="Q138" i="18"/>
  <c r="P115" i="18"/>
  <c r="Q115" i="18"/>
  <c r="M24" i="18"/>
  <c r="P181" i="18"/>
  <c r="Q181" i="18"/>
  <c r="Q110" i="18"/>
  <c r="P110" i="18"/>
  <c r="Q50" i="18"/>
  <c r="P50" i="18"/>
  <c r="O24" i="18"/>
  <c r="P91" i="18"/>
  <c r="Q91" i="18"/>
  <c r="Q113" i="18"/>
  <c r="P113" i="18"/>
  <c r="Q213" i="18"/>
  <c r="P213" i="18"/>
  <c r="I6" i="19"/>
  <c r="H4" i="19"/>
  <c r="Q57" i="18"/>
  <c r="P57" i="18"/>
  <c r="Q141" i="18"/>
  <c r="P141" i="18"/>
  <c r="P147" i="18"/>
  <c r="Q147" i="18"/>
  <c r="Q245" i="18"/>
  <c r="P245" i="18"/>
  <c r="J24" i="18"/>
  <c r="P82" i="18"/>
  <c r="Q82" i="18"/>
  <c r="Q145" i="18"/>
  <c r="P145" i="18"/>
  <c r="L7" i="19"/>
  <c r="P62" i="18"/>
  <c r="Q62" i="18"/>
  <c r="U29" i="21"/>
  <c r="W236" i="21"/>
  <c r="W141" i="21"/>
  <c r="W33" i="21"/>
  <c r="W119" i="21"/>
  <c r="U205" i="21"/>
  <c r="W223" i="21"/>
  <c r="W216" i="21"/>
  <c r="U101" i="21"/>
  <c r="U236" i="21"/>
  <c r="W126" i="21"/>
  <c r="U188" i="21"/>
  <c r="U74" i="21"/>
  <c r="U173" i="21"/>
  <c r="U221" i="21"/>
  <c r="U84" i="21"/>
  <c r="W109" i="21"/>
  <c r="U117" i="21"/>
  <c r="U123" i="21"/>
  <c r="W93" i="21"/>
  <c r="W69" i="21"/>
  <c r="W131" i="21"/>
  <c r="W94" i="21"/>
  <c r="W157" i="21"/>
  <c r="U37" i="21"/>
  <c r="U89" i="21"/>
  <c r="W238" i="21"/>
  <c r="W207" i="21"/>
  <c r="W118" i="21"/>
  <c r="U209" i="21"/>
  <c r="U162" i="21"/>
  <c r="W32" i="21"/>
  <c r="U98" i="21"/>
  <c r="U119" i="21"/>
  <c r="U109" i="21"/>
  <c r="U82" i="21"/>
  <c r="W130" i="21"/>
  <c r="U174" i="21"/>
  <c r="U34" i="21"/>
  <c r="W151" i="21"/>
  <c r="W105" i="21"/>
  <c r="U161" i="21"/>
  <c r="W156" i="21"/>
  <c r="W218" i="21"/>
  <c r="U130" i="21"/>
  <c r="W194" i="21"/>
  <c r="U213" i="21"/>
  <c r="U94" i="21"/>
  <c r="W143" i="21"/>
  <c r="W90" i="21"/>
  <c r="U33" i="21"/>
  <c r="U157" i="21"/>
  <c r="W46" i="21"/>
  <c r="U196" i="21"/>
  <c r="U106" i="21"/>
  <c r="W158" i="21"/>
  <c r="U169" i="21"/>
  <c r="W164" i="21"/>
  <c r="U210" i="21"/>
  <c r="W159" i="21"/>
  <c r="W120" i="21"/>
  <c r="U201" i="21"/>
  <c r="W55" i="21"/>
  <c r="U151" i="21"/>
  <c r="U186" i="21"/>
  <c r="U63" i="21"/>
  <c r="W40" i="21"/>
  <c r="W163" i="21"/>
  <c r="U118" i="21"/>
  <c r="W71" i="21"/>
  <c r="U133" i="21"/>
  <c r="U145" i="21"/>
  <c r="W221" i="21"/>
  <c r="W205" i="21"/>
  <c r="U88" i="21"/>
  <c r="U53" i="21"/>
  <c r="W155" i="21"/>
  <c r="W162" i="21"/>
  <c r="U203" i="21"/>
  <c r="W235" i="21"/>
  <c r="U237" i="21"/>
  <c r="U148" i="21"/>
  <c r="W79" i="21"/>
  <c r="W49" i="21"/>
  <c r="U179" i="21"/>
  <c r="W58" i="21"/>
  <c r="W210" i="21"/>
  <c r="W115" i="21"/>
  <c r="U91" i="21"/>
  <c r="W64" i="21"/>
  <c r="U69" i="21"/>
  <c r="W86" i="21"/>
  <c r="W34" i="21"/>
  <c r="W56" i="21"/>
  <c r="U76" i="21"/>
  <c r="W228" i="21"/>
  <c r="U38" i="21"/>
  <c r="W191" i="21"/>
  <c r="W61" i="21"/>
  <c r="U126" i="21"/>
  <c r="W98" i="21"/>
  <c r="W129" i="21"/>
  <c r="U214" i="21"/>
  <c r="W192" i="21"/>
  <c r="U85" i="21"/>
  <c r="W80" i="21"/>
  <c r="W62" i="21"/>
  <c r="W147" i="21"/>
  <c r="W214" i="21"/>
  <c r="W47" i="21"/>
  <c r="W148" i="21"/>
  <c r="W66" i="21"/>
  <c r="W35" i="21"/>
  <c r="W168" i="21"/>
  <c r="W107" i="21"/>
  <c r="W259" i="21"/>
  <c r="U159" i="21"/>
  <c r="U181" i="21"/>
  <c r="U195" i="21"/>
  <c r="U51" i="21"/>
  <c r="U160" i="21"/>
  <c r="U50" i="21"/>
  <c r="W230" i="21"/>
  <c r="U125" i="21"/>
  <c r="U143" i="21"/>
  <c r="W188" i="21"/>
  <c r="W67" i="21"/>
  <c r="W36" i="21"/>
  <c r="W193" i="21"/>
  <c r="W220" i="21"/>
  <c r="U115" i="21"/>
  <c r="W237" i="21"/>
  <c r="W92" i="21"/>
  <c r="W145" i="21"/>
  <c r="U104" i="21"/>
  <c r="U182" i="21"/>
  <c r="U70" i="21"/>
  <c r="W183" i="21"/>
  <c r="W50" i="21"/>
  <c r="W53" i="21"/>
  <c r="U206" i="21"/>
  <c r="U164" i="21"/>
  <c r="W101" i="21"/>
  <c r="U57" i="21"/>
  <c r="W211" i="21"/>
  <c r="W89" i="21"/>
  <c r="U127" i="21"/>
  <c r="W81" i="21"/>
  <c r="W63" i="21"/>
  <c r="U61" i="21"/>
  <c r="W153" i="21"/>
  <c r="W160" i="21"/>
  <c r="U259" i="21"/>
  <c r="U138" i="21"/>
  <c r="U75" i="21"/>
  <c r="U215" i="21"/>
  <c r="W45" i="21"/>
  <c r="U165" i="21"/>
  <c r="W87" i="21"/>
  <c r="U105" i="21"/>
  <c r="U235" i="21"/>
  <c r="W231" i="21"/>
  <c r="W68" i="21"/>
  <c r="U86" i="21"/>
  <c r="U114" i="21"/>
  <c r="W114" i="21"/>
  <c r="W99" i="21"/>
  <c r="U211" i="21"/>
  <c r="U172" i="21"/>
  <c r="W181" i="21"/>
  <c r="U194" i="21"/>
  <c r="U120" i="21"/>
  <c r="U156" i="21"/>
  <c r="W189" i="21"/>
  <c r="U168" i="21"/>
  <c r="U83" i="21"/>
  <c r="W110" i="21"/>
  <c r="W203" i="21"/>
  <c r="W225" i="21"/>
  <c r="U197" i="21"/>
  <c r="U204" i="21"/>
  <c r="U128" i="21"/>
  <c r="W57" i="21"/>
  <c r="U163" i="21"/>
  <c r="U226" i="21"/>
  <c r="U183" i="21"/>
  <c r="U87" i="21"/>
  <c r="W37" i="21"/>
  <c r="W171" i="21"/>
  <c r="W52" i="21"/>
  <c r="U95" i="21"/>
  <c r="U228" i="21"/>
  <c r="U147" i="21"/>
  <c r="U81" i="21"/>
  <c r="W229" i="21"/>
  <c r="W266" i="21"/>
  <c r="U65" i="21"/>
  <c r="W152" i="21"/>
  <c r="U72" i="21"/>
  <c r="U267" i="21"/>
  <c r="W213" i="21"/>
  <c r="U243" i="21"/>
  <c r="U171" i="21"/>
  <c r="U212" i="21"/>
  <c r="U121" i="21"/>
  <c r="U107" i="21"/>
  <c r="W60" i="21"/>
  <c r="U32" i="21"/>
  <c r="U116" i="21"/>
  <c r="U150" i="21"/>
  <c r="W227" i="21"/>
  <c r="W77" i="21"/>
  <c r="U112" i="21"/>
  <c r="W190" i="21"/>
  <c r="W83" i="21"/>
  <c r="W232" i="21"/>
  <c r="U39" i="21"/>
  <c r="U180" i="21"/>
  <c r="U55" i="21"/>
  <c r="W226" i="21"/>
  <c r="U99" i="21"/>
  <c r="W208" i="21"/>
  <c r="W167" i="21"/>
  <c r="W106" i="21"/>
  <c r="W59" i="21"/>
  <c r="U223" i="21"/>
  <c r="W70" i="21"/>
  <c r="W128" i="21"/>
  <c r="W169" i="21"/>
  <c r="U202" i="21"/>
  <c r="U129" i="21"/>
  <c r="W179" i="21"/>
  <c r="W41" i="21"/>
  <c r="U77" i="21"/>
  <c r="W212" i="21"/>
  <c r="W200" i="21"/>
  <c r="U225" i="21"/>
  <c r="W233" i="21"/>
  <c r="W199" i="21"/>
  <c r="U229" i="21"/>
  <c r="U90" i="21"/>
  <c r="U108" i="21"/>
  <c r="W138" i="21"/>
  <c r="W196" i="21"/>
  <c r="W84" i="21"/>
  <c r="W195" i="21"/>
  <c r="U167" i="21"/>
  <c r="W111" i="21"/>
  <c r="W209" i="21"/>
  <c r="U155" i="21"/>
  <c r="U40" i="21"/>
  <c r="U238" i="21"/>
  <c r="U62" i="21"/>
  <c r="U92" i="21"/>
  <c r="U220" i="21"/>
  <c r="W198" i="21"/>
  <c r="W54" i="21"/>
  <c r="W215" i="21"/>
  <c r="W113" i="21"/>
  <c r="U207" i="21"/>
  <c r="U137" i="21"/>
  <c r="U67" i="21"/>
  <c r="U218" i="21"/>
  <c r="W177" i="21"/>
  <c r="U230" i="21"/>
  <c r="U192" i="21"/>
  <c r="U193" i="21"/>
  <c r="U66" i="21"/>
  <c r="U110" i="21"/>
  <c r="U191" i="21"/>
  <c r="U245" i="21"/>
  <c r="U266" i="21"/>
  <c r="W242" i="21"/>
  <c r="W78" i="21"/>
  <c r="U146" i="21"/>
  <c r="W44" i="21"/>
  <c r="U43" i="21"/>
  <c r="U80" i="21"/>
  <c r="W132" i="21"/>
  <c r="U222" i="21"/>
  <c r="W124" i="21"/>
  <c r="U178" i="21"/>
  <c r="W201" i="21"/>
  <c r="U97" i="21"/>
  <c r="U189" i="21"/>
  <c r="W102" i="21"/>
  <c r="W76" i="21"/>
  <c r="W108" i="21"/>
  <c r="W96" i="21"/>
  <c r="W117" i="21"/>
  <c r="U141" i="21"/>
  <c r="U71" i="21"/>
  <c r="U152" i="21"/>
  <c r="U187" i="21"/>
  <c r="W48" i="21"/>
  <c r="W267" i="21"/>
  <c r="W133" i="21"/>
  <c r="W204" i="21"/>
  <c r="W245" i="21"/>
  <c r="W136" i="21"/>
  <c r="U242" i="21"/>
  <c r="U170" i="21"/>
  <c r="W187" i="21"/>
  <c r="U47" i="21"/>
  <c r="U41" i="21"/>
  <c r="W248" i="21"/>
  <c r="U149" i="21"/>
  <c r="U232" i="21"/>
  <c r="U113" i="21"/>
  <c r="U142" i="21"/>
  <c r="W197" i="21"/>
  <c r="W100" i="21"/>
  <c r="U227" i="21"/>
  <c r="W161" i="21"/>
  <c r="U131" i="21"/>
  <c r="U122" i="21"/>
  <c r="U96" i="21"/>
  <c r="W104" i="21"/>
  <c r="U198" i="21"/>
  <c r="W185" i="21"/>
  <c r="U73" i="21"/>
  <c r="W268" i="21"/>
  <c r="W234" i="21"/>
  <c r="U177" i="21"/>
  <c r="U111" i="21"/>
  <c r="W219" i="21"/>
  <c r="U158" i="21"/>
  <c r="U176" i="21"/>
  <c r="W91" i="21"/>
  <c r="W243" i="21"/>
  <c r="U60" i="21"/>
  <c r="U132" i="21"/>
  <c r="W222" i="21"/>
  <c r="U124" i="21"/>
  <c r="U135" i="21"/>
  <c r="W224" i="21"/>
  <c r="W97" i="21"/>
  <c r="U144" i="21"/>
  <c r="W74" i="21"/>
  <c r="W206" i="21"/>
  <c r="U233" i="21"/>
  <c r="U136" i="21"/>
  <c r="U79" i="21"/>
  <c r="W170" i="21"/>
  <c r="W146" i="21"/>
  <c r="U49" i="21"/>
  <c r="U56" i="21"/>
  <c r="U248" i="21"/>
  <c r="U268" i="21"/>
  <c r="W149" i="21"/>
  <c r="U234" i="21"/>
  <c r="U103" i="21"/>
  <c r="W142" i="21"/>
  <c r="U199" i="21"/>
  <c r="U100" i="21"/>
  <c r="U219" i="21"/>
  <c r="U78" i="21"/>
  <c r="W173" i="21"/>
  <c r="W122" i="21"/>
  <c r="W125" i="21"/>
  <c r="U45" i="21"/>
  <c r="U208" i="21"/>
  <c r="W103" i="21"/>
  <c r="U42" i="21"/>
  <c r="W82" i="21"/>
  <c r="U52" i="21"/>
  <c r="W176" i="21"/>
  <c r="U44" i="21"/>
  <c r="W43" i="21"/>
  <c r="U102" i="21"/>
  <c r="U190" i="21"/>
  <c r="U200" i="21"/>
  <c r="U54" i="21"/>
  <c r="W184" i="21"/>
  <c r="W38" i="21"/>
  <c r="W165" i="21"/>
  <c r="U184" i="21"/>
  <c r="W73" i="21"/>
  <c r="U48" i="21"/>
  <c r="W127" i="21"/>
  <c r="W134" i="21"/>
  <c r="U217" i="21"/>
  <c r="W88" i="21"/>
  <c r="U175" i="21"/>
  <c r="U36" i="21"/>
  <c r="U154" i="21"/>
  <c r="U35" i="21"/>
  <c r="W42" i="21"/>
  <c r="W150" i="21"/>
  <c r="U93" i="21"/>
  <c r="W172" i="21"/>
  <c r="W72" i="21"/>
  <c r="W123" i="21"/>
  <c r="W175" i="21"/>
  <c r="U58" i="21"/>
  <c r="W139" i="21"/>
  <c r="U255" i="21"/>
  <c r="W174" i="21"/>
  <c r="W135" i="21"/>
  <c r="W144" i="21"/>
  <c r="U68" i="21"/>
  <c r="W186" i="21"/>
  <c r="W180" i="21"/>
  <c r="W240" i="21"/>
  <c r="W178" i="21"/>
  <c r="W39" i="21"/>
  <c r="W154" i="21"/>
  <c r="W255" i="21"/>
  <c r="W65" i="21"/>
  <c r="U46" i="21"/>
  <c r="U166" i="21"/>
  <c r="U134" i="21"/>
  <c r="W217" i="21"/>
  <c r="U185" i="21"/>
  <c r="U231" i="21"/>
  <c r="W121" i="21"/>
  <c r="U139" i="21"/>
  <c r="W116" i="21"/>
  <c r="U59" i="21"/>
  <c r="W140" i="21"/>
  <c r="W75" i="21"/>
  <c r="W137" i="21"/>
  <c r="W182" i="21"/>
  <c r="U240" i="21"/>
  <c r="U64" i="21"/>
  <c r="W166" i="21"/>
  <c r="W202" i="21"/>
  <c r="W95" i="21"/>
  <c r="U224" i="21"/>
  <c r="W112" i="21"/>
  <c r="W85" i="21"/>
  <c r="U140" i="21"/>
  <c r="U216" i="21"/>
  <c r="U153" i="21"/>
  <c r="W51" i="21"/>
  <c r="W239" i="21"/>
  <c r="U258" i="21"/>
  <c r="U269" i="21"/>
  <c r="W249" i="21"/>
  <c r="W270" i="21"/>
  <c r="U244" i="21"/>
  <c r="U239" i="21"/>
  <c r="W258" i="21"/>
  <c r="W269" i="21"/>
  <c r="U249" i="21"/>
  <c r="U270" i="21"/>
  <c r="W244" i="21"/>
  <c r="U265" i="21"/>
  <c r="U252" i="21"/>
  <c r="W254" i="21"/>
  <c r="U253" i="21"/>
  <c r="W261" i="21"/>
  <c r="U246" i="21"/>
  <c r="U251" i="21"/>
  <c r="U241" i="21"/>
  <c r="W257" i="21"/>
  <c r="W252" i="21"/>
  <c r="U254" i="21"/>
  <c r="W253" i="21"/>
  <c r="U261" i="21"/>
  <c r="W246" i="21"/>
  <c r="W251" i="21"/>
  <c r="W241" i="21"/>
  <c r="U260" i="21"/>
  <c r="U250" i="21"/>
  <c r="W260" i="21"/>
  <c r="U257" i="21"/>
  <c r="W265" i="21"/>
  <c r="U247" i="21"/>
  <c r="W250" i="21"/>
  <c r="W262" i="21"/>
  <c r="W264" i="21"/>
  <c r="U256" i="21"/>
  <c r="W263" i="21"/>
  <c r="U262" i="21"/>
  <c r="U264" i="21"/>
  <c r="W256" i="21"/>
  <c r="U263" i="21"/>
  <c r="W247" i="21"/>
  <c r="W27" i="21"/>
  <c r="W29" i="21"/>
  <c r="W30" i="21"/>
  <c r="U28" i="21"/>
  <c r="U30" i="21"/>
  <c r="W28" i="21"/>
  <c r="W31" i="21"/>
  <c r="W26" i="21"/>
  <c r="U31" i="21"/>
  <c r="K25" i="4"/>
  <c r="K24" i="4"/>
  <c r="O78" i="4"/>
  <c r="Q22" i="18"/>
  <c r="P24" i="18"/>
  <c r="Q23" i="18"/>
  <c r="L6" i="19"/>
  <c r="N8" i="19" a="1"/>
  <c r="N8" i="19"/>
  <c r="N21" i="19" a="1"/>
  <c r="N21" i="19"/>
  <c r="N27" i="19" a="1"/>
  <c r="N27" i="19"/>
  <c r="N34" i="19" a="1"/>
  <c r="N34" i="19"/>
  <c r="N40" i="19" a="1"/>
  <c r="N40" i="19"/>
  <c r="N53" i="19" a="1"/>
  <c r="N53" i="19"/>
  <c r="N59" i="19" a="1"/>
  <c r="N59" i="19"/>
  <c r="N66" i="19" a="1"/>
  <c r="N66" i="19"/>
  <c r="N72" i="19" a="1"/>
  <c r="N72" i="19"/>
  <c r="N85" i="19" a="1"/>
  <c r="N85" i="19"/>
  <c r="N91" i="19" a="1"/>
  <c r="N91" i="19"/>
  <c r="N98" i="19" a="1"/>
  <c r="N98" i="19"/>
  <c r="N104" i="19" a="1"/>
  <c r="N104" i="19"/>
  <c r="N117" i="19" a="1"/>
  <c r="N117" i="19"/>
  <c r="N123" i="19" a="1"/>
  <c r="N123" i="19"/>
  <c r="N130" i="19" a="1"/>
  <c r="N130" i="19"/>
  <c r="N136" i="19" a="1"/>
  <c r="N136" i="19"/>
  <c r="N149" i="19" a="1"/>
  <c r="N149" i="19"/>
  <c r="N155" i="19" a="1"/>
  <c r="N155" i="19"/>
  <c r="N162" i="19" a="1"/>
  <c r="N162" i="19"/>
  <c r="N168" i="19" a="1"/>
  <c r="N168" i="19"/>
  <c r="N181" i="19" a="1"/>
  <c r="N181" i="19"/>
  <c r="N187" i="19" a="1"/>
  <c r="N187" i="19"/>
  <c r="N194" i="19" a="1"/>
  <c r="N194" i="19"/>
  <c r="N200" i="19" a="1"/>
  <c r="N200" i="19"/>
  <c r="N213" i="19" a="1"/>
  <c r="N213" i="19"/>
  <c r="N219" i="19" a="1"/>
  <c r="N219" i="19"/>
  <c r="N226" i="19" a="1"/>
  <c r="N226" i="19"/>
  <c r="N232" i="19" a="1"/>
  <c r="N232" i="19"/>
  <c r="N245" i="19" a="1"/>
  <c r="N245" i="19"/>
  <c r="N251" i="19" a="1"/>
  <c r="N251" i="19"/>
  <c r="N208" i="19" a="1"/>
  <c r="N208" i="19"/>
  <c r="N227" i="19" a="1"/>
  <c r="N227" i="19"/>
  <c r="N240" i="19" a="1"/>
  <c r="N240" i="19"/>
  <c r="N238" i="19" a="1"/>
  <c r="N238" i="19"/>
  <c r="N9" i="19" a="1"/>
  <c r="N9" i="19"/>
  <c r="N15" i="19" a="1"/>
  <c r="N15" i="19"/>
  <c r="N22" i="19" a="1"/>
  <c r="N22" i="19"/>
  <c r="N28" i="19" a="1"/>
  <c r="N28" i="19"/>
  <c r="N41" i="19" a="1"/>
  <c r="N41" i="19"/>
  <c r="N47" i="19" a="1"/>
  <c r="N47" i="19"/>
  <c r="N54" i="19" a="1"/>
  <c r="N54" i="19"/>
  <c r="N60" i="19" a="1"/>
  <c r="N60" i="19"/>
  <c r="N73" i="19" a="1"/>
  <c r="N73" i="19"/>
  <c r="N79" i="19" a="1"/>
  <c r="N79" i="19"/>
  <c r="N86" i="19" a="1"/>
  <c r="N86" i="19"/>
  <c r="N92" i="19" a="1"/>
  <c r="N92" i="19"/>
  <c r="N105" i="19" a="1"/>
  <c r="N105" i="19"/>
  <c r="N111" i="19" a="1"/>
  <c r="N111" i="19"/>
  <c r="N118" i="19" a="1"/>
  <c r="N118" i="19"/>
  <c r="N124" i="19" a="1"/>
  <c r="N124" i="19"/>
  <c r="N137" i="19" a="1"/>
  <c r="N137" i="19"/>
  <c r="N143" i="19" a="1"/>
  <c r="N143" i="19"/>
  <c r="N150" i="19" a="1"/>
  <c r="N150" i="19"/>
  <c r="N156" i="19" a="1"/>
  <c r="N156" i="19"/>
  <c r="N169" i="19" a="1"/>
  <c r="N169" i="19"/>
  <c r="N175" i="19" a="1"/>
  <c r="N175" i="19"/>
  <c r="N182" i="19" a="1"/>
  <c r="N182" i="19"/>
  <c r="N188" i="19" a="1"/>
  <c r="N188" i="19"/>
  <c r="N201" i="19" a="1"/>
  <c r="N201" i="19"/>
  <c r="N207" i="19" a="1"/>
  <c r="N207" i="19"/>
  <c r="N214" i="19" a="1"/>
  <c r="N214" i="19"/>
  <c r="N220" i="19" a="1"/>
  <c r="N220" i="19"/>
  <c r="N233" i="19" a="1"/>
  <c r="N233" i="19"/>
  <c r="N239" i="19" a="1"/>
  <c r="N239" i="19"/>
  <c r="N246" i="19" a="1"/>
  <c r="N246" i="19"/>
  <c r="N252" i="19" a="1"/>
  <c r="N252" i="19"/>
  <c r="N144" i="19" a="1"/>
  <c r="N144" i="19"/>
  <c r="N157" i="19" a="1"/>
  <c r="N157" i="19"/>
  <c r="N163" i="19" a="1"/>
  <c r="N163" i="19"/>
  <c r="N170" i="19" a="1"/>
  <c r="N170" i="19"/>
  <c r="N176" i="19" a="1"/>
  <c r="N176" i="19"/>
  <c r="N189" i="19" a="1"/>
  <c r="N189" i="19"/>
  <c r="N195" i="19" a="1"/>
  <c r="N195" i="19"/>
  <c r="N202" i="19" a="1"/>
  <c r="N202" i="19"/>
  <c r="N221" i="19" a="1"/>
  <c r="N221" i="19"/>
  <c r="N234" i="19" a="1"/>
  <c r="N234" i="19"/>
  <c r="N253" i="19" a="1"/>
  <c r="N253" i="19"/>
  <c r="N10" i="19" a="1"/>
  <c r="N10" i="19"/>
  <c r="N16" i="19" a="1"/>
  <c r="N16" i="19"/>
  <c r="N29" i="19" a="1"/>
  <c r="N29" i="19"/>
  <c r="N35" i="19" a="1"/>
  <c r="N35" i="19"/>
  <c r="N42" i="19" a="1"/>
  <c r="N42" i="19"/>
  <c r="N48" i="19" a="1"/>
  <c r="N48" i="19"/>
  <c r="N61" i="19" a="1"/>
  <c r="N61" i="19"/>
  <c r="N67" i="19" a="1"/>
  <c r="N67" i="19"/>
  <c r="N74" i="19" a="1"/>
  <c r="N74" i="19"/>
  <c r="N80" i="19" a="1"/>
  <c r="N80" i="19"/>
  <c r="N93" i="19" a="1"/>
  <c r="N93" i="19"/>
  <c r="N99" i="19" a="1"/>
  <c r="N99" i="19"/>
  <c r="N106" i="19" a="1"/>
  <c r="N106" i="19"/>
  <c r="N112" i="19" a="1"/>
  <c r="N112" i="19"/>
  <c r="N125" i="19" a="1"/>
  <c r="N125" i="19"/>
  <c r="N131" i="19" a="1"/>
  <c r="N131" i="19"/>
  <c r="N138" i="19" a="1"/>
  <c r="N138" i="19"/>
  <c r="N17" i="19" a="1"/>
  <c r="N17" i="19"/>
  <c r="N23" i="19" a="1"/>
  <c r="N23" i="19"/>
  <c r="N30" i="19" a="1"/>
  <c r="N30" i="19"/>
  <c r="N36" i="19" a="1"/>
  <c r="N36" i="19"/>
  <c r="N49" i="19" a="1"/>
  <c r="N49" i="19"/>
  <c r="N55" i="19" a="1"/>
  <c r="N55" i="19"/>
  <c r="N62" i="19" a="1"/>
  <c r="N62" i="19"/>
  <c r="N68" i="19" a="1"/>
  <c r="N68" i="19"/>
  <c r="N81" i="19" a="1"/>
  <c r="N81" i="19"/>
  <c r="N87" i="19" a="1"/>
  <c r="N87" i="19"/>
  <c r="N94" i="19" a="1"/>
  <c r="N94" i="19"/>
  <c r="N100" i="19" a="1"/>
  <c r="N100" i="19"/>
  <c r="N113" i="19" a="1"/>
  <c r="N113" i="19"/>
  <c r="N119" i="19" a="1"/>
  <c r="N119" i="19"/>
  <c r="N126" i="19" a="1"/>
  <c r="N126" i="19"/>
  <c r="N132" i="19" a="1"/>
  <c r="N132" i="19"/>
  <c r="N145" i="19" a="1"/>
  <c r="N145" i="19"/>
  <c r="N151" i="19" a="1"/>
  <c r="N151" i="19"/>
  <c r="N158" i="19" a="1"/>
  <c r="N158" i="19"/>
  <c r="N164" i="19" a="1"/>
  <c r="N164" i="19"/>
  <c r="N177" i="19" a="1"/>
  <c r="N177" i="19"/>
  <c r="N183" i="19" a="1"/>
  <c r="N183" i="19"/>
  <c r="N190" i="19" a="1"/>
  <c r="N190" i="19"/>
  <c r="N196" i="19" a="1"/>
  <c r="N196" i="19"/>
  <c r="N209" i="19" a="1"/>
  <c r="N209" i="19"/>
  <c r="N215" i="19" a="1"/>
  <c r="N215" i="19"/>
  <c r="N222" i="19" a="1"/>
  <c r="N222" i="19"/>
  <c r="N228" i="19" a="1"/>
  <c r="N228" i="19"/>
  <c r="N241" i="19" a="1"/>
  <c r="N241" i="19"/>
  <c r="N247" i="19" a="1"/>
  <c r="N247" i="19"/>
  <c r="N254" i="19" a="1"/>
  <c r="N254" i="19"/>
  <c r="N140" i="19" a="1"/>
  <c r="N140" i="19"/>
  <c r="N172" i="19" a="1"/>
  <c r="N172" i="19"/>
  <c r="N191" i="19" a="1"/>
  <c r="N191" i="19"/>
  <c r="N217" i="19" a="1"/>
  <c r="N217" i="19"/>
  <c r="N236" i="19" a="1"/>
  <c r="N236" i="19"/>
  <c r="N52" i="19" a="1"/>
  <c r="N52" i="19"/>
  <c r="N84" i="19" a="1"/>
  <c r="N84" i="19"/>
  <c r="N116" i="19" a="1"/>
  <c r="N116" i="19"/>
  <c r="N148" i="19" a="1"/>
  <c r="N148" i="19"/>
  <c r="N193" i="19" a="1"/>
  <c r="N193" i="19"/>
  <c r="N212" i="19" a="1"/>
  <c r="N212" i="19"/>
  <c r="N11" i="19" a="1"/>
  <c r="N11" i="19"/>
  <c r="N18" i="19" a="1"/>
  <c r="N18" i="19"/>
  <c r="N24" i="19" a="1"/>
  <c r="N24" i="19"/>
  <c r="N37" i="19" a="1"/>
  <c r="N37" i="19"/>
  <c r="N43" i="19" a="1"/>
  <c r="N43" i="19"/>
  <c r="N50" i="19" a="1"/>
  <c r="N50" i="19"/>
  <c r="N56" i="19" a="1"/>
  <c r="N56" i="19"/>
  <c r="N69" i="19" a="1"/>
  <c r="N69" i="19"/>
  <c r="N75" i="19" a="1"/>
  <c r="N75" i="19"/>
  <c r="N82" i="19" a="1"/>
  <c r="N82" i="19"/>
  <c r="N88" i="19" a="1"/>
  <c r="N88" i="19"/>
  <c r="N101" i="19" a="1"/>
  <c r="N101" i="19"/>
  <c r="N107" i="19" a="1"/>
  <c r="N107" i="19"/>
  <c r="N114" i="19" a="1"/>
  <c r="N114" i="19"/>
  <c r="N120" i="19" a="1"/>
  <c r="N120" i="19"/>
  <c r="N133" i="19" a="1"/>
  <c r="N133" i="19"/>
  <c r="N139" i="19" a="1"/>
  <c r="N139" i="19"/>
  <c r="N146" i="19" a="1"/>
  <c r="N146" i="19"/>
  <c r="N152" i="19" a="1"/>
  <c r="N152" i="19"/>
  <c r="N165" i="19" a="1"/>
  <c r="N165" i="19"/>
  <c r="N171" i="19" a="1"/>
  <c r="N171" i="19"/>
  <c r="N178" i="19" a="1"/>
  <c r="N178" i="19"/>
  <c r="N184" i="19" a="1"/>
  <c r="N184" i="19"/>
  <c r="N197" i="19" a="1"/>
  <c r="N197" i="19"/>
  <c r="N203" i="19" a="1"/>
  <c r="N203" i="19"/>
  <c r="N210" i="19" a="1"/>
  <c r="N210" i="19"/>
  <c r="N216" i="19" a="1"/>
  <c r="N216" i="19"/>
  <c r="N229" i="19" a="1"/>
  <c r="N229" i="19"/>
  <c r="N235" i="19" a="1"/>
  <c r="N235" i="19"/>
  <c r="N242" i="19" a="1"/>
  <c r="N242" i="19"/>
  <c r="N248" i="19" a="1"/>
  <c r="N248" i="19"/>
  <c r="N153" i="19" a="1"/>
  <c r="N153" i="19"/>
  <c r="N166" i="19" a="1"/>
  <c r="N166" i="19"/>
  <c r="N198" i="19" a="1"/>
  <c r="N198" i="19"/>
  <c r="N223" i="19" a="1"/>
  <c r="N223" i="19"/>
  <c r="N249" i="19" a="1"/>
  <c r="N249" i="19"/>
  <c r="N65" i="19" a="1"/>
  <c r="N65" i="19"/>
  <c r="N97" i="19" a="1"/>
  <c r="N97" i="19"/>
  <c r="N129" i="19" a="1"/>
  <c r="N129" i="19"/>
  <c r="N161" i="19" a="1"/>
  <c r="N161" i="19"/>
  <c r="N174" i="19" a="1"/>
  <c r="N174" i="19"/>
  <c r="N206" i="19" a="1"/>
  <c r="N206" i="19"/>
  <c r="N244" i="19" a="1"/>
  <c r="N244" i="19"/>
  <c r="N12" i="19" a="1"/>
  <c r="N12" i="19"/>
  <c r="N25" i="19" a="1"/>
  <c r="N25" i="19"/>
  <c r="N31" i="19" a="1"/>
  <c r="N31" i="19"/>
  <c r="N38" i="19" a="1"/>
  <c r="N38" i="19"/>
  <c r="N44" i="19" a="1"/>
  <c r="N44" i="19"/>
  <c r="N57" i="19" a="1"/>
  <c r="N57" i="19"/>
  <c r="N63" i="19" a="1"/>
  <c r="N63" i="19"/>
  <c r="N70" i="19" a="1"/>
  <c r="N70" i="19"/>
  <c r="N76" i="19" a="1"/>
  <c r="N76" i="19"/>
  <c r="N89" i="19" a="1"/>
  <c r="N89" i="19"/>
  <c r="N95" i="19" a="1"/>
  <c r="N95" i="19"/>
  <c r="N102" i="19" a="1"/>
  <c r="N102" i="19"/>
  <c r="N108" i="19" a="1"/>
  <c r="N108" i="19"/>
  <c r="N121" i="19" a="1"/>
  <c r="N121" i="19"/>
  <c r="N127" i="19" a="1"/>
  <c r="N127" i="19"/>
  <c r="N134" i="19" a="1"/>
  <c r="N134" i="19"/>
  <c r="N159" i="19" a="1"/>
  <c r="N159" i="19"/>
  <c r="N185" i="19" a="1"/>
  <c r="N185" i="19"/>
  <c r="N204" i="19" a="1"/>
  <c r="N204" i="19"/>
  <c r="N230" i="19" a="1"/>
  <c r="N230" i="19"/>
  <c r="N6" i="19" a="1"/>
  <c r="N6" i="19"/>
  <c r="N71" i="19" a="1"/>
  <c r="N71" i="19"/>
  <c r="N103" i="19" a="1"/>
  <c r="N103" i="19"/>
  <c r="N135" i="19" a="1"/>
  <c r="N135" i="19"/>
  <c r="N167" i="19" a="1"/>
  <c r="N167" i="19"/>
  <c r="N199" i="19" a="1"/>
  <c r="N199" i="19"/>
  <c r="N231" i="19" a="1"/>
  <c r="N231" i="19"/>
  <c r="N13" i="19" a="1"/>
  <c r="N13" i="19"/>
  <c r="N19" i="19" a="1"/>
  <c r="N19" i="19"/>
  <c r="N26" i="19" a="1"/>
  <c r="N26" i="19"/>
  <c r="N32" i="19" a="1"/>
  <c r="N32" i="19"/>
  <c r="N45" i="19" a="1"/>
  <c r="N45" i="19"/>
  <c r="N51" i="19" a="1"/>
  <c r="N51" i="19"/>
  <c r="N58" i="19" a="1"/>
  <c r="N58" i="19"/>
  <c r="N64" i="19" a="1"/>
  <c r="N64" i="19"/>
  <c r="N77" i="19" a="1"/>
  <c r="N77" i="19"/>
  <c r="N83" i="19" a="1"/>
  <c r="N83" i="19"/>
  <c r="N90" i="19" a="1"/>
  <c r="N90" i="19"/>
  <c r="N96" i="19" a="1"/>
  <c r="N96" i="19"/>
  <c r="N109" i="19" a="1"/>
  <c r="N109" i="19"/>
  <c r="N115" i="19" a="1"/>
  <c r="N115" i="19"/>
  <c r="N122" i="19" a="1"/>
  <c r="N122" i="19"/>
  <c r="N128" i="19" a="1"/>
  <c r="N128" i="19"/>
  <c r="N141" i="19" a="1"/>
  <c r="N141" i="19"/>
  <c r="N147" i="19" a="1"/>
  <c r="N147" i="19"/>
  <c r="N154" i="19" a="1"/>
  <c r="N154" i="19"/>
  <c r="N160" i="19" a="1"/>
  <c r="N160" i="19"/>
  <c r="N173" i="19" a="1"/>
  <c r="N173" i="19"/>
  <c r="N179" i="19" a="1"/>
  <c r="N179" i="19"/>
  <c r="N186" i="19" a="1"/>
  <c r="N186" i="19"/>
  <c r="N192" i="19" a="1"/>
  <c r="N192" i="19"/>
  <c r="N205" i="19" a="1"/>
  <c r="N205" i="19"/>
  <c r="N211" i="19" a="1"/>
  <c r="N211" i="19"/>
  <c r="N218" i="19" a="1"/>
  <c r="N218" i="19"/>
  <c r="N224" i="19" a="1"/>
  <c r="N224" i="19"/>
  <c r="N237" i="19" a="1"/>
  <c r="N237" i="19"/>
  <c r="N243" i="19" a="1"/>
  <c r="N243" i="19"/>
  <c r="N250" i="19" a="1"/>
  <c r="N250" i="19"/>
  <c r="N7" i="19" a="1"/>
  <c r="N7" i="19"/>
  <c r="N14" i="19" a="1"/>
  <c r="N14" i="19"/>
  <c r="N20" i="19" a="1"/>
  <c r="N20" i="19"/>
  <c r="N33" i="19" a="1"/>
  <c r="N33" i="19"/>
  <c r="N39" i="19" a="1"/>
  <c r="N39" i="19"/>
  <c r="N46" i="19" a="1"/>
  <c r="N46" i="19"/>
  <c r="N78" i="19" a="1"/>
  <c r="N78" i="19"/>
  <c r="N110" i="19" a="1"/>
  <c r="N110" i="19"/>
  <c r="N142" i="19" a="1"/>
  <c r="N142" i="19"/>
  <c r="N180" i="19" a="1"/>
  <c r="N180" i="19"/>
  <c r="N225" i="19" a="1"/>
  <c r="N225" i="19"/>
  <c r="W24" i="21"/>
  <c r="W23" i="21"/>
  <c r="U24" i="21"/>
  <c r="M44" i="4"/>
  <c r="O249" i="4"/>
  <c r="O80" i="4"/>
  <c r="M48" i="4"/>
  <c r="M182" i="4"/>
  <c r="O118" i="4"/>
  <c r="O275" i="4"/>
  <c r="M39" i="4"/>
  <c r="M233" i="4"/>
  <c r="O166" i="4"/>
  <c r="M276" i="4"/>
  <c r="M163" i="4"/>
  <c r="O209" i="4"/>
  <c r="M244" i="4"/>
  <c r="M62" i="4"/>
  <c r="O142" i="4"/>
  <c r="M157" i="4"/>
  <c r="O217" i="4"/>
  <c r="M33" i="4"/>
  <c r="O77" i="4"/>
  <c r="O223" i="4"/>
  <c r="M166" i="4"/>
  <c r="O178" i="4"/>
  <c r="O96" i="4"/>
  <c r="O161" i="4"/>
  <c r="O105" i="4"/>
  <c r="M253" i="4"/>
  <c r="M219" i="4"/>
  <c r="O214" i="4"/>
  <c r="O234" i="4"/>
  <c r="M171" i="4"/>
  <c r="O151" i="4"/>
  <c r="M76" i="4"/>
  <c r="M224" i="4"/>
  <c r="O162" i="4"/>
  <c r="O272" i="4"/>
  <c r="M122" i="4"/>
  <c r="M52" i="4"/>
  <c r="M179" i="4"/>
  <c r="M41" i="4"/>
  <c r="O274" i="4"/>
  <c r="O95" i="4"/>
  <c r="O203" i="4"/>
  <c r="M189" i="4"/>
  <c r="O259" i="4"/>
  <c r="O84" i="4"/>
  <c r="O213" i="4"/>
  <c r="O125" i="4"/>
  <c r="O160" i="4"/>
  <c r="M116" i="4"/>
  <c r="M247" i="4"/>
  <c r="O68" i="4"/>
  <c r="O269" i="4"/>
  <c r="M87" i="4"/>
  <c r="M26" i="4"/>
  <c r="O260" i="4"/>
  <c r="M202" i="4"/>
  <c r="M211" i="4"/>
  <c r="M252" i="4"/>
  <c r="M231" i="4"/>
  <c r="M250" i="4"/>
  <c r="O40" i="4"/>
  <c r="M273" i="4"/>
  <c r="O235" i="4"/>
  <c r="M197" i="4"/>
  <c r="M124" i="4"/>
  <c r="M146" i="4"/>
  <c r="O216" i="4"/>
  <c r="M270" i="4"/>
  <c r="O67" i="4"/>
  <c r="M123" i="4"/>
  <c r="O144" i="4"/>
  <c r="O215" i="4"/>
  <c r="M103" i="4"/>
  <c r="M158" i="4"/>
  <c r="O241" i="4"/>
  <c r="O265" i="4"/>
  <c r="M51" i="4"/>
  <c r="M110" i="4"/>
  <c r="O174" i="4"/>
  <c r="M112" i="4"/>
  <c r="M195" i="4"/>
  <c r="M85" i="4"/>
  <c r="O152" i="4"/>
  <c r="O229" i="4"/>
  <c r="O277" i="4"/>
  <c r="O45" i="4"/>
  <c r="M89" i="4"/>
  <c r="M165" i="4"/>
  <c r="O221" i="4"/>
  <c r="M133" i="4"/>
  <c r="M194" i="4"/>
  <c r="M210" i="4"/>
  <c r="M132" i="4"/>
  <c r="O47" i="4"/>
  <c r="O117" i="4"/>
  <c r="O187" i="4"/>
  <c r="M126" i="4"/>
  <c r="M168" i="4"/>
  <c r="M190" i="4"/>
  <c r="M278" i="4"/>
  <c r="O169" i="4"/>
  <c r="M42" i="4"/>
  <c r="O147" i="4"/>
  <c r="M238" i="4"/>
  <c r="M82" i="4"/>
  <c r="O175" i="4"/>
  <c r="M237" i="4"/>
  <c r="O248" i="4"/>
  <c r="O173" i="4"/>
  <c r="O30" i="4"/>
  <c r="O134" i="4"/>
  <c r="O225" i="4"/>
  <c r="M129" i="4"/>
  <c r="M143" i="4"/>
  <c r="M164" i="4"/>
  <c r="O73" i="4"/>
  <c r="O59" i="4"/>
  <c r="O258" i="4"/>
  <c r="M66" i="4"/>
  <c r="O98" i="4"/>
  <c r="M159" i="4"/>
  <c r="M243" i="4"/>
  <c r="M113" i="4"/>
  <c r="M192" i="4"/>
  <c r="M31" i="4"/>
  <c r="M92" i="4"/>
  <c r="M63" i="4"/>
  <c r="M104" i="4"/>
  <c r="O136" i="4"/>
  <c r="M246" i="4"/>
  <c r="M114" i="4"/>
  <c r="O72" i="4"/>
  <c r="O140" i="4"/>
  <c r="M71" i="4"/>
  <c r="M200" i="4"/>
  <c r="O267" i="4"/>
  <c r="M184" i="4"/>
  <c r="M80" i="4"/>
  <c r="M229" i="4"/>
  <c r="M105" i="4"/>
  <c r="O159" i="4"/>
  <c r="M67" i="4"/>
  <c r="O247" i="4"/>
  <c r="O82" i="4"/>
  <c r="O253" i="4"/>
  <c r="O189" i="4"/>
  <c r="M221" i="4"/>
  <c r="M96" i="4"/>
  <c r="O92" i="4"/>
  <c r="O158" i="4"/>
  <c r="O52" i="4"/>
  <c r="M30" i="4"/>
  <c r="M275" i="4"/>
  <c r="M161" i="4"/>
  <c r="M47" i="4"/>
  <c r="M156" i="4"/>
  <c r="M150" i="4"/>
  <c r="O70" i="4"/>
  <c r="M102" i="4"/>
  <c r="O212" i="4"/>
  <c r="M181" i="4"/>
  <c r="M208" i="4"/>
  <c r="M115" i="4"/>
  <c r="M258" i="4"/>
  <c r="M185" i="4"/>
  <c r="O55" i="4"/>
  <c r="M34" i="4"/>
  <c r="M198" i="4"/>
  <c r="O148" i="4"/>
  <c r="O50" i="4"/>
  <c r="O29" i="4"/>
  <c r="M91" i="4"/>
  <c r="M155" i="4"/>
  <c r="O79" i="4"/>
  <c r="O230" i="4"/>
  <c r="M94" i="4"/>
  <c r="M261" i="4"/>
  <c r="M130" i="4"/>
  <c r="O199" i="4"/>
  <c r="O38" i="4"/>
  <c r="M257" i="4"/>
  <c r="O153" i="4"/>
  <c r="M201" i="4"/>
  <c r="M43" i="4"/>
  <c r="M65" i="4"/>
  <c r="O172" i="4"/>
  <c r="M58" i="4"/>
  <c r="M106" i="4"/>
  <c r="M32" i="4"/>
  <c r="O176" i="4"/>
  <c r="M207" i="4"/>
  <c r="M101" i="4"/>
  <c r="O145" i="4"/>
  <c r="M152" i="4"/>
  <c r="M209" i="4"/>
  <c r="M98" i="4"/>
  <c r="O270" i="4"/>
  <c r="M162" i="4"/>
  <c r="O238" i="4"/>
  <c r="O39" i="4"/>
  <c r="O171" i="4"/>
  <c r="O165" i="4"/>
  <c r="O48" i="4"/>
  <c r="O31" i="4"/>
  <c r="O103" i="4"/>
  <c r="M269" i="4"/>
  <c r="M173" i="4"/>
  <c r="O233" i="4"/>
  <c r="M84" i="4"/>
  <c r="O132" i="4"/>
  <c r="O76" i="4"/>
  <c r="O246" i="4"/>
  <c r="O90" i="4"/>
  <c r="M97" i="4"/>
  <c r="M149" i="4"/>
  <c r="M227" i="4"/>
  <c r="M93" i="4"/>
  <c r="O251" i="4"/>
  <c r="M74" i="4"/>
  <c r="O232" i="4"/>
  <c r="O127" i="4"/>
  <c r="M78" i="4"/>
  <c r="O101" i="4"/>
  <c r="O124" i="4"/>
  <c r="O211" i="4"/>
  <c r="O208" i="4"/>
  <c r="M73" i="4"/>
  <c r="O195" i="4"/>
  <c r="O167" i="4"/>
  <c r="M251" i="4"/>
  <c r="O32" i="4"/>
  <c r="M140" i="4"/>
  <c r="O126" i="4"/>
  <c r="O102" i="4"/>
  <c r="O231" i="4"/>
  <c r="M217" i="4"/>
  <c r="M61" i="4"/>
  <c r="O149" i="4"/>
  <c r="M172" i="4"/>
  <c r="O273" i="4"/>
  <c r="O41" i="4"/>
  <c r="O156" i="4"/>
  <c r="O129" i="4"/>
  <c r="O110" i="4"/>
  <c r="O26" i="4"/>
  <c r="M225" i="4"/>
  <c r="O51" i="4"/>
  <c r="O179" i="4"/>
  <c r="M136" i="4"/>
  <c r="M265" i="4"/>
  <c r="O163" i="4"/>
  <c r="O104" i="4"/>
  <c r="O210" i="4"/>
  <c r="O219" i="4"/>
  <c r="M77" i="4"/>
  <c r="O194" i="4"/>
  <c r="O157" i="4"/>
  <c r="M259" i="4"/>
  <c r="M248" i="4"/>
  <c r="M118" i="4"/>
  <c r="O122" i="4"/>
  <c r="O237" i="4"/>
  <c r="M215" i="4"/>
  <c r="M68" i="4"/>
  <c r="O192" i="4"/>
  <c r="M144" i="4"/>
  <c r="O276" i="4"/>
  <c r="O113" i="4"/>
  <c r="O89" i="4"/>
  <c r="O33" i="4"/>
  <c r="M203" i="4"/>
  <c r="M45" i="4"/>
  <c r="M178" i="4"/>
  <c r="O182" i="4"/>
  <c r="M147" i="4"/>
  <c r="M249" i="4"/>
  <c r="O116" i="4"/>
  <c r="O42" i="4"/>
  <c r="M216" i="4"/>
  <c r="O224" i="4"/>
  <c r="O66" i="4"/>
  <c r="O146" i="4"/>
  <c r="M160" i="4"/>
  <c r="M267" i="4"/>
  <c r="O200" i="4"/>
  <c r="O190" i="4"/>
  <c r="O115" i="4"/>
  <c r="M40" i="4"/>
  <c r="O202" i="4"/>
  <c r="O56" i="4"/>
  <c r="O74" i="4"/>
  <c r="M176" i="4"/>
  <c r="O197" i="4"/>
  <c r="M260" i="4"/>
  <c r="M212" i="4"/>
  <c r="O164" i="4"/>
  <c r="O112" i="4"/>
  <c r="M119" i="4"/>
  <c r="O227" i="4"/>
  <c r="O58" i="4"/>
  <c r="M72" i="4"/>
  <c r="M187" i="4"/>
  <c r="O150" i="4"/>
  <c r="O252" i="4"/>
  <c r="M214" i="4"/>
  <c r="O135" i="4"/>
  <c r="M90" i="4"/>
  <c r="O43" i="4"/>
  <c r="M213" i="4"/>
  <c r="O201" i="4"/>
  <c r="O62" i="4"/>
  <c r="M153" i="4"/>
  <c r="M134" i="4"/>
  <c r="O257" i="4"/>
  <c r="O87" i="4"/>
  <c r="M38" i="4"/>
  <c r="M241" i="4"/>
  <c r="M199" i="4"/>
  <c r="O63" i="4"/>
  <c r="O130" i="4"/>
  <c r="M151" i="4"/>
  <c r="O261" i="4"/>
  <c r="O133" i="4"/>
  <c r="O94" i="4"/>
  <c r="O44" i="4"/>
  <c r="M230" i="4"/>
  <c r="O244" i="4"/>
  <c r="M79" i="4"/>
  <c r="M175" i="4"/>
  <c r="O155" i="4"/>
  <c r="M272" i="4"/>
  <c r="O91" i="4"/>
  <c r="O123" i="4"/>
  <c r="M29" i="4"/>
  <c r="O243" i="4"/>
  <c r="M50" i="4"/>
  <c r="M142" i="4"/>
  <c r="M148" i="4"/>
  <c r="M277" i="4"/>
  <c r="O198" i="4"/>
  <c r="M95" i="4"/>
  <c r="O34" i="4"/>
  <c r="M234" i="4"/>
  <c r="M55" i="4"/>
  <c r="M169" i="4"/>
  <c r="O185" i="4"/>
  <c r="M145" i="4"/>
  <c r="O278" i="4"/>
  <c r="O205" i="4"/>
  <c r="O264" i="4"/>
  <c r="M81" i="4"/>
  <c r="O28" i="4"/>
  <c r="O242" i="4"/>
  <c r="M46" i="4"/>
  <c r="O193" i="4"/>
  <c r="M137" i="4"/>
  <c r="M138" i="4"/>
  <c r="M83" i="4"/>
  <c r="O218" i="4"/>
  <c r="M256" i="4"/>
  <c r="O128" i="4"/>
  <c r="M27" i="4"/>
  <c r="M245" i="4"/>
  <c r="M49" i="4"/>
  <c r="M141" i="4"/>
  <c r="O177" i="4"/>
  <c r="O268" i="4"/>
  <c r="O109" i="4"/>
  <c r="M236" i="4"/>
  <c r="O263" i="4"/>
  <c r="M111" i="4"/>
  <c r="M37" i="4"/>
  <c r="O204" i="4"/>
  <c r="M239" i="4"/>
  <c r="M60" i="4"/>
  <c r="O191" i="4"/>
  <c r="O186" i="4"/>
  <c r="O271" i="4"/>
  <c r="O121" i="4"/>
  <c r="M35" i="4"/>
  <c r="O222" i="4"/>
  <c r="O53" i="4"/>
  <c r="M69" i="4"/>
  <c r="M196" i="4"/>
  <c r="M183" i="4"/>
  <c r="M255" i="4"/>
  <c r="O108" i="4"/>
  <c r="O86" i="4"/>
  <c r="O36" i="4"/>
  <c r="O240" i="4"/>
  <c r="O54" i="4"/>
  <c r="M131" i="4"/>
  <c r="O154" i="4"/>
  <c r="O139" i="4"/>
  <c r="O266" i="4"/>
  <c r="O100" i="4"/>
  <c r="M107" i="4"/>
  <c r="O220" i="4"/>
  <c r="M206" i="4"/>
  <c r="O75" i="4"/>
  <c r="O180" i="4"/>
  <c r="O170" i="4"/>
  <c r="M254" i="4"/>
  <c r="M120" i="4"/>
  <c r="M99" i="4"/>
  <c r="M226" i="4"/>
  <c r="O228" i="4"/>
  <c r="O57" i="4"/>
  <c r="O188" i="4"/>
  <c r="M205" i="4"/>
  <c r="M264" i="4"/>
  <c r="O81" i="4"/>
  <c r="M28" i="4"/>
  <c r="M242" i="4"/>
  <c r="O46" i="4"/>
  <c r="M193" i="4"/>
  <c r="O137" i="4"/>
  <c r="O138" i="4"/>
  <c r="O83" i="4"/>
  <c r="M218" i="4"/>
  <c r="O256" i="4"/>
  <c r="M128" i="4"/>
  <c r="O27" i="4"/>
  <c r="O245" i="4"/>
  <c r="O49" i="4"/>
  <c r="O141" i="4"/>
  <c r="M177" i="4"/>
  <c r="M268" i="4"/>
  <c r="M109" i="4"/>
  <c r="O236" i="4"/>
  <c r="M263" i="4"/>
  <c r="O111" i="4"/>
  <c r="O37" i="4"/>
  <c r="M204" i="4"/>
  <c r="O239" i="4"/>
  <c r="O60" i="4"/>
  <c r="M191" i="4"/>
  <c r="M186" i="4"/>
  <c r="M271" i="4"/>
  <c r="M121" i="4"/>
  <c r="O35" i="4"/>
  <c r="M222" i="4"/>
  <c r="M53" i="4"/>
  <c r="O69" i="4"/>
  <c r="O196" i="4"/>
  <c r="O183" i="4"/>
  <c r="O255" i="4"/>
  <c r="M108" i="4"/>
  <c r="M86" i="4"/>
  <c r="M36" i="4"/>
  <c r="M240" i="4"/>
  <c r="M54" i="4"/>
  <c r="O131" i="4"/>
  <c r="M154" i="4"/>
  <c r="M139" i="4"/>
  <c r="M266" i="4"/>
  <c r="M100" i="4"/>
  <c r="O107" i="4"/>
  <c r="M220" i="4"/>
  <c r="O206" i="4"/>
  <c r="M75" i="4"/>
  <c r="M180" i="4"/>
  <c r="M170" i="4"/>
  <c r="O254" i="4"/>
  <c r="O120" i="4"/>
  <c r="O99" i="4"/>
  <c r="O226" i="4"/>
  <c r="M228" i="4"/>
  <c r="M57" i="4"/>
  <c r="M188" i="4"/>
  <c r="O184" i="4"/>
  <c r="M274" i="4"/>
  <c r="M59" i="4"/>
  <c r="O85" i="4"/>
  <c r="M88" i="4"/>
  <c r="M232" i="4"/>
  <c r="O207" i="4"/>
  <c r="O71" i="4"/>
  <c r="O168" i="4"/>
  <c r="O181" i="4"/>
  <c r="O250" i="4"/>
  <c r="M125" i="4"/>
  <c r="M64" i="4"/>
  <c r="O93" i="4"/>
  <c r="O106" i="4"/>
  <c r="M235" i="4"/>
  <c r="M223" i="4"/>
  <c r="M70" i="4"/>
  <c r="O143" i="4"/>
  <c r="M174" i="4"/>
  <c r="O262" i="4"/>
  <c r="O97" i="4"/>
  <c r="O65" i="4"/>
  <c r="O114" i="4"/>
  <c r="M117" i="4"/>
  <c r="M135" i="4"/>
  <c r="M262" i="4"/>
  <c r="O61" i="4"/>
  <c r="O119" i="4"/>
  <c r="O64" i="4"/>
  <c r="M167" i="4"/>
  <c r="M56" i="4"/>
  <c r="O88" i="4"/>
  <c r="M127" i="4"/>
  <c r="M11" i="19" a="1"/>
  <c r="M11" i="19"/>
  <c r="M19" i="19" a="1"/>
  <c r="M19" i="19"/>
  <c r="M27" i="19" a="1"/>
  <c r="M27" i="19"/>
  <c r="M35" i="19" a="1"/>
  <c r="M35" i="19"/>
  <c r="M14" i="19" a="1"/>
  <c r="M14" i="19"/>
  <c r="M22" i="19" a="1"/>
  <c r="M22" i="19"/>
  <c r="M30" i="19" a="1"/>
  <c r="M30" i="19"/>
  <c r="M38" i="19" a="1"/>
  <c r="M38" i="19"/>
  <c r="M46" i="19" a="1"/>
  <c r="M46" i="19"/>
  <c r="M54" i="19" a="1"/>
  <c r="M54" i="19"/>
  <c r="M62" i="19" a="1"/>
  <c r="M62" i="19"/>
  <c r="M70" i="19" a="1"/>
  <c r="M70" i="19"/>
  <c r="M78" i="19" a="1"/>
  <c r="M78" i="19"/>
  <c r="M86" i="19" a="1"/>
  <c r="M86" i="19"/>
  <c r="M94" i="19" a="1"/>
  <c r="M94" i="19"/>
  <c r="M102" i="19" a="1"/>
  <c r="M102" i="19"/>
  <c r="M7" i="19" a="1"/>
  <c r="M7" i="19"/>
  <c r="M9" i="19" a="1"/>
  <c r="M9" i="19"/>
  <c r="M17" i="19" a="1"/>
  <c r="M17" i="19"/>
  <c r="M12" i="19" a="1"/>
  <c r="M12" i="19"/>
  <c r="M20" i="19" a="1"/>
  <c r="M20" i="19"/>
  <c r="M28" i="19" a="1"/>
  <c r="M28" i="19"/>
  <c r="M36" i="19" a="1"/>
  <c r="M36" i="19"/>
  <c r="M44" i="19" a="1"/>
  <c r="M44" i="19"/>
  <c r="M52" i="19" a="1"/>
  <c r="M52" i="19"/>
  <c r="M60" i="19" a="1"/>
  <c r="M60" i="19"/>
  <c r="M68" i="19" a="1"/>
  <c r="M68" i="19"/>
  <c r="M76" i="19" a="1"/>
  <c r="M76" i="19"/>
  <c r="M84" i="19" a="1"/>
  <c r="M84" i="19"/>
  <c r="M92" i="19" a="1"/>
  <c r="M92" i="19"/>
  <c r="M100" i="19" a="1"/>
  <c r="M100" i="19"/>
  <c r="M108" i="19" a="1"/>
  <c r="M108" i="19"/>
  <c r="M116" i="19" a="1"/>
  <c r="M116" i="19"/>
  <c r="M124" i="19" a="1"/>
  <c r="M124" i="19"/>
  <c r="M15" i="19" a="1"/>
  <c r="M15" i="19"/>
  <c r="M23" i="19" a="1"/>
  <c r="M23" i="19"/>
  <c r="M31" i="19" a="1"/>
  <c r="M31" i="19"/>
  <c r="M39" i="19" a="1"/>
  <c r="M39" i="19"/>
  <c r="M47" i="19" a="1"/>
  <c r="M47" i="19"/>
  <c r="M55" i="19" a="1"/>
  <c r="M55" i="19"/>
  <c r="M63" i="19" a="1"/>
  <c r="M63" i="19"/>
  <c r="M10" i="19" a="1"/>
  <c r="M10" i="19"/>
  <c r="M18" i="19" a="1"/>
  <c r="M18" i="19"/>
  <c r="M26" i="19" a="1"/>
  <c r="M26" i="19"/>
  <c r="M34" i="19" a="1"/>
  <c r="M34" i="19"/>
  <c r="M42" i="19" a="1"/>
  <c r="M42" i="19"/>
  <c r="M50" i="19" a="1"/>
  <c r="M50" i="19"/>
  <c r="M58" i="19" a="1"/>
  <c r="M58" i="19"/>
  <c r="M66" i="19" a="1"/>
  <c r="M66" i="19"/>
  <c r="M74" i="19" a="1"/>
  <c r="M74" i="19"/>
  <c r="M82" i="19" a="1"/>
  <c r="M82" i="19"/>
  <c r="M90" i="19" a="1"/>
  <c r="M90" i="19"/>
  <c r="M98" i="19" a="1"/>
  <c r="M98" i="19"/>
  <c r="M106" i="19" a="1"/>
  <c r="M106" i="19"/>
  <c r="M8" i="19" a="1"/>
  <c r="M8" i="19"/>
  <c r="M33" i="19" a="1"/>
  <c r="M33" i="19"/>
  <c r="M45" i="19" a="1"/>
  <c r="M45" i="19"/>
  <c r="M61" i="19" a="1"/>
  <c r="M61" i="19"/>
  <c r="M87" i="19" a="1"/>
  <c r="M87" i="19"/>
  <c r="M91" i="19" a="1"/>
  <c r="M91" i="19"/>
  <c r="M104" i="19" a="1"/>
  <c r="M104" i="19"/>
  <c r="M111" i="19" a="1"/>
  <c r="M111" i="19"/>
  <c r="M114" i="19" a="1"/>
  <c r="M114" i="19"/>
  <c r="M117" i="19" a="1"/>
  <c r="M117" i="19"/>
  <c r="M120" i="19" a="1"/>
  <c r="M120" i="19"/>
  <c r="M123" i="19" a="1"/>
  <c r="M123" i="19"/>
  <c r="M126" i="19" a="1"/>
  <c r="M126" i="19"/>
  <c r="M134" i="19" a="1"/>
  <c r="M134" i="19"/>
  <c r="M142" i="19" a="1"/>
  <c r="M142" i="19"/>
  <c r="M150" i="19" a="1"/>
  <c r="M150" i="19"/>
  <c r="M158" i="19" a="1"/>
  <c r="M158" i="19"/>
  <c r="M166" i="19" a="1"/>
  <c r="M166" i="19"/>
  <c r="M174" i="19" a="1"/>
  <c r="M174" i="19"/>
  <c r="M182" i="19" a="1"/>
  <c r="M182" i="19"/>
  <c r="M190" i="19" a="1"/>
  <c r="M190" i="19"/>
  <c r="M198" i="19" a="1"/>
  <c r="M198" i="19"/>
  <c r="M206" i="19" a="1"/>
  <c r="M206" i="19"/>
  <c r="M40" i="19" a="1"/>
  <c r="M40" i="19"/>
  <c r="M56" i="19" a="1"/>
  <c r="M56" i="19"/>
  <c r="M79" i="19" a="1"/>
  <c r="M79" i="19"/>
  <c r="M83" i="19" a="1"/>
  <c r="M83" i="19"/>
  <c r="M96" i="19" a="1"/>
  <c r="M96" i="19"/>
  <c r="M129" i="19" a="1"/>
  <c r="M129" i="19"/>
  <c r="M137" i="19" a="1"/>
  <c r="M137" i="19"/>
  <c r="M145" i="19" a="1"/>
  <c r="M145" i="19"/>
  <c r="M153" i="19" a="1"/>
  <c r="M153" i="19"/>
  <c r="M161" i="19" a="1"/>
  <c r="M161" i="19"/>
  <c r="M169" i="19" a="1"/>
  <c r="M169" i="19"/>
  <c r="M177" i="19" a="1"/>
  <c r="M177" i="19"/>
  <c r="M185" i="19" a="1"/>
  <c r="M185" i="19"/>
  <c r="M193" i="19" a="1"/>
  <c r="M193" i="19"/>
  <c r="M201" i="19" a="1"/>
  <c r="M201" i="19"/>
  <c r="M209" i="19" a="1"/>
  <c r="M209" i="19"/>
  <c r="M217" i="19" a="1"/>
  <c r="M217" i="19"/>
  <c r="M225" i="19" a="1"/>
  <c r="M225" i="19"/>
  <c r="M21" i="19" a="1"/>
  <c r="M21" i="19"/>
  <c r="M51" i="19" a="1"/>
  <c r="M51" i="19"/>
  <c r="M71" i="19" a="1"/>
  <c r="M71" i="19"/>
  <c r="M75" i="19" a="1"/>
  <c r="M75" i="19"/>
  <c r="M88" i="19" a="1"/>
  <c r="M88" i="19"/>
  <c r="M101" i="19" a="1"/>
  <c r="M101" i="19"/>
  <c r="M105" i="19" a="1"/>
  <c r="M105" i="19"/>
  <c r="M132" i="19" a="1"/>
  <c r="M132" i="19"/>
  <c r="M140" i="19" a="1"/>
  <c r="M140" i="19"/>
  <c r="M148" i="19" a="1"/>
  <c r="M148" i="19"/>
  <c r="M156" i="19" a="1"/>
  <c r="M156" i="19"/>
  <c r="M164" i="19" a="1"/>
  <c r="M164" i="19"/>
  <c r="M172" i="19" a="1"/>
  <c r="M172" i="19"/>
  <c r="M180" i="19" a="1"/>
  <c r="M180" i="19"/>
  <c r="M188" i="19" a="1"/>
  <c r="M188" i="19"/>
  <c r="M196" i="19" a="1"/>
  <c r="M196" i="19"/>
  <c r="M204" i="19" a="1"/>
  <c r="M204" i="19"/>
  <c r="M212" i="19" a="1"/>
  <c r="M212" i="19"/>
  <c r="M220" i="19" a="1"/>
  <c r="M220" i="19"/>
  <c r="M228" i="19" a="1"/>
  <c r="M228" i="19"/>
  <c r="M236" i="19" a="1"/>
  <c r="M236" i="19"/>
  <c r="M244" i="19" a="1"/>
  <c r="M244" i="19"/>
  <c r="M252" i="19" a="1"/>
  <c r="M252" i="19"/>
  <c r="M13" i="19" a="1"/>
  <c r="M13" i="19"/>
  <c r="M29" i="19" a="1"/>
  <c r="M29" i="19"/>
  <c r="M41" i="19" a="1"/>
  <c r="M41" i="19"/>
  <c r="M57" i="19" a="1"/>
  <c r="M57" i="19"/>
  <c r="M67" i="19" a="1"/>
  <c r="M67" i="19"/>
  <c r="M80" i="19" a="1"/>
  <c r="M80" i="19"/>
  <c r="M93" i="19" a="1"/>
  <c r="M93" i="19"/>
  <c r="M97" i="19" a="1"/>
  <c r="M97" i="19"/>
  <c r="M109" i="19" a="1"/>
  <c r="M109" i="19"/>
  <c r="M112" i="19" a="1"/>
  <c r="M112" i="19"/>
  <c r="M115" i="19" a="1"/>
  <c r="M115" i="19"/>
  <c r="M118" i="19" a="1"/>
  <c r="M118" i="19"/>
  <c r="M121" i="19" a="1"/>
  <c r="M121" i="19"/>
  <c r="M127" i="19" a="1"/>
  <c r="M127" i="19"/>
  <c r="M135" i="19" a="1"/>
  <c r="M135" i="19"/>
  <c r="M143" i="19" a="1"/>
  <c r="M143" i="19"/>
  <c r="M151" i="19" a="1"/>
  <c r="M151" i="19"/>
  <c r="M159" i="19" a="1"/>
  <c r="M159" i="19"/>
  <c r="M167" i="19" a="1"/>
  <c r="M167" i="19"/>
  <c r="M175" i="19" a="1"/>
  <c r="M175" i="19"/>
  <c r="M183" i="19" a="1"/>
  <c r="M183" i="19"/>
  <c r="M191" i="19" a="1"/>
  <c r="M191" i="19"/>
  <c r="M199" i="19" a="1"/>
  <c r="M199" i="19"/>
  <c r="M207" i="19" a="1"/>
  <c r="M207" i="19"/>
  <c r="M215" i="19" a="1"/>
  <c r="M215" i="19"/>
  <c r="M223" i="19" a="1"/>
  <c r="M223" i="19"/>
  <c r="M37" i="19" a="1"/>
  <c r="M37" i="19"/>
  <c r="M53" i="19" a="1"/>
  <c r="M53" i="19"/>
  <c r="M72" i="19" a="1"/>
  <c r="M72" i="19"/>
  <c r="M85" i="19" a="1"/>
  <c r="M85" i="19"/>
  <c r="M89" i="19" a="1"/>
  <c r="M89" i="19"/>
  <c r="M130" i="19" a="1"/>
  <c r="M130" i="19"/>
  <c r="M138" i="19" a="1"/>
  <c r="M138" i="19"/>
  <c r="M146" i="19" a="1"/>
  <c r="M146" i="19"/>
  <c r="M154" i="19" a="1"/>
  <c r="M154" i="19"/>
  <c r="M162" i="19" a="1"/>
  <c r="M162" i="19"/>
  <c r="M170" i="19" a="1"/>
  <c r="M170" i="19"/>
  <c r="M178" i="19" a="1"/>
  <c r="M178" i="19"/>
  <c r="M186" i="19" a="1"/>
  <c r="M186" i="19"/>
  <c r="M194" i="19" a="1"/>
  <c r="M194" i="19"/>
  <c r="M202" i="19" a="1"/>
  <c r="M202" i="19"/>
  <c r="M210" i="19" a="1"/>
  <c r="M210" i="19"/>
  <c r="M218" i="19" a="1"/>
  <c r="M218" i="19"/>
  <c r="M226" i="19" a="1"/>
  <c r="M226" i="19"/>
  <c r="M16" i="19" a="1"/>
  <c r="M16" i="19"/>
  <c r="M24" i="19" a="1"/>
  <c r="M24" i="19"/>
  <c r="M43" i="19" a="1"/>
  <c r="M43" i="19"/>
  <c r="M59" i="19" a="1"/>
  <c r="M59" i="19"/>
  <c r="M69" i="19" a="1"/>
  <c r="M69" i="19"/>
  <c r="M73" i="19" a="1"/>
  <c r="M73" i="19"/>
  <c r="M103" i="19" a="1"/>
  <c r="M103" i="19"/>
  <c r="M107" i="19" a="1"/>
  <c r="M107" i="19"/>
  <c r="M110" i="19" a="1"/>
  <c r="M110" i="19"/>
  <c r="M113" i="19" a="1"/>
  <c r="M113" i="19"/>
  <c r="M128" i="19" a="1"/>
  <c r="M128" i="19"/>
  <c r="M136" i="19" a="1"/>
  <c r="M136" i="19"/>
  <c r="M144" i="19" a="1"/>
  <c r="M144" i="19"/>
  <c r="M152" i="19" a="1"/>
  <c r="M152" i="19"/>
  <c r="M160" i="19" a="1"/>
  <c r="M160" i="19"/>
  <c r="M25" i="19" a="1"/>
  <c r="M25" i="19"/>
  <c r="M32" i="19" a="1"/>
  <c r="M32" i="19"/>
  <c r="M49" i="19" a="1"/>
  <c r="M49" i="19"/>
  <c r="M65" i="19" a="1"/>
  <c r="M65" i="19"/>
  <c r="M95" i="19" a="1"/>
  <c r="M95" i="19"/>
  <c r="M99" i="19" a="1"/>
  <c r="M99" i="19"/>
  <c r="M131" i="19" a="1"/>
  <c r="M131" i="19"/>
  <c r="M139" i="19" a="1"/>
  <c r="M139" i="19"/>
  <c r="M147" i="19" a="1"/>
  <c r="M147" i="19"/>
  <c r="M155" i="19" a="1"/>
  <c r="M155" i="19"/>
  <c r="M163" i="19" a="1"/>
  <c r="M163" i="19"/>
  <c r="M171" i="19" a="1"/>
  <c r="M171" i="19"/>
  <c r="M179" i="19" a="1"/>
  <c r="M179" i="19"/>
  <c r="M187" i="19" a="1"/>
  <c r="M187" i="19"/>
  <c r="M195" i="19" a="1"/>
  <c r="M195" i="19"/>
  <c r="M203" i="19" a="1"/>
  <c r="M203" i="19"/>
  <c r="M211" i="19" a="1"/>
  <c r="M211" i="19"/>
  <c r="M219" i="19" a="1"/>
  <c r="M219" i="19"/>
  <c r="M227" i="19" a="1"/>
  <c r="M227" i="19"/>
  <c r="M235" i="19" a="1"/>
  <c r="M235" i="19"/>
  <c r="M243" i="19" a="1"/>
  <c r="M243" i="19"/>
  <c r="M251" i="19" a="1"/>
  <c r="M251" i="19"/>
  <c r="M48" i="19" a="1"/>
  <c r="M48" i="19"/>
  <c r="M192" i="19" a="1"/>
  <c r="M192" i="19"/>
  <c r="M233" i="19" a="1"/>
  <c r="M233" i="19"/>
  <c r="M240" i="19" a="1"/>
  <c r="M240" i="19"/>
  <c r="M254" i="19" a="1"/>
  <c r="M254" i="19"/>
  <c r="M119" i="19" a="1"/>
  <c r="M119" i="19"/>
  <c r="M141" i="19" a="1"/>
  <c r="M141" i="19"/>
  <c r="M173" i="19" a="1"/>
  <c r="M173" i="19"/>
  <c r="M205" i="19" a="1"/>
  <c r="M205" i="19"/>
  <c r="M213" i="19" a="1"/>
  <c r="M213" i="19"/>
  <c r="M230" i="19" a="1"/>
  <c r="M230" i="19"/>
  <c r="M237" i="19" a="1"/>
  <c r="M237" i="19"/>
  <c r="M122" i="19" a="1"/>
  <c r="M122" i="19"/>
  <c r="M184" i="19" a="1"/>
  <c r="M184" i="19"/>
  <c r="M221" i="19" a="1"/>
  <c r="M221" i="19"/>
  <c r="M234" i="19" a="1"/>
  <c r="M234" i="19"/>
  <c r="M241" i="19" a="1"/>
  <c r="M241" i="19"/>
  <c r="M248" i="19" a="1"/>
  <c r="M248" i="19"/>
  <c r="M64" i="19" a="1"/>
  <c r="M64" i="19"/>
  <c r="M125" i="19" a="1"/>
  <c r="M125" i="19"/>
  <c r="M165" i="19" a="1"/>
  <c r="M165" i="19"/>
  <c r="M197" i="19" a="1"/>
  <c r="M197" i="19"/>
  <c r="M214" i="19" a="1"/>
  <c r="M214" i="19"/>
  <c r="M231" i="19" a="1"/>
  <c r="M231" i="19"/>
  <c r="M238" i="19" a="1"/>
  <c r="M238" i="19"/>
  <c r="M245" i="19" a="1"/>
  <c r="M245" i="19"/>
  <c r="M149" i="19" a="1"/>
  <c r="M149" i="19"/>
  <c r="M176" i="19" a="1"/>
  <c r="M176" i="19"/>
  <c r="M208" i="19" a="1"/>
  <c r="M208" i="19"/>
  <c r="M222" i="19" a="1"/>
  <c r="M222" i="19"/>
  <c r="M242" i="19" a="1"/>
  <c r="M242" i="19"/>
  <c r="M249" i="19" a="1"/>
  <c r="M249" i="19"/>
  <c r="M189" i="19" a="1"/>
  <c r="M189" i="19"/>
  <c r="M216" i="19" a="1"/>
  <c r="M216" i="19"/>
  <c r="M239" i="19" a="1"/>
  <c r="M239" i="19"/>
  <c r="M246" i="19" a="1"/>
  <c r="M246" i="19"/>
  <c r="M253" i="19" a="1"/>
  <c r="M253" i="19"/>
  <c r="M77" i="19" a="1"/>
  <c r="M77" i="19"/>
  <c r="M133" i="19" a="1"/>
  <c r="M133" i="19"/>
  <c r="M168" i="19" a="1"/>
  <c r="M168" i="19"/>
  <c r="M200" i="19" a="1"/>
  <c r="M200" i="19"/>
  <c r="M224" i="19" a="1"/>
  <c r="M224" i="19"/>
  <c r="M232" i="19" a="1"/>
  <c r="M232" i="19"/>
  <c r="M250" i="19" a="1"/>
  <c r="M250" i="19"/>
  <c r="M81" i="19" a="1"/>
  <c r="M81" i="19"/>
  <c r="M247" i="19" a="1"/>
  <c r="M247" i="19"/>
  <c r="M157" i="19" a="1"/>
  <c r="M157" i="19"/>
  <c r="M229" i="19" a="1"/>
  <c r="M229" i="19"/>
  <c r="M181" i="19" a="1"/>
  <c r="M181" i="19"/>
  <c r="M6" i="19" a="1"/>
  <c r="M6" i="19"/>
  <c r="X29" i="21"/>
  <c r="Y29" i="21"/>
  <c r="Z29" i="21"/>
  <c r="X210" i="21"/>
  <c r="Y210" i="21"/>
  <c r="Z210" i="21"/>
  <c r="X66" i="21"/>
  <c r="Y66" i="21"/>
  <c r="Z66" i="21"/>
  <c r="X60" i="21"/>
  <c r="Y60" i="21"/>
  <c r="Z60" i="21"/>
  <c r="X181" i="21"/>
  <c r="Y181" i="21"/>
  <c r="Z181" i="21"/>
  <c r="X139" i="21"/>
  <c r="Y139" i="21"/>
  <c r="Z139" i="21"/>
  <c r="X161" i="21"/>
  <c r="Y161" i="21"/>
  <c r="Z161" i="21"/>
  <c r="X255" i="21"/>
  <c r="Y255" i="21"/>
  <c r="Z255" i="21"/>
  <c r="X153" i="21"/>
  <c r="Y153" i="21"/>
  <c r="Z153" i="21"/>
  <c r="X184" i="21"/>
  <c r="Y184" i="21"/>
  <c r="Z184" i="21"/>
  <c r="X188" i="21"/>
  <c r="Y188" i="21"/>
  <c r="Z188" i="21"/>
  <c r="X168" i="21"/>
  <c r="Y168" i="21"/>
  <c r="Z168" i="21"/>
  <c r="X63" i="21"/>
  <c r="Y63" i="21"/>
  <c r="Z63" i="21"/>
  <c r="X172" i="21"/>
  <c r="Y172" i="21"/>
  <c r="Z172" i="21"/>
  <c r="X269" i="21"/>
  <c r="Y269" i="21"/>
  <c r="Z269" i="21"/>
  <c r="X239" i="21"/>
  <c r="Y239" i="21"/>
  <c r="Z239" i="21"/>
  <c r="X58" i="21"/>
  <c r="Y58" i="21"/>
  <c r="Z58" i="21"/>
  <c r="AA58" i="21"/>
  <c r="AD58" i="21"/>
  <c r="AF58" i="21"/>
  <c r="V58" i="4"/>
  <c r="X173" i="21"/>
  <c r="Y173" i="21"/>
  <c r="Z173" i="21"/>
  <c r="X144" i="21"/>
  <c r="Y144" i="21"/>
  <c r="Z144" i="21"/>
  <c r="X186" i="21"/>
  <c r="Y186" i="21"/>
  <c r="Z186" i="21"/>
  <c r="X50" i="21"/>
  <c r="Y50" i="21"/>
  <c r="Z50" i="21"/>
  <c r="X258" i="21"/>
  <c r="Y258" i="21"/>
  <c r="Z258" i="21"/>
  <c r="X113" i="21"/>
  <c r="Y113" i="21"/>
  <c r="Z113" i="21"/>
  <c r="X30" i="21"/>
  <c r="Y30" i="21"/>
  <c r="Z30" i="21"/>
  <c r="X27" i="21"/>
  <c r="Y27" i="21"/>
  <c r="Z27" i="21"/>
  <c r="X164" i="21"/>
  <c r="Y164" i="21"/>
  <c r="Z164" i="21"/>
  <c r="X224" i="21"/>
  <c r="Y224" i="21"/>
  <c r="Z224" i="21"/>
  <c r="X264" i="21"/>
  <c r="Y264" i="21"/>
  <c r="Z264" i="21"/>
  <c r="X82" i="21"/>
  <c r="Y82" i="21"/>
  <c r="Z82" i="21"/>
  <c r="X169" i="21"/>
  <c r="Y169" i="21"/>
  <c r="Z169" i="21"/>
  <c r="X85" i="21"/>
  <c r="Y85" i="21"/>
  <c r="Z85" i="21"/>
  <c r="X162" i="21"/>
  <c r="Y162" i="21"/>
  <c r="Z162" i="21"/>
  <c r="X252" i="21"/>
  <c r="Y252" i="21"/>
  <c r="Z252" i="21"/>
  <c r="X202" i="21"/>
  <c r="Y202" i="21"/>
  <c r="Z202" i="21"/>
  <c r="X94" i="21"/>
  <c r="Y94" i="21"/>
  <c r="Z94" i="21"/>
  <c r="X106" i="21"/>
  <c r="Y106" i="21"/>
  <c r="Z106" i="21"/>
  <c r="X96" i="21"/>
  <c r="Y96" i="21"/>
  <c r="Z96" i="21"/>
  <c r="X125" i="21"/>
  <c r="Y125" i="21"/>
  <c r="Z125" i="21"/>
  <c r="X128" i="21"/>
  <c r="Y128" i="21"/>
  <c r="Z128" i="21"/>
  <c r="X83" i="21"/>
  <c r="Y83" i="21"/>
  <c r="Z83" i="21"/>
  <c r="X130" i="21"/>
  <c r="Y130" i="21"/>
  <c r="Z130" i="21"/>
  <c r="X149" i="21"/>
  <c r="Y149" i="21"/>
  <c r="Z149" i="21"/>
  <c r="X262" i="21"/>
  <c r="Y262" i="21"/>
  <c r="Z262" i="21"/>
  <c r="X176" i="21"/>
  <c r="Y176" i="21"/>
  <c r="Z176" i="21"/>
  <c r="X102" i="21"/>
  <c r="Y102" i="21"/>
  <c r="Z102" i="21"/>
  <c r="X52" i="21"/>
  <c r="Y52" i="21"/>
  <c r="Z52" i="21"/>
  <c r="X41" i="21"/>
  <c r="Y41" i="21"/>
  <c r="Z41" i="21"/>
  <c r="X158" i="21"/>
  <c r="Y158" i="21"/>
  <c r="Z158" i="21"/>
  <c r="X124" i="21"/>
  <c r="Y124" i="21"/>
  <c r="Z124" i="21"/>
  <c r="X143" i="21"/>
  <c r="Y143" i="21"/>
  <c r="Z143" i="21"/>
  <c r="X56" i="21"/>
  <c r="Y56" i="21"/>
  <c r="Z56" i="21"/>
  <c r="X53" i="21"/>
  <c r="Y53" i="21"/>
  <c r="Z53" i="21"/>
  <c r="X79" i="21"/>
  <c r="Y79" i="21"/>
  <c r="Z79" i="21"/>
  <c r="X170" i="21"/>
  <c r="Y170" i="21"/>
  <c r="Z170" i="21"/>
  <c r="X126" i="21"/>
  <c r="Y126" i="21"/>
  <c r="Z126" i="21"/>
  <c r="X214" i="21"/>
  <c r="Y214" i="21"/>
  <c r="Z214" i="21"/>
  <c r="X236" i="21"/>
  <c r="Y236" i="21"/>
  <c r="Z236" i="21"/>
  <c r="X201" i="21"/>
  <c r="Y201" i="21"/>
  <c r="Z201" i="21"/>
  <c r="X215" i="21"/>
  <c r="Y215" i="21"/>
  <c r="Z215" i="21"/>
  <c r="X69" i="21"/>
  <c r="Y69" i="21"/>
  <c r="Z69" i="21"/>
  <c r="X217" i="21"/>
  <c r="Y217" i="21"/>
  <c r="Z217" i="21"/>
  <c r="X132" i="21"/>
  <c r="Y132" i="21"/>
  <c r="Z132" i="21"/>
  <c r="X174" i="21"/>
  <c r="Y174" i="21"/>
  <c r="Z174" i="21"/>
  <c r="X78" i="21"/>
  <c r="Y78" i="21"/>
  <c r="Z78" i="21"/>
  <c r="X116" i="21"/>
  <c r="Y116" i="21"/>
  <c r="Z116" i="21"/>
  <c r="X251" i="21"/>
  <c r="Y251" i="21"/>
  <c r="Z251" i="21"/>
  <c r="X86" i="21"/>
  <c r="Y86" i="21"/>
  <c r="Z86" i="21"/>
  <c r="X76" i="21"/>
  <c r="Y76" i="21"/>
  <c r="Z76" i="21"/>
  <c r="X179" i="21"/>
  <c r="Y179" i="21"/>
  <c r="Z179" i="21"/>
  <c r="X87" i="21"/>
  <c r="Y87" i="21"/>
  <c r="Z87" i="21"/>
  <c r="X205" i="21"/>
  <c r="Y205" i="21"/>
  <c r="Z205" i="21"/>
  <c r="X163" i="21"/>
  <c r="Y163" i="21"/>
  <c r="Z163" i="21"/>
  <c r="X189" i="21"/>
  <c r="Y189" i="21"/>
  <c r="Z189" i="21"/>
  <c r="X36" i="21"/>
  <c r="Y36" i="21"/>
  <c r="Z36" i="21"/>
  <c r="X263" i="21"/>
  <c r="Y263" i="21"/>
  <c r="Z263" i="21"/>
  <c r="X182" i="21"/>
  <c r="Y182" i="21"/>
  <c r="Z182" i="21"/>
  <c r="X231" i="21"/>
  <c r="Y231" i="21"/>
  <c r="Z231" i="21"/>
  <c r="X166" i="21"/>
  <c r="Y166" i="21"/>
  <c r="Z166" i="21"/>
  <c r="X267" i="21"/>
  <c r="Y267" i="21"/>
  <c r="Z267" i="21"/>
  <c r="X196" i="21"/>
  <c r="Y196" i="21"/>
  <c r="Z196" i="21"/>
  <c r="X175" i="21"/>
  <c r="Y175" i="21"/>
  <c r="Z175" i="21"/>
  <c r="X171" i="21"/>
  <c r="Y171" i="21"/>
  <c r="Z171" i="21"/>
  <c r="X211" i="21"/>
  <c r="Y211" i="21"/>
  <c r="Z211" i="21"/>
  <c r="X54" i="21"/>
  <c r="Y54" i="21"/>
  <c r="Z54" i="21"/>
  <c r="X95" i="21"/>
  <c r="Y95" i="21"/>
  <c r="Z95" i="21"/>
  <c r="X147" i="21"/>
  <c r="Y147" i="21"/>
  <c r="Z147" i="21"/>
  <c r="X207" i="21"/>
  <c r="Y207" i="21"/>
  <c r="Z207" i="21"/>
  <c r="X222" i="21"/>
  <c r="Y222" i="21"/>
  <c r="Z222" i="21"/>
  <c r="X31" i="21"/>
  <c r="Y31" i="21"/>
  <c r="Z31" i="21"/>
  <c r="X127" i="21"/>
  <c r="Y127" i="21"/>
  <c r="Z127" i="21"/>
  <c r="X223" i="21"/>
  <c r="Y223" i="21"/>
  <c r="Z223" i="21"/>
  <c r="X204" i="21"/>
  <c r="Y204" i="21"/>
  <c r="Z204" i="21"/>
  <c r="X187" i="21"/>
  <c r="Y187" i="21"/>
  <c r="Z187" i="21"/>
  <c r="X193" i="21"/>
  <c r="Y193" i="21"/>
  <c r="Z193" i="21"/>
  <c r="X45" i="21"/>
  <c r="Y45" i="21"/>
  <c r="Z45" i="21"/>
  <c r="X122" i="21"/>
  <c r="Y122" i="21"/>
  <c r="Z122" i="21"/>
  <c r="X115" i="21"/>
  <c r="Y115" i="21"/>
  <c r="Z115" i="21"/>
  <c r="X155" i="21"/>
  <c r="Y155" i="21"/>
  <c r="Z155" i="21"/>
  <c r="X77" i="21"/>
  <c r="Y77" i="21"/>
  <c r="Z77" i="21"/>
  <c r="X61" i="21"/>
  <c r="Y61" i="21"/>
  <c r="Z61" i="21"/>
  <c r="X89" i="21"/>
  <c r="Y89" i="21"/>
  <c r="Z89" i="21"/>
  <c r="X216" i="21"/>
  <c r="Y216" i="21"/>
  <c r="Z216" i="21"/>
  <c r="X112" i="21"/>
  <c r="Y112" i="21"/>
  <c r="Z112" i="21"/>
  <c r="X257" i="21"/>
  <c r="Y257" i="21"/>
  <c r="Z257" i="21"/>
  <c r="X212" i="21"/>
  <c r="Y212" i="21"/>
  <c r="Z212" i="21"/>
  <c r="X108" i="21"/>
  <c r="Y108" i="21"/>
  <c r="Z108" i="21"/>
  <c r="X151" i="21"/>
  <c r="Y151" i="21"/>
  <c r="Z151" i="21"/>
  <c r="X114" i="21"/>
  <c r="Y114" i="21"/>
  <c r="Z114" i="21"/>
  <c r="X104" i="21"/>
  <c r="Y104" i="21"/>
  <c r="Z104" i="21"/>
  <c r="X28" i="21"/>
  <c r="Y28" i="21"/>
  <c r="Z28" i="21"/>
  <c r="X241" i="21"/>
  <c r="Y241" i="21"/>
  <c r="Z241" i="21"/>
  <c r="X148" i="21"/>
  <c r="Y148" i="21"/>
  <c r="Z148" i="21"/>
  <c r="X123" i="21"/>
  <c r="Y123" i="21"/>
  <c r="Z123" i="21"/>
  <c r="X35" i="21"/>
  <c r="Y35" i="21"/>
  <c r="Z35" i="21"/>
  <c r="X81" i="21"/>
  <c r="Y81" i="21"/>
  <c r="Z81" i="21"/>
  <c r="X159" i="21"/>
  <c r="Y159" i="21"/>
  <c r="Z159" i="21"/>
  <c r="X142" i="21"/>
  <c r="Y142" i="21"/>
  <c r="Z142" i="21"/>
  <c r="X71" i="21"/>
  <c r="Y71" i="21"/>
  <c r="Z71" i="21"/>
  <c r="X195" i="21"/>
  <c r="Y195" i="21"/>
  <c r="Z195" i="21"/>
  <c r="X157" i="21"/>
  <c r="Y157" i="21"/>
  <c r="Z157" i="21"/>
  <c r="X238" i="21"/>
  <c r="Y238" i="21"/>
  <c r="Z238" i="21"/>
  <c r="X72" i="21"/>
  <c r="Y72" i="21"/>
  <c r="Z72" i="21"/>
  <c r="X191" i="21"/>
  <c r="Y191" i="21"/>
  <c r="Z191" i="21"/>
  <c r="X111" i="21"/>
  <c r="Y111" i="21"/>
  <c r="Z111" i="21"/>
  <c r="X80" i="21"/>
  <c r="Y80" i="21"/>
  <c r="Z80" i="21"/>
  <c r="X97" i="21"/>
  <c r="Y97" i="21"/>
  <c r="Z97" i="21"/>
  <c r="X229" i="21"/>
  <c r="Y229" i="21"/>
  <c r="Z229" i="21"/>
  <c r="X156" i="21"/>
  <c r="Y156" i="21"/>
  <c r="Z156" i="21"/>
  <c r="X259" i="21"/>
  <c r="Y259" i="21"/>
  <c r="Z259" i="21"/>
  <c r="X219" i="21"/>
  <c r="Y219" i="21"/>
  <c r="Z219" i="21"/>
  <c r="X226" i="21"/>
  <c r="Y226" i="21"/>
  <c r="Z226" i="21"/>
  <c r="X101" i="21"/>
  <c r="Y101" i="21"/>
  <c r="Z101" i="21"/>
  <c r="X208" i="21"/>
  <c r="Y208" i="21"/>
  <c r="Z208" i="21"/>
  <c r="X218" i="21"/>
  <c r="Y218" i="21"/>
  <c r="Z218" i="21"/>
  <c r="X75" i="21"/>
  <c r="Y75" i="21"/>
  <c r="Z75" i="21"/>
  <c r="X107" i="21"/>
  <c r="Y107" i="21"/>
  <c r="Z107" i="21"/>
  <c r="X270" i="21"/>
  <c r="Y270" i="21"/>
  <c r="Z270" i="21"/>
  <c r="X220" i="21"/>
  <c r="Y220" i="21"/>
  <c r="Z220" i="21"/>
  <c r="X32" i="21"/>
  <c r="Y32" i="21"/>
  <c r="Z32" i="21"/>
  <c r="X183" i="21"/>
  <c r="Y183" i="21"/>
  <c r="Z183" i="21"/>
  <c r="X74" i="21"/>
  <c r="Y74" i="21"/>
  <c r="Z74" i="21"/>
  <c r="X51" i="21"/>
  <c r="Y51" i="21"/>
  <c r="Z51" i="21"/>
  <c r="X228" i="21"/>
  <c r="Y228" i="21"/>
  <c r="Z228" i="21"/>
  <c r="X39" i="21"/>
  <c r="Y39" i="21"/>
  <c r="Z39" i="21"/>
  <c r="X242" i="21"/>
  <c r="Y242" i="21"/>
  <c r="Z242" i="21"/>
  <c r="X177" i="21"/>
  <c r="Y177" i="21"/>
  <c r="Z177" i="21"/>
  <c r="X240" i="21"/>
  <c r="Y240" i="21"/>
  <c r="Z240" i="21"/>
  <c r="X246" i="21"/>
  <c r="Y246" i="21"/>
  <c r="Z246" i="21"/>
  <c r="X105" i="21"/>
  <c r="Y105" i="21"/>
  <c r="Z105" i="21"/>
  <c r="X98" i="21"/>
  <c r="Y98" i="21"/>
  <c r="Z98" i="21"/>
  <c r="X99" i="21"/>
  <c r="Y99" i="21"/>
  <c r="Z99" i="21"/>
  <c r="X234" i="21"/>
  <c r="Y234" i="21"/>
  <c r="Z234" i="21"/>
  <c r="X38" i="21"/>
  <c r="Y38" i="21"/>
  <c r="Z38" i="21"/>
  <c r="X245" i="21"/>
  <c r="Y245" i="21"/>
  <c r="Z245" i="21"/>
  <c r="X26" i="21"/>
  <c r="X134" i="21"/>
  <c r="Y134" i="21"/>
  <c r="Z134" i="21"/>
  <c r="X145" i="21"/>
  <c r="Y145" i="21"/>
  <c r="Z145" i="21"/>
  <c r="X42" i="21"/>
  <c r="Y42" i="21"/>
  <c r="Z42" i="21"/>
  <c r="X160" i="21"/>
  <c r="Y160" i="21"/>
  <c r="Z160" i="21"/>
  <c r="X268" i="21"/>
  <c r="Y268" i="21"/>
  <c r="Z268" i="21"/>
  <c r="X100" i="21"/>
  <c r="Y100" i="21"/>
  <c r="Z100" i="21"/>
  <c r="X118" i="21"/>
  <c r="Y118" i="21"/>
  <c r="Z118" i="21"/>
  <c r="X247" i="21"/>
  <c r="Y247" i="21"/>
  <c r="Z247" i="21"/>
  <c r="X150" i="21"/>
  <c r="Y150" i="21"/>
  <c r="Z150" i="21"/>
  <c r="X117" i="21"/>
  <c r="Y117" i="21"/>
  <c r="Z117" i="21"/>
  <c r="X178" i="21"/>
  <c r="Y178" i="21"/>
  <c r="Z178" i="21"/>
  <c r="X232" i="21"/>
  <c r="Y232" i="21"/>
  <c r="Z232" i="21"/>
  <c r="X44" i="21"/>
  <c r="Y44" i="21"/>
  <c r="Z44" i="21"/>
  <c r="AA44" i="21"/>
  <c r="AD44" i="21"/>
  <c r="AF44" i="21"/>
  <c r="V44" i="4"/>
  <c r="X225" i="21"/>
  <c r="Y225" i="21"/>
  <c r="Z225" i="21"/>
  <c r="X221" i="21"/>
  <c r="Y221" i="21"/>
  <c r="Z221" i="21"/>
  <c r="X198" i="21"/>
  <c r="Y198" i="21"/>
  <c r="Z198" i="21"/>
  <c r="X190" i="21"/>
  <c r="Y190" i="21"/>
  <c r="Z190" i="21"/>
  <c r="X141" i="21"/>
  <c r="Y141" i="21"/>
  <c r="Z141" i="21"/>
  <c r="X213" i="21"/>
  <c r="Y213" i="21"/>
  <c r="Z213" i="21"/>
  <c r="X138" i="21"/>
  <c r="Y138" i="21"/>
  <c r="Z138" i="21"/>
  <c r="X65" i="21"/>
  <c r="Y65" i="21"/>
  <c r="Z65" i="21"/>
  <c r="X55" i="21"/>
  <c r="Y55" i="21"/>
  <c r="Z55" i="21"/>
  <c r="X59" i="21"/>
  <c r="Y59" i="21"/>
  <c r="Z59" i="21"/>
  <c r="X249" i="21"/>
  <c r="Y249" i="21"/>
  <c r="Z249" i="21"/>
  <c r="X137" i="21"/>
  <c r="Y137" i="21"/>
  <c r="Z137" i="21"/>
  <c r="X110" i="21"/>
  <c r="Y110" i="21"/>
  <c r="Z110" i="21"/>
  <c r="X185" i="21"/>
  <c r="Y185" i="21"/>
  <c r="Z185" i="21"/>
  <c r="X70" i="21"/>
  <c r="Y70" i="21"/>
  <c r="Z70" i="21"/>
  <c r="X133" i="21"/>
  <c r="Y133" i="21"/>
  <c r="Z133" i="21"/>
  <c r="X131" i="21"/>
  <c r="Y131" i="21"/>
  <c r="Z131" i="21"/>
  <c r="X47" i="21"/>
  <c r="Y47" i="21"/>
  <c r="Z47" i="21"/>
  <c r="X152" i="21"/>
  <c r="Y152" i="21"/>
  <c r="Z152" i="21"/>
  <c r="X49" i="21"/>
  <c r="Y49" i="21"/>
  <c r="Z49" i="21"/>
  <c r="X209" i="21"/>
  <c r="Y209" i="21"/>
  <c r="Z209" i="21"/>
  <c r="X154" i="21"/>
  <c r="Y154" i="21"/>
  <c r="Z154" i="21"/>
  <c r="X120" i="21"/>
  <c r="Y120" i="21"/>
  <c r="Z120" i="21"/>
  <c r="X233" i="21"/>
  <c r="Y233" i="21"/>
  <c r="Z233" i="21"/>
  <c r="X206" i="21"/>
  <c r="Y206" i="21"/>
  <c r="Z206" i="21"/>
  <c r="X84" i="21"/>
  <c r="Y84" i="21"/>
  <c r="Z84" i="21"/>
  <c r="X129" i="21"/>
  <c r="Y129" i="21"/>
  <c r="Z129" i="21"/>
  <c r="X121" i="21"/>
  <c r="Y121" i="21"/>
  <c r="Z121" i="21"/>
  <c r="X90" i="21"/>
  <c r="Y90" i="21"/>
  <c r="Z90" i="21"/>
  <c r="X33" i="21"/>
  <c r="Y33" i="21"/>
  <c r="Z33" i="21"/>
  <c r="X244" i="21"/>
  <c r="Y244" i="21"/>
  <c r="Z244" i="21"/>
  <c r="X92" i="21"/>
  <c r="Y92" i="21"/>
  <c r="Z92" i="21"/>
  <c r="X140" i="21"/>
  <c r="Y140" i="21"/>
  <c r="Z140" i="21"/>
  <c r="X37" i="21"/>
  <c r="Y37" i="21"/>
  <c r="Z37" i="21"/>
  <c r="AA37" i="21"/>
  <c r="AD37" i="21"/>
  <c r="AF37" i="21"/>
  <c r="V37" i="4"/>
  <c r="X103" i="21"/>
  <c r="Y103" i="21"/>
  <c r="Z103" i="21"/>
  <c r="X167" i="21"/>
  <c r="Y167" i="21"/>
  <c r="Z167" i="21"/>
  <c r="X88" i="21"/>
  <c r="Y88" i="21"/>
  <c r="Z88" i="21"/>
  <c r="X250" i="21"/>
  <c r="Y250" i="21"/>
  <c r="Z250" i="21"/>
  <c r="X62" i="21"/>
  <c r="Y62" i="21"/>
  <c r="Z62" i="21"/>
  <c r="X57" i="21"/>
  <c r="Y57" i="21"/>
  <c r="Z57" i="21"/>
  <c r="X48" i="21"/>
  <c r="Y48" i="21"/>
  <c r="Z48" i="21"/>
  <c r="X136" i="21"/>
  <c r="Y136" i="21"/>
  <c r="Z136" i="21"/>
  <c r="X265" i="21"/>
  <c r="Y265" i="21"/>
  <c r="Z265" i="21"/>
  <c r="X40" i="21"/>
  <c r="Y40" i="21"/>
  <c r="Z40" i="21"/>
  <c r="X197" i="21"/>
  <c r="Y197" i="21"/>
  <c r="Z197" i="21"/>
  <c r="X248" i="21"/>
  <c r="Y248" i="21"/>
  <c r="Z248" i="21"/>
  <c r="X253" i="21"/>
  <c r="Y253" i="21"/>
  <c r="Z253" i="21"/>
  <c r="X260" i="21"/>
  <c r="Y260" i="21"/>
  <c r="Z260" i="21"/>
  <c r="X119" i="21"/>
  <c r="Y119" i="21"/>
  <c r="Z119" i="21"/>
  <c r="X68" i="21"/>
  <c r="Y68" i="21"/>
  <c r="Z68" i="21"/>
  <c r="X235" i="21"/>
  <c r="Y235" i="21"/>
  <c r="Z235" i="21"/>
  <c r="X266" i="21"/>
  <c r="Y266" i="21"/>
  <c r="Z266" i="21"/>
  <c r="X34" i="21"/>
  <c r="Y34" i="21"/>
  <c r="Z34" i="21"/>
  <c r="X93" i="21"/>
  <c r="Y93" i="21"/>
  <c r="Z93" i="21"/>
  <c r="X67" i="21"/>
  <c r="Y67" i="21"/>
  <c r="Z67" i="21"/>
  <c r="X237" i="21"/>
  <c r="Y237" i="21"/>
  <c r="Z237" i="21"/>
  <c r="X43" i="21"/>
  <c r="Y43" i="21"/>
  <c r="Z43" i="21"/>
  <c r="X46" i="21"/>
  <c r="Y46" i="21"/>
  <c r="Z46" i="21"/>
  <c r="X64" i="21"/>
  <c r="Y64" i="21"/>
  <c r="Z64" i="21"/>
  <c r="X243" i="21"/>
  <c r="Y243" i="21"/>
  <c r="Z243" i="21"/>
  <c r="X256" i="21"/>
  <c r="Y256" i="21"/>
  <c r="Z256" i="21"/>
  <c r="X194" i="21"/>
  <c r="Y194" i="21"/>
  <c r="Z194" i="21"/>
  <c r="X230" i="21"/>
  <c r="Y230" i="21"/>
  <c r="Z230" i="21"/>
  <c r="X165" i="21"/>
  <c r="Y165" i="21"/>
  <c r="Z165" i="21"/>
  <c r="X261" i="21"/>
  <c r="Y261" i="21"/>
  <c r="Z261" i="21"/>
  <c r="X91" i="21"/>
  <c r="Y91" i="21"/>
  <c r="Z91" i="21"/>
  <c r="X254" i="21"/>
  <c r="Y254" i="21"/>
  <c r="Z254" i="21"/>
  <c r="X73" i="21"/>
  <c r="Y73" i="21"/>
  <c r="Z73" i="21"/>
  <c r="X199" i="21"/>
  <c r="Y199" i="21"/>
  <c r="Z199" i="21"/>
  <c r="X192" i="21"/>
  <c r="Y192" i="21"/>
  <c r="Z192" i="21"/>
  <c r="X203" i="21"/>
  <c r="Y203" i="21"/>
  <c r="Z203" i="21"/>
  <c r="X200" i="21"/>
  <c r="Y200" i="21"/>
  <c r="Z200" i="21"/>
  <c r="X146" i="21"/>
  <c r="Y146" i="21"/>
  <c r="Z146" i="21"/>
  <c r="X135" i="21"/>
  <c r="Y135" i="21"/>
  <c r="Z135" i="21"/>
  <c r="X109" i="21"/>
  <c r="Y109" i="21"/>
  <c r="Z109" i="21"/>
  <c r="X180" i="21"/>
  <c r="Y180" i="21"/>
  <c r="Z180" i="21"/>
  <c r="X227" i="21"/>
  <c r="Y227" i="21"/>
  <c r="Z227" i="21"/>
  <c r="M24" i="4"/>
  <c r="O24" i="4"/>
  <c r="O23" i="4"/>
  <c r="O247" i="19"/>
  <c r="O238" i="19"/>
  <c r="O248" i="19"/>
  <c r="O230" i="19"/>
  <c r="O254" i="19"/>
  <c r="O227" i="19"/>
  <c r="O163" i="19"/>
  <c r="O49" i="19"/>
  <c r="O113" i="19"/>
  <c r="O24" i="19"/>
  <c r="O178" i="19"/>
  <c r="O85" i="19"/>
  <c r="O191" i="19"/>
  <c r="O127" i="19"/>
  <c r="O80" i="19"/>
  <c r="O196" i="19"/>
  <c r="O132" i="19"/>
  <c r="U11" i="18"/>
  <c r="O225" i="19"/>
  <c r="O161" i="19"/>
  <c r="O56" i="19"/>
  <c r="O158" i="19"/>
  <c r="O114" i="19"/>
  <c r="O8" i="19"/>
  <c r="O50" i="19"/>
  <c r="O47" i="19"/>
  <c r="O108" i="19"/>
  <c r="O44" i="19"/>
  <c r="O102" i="19"/>
  <c r="O38" i="19"/>
  <c r="O81" i="19"/>
  <c r="O250" i="19"/>
  <c r="O231" i="19"/>
  <c r="O241" i="19"/>
  <c r="O213" i="19"/>
  <c r="O240" i="19"/>
  <c r="O219" i="19"/>
  <c r="O155" i="19"/>
  <c r="O32" i="19"/>
  <c r="O110" i="19"/>
  <c r="O16" i="19"/>
  <c r="O170" i="19"/>
  <c r="O72" i="19"/>
  <c r="O183" i="19"/>
  <c r="O121" i="19"/>
  <c r="O67" i="19"/>
  <c r="O252" i="19"/>
  <c r="O188" i="19"/>
  <c r="O105" i="19"/>
  <c r="O217" i="19"/>
  <c r="O153" i="19"/>
  <c r="U7" i="18"/>
  <c r="O40" i="19"/>
  <c r="O150" i="19"/>
  <c r="O111" i="19"/>
  <c r="O106" i="19"/>
  <c r="O42" i="19"/>
  <c r="O39" i="19"/>
  <c r="O100" i="19"/>
  <c r="O36" i="19"/>
  <c r="O94" i="19"/>
  <c r="O30" i="19"/>
  <c r="O229" i="19"/>
  <c r="O232" i="19"/>
  <c r="O249" i="19"/>
  <c r="O214" i="19"/>
  <c r="O234" i="19"/>
  <c r="O205" i="19"/>
  <c r="O233" i="19"/>
  <c r="O211" i="19"/>
  <c r="O147" i="19"/>
  <c r="U6" i="18"/>
  <c r="O25" i="19"/>
  <c r="O107" i="19"/>
  <c r="O226" i="19"/>
  <c r="O162" i="19"/>
  <c r="O53" i="19"/>
  <c r="U10" i="18"/>
  <c r="O175" i="19"/>
  <c r="O118" i="19"/>
  <c r="O57" i="19"/>
  <c r="O244" i="19"/>
  <c r="O180" i="19"/>
  <c r="O101" i="19"/>
  <c r="O209" i="19"/>
  <c r="O145" i="19"/>
  <c r="O206" i="19"/>
  <c r="O142" i="19"/>
  <c r="O104" i="19"/>
  <c r="O98" i="19"/>
  <c r="O34" i="19"/>
  <c r="O31" i="19"/>
  <c r="O92" i="19"/>
  <c r="O28" i="19"/>
  <c r="O86" i="19"/>
  <c r="O22" i="19"/>
  <c r="U3" i="18"/>
  <c r="O6" i="19"/>
  <c r="O157" i="19"/>
  <c r="O224" i="19"/>
  <c r="O253" i="19"/>
  <c r="O242" i="19"/>
  <c r="O197" i="19"/>
  <c r="O221" i="19"/>
  <c r="O173" i="19"/>
  <c r="O192" i="19"/>
  <c r="O203" i="19"/>
  <c r="O139" i="19"/>
  <c r="O160" i="19"/>
  <c r="O103" i="19"/>
  <c r="O218" i="19"/>
  <c r="O154" i="19"/>
  <c r="O37" i="19"/>
  <c r="O167" i="19"/>
  <c r="O115" i="19"/>
  <c r="O41" i="19"/>
  <c r="O236" i="19"/>
  <c r="O172" i="19"/>
  <c r="O88" i="19"/>
  <c r="O201" i="19"/>
  <c r="O137" i="19"/>
  <c r="O198" i="19"/>
  <c r="O134" i="19"/>
  <c r="O91" i="19"/>
  <c r="O90" i="19"/>
  <c r="O26" i="19"/>
  <c r="O23" i="19"/>
  <c r="O84" i="19"/>
  <c r="O20" i="19"/>
  <c r="O78" i="19"/>
  <c r="O14" i="19"/>
  <c r="O181" i="19"/>
  <c r="O200" i="19"/>
  <c r="O246" i="19"/>
  <c r="O222" i="19"/>
  <c r="O165" i="19"/>
  <c r="O184" i="19"/>
  <c r="O141" i="19"/>
  <c r="O48" i="19"/>
  <c r="O195" i="19"/>
  <c r="O131" i="19"/>
  <c r="O152" i="19"/>
  <c r="O73" i="19"/>
  <c r="O210" i="19"/>
  <c r="O146" i="19"/>
  <c r="O223" i="19"/>
  <c r="O159" i="19"/>
  <c r="O112" i="19"/>
  <c r="O29" i="19"/>
  <c r="O228" i="19"/>
  <c r="O164" i="19"/>
  <c r="O75" i="19"/>
  <c r="O193" i="19"/>
  <c r="O129" i="19"/>
  <c r="O190" i="19"/>
  <c r="O126" i="19"/>
  <c r="O87" i="19"/>
  <c r="O82" i="19"/>
  <c r="U5" i="18"/>
  <c r="O18" i="19"/>
  <c r="O15" i="19"/>
  <c r="O76" i="19"/>
  <c r="U4" i="18"/>
  <c r="O12" i="19"/>
  <c r="O70" i="19"/>
  <c r="O35" i="19"/>
  <c r="O168" i="19"/>
  <c r="O239" i="19"/>
  <c r="O208" i="19"/>
  <c r="O125" i="19"/>
  <c r="O122" i="19"/>
  <c r="O119" i="19"/>
  <c r="O251" i="19"/>
  <c r="O187" i="19"/>
  <c r="O99" i="19"/>
  <c r="O144" i="19"/>
  <c r="O69" i="19"/>
  <c r="O202" i="19"/>
  <c r="O138" i="19"/>
  <c r="O215" i="19"/>
  <c r="O151" i="19"/>
  <c r="U9" i="18"/>
  <c r="O109" i="19"/>
  <c r="O13" i="19"/>
  <c r="O220" i="19"/>
  <c r="O156" i="19"/>
  <c r="O71" i="19"/>
  <c r="O185" i="19"/>
  <c r="O96" i="19"/>
  <c r="O182" i="19"/>
  <c r="O123" i="19"/>
  <c r="O61" i="19"/>
  <c r="O74" i="19"/>
  <c r="O10" i="19"/>
  <c r="O68" i="19"/>
  <c r="O17" i="19"/>
  <c r="O62" i="19"/>
  <c r="O27" i="19"/>
  <c r="O133" i="19"/>
  <c r="O216" i="19"/>
  <c r="O176" i="19"/>
  <c r="O64" i="19"/>
  <c r="O243" i="19"/>
  <c r="O179" i="19"/>
  <c r="O95" i="19"/>
  <c r="O136" i="19"/>
  <c r="O59" i="19"/>
  <c r="O194" i="19"/>
  <c r="O130" i="19"/>
  <c r="O207" i="19"/>
  <c r="O143" i="19"/>
  <c r="O97" i="19"/>
  <c r="O212" i="19"/>
  <c r="O148" i="19"/>
  <c r="O51" i="19"/>
  <c r="O177" i="19"/>
  <c r="O83" i="19"/>
  <c r="O174" i="19"/>
  <c r="O120" i="19"/>
  <c r="O45" i="19"/>
  <c r="O66" i="19"/>
  <c r="O63" i="19"/>
  <c r="O124" i="19"/>
  <c r="U8" i="18"/>
  <c r="O60" i="19"/>
  <c r="O9" i="19"/>
  <c r="O54" i="19"/>
  <c r="O19" i="19"/>
  <c r="O77" i="19"/>
  <c r="O189" i="19"/>
  <c r="O149" i="19"/>
  <c r="O245" i="19"/>
  <c r="O237" i="19"/>
  <c r="O235" i="19"/>
  <c r="O171" i="19"/>
  <c r="O65" i="19"/>
  <c r="O128" i="19"/>
  <c r="O43" i="19"/>
  <c r="O186" i="19"/>
  <c r="O89" i="19"/>
  <c r="O199" i="19"/>
  <c r="O135" i="19"/>
  <c r="O93" i="19"/>
  <c r="O204" i="19"/>
  <c r="O140" i="19"/>
  <c r="O21" i="19"/>
  <c r="O169" i="19"/>
  <c r="O79" i="19"/>
  <c r="O166" i="19"/>
  <c r="O117" i="19"/>
  <c r="O33" i="19"/>
  <c r="O58" i="19"/>
  <c r="O55" i="19"/>
  <c r="O116" i="19"/>
  <c r="O52" i="19"/>
  <c r="O7" i="19"/>
  <c r="O46" i="19"/>
  <c r="O11" i="19"/>
  <c r="X24" i="21"/>
  <c r="Y26" i="21"/>
  <c r="P141" i="4"/>
  <c r="Q141" i="4"/>
  <c r="R141" i="4"/>
  <c r="P202" i="4"/>
  <c r="Q202" i="4"/>
  <c r="R202" i="4"/>
  <c r="P48" i="4"/>
  <c r="Q48" i="4"/>
  <c r="R48" i="4"/>
  <c r="P37" i="4"/>
  <c r="Q37" i="4"/>
  <c r="R37" i="4"/>
  <c r="P212" i="4"/>
  <c r="Q212" i="4"/>
  <c r="R212" i="4"/>
  <c r="P53" i="4"/>
  <c r="Q53" i="4"/>
  <c r="R53" i="4"/>
  <c r="P259" i="4"/>
  <c r="Q259" i="4"/>
  <c r="R259" i="4"/>
  <c r="P33" i="4"/>
  <c r="Q33" i="4"/>
  <c r="R33" i="4"/>
  <c r="P159" i="4"/>
  <c r="Q159" i="4"/>
  <c r="R159" i="4"/>
  <c r="P256" i="4"/>
  <c r="Q256" i="4"/>
  <c r="R256" i="4"/>
  <c r="P208" i="4"/>
  <c r="Q208" i="4"/>
  <c r="R208" i="4"/>
  <c r="P50" i="4"/>
  <c r="Q50" i="4"/>
  <c r="R50" i="4"/>
  <c r="P165" i="4"/>
  <c r="Q165" i="4"/>
  <c r="R165" i="4"/>
  <c r="P146" i="4"/>
  <c r="Q146" i="4"/>
  <c r="R146" i="4"/>
  <c r="P272" i="4"/>
  <c r="Q272" i="4"/>
  <c r="R272" i="4"/>
  <c r="P235" i="4"/>
  <c r="Q235" i="4"/>
  <c r="R235" i="4"/>
  <c r="P95" i="4"/>
  <c r="Q95" i="4"/>
  <c r="R95" i="4"/>
  <c r="P243" i="4"/>
  <c r="Q243" i="4"/>
  <c r="R243" i="4"/>
  <c r="P170" i="4"/>
  <c r="Q170" i="4"/>
  <c r="R170" i="4"/>
  <c r="P275" i="4"/>
  <c r="Q275" i="4"/>
  <c r="R275" i="4"/>
  <c r="P185" i="4"/>
  <c r="Q185" i="4"/>
  <c r="R185" i="4"/>
  <c r="P143" i="4"/>
  <c r="Q143" i="4"/>
  <c r="R143" i="4"/>
  <c r="P261" i="4"/>
  <c r="Q261" i="4"/>
  <c r="R261" i="4"/>
  <c r="P68" i="4"/>
  <c r="Q68" i="4"/>
  <c r="R68" i="4"/>
  <c r="P84" i="4"/>
  <c r="Q84" i="4"/>
  <c r="R84" i="4"/>
  <c r="P40" i="4"/>
  <c r="Q40" i="4"/>
  <c r="R40" i="4"/>
  <c r="P252" i="4"/>
  <c r="Q252" i="4"/>
  <c r="R252" i="4"/>
  <c r="P176" i="4"/>
  <c r="Q176" i="4"/>
  <c r="R176" i="4"/>
  <c r="P136" i="4"/>
  <c r="Q136" i="4"/>
  <c r="R136" i="4"/>
  <c r="P42" i="4"/>
  <c r="Q42" i="4"/>
  <c r="R42" i="4"/>
  <c r="P253" i="4"/>
  <c r="Q253" i="4"/>
  <c r="R253" i="4"/>
  <c r="P271" i="4"/>
  <c r="Q271" i="4"/>
  <c r="R271" i="4"/>
  <c r="P254" i="4"/>
  <c r="Q254" i="4"/>
  <c r="R254" i="4"/>
  <c r="P174" i="4"/>
  <c r="Q174" i="4"/>
  <c r="R174" i="4"/>
  <c r="P156" i="4"/>
  <c r="Q156" i="4"/>
  <c r="R156" i="4"/>
  <c r="P74" i="4"/>
  <c r="Q74" i="4"/>
  <c r="R74" i="4"/>
  <c r="P47" i="4"/>
  <c r="Q47" i="4"/>
  <c r="R47" i="4"/>
  <c r="P77" i="4"/>
  <c r="Q77" i="4"/>
  <c r="R77" i="4"/>
  <c r="P129" i="4"/>
  <c r="Q129" i="4"/>
  <c r="R129" i="4"/>
  <c r="P101" i="4"/>
  <c r="Q101" i="4"/>
  <c r="R101" i="4"/>
  <c r="P128" i="4"/>
  <c r="Q128" i="4"/>
  <c r="R128" i="4"/>
  <c r="P127" i="4"/>
  <c r="Q127" i="4"/>
  <c r="R127" i="4"/>
  <c r="P30" i="4"/>
  <c r="Q30" i="4"/>
  <c r="R30" i="4"/>
  <c r="P154" i="4"/>
  <c r="Q154" i="4"/>
  <c r="R154" i="4"/>
  <c r="P178" i="4"/>
  <c r="Q178" i="4"/>
  <c r="R178" i="4"/>
  <c r="P150" i="4"/>
  <c r="Q150" i="4"/>
  <c r="R150" i="4"/>
  <c r="P251" i="4"/>
  <c r="Q251" i="4"/>
  <c r="R251" i="4"/>
  <c r="P179" i="4"/>
  <c r="Q179" i="4"/>
  <c r="R179" i="4"/>
  <c r="P52" i="4"/>
  <c r="Q52" i="4"/>
  <c r="R52" i="4"/>
  <c r="P263" i="4"/>
  <c r="Q263" i="4"/>
  <c r="R263" i="4"/>
  <c r="P188" i="4"/>
  <c r="Q188" i="4"/>
  <c r="R188" i="4"/>
  <c r="P90" i="4"/>
  <c r="Q90" i="4"/>
  <c r="R90" i="4"/>
  <c r="P126" i="4"/>
  <c r="Q126" i="4"/>
  <c r="R126" i="4"/>
  <c r="P220" i="4"/>
  <c r="Q220" i="4"/>
  <c r="R220" i="4"/>
  <c r="P238" i="4"/>
  <c r="Q238" i="4"/>
  <c r="R238" i="4"/>
  <c r="P134" i="4"/>
  <c r="Q134" i="4"/>
  <c r="R134" i="4"/>
  <c r="P167" i="4"/>
  <c r="Q167" i="4"/>
  <c r="R167" i="4"/>
  <c r="P44" i="4"/>
  <c r="Q44" i="4"/>
  <c r="R44" i="4"/>
  <c r="P219" i="4"/>
  <c r="Q219" i="4"/>
  <c r="R219" i="4"/>
  <c r="P85" i="4"/>
  <c r="Q85" i="4"/>
  <c r="R85" i="4"/>
  <c r="P46" i="4"/>
  <c r="Q46" i="4"/>
  <c r="R46" i="4"/>
  <c r="P132" i="4"/>
  <c r="Q132" i="4"/>
  <c r="R132" i="4"/>
  <c r="P258" i="4"/>
  <c r="Q258" i="4"/>
  <c r="R258" i="4"/>
  <c r="P34" i="4"/>
  <c r="Q34" i="4"/>
  <c r="R34" i="4"/>
  <c r="P209" i="4"/>
  <c r="Q209" i="4"/>
  <c r="R209" i="4"/>
  <c r="P96" i="4"/>
  <c r="Q96" i="4"/>
  <c r="R96" i="4"/>
  <c r="P273" i="4"/>
  <c r="Q273" i="4"/>
  <c r="R273" i="4"/>
  <c r="P214" i="4"/>
  <c r="Q214" i="4"/>
  <c r="R214" i="4"/>
  <c r="P193" i="4"/>
  <c r="Q193" i="4"/>
  <c r="R193" i="4"/>
  <c r="P112" i="4"/>
  <c r="Q112" i="4"/>
  <c r="R112" i="4"/>
  <c r="P239" i="4"/>
  <c r="Q239" i="4"/>
  <c r="R239" i="4"/>
  <c r="P108" i="4"/>
  <c r="Q108" i="4"/>
  <c r="R108" i="4"/>
  <c r="P255" i="4"/>
  <c r="Q255" i="4"/>
  <c r="R255" i="4"/>
  <c r="P237" i="4"/>
  <c r="Q237" i="4"/>
  <c r="R237" i="4"/>
  <c r="P210" i="4"/>
  <c r="Q210" i="4"/>
  <c r="R210" i="4"/>
  <c r="P196" i="4"/>
  <c r="Q196" i="4"/>
  <c r="R196" i="4"/>
  <c r="P186" i="4"/>
  <c r="Q186" i="4"/>
  <c r="R186" i="4"/>
  <c r="P31" i="4"/>
  <c r="Q31" i="4"/>
  <c r="R31" i="4"/>
  <c r="P123" i="4"/>
  <c r="Q123" i="4"/>
  <c r="R123" i="4"/>
  <c r="P27" i="4"/>
  <c r="Q27" i="4"/>
  <c r="R27" i="4"/>
  <c r="P115" i="4"/>
  <c r="Q115" i="4"/>
  <c r="R115" i="4"/>
  <c r="P139" i="4"/>
  <c r="Q139" i="4"/>
  <c r="R139" i="4"/>
  <c r="P215" i="4"/>
  <c r="Q215" i="4"/>
  <c r="R215" i="4"/>
  <c r="P148" i="4"/>
  <c r="Q148" i="4"/>
  <c r="R148" i="4"/>
  <c r="P131" i="4"/>
  <c r="Q131" i="4"/>
  <c r="R131" i="4"/>
  <c r="P56" i="4"/>
  <c r="Q56" i="4"/>
  <c r="R56" i="4"/>
  <c r="P60" i="4"/>
  <c r="Q60" i="4"/>
  <c r="R60" i="4"/>
  <c r="P49" i="4"/>
  <c r="Q49" i="4"/>
  <c r="R49" i="4"/>
  <c r="P164" i="4"/>
  <c r="Q164" i="4"/>
  <c r="R164" i="4"/>
  <c r="P65" i="4"/>
  <c r="Q65" i="4"/>
  <c r="R65" i="4"/>
  <c r="P264" i="4"/>
  <c r="Q264" i="4"/>
  <c r="R264" i="4"/>
  <c r="P88" i="4"/>
  <c r="Q88" i="4"/>
  <c r="R88" i="4"/>
  <c r="P248" i="4"/>
  <c r="Q248" i="4"/>
  <c r="R248" i="4"/>
  <c r="P221" i="4"/>
  <c r="Q221" i="4"/>
  <c r="R221" i="4"/>
  <c r="P26" i="4"/>
  <c r="P59" i="4"/>
  <c r="Q59" i="4"/>
  <c r="R59" i="4"/>
  <c r="P278" i="4"/>
  <c r="Q278" i="4"/>
  <c r="R278" i="4"/>
  <c r="P113" i="4"/>
  <c r="Q113" i="4"/>
  <c r="R113" i="4"/>
  <c r="P72" i="4"/>
  <c r="Q72" i="4"/>
  <c r="R72" i="4"/>
  <c r="P120" i="4"/>
  <c r="Q120" i="4"/>
  <c r="R120" i="4"/>
  <c r="P93" i="4"/>
  <c r="Q93" i="4"/>
  <c r="R93" i="4"/>
  <c r="P116" i="4"/>
  <c r="Q116" i="4"/>
  <c r="R116" i="4"/>
  <c r="P233" i="4"/>
  <c r="Q233" i="4"/>
  <c r="R233" i="4"/>
  <c r="P87" i="4"/>
  <c r="Q87" i="4"/>
  <c r="R87" i="4"/>
  <c r="P82" i="4"/>
  <c r="Q82" i="4"/>
  <c r="R82" i="4"/>
  <c r="P157" i="4"/>
  <c r="Q157" i="4"/>
  <c r="R157" i="4"/>
  <c r="P125" i="4"/>
  <c r="Q125" i="4"/>
  <c r="R125" i="4"/>
  <c r="P67" i="4"/>
  <c r="Q67" i="4"/>
  <c r="R67" i="4"/>
  <c r="P162" i="4"/>
  <c r="Q162" i="4"/>
  <c r="R162" i="4"/>
  <c r="P61" i="4"/>
  <c r="Q61" i="4"/>
  <c r="R61" i="4"/>
  <c r="P200" i="4"/>
  <c r="Q200" i="4"/>
  <c r="R200" i="4"/>
  <c r="P43" i="4"/>
  <c r="Q43" i="4"/>
  <c r="R43" i="4"/>
  <c r="P28" i="4"/>
  <c r="Q28" i="4"/>
  <c r="R28" i="4"/>
  <c r="P216" i="4"/>
  <c r="Q216" i="4"/>
  <c r="R216" i="4"/>
  <c r="P242" i="4"/>
  <c r="Q242" i="4"/>
  <c r="R242" i="4"/>
  <c r="P140" i="4"/>
  <c r="Q140" i="4"/>
  <c r="R140" i="4"/>
  <c r="P197" i="4"/>
  <c r="Q197" i="4"/>
  <c r="R197" i="4"/>
  <c r="P169" i="4"/>
  <c r="Q169" i="4"/>
  <c r="R169" i="4"/>
  <c r="P181" i="4"/>
  <c r="Q181" i="4"/>
  <c r="R181" i="4"/>
  <c r="P228" i="4"/>
  <c r="Q228" i="4"/>
  <c r="R228" i="4"/>
  <c r="P226" i="4"/>
  <c r="Q226" i="4"/>
  <c r="R226" i="4"/>
  <c r="P195" i="4"/>
  <c r="Q195" i="4"/>
  <c r="R195" i="4"/>
  <c r="P41" i="4"/>
  <c r="Q41" i="4"/>
  <c r="R41" i="4"/>
  <c r="P70" i="4"/>
  <c r="Q70" i="4"/>
  <c r="R70" i="4"/>
  <c r="P274" i="4"/>
  <c r="Q274" i="4"/>
  <c r="R274" i="4"/>
  <c r="P89" i="4"/>
  <c r="Q89" i="4"/>
  <c r="R89" i="4"/>
  <c r="P205" i="4"/>
  <c r="Q205" i="4"/>
  <c r="R205" i="4"/>
  <c r="P175" i="4"/>
  <c r="Q175" i="4"/>
  <c r="R175" i="4"/>
  <c r="P100" i="4"/>
  <c r="Q100" i="4"/>
  <c r="R100" i="4"/>
  <c r="P105" i="4"/>
  <c r="Q105" i="4"/>
  <c r="R105" i="4"/>
  <c r="P121" i="4"/>
  <c r="Q121" i="4"/>
  <c r="R121" i="4"/>
  <c r="P119" i="4"/>
  <c r="Q119" i="4"/>
  <c r="R119" i="4"/>
  <c r="P246" i="4"/>
  <c r="Q246" i="4"/>
  <c r="R246" i="4"/>
  <c r="P118" i="4"/>
  <c r="Q118" i="4"/>
  <c r="R118" i="4"/>
  <c r="P103" i="4"/>
  <c r="Q103" i="4"/>
  <c r="R103" i="4"/>
  <c r="P229" i="4"/>
  <c r="Q229" i="4"/>
  <c r="R229" i="4"/>
  <c r="P144" i="4"/>
  <c r="Q144" i="4"/>
  <c r="R144" i="4"/>
  <c r="P260" i="4"/>
  <c r="Q260" i="4"/>
  <c r="R260" i="4"/>
  <c r="P133" i="4"/>
  <c r="Q133" i="4"/>
  <c r="R133" i="4"/>
  <c r="P173" i="4"/>
  <c r="Q173" i="4"/>
  <c r="R173" i="4"/>
  <c r="P51" i="4"/>
  <c r="Q51" i="4"/>
  <c r="R51" i="4"/>
  <c r="P199" i="4"/>
  <c r="Q199" i="4"/>
  <c r="R199" i="4"/>
  <c r="P267" i="4"/>
  <c r="Q267" i="4"/>
  <c r="R267" i="4"/>
  <c r="P151" i="4"/>
  <c r="Q151" i="4"/>
  <c r="R151" i="4"/>
  <c r="P269" i="4"/>
  <c r="Q269" i="4"/>
  <c r="R269" i="4"/>
  <c r="P184" i="4"/>
  <c r="Q184" i="4"/>
  <c r="R184" i="4"/>
  <c r="P189" i="4"/>
  <c r="Q189" i="4"/>
  <c r="R189" i="4"/>
  <c r="P180" i="4"/>
  <c r="Q180" i="4"/>
  <c r="R180" i="4"/>
  <c r="P122" i="4"/>
  <c r="Q122" i="4"/>
  <c r="R122" i="4"/>
  <c r="P222" i="4"/>
  <c r="Q222" i="4"/>
  <c r="R222" i="4"/>
  <c r="P124" i="4"/>
  <c r="Q124" i="4"/>
  <c r="R124" i="4"/>
  <c r="P117" i="4"/>
  <c r="Q117" i="4"/>
  <c r="R117" i="4"/>
  <c r="P187" i="4"/>
  <c r="Q187" i="4"/>
  <c r="R187" i="4"/>
  <c r="P152" i="4"/>
  <c r="Q152" i="4"/>
  <c r="R152" i="4"/>
  <c r="P29" i="4"/>
  <c r="Q29" i="4"/>
  <c r="R29" i="4"/>
  <c r="P266" i="4"/>
  <c r="Q266" i="4"/>
  <c r="R266" i="4"/>
  <c r="P64" i="4"/>
  <c r="Q64" i="4"/>
  <c r="R64" i="4"/>
  <c r="P171" i="4"/>
  <c r="Q171" i="4"/>
  <c r="R171" i="4"/>
  <c r="P249" i="4"/>
  <c r="Q249" i="4"/>
  <c r="R249" i="4"/>
  <c r="P137" i="4"/>
  <c r="Q137" i="4"/>
  <c r="R137" i="4"/>
  <c r="P92" i="4"/>
  <c r="Q92" i="4"/>
  <c r="R92" i="4"/>
  <c r="P147" i="4"/>
  <c r="Q147" i="4"/>
  <c r="R147" i="4"/>
  <c r="P217" i="4"/>
  <c r="Q217" i="4"/>
  <c r="R217" i="4"/>
  <c r="P232" i="4"/>
  <c r="Q232" i="4"/>
  <c r="R232" i="4"/>
  <c r="P145" i="4"/>
  <c r="Q145" i="4"/>
  <c r="R145" i="4"/>
  <c r="P234" i="4"/>
  <c r="Q234" i="4"/>
  <c r="R234" i="4"/>
  <c r="P94" i="4"/>
  <c r="Q94" i="4"/>
  <c r="R94" i="4"/>
  <c r="P182" i="4"/>
  <c r="Q182" i="4"/>
  <c r="R182" i="4"/>
  <c r="P163" i="4"/>
  <c r="Q163" i="4"/>
  <c r="R163" i="4"/>
  <c r="P191" i="4"/>
  <c r="Q191" i="4"/>
  <c r="R191" i="4"/>
  <c r="P218" i="4"/>
  <c r="Q218" i="4"/>
  <c r="R218" i="4"/>
  <c r="P192" i="4"/>
  <c r="Q192" i="4"/>
  <c r="R192" i="4"/>
  <c r="P227" i="4"/>
  <c r="Q227" i="4"/>
  <c r="R227" i="4"/>
  <c r="P158" i="4"/>
  <c r="Q158" i="4"/>
  <c r="R158" i="4"/>
  <c r="P236" i="4"/>
  <c r="Q236" i="4"/>
  <c r="R236" i="4"/>
  <c r="P99" i="4"/>
  <c r="Q99" i="4"/>
  <c r="R99" i="4"/>
  <c r="P78" i="4"/>
  <c r="Q78" i="4"/>
  <c r="R78" i="4"/>
  <c r="P276" i="4"/>
  <c r="Q276" i="4"/>
  <c r="R276" i="4"/>
  <c r="P39" i="4"/>
  <c r="Q39" i="4"/>
  <c r="R39" i="4"/>
  <c r="P206" i="4"/>
  <c r="Q206" i="4"/>
  <c r="R206" i="4"/>
  <c r="P69" i="4"/>
  <c r="Q69" i="4"/>
  <c r="R69" i="4"/>
  <c r="P36" i="4"/>
  <c r="Q36" i="4"/>
  <c r="R36" i="4"/>
  <c r="P168" i="4"/>
  <c r="Q168" i="4"/>
  <c r="R168" i="4"/>
  <c r="P58" i="4"/>
  <c r="Q58" i="4"/>
  <c r="R58" i="4"/>
  <c r="P241" i="4"/>
  <c r="Q241" i="4"/>
  <c r="R241" i="4"/>
  <c r="P166" i="4"/>
  <c r="Q166" i="4"/>
  <c r="R166" i="4"/>
  <c r="P247" i="4"/>
  <c r="Q247" i="4"/>
  <c r="R247" i="4"/>
  <c r="P76" i="4"/>
  <c r="Q76" i="4"/>
  <c r="R76" i="4"/>
  <c r="P91" i="4"/>
  <c r="Q91" i="4"/>
  <c r="R91" i="4"/>
  <c r="P207" i="4"/>
  <c r="Q207" i="4"/>
  <c r="R207" i="4"/>
  <c r="P211" i="4"/>
  <c r="Q211" i="4"/>
  <c r="R211" i="4"/>
  <c r="P97" i="4"/>
  <c r="Q97" i="4"/>
  <c r="R97" i="4"/>
  <c r="P203" i="4"/>
  <c r="Q203" i="4"/>
  <c r="R203" i="4"/>
  <c r="P204" i="4"/>
  <c r="Q204" i="4"/>
  <c r="R204" i="4"/>
  <c r="P194" i="4"/>
  <c r="Q194" i="4"/>
  <c r="R194" i="4"/>
  <c r="P230" i="4"/>
  <c r="Q230" i="4"/>
  <c r="R230" i="4"/>
  <c r="P102" i="4"/>
  <c r="Q102" i="4"/>
  <c r="R102" i="4"/>
  <c r="P80" i="4"/>
  <c r="Q80" i="4"/>
  <c r="R80" i="4"/>
  <c r="P190" i="4"/>
  <c r="Q190" i="4"/>
  <c r="R190" i="4"/>
  <c r="P198" i="4"/>
  <c r="Q198" i="4"/>
  <c r="R198" i="4"/>
  <c r="P183" i="4"/>
  <c r="Q183" i="4"/>
  <c r="R183" i="4"/>
  <c r="P270" i="4"/>
  <c r="Q270" i="4"/>
  <c r="R270" i="4"/>
  <c r="P106" i="4"/>
  <c r="Q106" i="4"/>
  <c r="R106" i="4"/>
  <c r="P83" i="4"/>
  <c r="Q83" i="4"/>
  <c r="R83" i="4"/>
  <c r="P250" i="4"/>
  <c r="Q250" i="4"/>
  <c r="R250" i="4"/>
  <c r="P268" i="4"/>
  <c r="Q268" i="4"/>
  <c r="R268" i="4"/>
  <c r="P66" i="4"/>
  <c r="Q66" i="4"/>
  <c r="R66" i="4"/>
  <c r="P213" i="4"/>
  <c r="Q213" i="4"/>
  <c r="R213" i="4"/>
  <c r="P63" i="4"/>
  <c r="Q63" i="4"/>
  <c r="R63" i="4"/>
  <c r="P138" i="4"/>
  <c r="Q138" i="4"/>
  <c r="R138" i="4"/>
  <c r="P73" i="4"/>
  <c r="Q73" i="4"/>
  <c r="R73" i="4"/>
  <c r="P257" i="4"/>
  <c r="Q257" i="4"/>
  <c r="R257" i="4"/>
  <c r="P38" i="4"/>
  <c r="Q38" i="4"/>
  <c r="R38" i="4"/>
  <c r="P111" i="4"/>
  <c r="Q111" i="4"/>
  <c r="R111" i="4"/>
  <c r="P81" i="4"/>
  <c r="Q81" i="4"/>
  <c r="R81" i="4"/>
  <c r="P244" i="4"/>
  <c r="Q244" i="4"/>
  <c r="R244" i="4"/>
  <c r="P107" i="4"/>
  <c r="Q107" i="4"/>
  <c r="R107" i="4"/>
  <c r="P98" i="4"/>
  <c r="Q98" i="4"/>
  <c r="R98" i="4"/>
  <c r="P172" i="4"/>
  <c r="Q172" i="4"/>
  <c r="R172" i="4"/>
  <c r="P245" i="4"/>
  <c r="Q245" i="4"/>
  <c r="R245" i="4"/>
  <c r="P231" i="4"/>
  <c r="Q231" i="4"/>
  <c r="R231" i="4"/>
  <c r="P160" i="4"/>
  <c r="Q160" i="4"/>
  <c r="R160" i="4"/>
  <c r="P110" i="4"/>
  <c r="Q110" i="4"/>
  <c r="R110" i="4"/>
  <c r="P265" i="4"/>
  <c r="Q265" i="4"/>
  <c r="R265" i="4"/>
  <c r="P79" i="4"/>
  <c r="Q79" i="4"/>
  <c r="R79" i="4"/>
  <c r="P161" i="4"/>
  <c r="Q161" i="4"/>
  <c r="R161" i="4"/>
  <c r="P32" i="4"/>
  <c r="Q32" i="4"/>
  <c r="R32" i="4"/>
  <c r="P45" i="4"/>
  <c r="Q45" i="4"/>
  <c r="R45" i="4"/>
  <c r="P57" i="4"/>
  <c r="Q57" i="4"/>
  <c r="R57" i="4"/>
  <c r="P55" i="4"/>
  <c r="Q55" i="4"/>
  <c r="R55" i="4"/>
  <c r="P62" i="4"/>
  <c r="Q62" i="4"/>
  <c r="R62" i="4"/>
  <c r="P277" i="4"/>
  <c r="Q277" i="4"/>
  <c r="R277" i="4"/>
  <c r="P240" i="4"/>
  <c r="Q240" i="4"/>
  <c r="R240" i="4"/>
  <c r="P104" i="4"/>
  <c r="Q104" i="4"/>
  <c r="R104" i="4"/>
  <c r="P109" i="4"/>
  <c r="Q109" i="4"/>
  <c r="R109" i="4"/>
  <c r="P114" i="4"/>
  <c r="Q114" i="4"/>
  <c r="R114" i="4"/>
  <c r="P225" i="4"/>
  <c r="Q225" i="4"/>
  <c r="R225" i="4"/>
  <c r="P153" i="4"/>
  <c r="Q153" i="4"/>
  <c r="R153" i="4"/>
  <c r="P135" i="4"/>
  <c r="Q135" i="4"/>
  <c r="R135" i="4"/>
  <c r="P155" i="4"/>
  <c r="Q155" i="4"/>
  <c r="R155" i="4"/>
  <c r="P201" i="4"/>
  <c r="Q201" i="4"/>
  <c r="R201" i="4"/>
  <c r="P142" i="4"/>
  <c r="Q142" i="4"/>
  <c r="R142" i="4"/>
  <c r="P130" i="4"/>
  <c r="Q130" i="4"/>
  <c r="R130" i="4"/>
  <c r="P86" i="4"/>
  <c r="Q86" i="4"/>
  <c r="R86" i="4"/>
  <c r="P262" i="4"/>
  <c r="Q262" i="4"/>
  <c r="R262" i="4"/>
  <c r="P223" i="4"/>
  <c r="Q223" i="4"/>
  <c r="R223" i="4"/>
  <c r="P35" i="4"/>
  <c r="Q35" i="4"/>
  <c r="R35" i="4"/>
  <c r="P71" i="4"/>
  <c r="Q71" i="4"/>
  <c r="R71" i="4"/>
  <c r="P75" i="4"/>
  <c r="Q75" i="4"/>
  <c r="R75" i="4"/>
  <c r="P224" i="4"/>
  <c r="Q224" i="4"/>
  <c r="R224" i="4"/>
  <c r="P177" i="4"/>
  <c r="Q177" i="4"/>
  <c r="R177" i="4"/>
  <c r="P54" i="4"/>
  <c r="Q54" i="4"/>
  <c r="R54" i="4"/>
  <c r="P149" i="4"/>
  <c r="Q149" i="4"/>
  <c r="R149" i="4"/>
  <c r="P40" i="19" a="1"/>
  <c r="P40" i="19"/>
  <c r="P72" i="19" a="1"/>
  <c r="P72" i="19"/>
  <c r="P7" i="19" a="1"/>
  <c r="P7" i="19"/>
  <c r="P14" i="19" a="1"/>
  <c r="P14" i="19"/>
  <c r="P44" i="19" a="1"/>
  <c r="P44" i="19"/>
  <c r="P19" i="19" a="1"/>
  <c r="P19" i="19"/>
  <c r="P51" i="19" a="1"/>
  <c r="P51" i="19"/>
  <c r="P104" i="19" a="1"/>
  <c r="P104" i="19"/>
  <c r="P136" i="19" a="1"/>
  <c r="P136" i="19"/>
  <c r="P86" i="19" a="1"/>
  <c r="P86" i="19"/>
  <c r="P118" i="19" a="1"/>
  <c r="P118" i="19"/>
  <c r="P150" i="19" a="1"/>
  <c r="P150" i="19"/>
  <c r="P153" i="19" a="1"/>
  <c r="P153" i="19"/>
  <c r="P197" i="19" a="1"/>
  <c r="P197" i="19"/>
  <c r="P229" i="19" a="1"/>
  <c r="P229" i="19"/>
  <c r="P179" i="19" a="1"/>
  <c r="P179" i="19"/>
  <c r="P211" i="19" a="1"/>
  <c r="P211" i="19"/>
  <c r="P243" i="19" a="1"/>
  <c r="P243" i="19"/>
  <c r="P194" i="19" a="1"/>
  <c r="P194" i="19"/>
  <c r="P226" i="19" a="1"/>
  <c r="P226" i="19"/>
  <c r="P83" i="19" a="1"/>
  <c r="P83" i="19"/>
  <c r="P169" i="19" a="1"/>
  <c r="P169" i="19"/>
  <c r="P201" i="19" a="1"/>
  <c r="P201" i="19"/>
  <c r="P233" i="19" a="1"/>
  <c r="P233" i="19"/>
  <c r="P116" i="19" a="1"/>
  <c r="P116" i="19"/>
  <c r="P167" i="19" a="1"/>
  <c r="P167" i="19"/>
  <c r="P199" i="19" a="1"/>
  <c r="P199" i="19"/>
  <c r="P182" i="19" a="1"/>
  <c r="P182" i="19"/>
  <c r="P214" i="19" a="1"/>
  <c r="P214" i="19"/>
  <c r="P190" i="19" a="1"/>
  <c r="P190" i="19"/>
  <c r="P16" i="19" a="1"/>
  <c r="P16" i="19"/>
  <c r="P17" i="19" a="1"/>
  <c r="P17" i="19"/>
  <c r="P49" i="19" a="1"/>
  <c r="P49" i="19"/>
  <c r="P81" i="19" a="1"/>
  <c r="P81" i="19"/>
  <c r="P47" i="19" a="1"/>
  <c r="P47" i="19"/>
  <c r="P38" i="19" a="1"/>
  <c r="P38" i="19"/>
  <c r="P29" i="19" a="1"/>
  <c r="P29" i="19"/>
  <c r="P61" i="19" a="1"/>
  <c r="P61" i="19"/>
  <c r="P50" i="19" a="1"/>
  <c r="P50" i="19"/>
  <c r="P42" i="19" a="1"/>
  <c r="P42" i="19"/>
  <c r="P103" i="19" a="1"/>
  <c r="P103" i="19"/>
  <c r="P135" i="19" a="1"/>
  <c r="P135" i="19"/>
  <c r="P93" i="19" a="1"/>
  <c r="P93" i="19"/>
  <c r="P125" i="19" a="1"/>
  <c r="P125" i="19"/>
  <c r="P157" i="19" a="1"/>
  <c r="P157" i="19"/>
  <c r="P107" i="19" a="1"/>
  <c r="P107" i="19"/>
  <c r="P139" i="19" a="1"/>
  <c r="P139" i="19"/>
  <c r="P98" i="19" a="1"/>
  <c r="P98" i="19"/>
  <c r="P130" i="19" a="1"/>
  <c r="P130" i="19"/>
  <c r="P162" i="19" a="1"/>
  <c r="P162" i="19"/>
  <c r="P132" i="19" a="1"/>
  <c r="P132" i="19"/>
  <c r="P180" i="19" a="1"/>
  <c r="P180" i="19"/>
  <c r="P212" i="19" a="1"/>
  <c r="P212" i="19"/>
  <c r="P244" i="19" a="1"/>
  <c r="P244" i="19"/>
  <c r="P137" i="19" a="1"/>
  <c r="P137" i="19"/>
  <c r="P97" i="19" a="1"/>
  <c r="P97" i="19"/>
  <c r="P184" i="19" a="1"/>
  <c r="P184" i="19"/>
  <c r="P89" i="19" a="1"/>
  <c r="P89" i="19"/>
  <c r="P230" i="19" a="1"/>
  <c r="P230" i="19"/>
  <c r="P240" i="19" a="1"/>
  <c r="P240" i="19"/>
  <c r="P216" i="19" a="1"/>
  <c r="P216" i="19"/>
  <c r="P206" i="19" a="1"/>
  <c r="P206" i="19"/>
  <c r="P224" i="19" a="1"/>
  <c r="P224" i="19"/>
  <c r="P12" i="19" a="1"/>
  <c r="P12" i="19"/>
  <c r="P48" i="19" a="1"/>
  <c r="P48" i="19"/>
  <c r="P11" i="19" a="1"/>
  <c r="P11" i="19"/>
  <c r="P20" i="19" a="1"/>
  <c r="P20" i="19"/>
  <c r="P52" i="19" a="1"/>
  <c r="P52" i="19"/>
  <c r="P27" i="19" a="1"/>
  <c r="P27" i="19"/>
  <c r="P59" i="19" a="1"/>
  <c r="P59" i="19"/>
  <c r="P70" i="19" a="1"/>
  <c r="P70" i="19"/>
  <c r="P112" i="19" a="1"/>
  <c r="P112" i="19"/>
  <c r="P144" i="19" a="1"/>
  <c r="P144" i="19"/>
  <c r="P66" i="19" a="1"/>
  <c r="P66" i="19"/>
  <c r="P94" i="19" a="1"/>
  <c r="P94" i="19"/>
  <c r="P126" i="19" a="1"/>
  <c r="P126" i="19"/>
  <c r="P158" i="19" a="1"/>
  <c r="P158" i="19"/>
  <c r="P173" i="19" a="1"/>
  <c r="P173" i="19"/>
  <c r="P205" i="19" a="1"/>
  <c r="P205" i="19"/>
  <c r="P237" i="19" a="1"/>
  <c r="P237" i="19"/>
  <c r="P187" i="19" a="1"/>
  <c r="P187" i="19"/>
  <c r="P219" i="19" a="1"/>
  <c r="P219" i="19"/>
  <c r="P251" i="19" a="1"/>
  <c r="P251" i="19"/>
  <c r="P170" i="19" a="1"/>
  <c r="P170" i="19"/>
  <c r="P202" i="19" a="1"/>
  <c r="P202" i="19"/>
  <c r="P234" i="19" a="1"/>
  <c r="P234" i="19"/>
  <c r="P177" i="19" a="1"/>
  <c r="P177" i="19"/>
  <c r="P209" i="19" a="1"/>
  <c r="P209" i="19"/>
  <c r="P241" i="19" a="1"/>
  <c r="P241" i="19"/>
  <c r="P147" i="19" a="1"/>
  <c r="P147" i="19"/>
  <c r="P175" i="19" a="1"/>
  <c r="P175" i="19"/>
  <c r="P207" i="19" a="1"/>
  <c r="P207" i="19"/>
  <c r="P222" i="19" a="1"/>
  <c r="P222" i="19"/>
  <c r="P232" i="19" a="1"/>
  <c r="P232" i="19"/>
  <c r="P238" i="19" a="1"/>
  <c r="P238" i="19"/>
  <c r="P25" i="19" a="1"/>
  <c r="P25" i="19"/>
  <c r="P57" i="19" a="1"/>
  <c r="P57" i="19"/>
  <c r="P23" i="19" a="1"/>
  <c r="P23" i="19"/>
  <c r="P55" i="19" a="1"/>
  <c r="P55" i="19"/>
  <c r="P15" i="19" a="1"/>
  <c r="P15" i="19"/>
  <c r="P46" i="19" a="1"/>
  <c r="P46" i="19"/>
  <c r="P37" i="19" a="1"/>
  <c r="P37" i="19"/>
  <c r="P69" i="19" a="1"/>
  <c r="P69" i="19"/>
  <c r="P79" i="19" a="1"/>
  <c r="P79" i="19"/>
  <c r="P111" i="19" a="1"/>
  <c r="P111" i="19"/>
  <c r="P143" i="19" a="1"/>
  <c r="P143" i="19"/>
  <c r="P101" i="19" a="1"/>
  <c r="P101" i="19"/>
  <c r="P133" i="19" a="1"/>
  <c r="P133" i="19"/>
  <c r="P165" i="19" a="1"/>
  <c r="P165" i="19"/>
  <c r="P84" i="19" a="1"/>
  <c r="P84" i="19"/>
  <c r="P115" i="19" a="1"/>
  <c r="P115" i="19"/>
  <c r="P106" i="19" a="1"/>
  <c r="P106" i="19"/>
  <c r="P138" i="19" a="1"/>
  <c r="P138" i="19"/>
  <c r="P151" i="19" a="1"/>
  <c r="P151" i="19"/>
  <c r="P188" i="19" a="1"/>
  <c r="P188" i="19"/>
  <c r="P220" i="19" a="1"/>
  <c r="P220" i="19"/>
  <c r="P156" i="19" a="1"/>
  <c r="P156" i="19"/>
  <c r="P18" i="19" a="1"/>
  <c r="P18" i="19"/>
  <c r="P129" i="19" a="1"/>
  <c r="P129" i="19"/>
  <c r="P192" i="19" a="1"/>
  <c r="P192" i="19"/>
  <c r="P121" i="19" a="1"/>
  <c r="P121" i="19"/>
  <c r="P254" i="19" a="1"/>
  <c r="P254" i="19"/>
  <c r="P248" i="19" a="1"/>
  <c r="P248" i="19"/>
  <c r="P24" i="19" a="1"/>
  <c r="P24" i="19"/>
  <c r="P56" i="19" a="1"/>
  <c r="P56" i="19"/>
  <c r="P28" i="19" a="1"/>
  <c r="P28" i="19"/>
  <c r="P60" i="19" a="1"/>
  <c r="P60" i="19"/>
  <c r="P35" i="19" a="1"/>
  <c r="P35" i="19"/>
  <c r="P67" i="19" a="1"/>
  <c r="P67" i="19"/>
  <c r="P88" i="19" a="1"/>
  <c r="P88" i="19"/>
  <c r="P120" i="19" a="1"/>
  <c r="P120" i="19"/>
  <c r="P152" i="19" a="1"/>
  <c r="P152" i="19"/>
  <c r="P82" i="19" a="1"/>
  <c r="P82" i="19"/>
  <c r="P102" i="19" a="1"/>
  <c r="P102" i="19"/>
  <c r="P134" i="19" a="1"/>
  <c r="P134" i="19"/>
  <c r="P166" i="19" a="1"/>
  <c r="P166" i="19"/>
  <c r="P113" i="19" a="1"/>
  <c r="P113" i="19"/>
  <c r="P181" i="19" a="1"/>
  <c r="P181" i="19"/>
  <c r="P213" i="19" a="1"/>
  <c r="P213" i="19"/>
  <c r="P245" i="19" a="1"/>
  <c r="P245" i="19"/>
  <c r="P74" i="19" a="1"/>
  <c r="P74" i="19"/>
  <c r="P160" i="19" a="1"/>
  <c r="P160" i="19"/>
  <c r="P195" i="19" a="1"/>
  <c r="P195" i="19"/>
  <c r="P227" i="19" a="1"/>
  <c r="P227" i="19"/>
  <c r="P76" i="19" a="1"/>
  <c r="P76" i="19"/>
  <c r="P178" i="19" a="1"/>
  <c r="P178" i="19"/>
  <c r="P210" i="19" a="1"/>
  <c r="P210" i="19"/>
  <c r="P242" i="19" a="1"/>
  <c r="P242" i="19"/>
  <c r="P185" i="19" a="1"/>
  <c r="P185" i="19"/>
  <c r="P217" i="19" a="1"/>
  <c r="P217" i="19"/>
  <c r="P249" i="19" a="1"/>
  <c r="P249" i="19"/>
  <c r="P183" i="19" a="1"/>
  <c r="P183" i="19"/>
  <c r="P215" i="19" a="1"/>
  <c r="P215" i="19"/>
  <c r="P247" i="19" a="1"/>
  <c r="P247" i="19"/>
  <c r="P239" i="19" a="1"/>
  <c r="P239" i="19"/>
  <c r="P252" i="19" a="1"/>
  <c r="P252" i="19"/>
  <c r="P33" i="19" a="1"/>
  <c r="P33" i="19"/>
  <c r="P65" i="19" a="1"/>
  <c r="P65" i="19"/>
  <c r="P31" i="19" a="1"/>
  <c r="P31" i="19"/>
  <c r="P63" i="19" a="1"/>
  <c r="P63" i="19"/>
  <c r="P22" i="19" a="1"/>
  <c r="P22" i="19"/>
  <c r="P54" i="19" a="1"/>
  <c r="P54" i="19"/>
  <c r="P45" i="19" a="1"/>
  <c r="P45" i="19"/>
  <c r="P77" i="19" a="1"/>
  <c r="P77" i="19"/>
  <c r="P87" i="19" a="1"/>
  <c r="P87" i="19"/>
  <c r="P119" i="19" a="1"/>
  <c r="P119" i="19"/>
  <c r="P34" i="19" a="1"/>
  <c r="P34" i="19"/>
  <c r="P26" i="19" a="1"/>
  <c r="P26" i="19"/>
  <c r="P109" i="19" a="1"/>
  <c r="P109" i="19"/>
  <c r="P141" i="19" a="1"/>
  <c r="P141" i="19"/>
  <c r="P91" i="19" a="1"/>
  <c r="P91" i="19"/>
  <c r="P123" i="19" a="1"/>
  <c r="P123" i="19"/>
  <c r="P80" i="19" a="1"/>
  <c r="P80" i="19"/>
  <c r="P114" i="19" a="1"/>
  <c r="P114" i="19"/>
  <c r="P146" i="19" a="1"/>
  <c r="P146" i="19"/>
  <c r="P196" i="19" a="1"/>
  <c r="P196" i="19"/>
  <c r="P228" i="19" a="1"/>
  <c r="P228" i="19"/>
  <c r="P92" i="19" a="1"/>
  <c r="P92" i="19"/>
  <c r="P78" i="19" a="1"/>
  <c r="P78" i="19"/>
  <c r="P168" i="19" a="1"/>
  <c r="P168" i="19"/>
  <c r="P200" i="19" a="1"/>
  <c r="P200" i="19"/>
  <c r="P159" i="19" a="1"/>
  <c r="P159" i="19"/>
  <c r="P148" i="19" a="1"/>
  <c r="P148" i="19"/>
  <c r="P231" i="19" a="1"/>
  <c r="P231" i="19"/>
  <c r="P6" i="19" a="1"/>
  <c r="P6" i="19"/>
  <c r="P198" i="19" a="1"/>
  <c r="P198" i="19"/>
  <c r="P32" i="19" a="1"/>
  <c r="P32" i="19"/>
  <c r="P64" i="19" a="1"/>
  <c r="P64" i="19"/>
  <c r="P10" i="19" a="1"/>
  <c r="P10" i="19"/>
  <c r="P36" i="19" a="1"/>
  <c r="P36" i="19"/>
  <c r="P68" i="19" a="1"/>
  <c r="P68" i="19"/>
  <c r="P43" i="19" a="1"/>
  <c r="P43" i="19"/>
  <c r="P75" i="19" a="1"/>
  <c r="P75" i="19"/>
  <c r="P96" i="19" a="1"/>
  <c r="P96" i="19"/>
  <c r="P128" i="19" a="1"/>
  <c r="P128" i="19"/>
  <c r="P110" i="19" a="1"/>
  <c r="P110" i="19"/>
  <c r="P142" i="19" a="1"/>
  <c r="P142" i="19"/>
  <c r="P145" i="19" a="1"/>
  <c r="P145" i="19"/>
  <c r="P189" i="19" a="1"/>
  <c r="P189" i="19"/>
  <c r="P221" i="19" a="1"/>
  <c r="P221" i="19"/>
  <c r="P253" i="19" a="1"/>
  <c r="P253" i="19"/>
  <c r="P171" i="19" a="1"/>
  <c r="P171" i="19"/>
  <c r="P203" i="19" a="1"/>
  <c r="P203" i="19"/>
  <c r="P235" i="19" a="1"/>
  <c r="P235" i="19"/>
  <c r="P186" i="19" a="1"/>
  <c r="P186" i="19"/>
  <c r="P218" i="19" a="1"/>
  <c r="P218" i="19"/>
  <c r="P250" i="19" a="1"/>
  <c r="P250" i="19"/>
  <c r="P164" i="19" a="1"/>
  <c r="P164" i="19"/>
  <c r="P193" i="19" a="1"/>
  <c r="P193" i="19"/>
  <c r="P225" i="19" a="1"/>
  <c r="P225" i="19"/>
  <c r="P161" i="19" a="1"/>
  <c r="P161" i="19"/>
  <c r="P191" i="19" a="1"/>
  <c r="P191" i="19"/>
  <c r="P108" i="19" a="1"/>
  <c r="P108" i="19"/>
  <c r="P174" i="19" a="1"/>
  <c r="P174" i="19"/>
  <c r="P246" i="19" a="1"/>
  <c r="P246" i="19"/>
  <c r="P155" i="19" a="1"/>
  <c r="P155" i="19"/>
  <c r="P140" i="19" a="1"/>
  <c r="P140" i="19"/>
  <c r="P223" i="19" a="1"/>
  <c r="P223" i="19"/>
  <c r="P8" i="19" a="1"/>
  <c r="P8" i="19"/>
  <c r="P41" i="19" a="1"/>
  <c r="P41" i="19"/>
  <c r="P73" i="19" a="1"/>
  <c r="P73" i="19"/>
  <c r="P39" i="19" a="1"/>
  <c r="P39" i="19"/>
  <c r="P71" i="19" a="1"/>
  <c r="P71" i="19"/>
  <c r="P30" i="19" a="1"/>
  <c r="P30" i="19"/>
  <c r="P62" i="19" a="1"/>
  <c r="P62" i="19"/>
  <c r="P21" i="19" a="1"/>
  <c r="P21" i="19"/>
  <c r="P53" i="19" a="1"/>
  <c r="P53" i="19"/>
  <c r="P85" i="19" a="1"/>
  <c r="P85" i="19"/>
  <c r="P13" i="19" a="1"/>
  <c r="P13" i="19"/>
  <c r="P95" i="19" a="1"/>
  <c r="P95" i="19"/>
  <c r="P127" i="19" a="1"/>
  <c r="P127" i="19"/>
  <c r="P117" i="19" a="1"/>
  <c r="P117" i="19"/>
  <c r="P149" i="19" a="1"/>
  <c r="P149" i="19"/>
  <c r="P9" i="19" a="1"/>
  <c r="P9" i="19"/>
  <c r="P99" i="19" a="1"/>
  <c r="P99" i="19"/>
  <c r="P131" i="19" a="1"/>
  <c r="P131" i="19"/>
  <c r="P90" i="19" a="1"/>
  <c r="P90" i="19"/>
  <c r="P122" i="19" a="1"/>
  <c r="P122" i="19"/>
  <c r="P154" i="19" a="1"/>
  <c r="P154" i="19"/>
  <c r="P100" i="19" a="1"/>
  <c r="P100" i="19"/>
  <c r="P172" i="19" a="1"/>
  <c r="P172" i="19"/>
  <c r="P204" i="19" a="1"/>
  <c r="P204" i="19"/>
  <c r="P236" i="19" a="1"/>
  <c r="P236" i="19"/>
  <c r="P105" i="19" a="1"/>
  <c r="P105" i="19"/>
  <c r="P124" i="19" a="1"/>
  <c r="P124" i="19"/>
  <c r="P58" i="19" a="1"/>
  <c r="P58" i="19"/>
  <c r="P176" i="19" a="1"/>
  <c r="P176" i="19"/>
  <c r="P208" i="19" a="1"/>
  <c r="P208" i="19"/>
  <c r="P163" i="19" a="1"/>
  <c r="P163" i="19"/>
  <c r="Y24" i="21"/>
  <c r="Z26" i="21"/>
  <c r="Y25" i="21"/>
  <c r="P24" i="4"/>
  <c r="Q26" i="4"/>
  <c r="R208" i="19"/>
  <c r="Q208" i="19"/>
  <c r="Q100" i="19"/>
  <c r="R100" i="19"/>
  <c r="Q117" i="19"/>
  <c r="R117" i="19"/>
  <c r="Q30" i="19"/>
  <c r="R30" i="19"/>
  <c r="R155" i="19"/>
  <c r="Q155" i="19"/>
  <c r="Q164" i="19"/>
  <c r="R164" i="19"/>
  <c r="Q221" i="19"/>
  <c r="R221" i="19"/>
  <c r="Q43" i="19"/>
  <c r="R43" i="19"/>
  <c r="Q231" i="19"/>
  <c r="R231" i="19"/>
  <c r="Q196" i="19"/>
  <c r="R196" i="19"/>
  <c r="Q26" i="19"/>
  <c r="R26" i="19"/>
  <c r="R63" i="19"/>
  <c r="Q63" i="19"/>
  <c r="R183" i="19"/>
  <c r="Q183" i="19"/>
  <c r="R227" i="19"/>
  <c r="Q227" i="19"/>
  <c r="Q166" i="19"/>
  <c r="R166" i="19"/>
  <c r="Q35" i="19"/>
  <c r="R35" i="19"/>
  <c r="R192" i="19"/>
  <c r="Q192" i="19"/>
  <c r="Q106" i="19"/>
  <c r="R106" i="19"/>
  <c r="Q79" i="19"/>
  <c r="R79" i="19"/>
  <c r="Q25" i="19"/>
  <c r="R25" i="19"/>
  <c r="Q209" i="19"/>
  <c r="R209" i="19"/>
  <c r="Q237" i="19"/>
  <c r="R237" i="19"/>
  <c r="R112" i="19"/>
  <c r="Q112" i="19"/>
  <c r="Q12" i="19"/>
  <c r="R12" i="19"/>
  <c r="Q97" i="19"/>
  <c r="R97" i="19"/>
  <c r="Q98" i="19"/>
  <c r="R98" i="19"/>
  <c r="Q42" i="19"/>
  <c r="R42" i="19"/>
  <c r="Q17" i="19"/>
  <c r="R17" i="19"/>
  <c r="Q233" i="19"/>
  <c r="R233" i="19"/>
  <c r="Q179" i="19"/>
  <c r="R179" i="19"/>
  <c r="Q104" i="19"/>
  <c r="R104" i="19"/>
  <c r="R176" i="19"/>
  <c r="Q176" i="19"/>
  <c r="Q154" i="19"/>
  <c r="R154" i="19"/>
  <c r="R127" i="19"/>
  <c r="Q127" i="19"/>
  <c r="Q71" i="19"/>
  <c r="R71" i="19"/>
  <c r="Q246" i="19"/>
  <c r="R246" i="19"/>
  <c r="R250" i="19"/>
  <c r="Q250" i="19"/>
  <c r="Q189" i="19"/>
  <c r="R189" i="19"/>
  <c r="R68" i="19"/>
  <c r="Q68" i="19"/>
  <c r="R148" i="19"/>
  <c r="Q148" i="19"/>
  <c r="Q146" i="19"/>
  <c r="R146" i="19"/>
  <c r="Q34" i="19"/>
  <c r="R34" i="19"/>
  <c r="Q31" i="19"/>
  <c r="R31" i="19"/>
  <c r="Q249" i="19"/>
  <c r="R249" i="19"/>
  <c r="R195" i="19"/>
  <c r="Q195" i="19"/>
  <c r="R134" i="19"/>
  <c r="Q134" i="19"/>
  <c r="R60" i="19"/>
  <c r="Q60" i="19"/>
  <c r="Q129" i="19"/>
  <c r="R129" i="19"/>
  <c r="R115" i="19"/>
  <c r="Q115" i="19"/>
  <c r="Q69" i="19"/>
  <c r="R69" i="19"/>
  <c r="Q238" i="19"/>
  <c r="R238" i="19"/>
  <c r="Q177" i="19"/>
  <c r="R177" i="19"/>
  <c r="Q205" i="19"/>
  <c r="R205" i="19"/>
  <c r="Q70" i="19"/>
  <c r="R70" i="19"/>
  <c r="Q224" i="19"/>
  <c r="R224" i="19"/>
  <c r="Q137" i="19"/>
  <c r="R137" i="19"/>
  <c r="Q139" i="19"/>
  <c r="R139" i="19"/>
  <c r="Q50" i="19"/>
  <c r="R50" i="19"/>
  <c r="Q16" i="19"/>
  <c r="R16" i="19"/>
  <c r="Q201" i="19"/>
  <c r="R201" i="19"/>
  <c r="Q229" i="19"/>
  <c r="R229" i="19"/>
  <c r="Q51" i="19"/>
  <c r="R51" i="19"/>
  <c r="R58" i="19"/>
  <c r="Q58" i="19"/>
  <c r="Q122" i="19"/>
  <c r="R122" i="19"/>
  <c r="Q95" i="19"/>
  <c r="R95" i="19"/>
  <c r="R39" i="19"/>
  <c r="Q39" i="19"/>
  <c r="Q174" i="19"/>
  <c r="R174" i="19"/>
  <c r="R218" i="19"/>
  <c r="Q218" i="19"/>
  <c r="R145" i="19"/>
  <c r="Q145" i="19"/>
  <c r="R36" i="19"/>
  <c r="Q36" i="19"/>
  <c r="Q159" i="19"/>
  <c r="R159" i="19"/>
  <c r="Q114" i="19"/>
  <c r="R114" i="19"/>
  <c r="Q119" i="19"/>
  <c r="R119" i="19"/>
  <c r="R65" i="19"/>
  <c r="Q65" i="19"/>
  <c r="Q217" i="19"/>
  <c r="R217" i="19"/>
  <c r="Q160" i="19"/>
  <c r="R160" i="19"/>
  <c r="R102" i="19"/>
  <c r="Q102" i="19"/>
  <c r="Q28" i="19"/>
  <c r="R28" i="19"/>
  <c r="Q18" i="19"/>
  <c r="R18" i="19"/>
  <c r="R84" i="19"/>
  <c r="Q84" i="19"/>
  <c r="Q37" i="19"/>
  <c r="R37" i="19"/>
  <c r="R232" i="19"/>
  <c r="Q232" i="19"/>
  <c r="Q234" i="19"/>
  <c r="R234" i="19"/>
  <c r="Q173" i="19"/>
  <c r="R173" i="19"/>
  <c r="Q59" i="19"/>
  <c r="R59" i="19"/>
  <c r="Q206" i="19"/>
  <c r="R206" i="19"/>
  <c r="Q244" i="19"/>
  <c r="R244" i="19"/>
  <c r="R107" i="19"/>
  <c r="Q107" i="19"/>
  <c r="Q61" i="19"/>
  <c r="R61" i="19"/>
  <c r="Q190" i="19"/>
  <c r="R190" i="19"/>
  <c r="Q169" i="19"/>
  <c r="R169" i="19"/>
  <c r="Q197" i="19"/>
  <c r="R197" i="19"/>
  <c r="R19" i="19"/>
  <c r="Q19" i="19"/>
  <c r="Q124" i="19"/>
  <c r="R124" i="19"/>
  <c r="Q90" i="19"/>
  <c r="R90" i="19"/>
  <c r="Q13" i="19"/>
  <c r="R13" i="19"/>
  <c r="Q73" i="19"/>
  <c r="R73" i="19"/>
  <c r="Q108" i="19"/>
  <c r="R108" i="19"/>
  <c r="Q186" i="19"/>
  <c r="R186" i="19"/>
  <c r="R142" i="19"/>
  <c r="Q142" i="19"/>
  <c r="Q10" i="19"/>
  <c r="R10" i="19"/>
  <c r="R200" i="19"/>
  <c r="Q200" i="19"/>
  <c r="R80" i="19"/>
  <c r="Q80" i="19"/>
  <c r="Q87" i="19"/>
  <c r="R87" i="19"/>
  <c r="Q33" i="19"/>
  <c r="R33" i="19"/>
  <c r="Q185" i="19"/>
  <c r="R185" i="19"/>
  <c r="Q74" i="19"/>
  <c r="R74" i="19"/>
  <c r="Q82" i="19"/>
  <c r="R82" i="19"/>
  <c r="Q56" i="19"/>
  <c r="R56" i="19"/>
  <c r="Q156" i="19"/>
  <c r="R156" i="19"/>
  <c r="Q165" i="19"/>
  <c r="R165" i="19"/>
  <c r="Q46" i="19"/>
  <c r="R46" i="19"/>
  <c r="Q222" i="19"/>
  <c r="R222" i="19"/>
  <c r="Q202" i="19"/>
  <c r="R202" i="19"/>
  <c r="Q158" i="19"/>
  <c r="R158" i="19"/>
  <c r="R27" i="19"/>
  <c r="Q27" i="19"/>
  <c r="R216" i="19"/>
  <c r="Q216" i="19"/>
  <c r="Q212" i="19"/>
  <c r="R212" i="19"/>
  <c r="R157" i="19"/>
  <c r="Q157" i="19"/>
  <c r="Q29" i="19"/>
  <c r="R29" i="19"/>
  <c r="R214" i="19"/>
  <c r="Q214" i="19"/>
  <c r="Q83" i="19"/>
  <c r="R83" i="19"/>
  <c r="R153" i="19"/>
  <c r="Q153" i="19"/>
  <c r="Q44" i="19"/>
  <c r="R44" i="19"/>
  <c r="Q105" i="19"/>
  <c r="R105" i="19"/>
  <c r="R131" i="19"/>
  <c r="Q131" i="19"/>
  <c r="Q85" i="19"/>
  <c r="R85" i="19"/>
  <c r="R41" i="19"/>
  <c r="Q41" i="19"/>
  <c r="Q191" i="19"/>
  <c r="R191" i="19"/>
  <c r="Q235" i="19"/>
  <c r="R235" i="19"/>
  <c r="R110" i="19"/>
  <c r="Q110" i="19"/>
  <c r="R64" i="19"/>
  <c r="Q64" i="19"/>
  <c r="R168" i="19"/>
  <c r="Q168" i="19"/>
  <c r="R123" i="19"/>
  <c r="Q123" i="19"/>
  <c r="Q77" i="19"/>
  <c r="R77" i="19"/>
  <c r="Q252" i="19"/>
  <c r="R252" i="19"/>
  <c r="R242" i="19"/>
  <c r="Q242" i="19"/>
  <c r="Q245" i="19"/>
  <c r="R245" i="19"/>
  <c r="Q152" i="19"/>
  <c r="R152" i="19"/>
  <c r="Q24" i="19"/>
  <c r="R24" i="19"/>
  <c r="Q220" i="19"/>
  <c r="R220" i="19"/>
  <c r="Q133" i="19"/>
  <c r="R133" i="19"/>
  <c r="Q15" i="19"/>
  <c r="R15" i="19"/>
  <c r="Q207" i="19"/>
  <c r="R207" i="19"/>
  <c r="Q170" i="19"/>
  <c r="R170" i="19"/>
  <c r="Q126" i="19"/>
  <c r="R126" i="19"/>
  <c r="R52" i="19"/>
  <c r="Q52" i="19"/>
  <c r="Q240" i="19"/>
  <c r="R240" i="19"/>
  <c r="Q180" i="19"/>
  <c r="R180" i="19"/>
  <c r="Q125" i="19"/>
  <c r="R125" i="19"/>
  <c r="Q38" i="19"/>
  <c r="R38" i="19"/>
  <c r="R182" i="19"/>
  <c r="Q182" i="19"/>
  <c r="R226" i="19"/>
  <c r="Q226" i="19"/>
  <c r="Q150" i="19"/>
  <c r="R150" i="19"/>
  <c r="R14" i="19"/>
  <c r="Q14" i="19"/>
  <c r="Q236" i="19"/>
  <c r="R236" i="19"/>
  <c r="R99" i="19"/>
  <c r="Q99" i="19"/>
  <c r="Q53" i="19"/>
  <c r="R53" i="19"/>
  <c r="Q8" i="19"/>
  <c r="R8" i="19"/>
  <c r="Q161" i="19"/>
  <c r="R161" i="19"/>
  <c r="Q203" i="19"/>
  <c r="R203" i="19"/>
  <c r="Q128" i="19"/>
  <c r="R128" i="19"/>
  <c r="Q32" i="19"/>
  <c r="R32" i="19"/>
  <c r="Q78" i="19"/>
  <c r="R78" i="19"/>
  <c r="Q91" i="19"/>
  <c r="R91" i="19"/>
  <c r="Q45" i="19"/>
  <c r="R45" i="19"/>
  <c r="R239" i="19"/>
  <c r="Q239" i="19"/>
  <c r="Q210" i="19"/>
  <c r="R210" i="19"/>
  <c r="Q213" i="19"/>
  <c r="R213" i="19"/>
  <c r="Q120" i="19"/>
  <c r="R120" i="19"/>
  <c r="R248" i="19"/>
  <c r="Q248" i="19"/>
  <c r="Q188" i="19"/>
  <c r="R188" i="19"/>
  <c r="Q101" i="19"/>
  <c r="R101" i="19"/>
  <c r="Q55" i="19"/>
  <c r="R55" i="19"/>
  <c r="Q175" i="19"/>
  <c r="R175" i="19"/>
  <c r="Q251" i="19"/>
  <c r="R251" i="19"/>
  <c r="R94" i="19"/>
  <c r="Q94" i="19"/>
  <c r="R20" i="19"/>
  <c r="Q20" i="19"/>
  <c r="Q230" i="19"/>
  <c r="R230" i="19"/>
  <c r="Q132" i="19"/>
  <c r="R132" i="19"/>
  <c r="Q93" i="19"/>
  <c r="R93" i="19"/>
  <c r="Q47" i="19"/>
  <c r="R47" i="19"/>
  <c r="Q199" i="19"/>
  <c r="R199" i="19"/>
  <c r="Q194" i="19"/>
  <c r="R194" i="19"/>
  <c r="R118" i="19"/>
  <c r="Q118" i="19"/>
  <c r="Q7" i="19"/>
  <c r="R7" i="19"/>
  <c r="R204" i="19"/>
  <c r="Q204" i="19"/>
  <c r="Q9" i="19"/>
  <c r="R9" i="19"/>
  <c r="Q21" i="19"/>
  <c r="R21" i="19"/>
  <c r="Q223" i="19"/>
  <c r="R223" i="19"/>
  <c r="Q225" i="19"/>
  <c r="R225" i="19"/>
  <c r="Q171" i="19"/>
  <c r="R171" i="19"/>
  <c r="Q96" i="19"/>
  <c r="R96" i="19"/>
  <c r="Q198" i="19"/>
  <c r="R198" i="19"/>
  <c r="Q92" i="19"/>
  <c r="R92" i="19"/>
  <c r="Q141" i="19"/>
  <c r="R141" i="19"/>
  <c r="Q54" i="19"/>
  <c r="R54" i="19"/>
  <c r="Q247" i="19"/>
  <c r="R247" i="19"/>
  <c r="Q178" i="19"/>
  <c r="R178" i="19"/>
  <c r="R181" i="19"/>
  <c r="Q181" i="19"/>
  <c r="Q88" i="19"/>
  <c r="R88" i="19"/>
  <c r="Q254" i="19"/>
  <c r="R254" i="19"/>
  <c r="Q151" i="19"/>
  <c r="R151" i="19"/>
  <c r="Q143" i="19"/>
  <c r="R143" i="19"/>
  <c r="Q23" i="19"/>
  <c r="R23" i="19"/>
  <c r="R147" i="19"/>
  <c r="Q147" i="19"/>
  <c r="Q219" i="19"/>
  <c r="R219" i="19"/>
  <c r="Q66" i="19"/>
  <c r="R66" i="19"/>
  <c r="R11" i="19"/>
  <c r="Q11" i="19"/>
  <c r="Q89" i="19"/>
  <c r="R89" i="19"/>
  <c r="Q162" i="19"/>
  <c r="R162" i="19"/>
  <c r="Q135" i="19"/>
  <c r="R135" i="19"/>
  <c r="Q81" i="19"/>
  <c r="R81" i="19"/>
  <c r="Q167" i="19"/>
  <c r="R167" i="19"/>
  <c r="Q243" i="19"/>
  <c r="R243" i="19"/>
  <c r="R86" i="19"/>
  <c r="Q86" i="19"/>
  <c r="R72" i="19"/>
  <c r="Q72" i="19"/>
  <c r="Q163" i="19"/>
  <c r="R163" i="19"/>
  <c r="Q172" i="19"/>
  <c r="R172" i="19"/>
  <c r="R149" i="19"/>
  <c r="Q149" i="19"/>
  <c r="Q62" i="19"/>
  <c r="R62" i="19"/>
  <c r="R140" i="19"/>
  <c r="Q140" i="19"/>
  <c r="Q193" i="19"/>
  <c r="R193" i="19"/>
  <c r="R253" i="19"/>
  <c r="Q253" i="19"/>
  <c r="Q75" i="19"/>
  <c r="R75" i="19"/>
  <c r="R6" i="19"/>
  <c r="Q6" i="19"/>
  <c r="Q228" i="19"/>
  <c r="R228" i="19"/>
  <c r="Q109" i="19"/>
  <c r="R109" i="19"/>
  <c r="Q22" i="19"/>
  <c r="R22" i="19"/>
  <c r="Q215" i="19"/>
  <c r="R215" i="19"/>
  <c r="Q76" i="19"/>
  <c r="R76" i="19"/>
  <c r="Q113" i="19"/>
  <c r="R113" i="19"/>
  <c r="Q67" i="19"/>
  <c r="R67" i="19"/>
  <c r="Q121" i="19"/>
  <c r="R121" i="19"/>
  <c r="Q138" i="19"/>
  <c r="R138" i="19"/>
  <c r="Q111" i="19"/>
  <c r="R111" i="19"/>
  <c r="Q57" i="19"/>
  <c r="R57" i="19"/>
  <c r="R241" i="19"/>
  <c r="Q241" i="19"/>
  <c r="Q187" i="19"/>
  <c r="R187" i="19"/>
  <c r="R144" i="19"/>
  <c r="Q144" i="19"/>
  <c r="Q48" i="19"/>
  <c r="R48" i="19"/>
  <c r="R184" i="19"/>
  <c r="Q184" i="19"/>
  <c r="Q130" i="19"/>
  <c r="R130" i="19"/>
  <c r="Q103" i="19"/>
  <c r="R103" i="19"/>
  <c r="Q49" i="19"/>
  <c r="R49" i="19"/>
  <c r="Q116" i="19"/>
  <c r="R116" i="19"/>
  <c r="Q211" i="19"/>
  <c r="R211" i="19"/>
  <c r="R136" i="19"/>
  <c r="Q136" i="19"/>
  <c r="R40" i="19"/>
  <c r="Q40" i="19"/>
  <c r="Z22" i="21" a="1"/>
  <c r="Z22" i="21"/>
  <c r="Z23" i="21" a="1"/>
  <c r="Z23" i="21"/>
  <c r="AA26" i="21"/>
  <c r="AA22" i="21" a="1"/>
  <c r="AA22" i="21"/>
  <c r="AA19" i="21" a="1"/>
  <c r="AA19" i="21"/>
  <c r="Q24" i="4"/>
  <c r="R26" i="4"/>
  <c r="Q25" i="4"/>
  <c r="S49" i="19"/>
  <c r="J49" i="19"/>
  <c r="K49" i="19"/>
  <c r="S22" i="19"/>
  <c r="J22" i="19"/>
  <c r="K22" i="19"/>
  <c r="S21" i="19"/>
  <c r="J21" i="19"/>
  <c r="K21" i="19"/>
  <c r="S103" i="19"/>
  <c r="J103" i="19"/>
  <c r="K103" i="19"/>
  <c r="S111" i="19"/>
  <c r="J111" i="19"/>
  <c r="K111" i="19"/>
  <c r="S113" i="19"/>
  <c r="J113" i="19"/>
  <c r="K113" i="19"/>
  <c r="V9" i="18"/>
  <c r="S109" i="19"/>
  <c r="J109" i="19"/>
  <c r="K109" i="19"/>
  <c r="J135" i="19"/>
  <c r="K135" i="19"/>
  <c r="S135" i="19"/>
  <c r="S66" i="19"/>
  <c r="J66" i="19"/>
  <c r="K66" i="19"/>
  <c r="S143" i="19"/>
  <c r="J143" i="19"/>
  <c r="K143" i="19"/>
  <c r="S141" i="19"/>
  <c r="J141" i="19"/>
  <c r="K141" i="19"/>
  <c r="S171" i="19"/>
  <c r="J171" i="19"/>
  <c r="K171" i="19"/>
  <c r="S9" i="19"/>
  <c r="J9" i="19"/>
  <c r="K9" i="19"/>
  <c r="S194" i="19"/>
  <c r="J194" i="19"/>
  <c r="K194" i="19"/>
  <c r="S132" i="19"/>
  <c r="J132" i="19"/>
  <c r="K132" i="19"/>
  <c r="J251" i="19"/>
  <c r="K251" i="19"/>
  <c r="S251" i="19"/>
  <c r="J188" i="19"/>
  <c r="K188" i="19"/>
  <c r="S188" i="19"/>
  <c r="S210" i="19"/>
  <c r="J210" i="19"/>
  <c r="K210" i="19"/>
  <c r="S78" i="19"/>
  <c r="J78" i="19"/>
  <c r="K78" i="19"/>
  <c r="S161" i="19"/>
  <c r="J161" i="19"/>
  <c r="K161" i="19"/>
  <c r="J236" i="19"/>
  <c r="K236" i="19"/>
  <c r="S236" i="19"/>
  <c r="J240" i="19"/>
  <c r="K240" i="19"/>
  <c r="S240" i="19"/>
  <c r="S207" i="19"/>
  <c r="J207" i="19"/>
  <c r="K207" i="19"/>
  <c r="S24" i="19"/>
  <c r="J24" i="19"/>
  <c r="K24" i="19"/>
  <c r="S252" i="19"/>
  <c r="J252" i="19"/>
  <c r="K252" i="19"/>
  <c r="S44" i="19"/>
  <c r="J44" i="19"/>
  <c r="K44" i="19"/>
  <c r="S29" i="19"/>
  <c r="J29" i="19"/>
  <c r="K29" i="19"/>
  <c r="S46" i="19"/>
  <c r="J46" i="19"/>
  <c r="K46" i="19"/>
  <c r="S82" i="19"/>
  <c r="J82" i="19"/>
  <c r="K82" i="19"/>
  <c r="S87" i="19"/>
  <c r="J87" i="19"/>
  <c r="K87" i="19"/>
  <c r="S13" i="19"/>
  <c r="J13" i="19"/>
  <c r="K13" i="19"/>
  <c r="S197" i="19"/>
  <c r="J197" i="19"/>
  <c r="K197" i="19"/>
  <c r="J173" i="19"/>
  <c r="K173" i="19"/>
  <c r="S173" i="19"/>
  <c r="J160" i="19"/>
  <c r="K160" i="19"/>
  <c r="S160" i="19"/>
  <c r="S114" i="19"/>
  <c r="J114" i="19"/>
  <c r="K114" i="19"/>
  <c r="S122" i="19"/>
  <c r="J122" i="19"/>
  <c r="K122" i="19"/>
  <c r="J201" i="19"/>
  <c r="K201" i="19"/>
  <c r="S201" i="19"/>
  <c r="S137" i="19"/>
  <c r="J137" i="19"/>
  <c r="K137" i="19"/>
  <c r="J177" i="19"/>
  <c r="K177" i="19"/>
  <c r="S177" i="19"/>
  <c r="S129" i="19"/>
  <c r="J129" i="19"/>
  <c r="K129" i="19"/>
  <c r="S249" i="19"/>
  <c r="J249" i="19"/>
  <c r="K249" i="19"/>
  <c r="S246" i="19"/>
  <c r="J246" i="19"/>
  <c r="K246" i="19"/>
  <c r="S17" i="19"/>
  <c r="J17" i="19"/>
  <c r="K17" i="19"/>
  <c r="V4" i="18"/>
  <c r="S12" i="19"/>
  <c r="J12" i="19"/>
  <c r="K12" i="19"/>
  <c r="V6" i="18"/>
  <c r="S25" i="19"/>
  <c r="J25" i="19"/>
  <c r="K25" i="19"/>
  <c r="J35" i="19"/>
  <c r="K35" i="19"/>
  <c r="S35" i="19"/>
  <c r="S43" i="19"/>
  <c r="J43" i="19"/>
  <c r="K43" i="19"/>
  <c r="S30" i="19"/>
  <c r="J30" i="19"/>
  <c r="K30" i="19"/>
  <c r="J57" i="19"/>
  <c r="K57" i="19"/>
  <c r="S57" i="19"/>
  <c r="S62" i="19"/>
  <c r="J62" i="19"/>
  <c r="K62" i="19"/>
  <c r="S88" i="19"/>
  <c r="J88" i="19"/>
  <c r="K88" i="19"/>
  <c r="J136" i="19"/>
  <c r="K136" i="19"/>
  <c r="S136" i="19"/>
  <c r="J144" i="19"/>
  <c r="K144" i="19"/>
  <c r="S144" i="19"/>
  <c r="S253" i="19"/>
  <c r="J253" i="19"/>
  <c r="K253" i="19"/>
  <c r="S149" i="19"/>
  <c r="J149" i="19"/>
  <c r="K149" i="19"/>
  <c r="S86" i="19"/>
  <c r="J86" i="19"/>
  <c r="K86" i="19"/>
  <c r="S181" i="19"/>
  <c r="J181" i="19"/>
  <c r="K181" i="19"/>
  <c r="S182" i="19"/>
  <c r="J182" i="19"/>
  <c r="K182" i="19"/>
  <c r="J64" i="19"/>
  <c r="K64" i="19"/>
  <c r="S64" i="19"/>
  <c r="S41" i="19"/>
  <c r="J41" i="19"/>
  <c r="K41" i="19"/>
  <c r="S27" i="19"/>
  <c r="J27" i="19"/>
  <c r="K27" i="19"/>
  <c r="J142" i="19"/>
  <c r="K142" i="19"/>
  <c r="S142" i="19"/>
  <c r="S107" i="19"/>
  <c r="J107" i="19"/>
  <c r="K107" i="19"/>
  <c r="S84" i="19"/>
  <c r="J84" i="19"/>
  <c r="K84" i="19"/>
  <c r="J218" i="19"/>
  <c r="K218" i="19"/>
  <c r="S218" i="19"/>
  <c r="S148" i="19"/>
  <c r="J148" i="19"/>
  <c r="K148" i="19"/>
  <c r="S176" i="19"/>
  <c r="J176" i="19"/>
  <c r="K176" i="19"/>
  <c r="S63" i="19"/>
  <c r="J63" i="19"/>
  <c r="K63" i="19"/>
  <c r="S211" i="19"/>
  <c r="J211" i="19"/>
  <c r="K211" i="19"/>
  <c r="S76" i="19"/>
  <c r="J76" i="19"/>
  <c r="K76" i="19"/>
  <c r="J243" i="19"/>
  <c r="K243" i="19"/>
  <c r="S243" i="19"/>
  <c r="S162" i="19"/>
  <c r="J162" i="19"/>
  <c r="K162" i="19"/>
  <c r="S219" i="19"/>
  <c r="J219" i="19"/>
  <c r="K219" i="19"/>
  <c r="V11" i="18"/>
  <c r="S225" i="19"/>
  <c r="J225" i="19"/>
  <c r="K225" i="19"/>
  <c r="S199" i="19"/>
  <c r="J199" i="19"/>
  <c r="K199" i="19"/>
  <c r="S230" i="19"/>
  <c r="J230" i="19"/>
  <c r="K230" i="19"/>
  <c r="V10" i="18"/>
  <c r="S175" i="19"/>
  <c r="J175" i="19"/>
  <c r="K175" i="19"/>
  <c r="S32" i="19"/>
  <c r="J32" i="19"/>
  <c r="K32" i="19"/>
  <c r="S8" i="19"/>
  <c r="J8" i="19"/>
  <c r="K8" i="19"/>
  <c r="S38" i="19"/>
  <c r="J38" i="19"/>
  <c r="K38" i="19"/>
  <c r="J15" i="19"/>
  <c r="K15" i="19"/>
  <c r="S15" i="19"/>
  <c r="J152" i="19"/>
  <c r="K152" i="19"/>
  <c r="S152" i="19"/>
  <c r="S77" i="19"/>
  <c r="J77" i="19"/>
  <c r="K77" i="19"/>
  <c r="S85" i="19"/>
  <c r="J85" i="19"/>
  <c r="K85" i="19"/>
  <c r="J158" i="19"/>
  <c r="K158" i="19"/>
  <c r="S158" i="19"/>
  <c r="J165" i="19"/>
  <c r="K165" i="19"/>
  <c r="S165" i="19"/>
  <c r="S74" i="19"/>
  <c r="J74" i="19"/>
  <c r="K74" i="19"/>
  <c r="S186" i="19"/>
  <c r="J186" i="19"/>
  <c r="K186" i="19"/>
  <c r="J90" i="19"/>
  <c r="K90" i="19"/>
  <c r="S90" i="19"/>
  <c r="S169" i="19"/>
  <c r="J169" i="19"/>
  <c r="K169" i="19"/>
  <c r="J244" i="19"/>
  <c r="K244" i="19"/>
  <c r="S244" i="19"/>
  <c r="S234" i="19"/>
  <c r="J234" i="19"/>
  <c r="K234" i="19"/>
  <c r="V5" i="18"/>
  <c r="S18" i="19"/>
  <c r="J18" i="19"/>
  <c r="K18" i="19"/>
  <c r="J217" i="19"/>
  <c r="K217" i="19"/>
  <c r="S217" i="19"/>
  <c r="S159" i="19"/>
  <c r="J159" i="19"/>
  <c r="K159" i="19"/>
  <c r="S174" i="19"/>
  <c r="J174" i="19"/>
  <c r="K174" i="19"/>
  <c r="S16" i="19"/>
  <c r="J16" i="19"/>
  <c r="K16" i="19"/>
  <c r="J224" i="19"/>
  <c r="K224" i="19"/>
  <c r="S224" i="19"/>
  <c r="J238" i="19"/>
  <c r="K238" i="19"/>
  <c r="S238" i="19"/>
  <c r="S31" i="19"/>
  <c r="J31" i="19"/>
  <c r="K31" i="19"/>
  <c r="S71" i="19"/>
  <c r="J71" i="19"/>
  <c r="K71" i="19"/>
  <c r="J104" i="19"/>
  <c r="K104" i="19"/>
  <c r="S104" i="19"/>
  <c r="S42" i="19"/>
  <c r="J42" i="19"/>
  <c r="K42" i="19"/>
  <c r="S79" i="19"/>
  <c r="J79" i="19"/>
  <c r="K79" i="19"/>
  <c r="J166" i="19"/>
  <c r="K166" i="19"/>
  <c r="S166" i="19"/>
  <c r="J26" i="19"/>
  <c r="K26" i="19"/>
  <c r="S26" i="19"/>
  <c r="S221" i="19"/>
  <c r="J221" i="19"/>
  <c r="K221" i="19"/>
  <c r="S117" i="19"/>
  <c r="J117" i="19"/>
  <c r="K117" i="19"/>
  <c r="J187" i="19"/>
  <c r="K187" i="19"/>
  <c r="S187" i="19"/>
  <c r="S193" i="19"/>
  <c r="J193" i="19"/>
  <c r="K193" i="19"/>
  <c r="J178" i="19"/>
  <c r="K178" i="19"/>
  <c r="S178" i="19"/>
  <c r="J204" i="19"/>
  <c r="K204" i="19"/>
  <c r="S204" i="19"/>
  <c r="S248" i="19"/>
  <c r="J248" i="19"/>
  <c r="K248" i="19"/>
  <c r="S239" i="19"/>
  <c r="J239" i="19"/>
  <c r="K239" i="19"/>
  <c r="S14" i="19"/>
  <c r="J14" i="19"/>
  <c r="K14" i="19"/>
  <c r="S52" i="19"/>
  <c r="J52" i="19"/>
  <c r="K52" i="19"/>
  <c r="S110" i="19"/>
  <c r="J110" i="19"/>
  <c r="K110" i="19"/>
  <c r="S153" i="19"/>
  <c r="J153" i="19"/>
  <c r="K153" i="19"/>
  <c r="S157" i="19"/>
  <c r="J157" i="19"/>
  <c r="K157" i="19"/>
  <c r="S80" i="19"/>
  <c r="J80" i="19"/>
  <c r="K80" i="19"/>
  <c r="J58" i="19"/>
  <c r="K58" i="19"/>
  <c r="S58" i="19"/>
  <c r="V8" i="18"/>
  <c r="S60" i="19"/>
  <c r="J60" i="19"/>
  <c r="K60" i="19"/>
  <c r="S68" i="19"/>
  <c r="J68" i="19"/>
  <c r="K68" i="19"/>
  <c r="J112" i="19"/>
  <c r="K112" i="19"/>
  <c r="S112" i="19"/>
  <c r="S138" i="19"/>
  <c r="J138" i="19"/>
  <c r="K138" i="19"/>
  <c r="J172" i="19"/>
  <c r="K172" i="19"/>
  <c r="S172" i="19"/>
  <c r="J151" i="19"/>
  <c r="K151" i="19"/>
  <c r="S151" i="19"/>
  <c r="S116" i="19"/>
  <c r="J116" i="19"/>
  <c r="K116" i="19"/>
  <c r="S121" i="19"/>
  <c r="J121" i="19"/>
  <c r="K121" i="19"/>
  <c r="S215" i="19"/>
  <c r="J215" i="19"/>
  <c r="K215" i="19"/>
  <c r="S163" i="19"/>
  <c r="J163" i="19"/>
  <c r="K163" i="19"/>
  <c r="S167" i="19"/>
  <c r="J167" i="19"/>
  <c r="K167" i="19"/>
  <c r="S89" i="19"/>
  <c r="J89" i="19"/>
  <c r="K89" i="19"/>
  <c r="S254" i="19"/>
  <c r="J254" i="19"/>
  <c r="K254" i="19"/>
  <c r="S247" i="19"/>
  <c r="J247" i="19"/>
  <c r="K247" i="19"/>
  <c r="J198" i="19"/>
  <c r="K198" i="19"/>
  <c r="S198" i="19"/>
  <c r="S223" i="19"/>
  <c r="J223" i="19"/>
  <c r="K223" i="19"/>
  <c r="J7" i="19"/>
  <c r="K7" i="19"/>
  <c r="S7" i="19"/>
  <c r="S47" i="19"/>
  <c r="J47" i="19"/>
  <c r="K47" i="19"/>
  <c r="S55" i="19"/>
  <c r="J55" i="19"/>
  <c r="K55" i="19"/>
  <c r="J120" i="19"/>
  <c r="K120" i="19"/>
  <c r="S120" i="19"/>
  <c r="S45" i="19"/>
  <c r="J45" i="19"/>
  <c r="K45" i="19"/>
  <c r="J128" i="19"/>
  <c r="K128" i="19"/>
  <c r="S128" i="19"/>
  <c r="J53" i="19"/>
  <c r="K53" i="19"/>
  <c r="S53" i="19"/>
  <c r="S150" i="19"/>
  <c r="J150" i="19"/>
  <c r="K150" i="19"/>
  <c r="S125" i="19"/>
  <c r="J125" i="19"/>
  <c r="K125" i="19"/>
  <c r="J126" i="19"/>
  <c r="K126" i="19"/>
  <c r="S126" i="19"/>
  <c r="S133" i="19"/>
  <c r="J133" i="19"/>
  <c r="K133" i="19"/>
  <c r="J245" i="19"/>
  <c r="K245" i="19"/>
  <c r="S245" i="19"/>
  <c r="J235" i="19"/>
  <c r="K235" i="19"/>
  <c r="S235" i="19"/>
  <c r="S83" i="19"/>
  <c r="J83" i="19"/>
  <c r="K83" i="19"/>
  <c r="J212" i="19"/>
  <c r="K212" i="19"/>
  <c r="S212" i="19"/>
  <c r="S202" i="19"/>
  <c r="J202" i="19"/>
  <c r="K202" i="19"/>
  <c r="J156" i="19"/>
  <c r="K156" i="19"/>
  <c r="S156" i="19"/>
  <c r="S185" i="19"/>
  <c r="J185" i="19"/>
  <c r="K185" i="19"/>
  <c r="S108" i="19"/>
  <c r="J108" i="19"/>
  <c r="K108" i="19"/>
  <c r="S124" i="19"/>
  <c r="J124" i="19"/>
  <c r="K124" i="19"/>
  <c r="J190" i="19"/>
  <c r="K190" i="19"/>
  <c r="S190" i="19"/>
  <c r="J206" i="19"/>
  <c r="K206" i="19"/>
  <c r="S206" i="19"/>
  <c r="S28" i="19"/>
  <c r="J28" i="19"/>
  <c r="K28" i="19"/>
  <c r="S51" i="19"/>
  <c r="J51" i="19"/>
  <c r="K51" i="19"/>
  <c r="S50" i="19"/>
  <c r="J50" i="19"/>
  <c r="K50" i="19"/>
  <c r="S70" i="19"/>
  <c r="J70" i="19"/>
  <c r="K70" i="19"/>
  <c r="S69" i="19"/>
  <c r="J69" i="19"/>
  <c r="K69" i="19"/>
  <c r="J34" i="19"/>
  <c r="K34" i="19"/>
  <c r="S34" i="19"/>
  <c r="J189" i="19"/>
  <c r="K189" i="19"/>
  <c r="S189" i="19"/>
  <c r="S179" i="19"/>
  <c r="J179" i="19"/>
  <c r="K179" i="19"/>
  <c r="S98" i="19"/>
  <c r="J98" i="19"/>
  <c r="K98" i="19"/>
  <c r="J237" i="19"/>
  <c r="K237" i="19"/>
  <c r="S237" i="19"/>
  <c r="S106" i="19"/>
  <c r="J106" i="19"/>
  <c r="K106" i="19"/>
  <c r="J196" i="19"/>
  <c r="K196" i="19"/>
  <c r="S196" i="19"/>
  <c r="S164" i="19"/>
  <c r="J164" i="19"/>
  <c r="K164" i="19"/>
  <c r="S100" i="19"/>
  <c r="J100" i="19"/>
  <c r="K100" i="19"/>
  <c r="S130" i="19"/>
  <c r="J130" i="19"/>
  <c r="K130" i="19"/>
  <c r="J228" i="19"/>
  <c r="K228" i="19"/>
  <c r="S228" i="19"/>
  <c r="S92" i="19"/>
  <c r="J92" i="19"/>
  <c r="K92" i="19"/>
  <c r="J184" i="19"/>
  <c r="K184" i="19"/>
  <c r="S184" i="19"/>
  <c r="S241" i="19"/>
  <c r="J241" i="19"/>
  <c r="K241" i="19"/>
  <c r="V3" i="18"/>
  <c r="S6" i="19"/>
  <c r="J6" i="19"/>
  <c r="K6" i="19"/>
  <c r="S140" i="19"/>
  <c r="J140" i="19"/>
  <c r="K140" i="19"/>
  <c r="S147" i="19"/>
  <c r="J147" i="19"/>
  <c r="K147" i="19"/>
  <c r="J20" i="19"/>
  <c r="K20" i="19"/>
  <c r="S20" i="19"/>
  <c r="J123" i="19"/>
  <c r="K123" i="19"/>
  <c r="S123" i="19"/>
  <c r="S131" i="19"/>
  <c r="J131" i="19"/>
  <c r="K131" i="19"/>
  <c r="J200" i="19"/>
  <c r="K200" i="19"/>
  <c r="S200" i="19"/>
  <c r="J232" i="19"/>
  <c r="K232" i="19"/>
  <c r="S232" i="19"/>
  <c r="S65" i="19"/>
  <c r="J65" i="19"/>
  <c r="K65" i="19"/>
  <c r="S36" i="19"/>
  <c r="J36" i="19"/>
  <c r="K36" i="19"/>
  <c r="S39" i="19"/>
  <c r="J39" i="19"/>
  <c r="K39" i="19"/>
  <c r="S134" i="19"/>
  <c r="J134" i="19"/>
  <c r="K134" i="19"/>
  <c r="S127" i="19"/>
  <c r="J127" i="19"/>
  <c r="K127" i="19"/>
  <c r="S227" i="19"/>
  <c r="J227" i="19"/>
  <c r="K227" i="19"/>
  <c r="S48" i="19"/>
  <c r="J48" i="19"/>
  <c r="K48" i="19"/>
  <c r="S75" i="19"/>
  <c r="J75" i="19"/>
  <c r="K75" i="19"/>
  <c r="S81" i="19"/>
  <c r="J81" i="19"/>
  <c r="K81" i="19"/>
  <c r="S23" i="19"/>
  <c r="J23" i="19"/>
  <c r="K23" i="19"/>
  <c r="J54" i="19"/>
  <c r="K54" i="19"/>
  <c r="S54" i="19"/>
  <c r="J93" i="19"/>
  <c r="K93" i="19"/>
  <c r="S93" i="19"/>
  <c r="J101" i="19"/>
  <c r="K101" i="19"/>
  <c r="S101" i="19"/>
  <c r="S213" i="19"/>
  <c r="J213" i="19"/>
  <c r="K213" i="19"/>
  <c r="J91" i="19"/>
  <c r="K91" i="19"/>
  <c r="S91" i="19"/>
  <c r="S203" i="19"/>
  <c r="J203" i="19"/>
  <c r="K203" i="19"/>
  <c r="J180" i="19"/>
  <c r="K180" i="19"/>
  <c r="S180" i="19"/>
  <c r="J170" i="19"/>
  <c r="K170" i="19"/>
  <c r="S170" i="19"/>
  <c r="S220" i="19"/>
  <c r="J220" i="19"/>
  <c r="K220" i="19"/>
  <c r="S191" i="19"/>
  <c r="J191" i="19"/>
  <c r="K191" i="19"/>
  <c r="S105" i="19"/>
  <c r="J105" i="19"/>
  <c r="K105" i="19"/>
  <c r="S222" i="19"/>
  <c r="J222" i="19"/>
  <c r="K222" i="19"/>
  <c r="S56" i="19"/>
  <c r="J56" i="19"/>
  <c r="K56" i="19"/>
  <c r="S33" i="19"/>
  <c r="J33" i="19"/>
  <c r="K33" i="19"/>
  <c r="J10" i="19"/>
  <c r="K10" i="19"/>
  <c r="S10" i="19"/>
  <c r="J73" i="19"/>
  <c r="K73" i="19"/>
  <c r="S73" i="19"/>
  <c r="J61" i="19"/>
  <c r="K61" i="19"/>
  <c r="S61" i="19"/>
  <c r="S59" i="19"/>
  <c r="J59" i="19"/>
  <c r="K59" i="19"/>
  <c r="S37" i="19"/>
  <c r="J37" i="19"/>
  <c r="K37" i="19"/>
  <c r="S119" i="19"/>
  <c r="J119" i="19"/>
  <c r="K119" i="19"/>
  <c r="S95" i="19"/>
  <c r="J95" i="19"/>
  <c r="K95" i="19"/>
  <c r="S229" i="19"/>
  <c r="J229" i="19"/>
  <c r="K229" i="19"/>
  <c r="S139" i="19"/>
  <c r="J139" i="19"/>
  <c r="K139" i="19"/>
  <c r="J205" i="19"/>
  <c r="K205" i="19"/>
  <c r="S205" i="19"/>
  <c r="S146" i="19"/>
  <c r="J146" i="19"/>
  <c r="K146" i="19"/>
  <c r="S154" i="19"/>
  <c r="J154" i="19"/>
  <c r="K154" i="19"/>
  <c r="S233" i="19"/>
  <c r="J233" i="19"/>
  <c r="K233" i="19"/>
  <c r="S97" i="19"/>
  <c r="J97" i="19"/>
  <c r="K97" i="19"/>
  <c r="J209" i="19"/>
  <c r="K209" i="19"/>
  <c r="S209" i="19"/>
  <c r="J231" i="19"/>
  <c r="K231" i="19"/>
  <c r="S231" i="19"/>
  <c r="S67" i="19"/>
  <c r="J67" i="19"/>
  <c r="K67" i="19"/>
  <c r="J96" i="19"/>
  <c r="K96" i="19"/>
  <c r="S96" i="19"/>
  <c r="V7" i="18"/>
  <c r="S40" i="19"/>
  <c r="J40" i="19"/>
  <c r="K40" i="19"/>
  <c r="J72" i="19"/>
  <c r="K72" i="19"/>
  <c r="S72" i="19"/>
  <c r="S11" i="19"/>
  <c r="J11" i="19"/>
  <c r="K11" i="19"/>
  <c r="S118" i="19"/>
  <c r="J118" i="19"/>
  <c r="K118" i="19"/>
  <c r="S94" i="19"/>
  <c r="J94" i="19"/>
  <c r="K94" i="19"/>
  <c r="J99" i="19"/>
  <c r="K99" i="19"/>
  <c r="S99" i="19"/>
  <c r="J226" i="19"/>
  <c r="K226" i="19"/>
  <c r="S226" i="19"/>
  <c r="S242" i="19"/>
  <c r="J242" i="19"/>
  <c r="K242" i="19"/>
  <c r="J168" i="19"/>
  <c r="K168" i="19"/>
  <c r="S168" i="19"/>
  <c r="S214" i="19"/>
  <c r="J214" i="19"/>
  <c r="K214" i="19"/>
  <c r="J216" i="19"/>
  <c r="K216" i="19"/>
  <c r="S216" i="19"/>
  <c r="S19" i="19"/>
  <c r="J19" i="19"/>
  <c r="K19" i="19"/>
  <c r="S102" i="19"/>
  <c r="J102" i="19"/>
  <c r="K102" i="19"/>
  <c r="J145" i="19"/>
  <c r="K145" i="19"/>
  <c r="S145" i="19"/>
  <c r="J115" i="19"/>
  <c r="K115" i="19"/>
  <c r="S115" i="19"/>
  <c r="J195" i="19"/>
  <c r="K195" i="19"/>
  <c r="S195" i="19"/>
  <c r="S250" i="19"/>
  <c r="J250" i="19"/>
  <c r="K250" i="19"/>
  <c r="J192" i="19"/>
  <c r="K192" i="19"/>
  <c r="S192" i="19"/>
  <c r="S183" i="19"/>
  <c r="J183" i="19"/>
  <c r="K183" i="19"/>
  <c r="S155" i="19"/>
  <c r="J155" i="19"/>
  <c r="K155" i="19"/>
  <c r="J208" i="19"/>
  <c r="K208" i="19"/>
  <c r="S208" i="19"/>
  <c r="AD26" i="21"/>
  <c r="AF26" i="21"/>
  <c r="V26" i="4"/>
  <c r="AA237" i="21"/>
  <c r="AD237" i="21"/>
  <c r="AF237" i="21"/>
  <c r="V248" i="4"/>
  <c r="AA203" i="21"/>
  <c r="AD203" i="21"/>
  <c r="AF203" i="21"/>
  <c r="V98" i="4"/>
  <c r="AA138" i="21"/>
  <c r="AD138" i="21"/>
  <c r="AF138" i="21"/>
  <c r="V145" i="4"/>
  <c r="AA241" i="21"/>
  <c r="AD241" i="21"/>
  <c r="AF241" i="21"/>
  <c r="V250" i="4"/>
  <c r="AA41" i="21"/>
  <c r="AD41" i="21"/>
  <c r="AF41" i="21"/>
  <c r="V41" i="4"/>
  <c r="AA162" i="21"/>
  <c r="AD162" i="21"/>
  <c r="AF162" i="21"/>
  <c r="V267" i="4"/>
  <c r="AA185" i="21"/>
  <c r="AD185" i="21"/>
  <c r="AF185" i="21"/>
  <c r="V196" i="4"/>
  <c r="AA71" i="21"/>
  <c r="AD71" i="21"/>
  <c r="AF71" i="21"/>
  <c r="V71" i="4"/>
  <c r="AA170" i="21"/>
  <c r="AD170" i="21"/>
  <c r="AF170" i="21"/>
  <c r="V180" i="4"/>
  <c r="AA122" i="21"/>
  <c r="AD122" i="21"/>
  <c r="AF122" i="21"/>
  <c r="AA88" i="21"/>
  <c r="AD88" i="21"/>
  <c r="AF88" i="21"/>
  <c r="V88" i="4"/>
  <c r="AA74" i="21"/>
  <c r="AD74" i="21"/>
  <c r="AF74" i="21"/>
  <c r="V74" i="4"/>
  <c r="AA231" i="21"/>
  <c r="AD231" i="21"/>
  <c r="AF231" i="21"/>
  <c r="V243" i="4"/>
  <c r="AA63" i="21"/>
  <c r="AD63" i="21"/>
  <c r="AF63" i="21"/>
  <c r="V63" i="4"/>
  <c r="AA239" i="21"/>
  <c r="AD239" i="21"/>
  <c r="AF239" i="21"/>
  <c r="V132" i="4"/>
  <c r="AA49" i="21"/>
  <c r="AD49" i="21"/>
  <c r="AF49" i="21"/>
  <c r="V49" i="4"/>
  <c r="AA111" i="21"/>
  <c r="AD111" i="21"/>
  <c r="AF111" i="21"/>
  <c r="V114" i="4"/>
  <c r="AA69" i="21"/>
  <c r="AD69" i="21"/>
  <c r="AF69" i="21"/>
  <c r="V69" i="4"/>
  <c r="AA92" i="21"/>
  <c r="AD92" i="21"/>
  <c r="AF92" i="21"/>
  <c r="V92" i="4"/>
  <c r="AA129" i="21"/>
  <c r="AD129" i="21"/>
  <c r="AF129" i="21"/>
  <c r="V134" i="4"/>
  <c r="AA32" i="21"/>
  <c r="AD32" i="21"/>
  <c r="AF32" i="21"/>
  <c r="V32" i="4"/>
  <c r="AA263" i="21"/>
  <c r="AD263" i="21"/>
  <c r="AF263" i="21"/>
  <c r="V271" i="4"/>
  <c r="AA188" i="21"/>
  <c r="AD188" i="21"/>
  <c r="AF188" i="21"/>
  <c r="V200" i="4"/>
  <c r="AA68" i="21"/>
  <c r="AD68" i="21"/>
  <c r="AF68" i="21"/>
  <c r="V68" i="4"/>
  <c r="AA177" i="21"/>
  <c r="AD177" i="21"/>
  <c r="AF177" i="21"/>
  <c r="V187" i="4"/>
  <c r="AA171" i="21"/>
  <c r="AD171" i="21"/>
  <c r="AF171" i="21"/>
  <c r="V181" i="4"/>
  <c r="AA173" i="21"/>
  <c r="AD173" i="21"/>
  <c r="AF173" i="21"/>
  <c r="V183" i="4"/>
  <c r="AA119" i="21"/>
  <c r="AD119" i="21"/>
  <c r="AF119" i="21"/>
  <c r="V123" i="4"/>
  <c r="AA38" i="21"/>
  <c r="AD38" i="21"/>
  <c r="AF38" i="21"/>
  <c r="V38" i="4"/>
  <c r="AA31" i="21"/>
  <c r="AD31" i="21"/>
  <c r="AF31" i="21"/>
  <c r="V31" i="4"/>
  <c r="AA27" i="21"/>
  <c r="AD27" i="21"/>
  <c r="AF27" i="21"/>
  <c r="V27" i="4"/>
  <c r="AA33" i="21"/>
  <c r="AD33" i="21"/>
  <c r="AF33" i="21"/>
  <c r="V33" i="4"/>
  <c r="AA87" i="21"/>
  <c r="AD87" i="21"/>
  <c r="AF87" i="21"/>
  <c r="V87" i="4"/>
  <c r="AA145" i="21"/>
  <c r="AD145" i="21"/>
  <c r="AF145" i="21"/>
  <c r="V152" i="4"/>
  <c r="AA167" i="21"/>
  <c r="AD167" i="21"/>
  <c r="AF167" i="21"/>
  <c r="V174" i="4"/>
  <c r="AA212" i="21"/>
  <c r="AD212" i="21"/>
  <c r="AF212" i="21"/>
  <c r="V226" i="4"/>
  <c r="AA126" i="21"/>
  <c r="AD126" i="21"/>
  <c r="AF126" i="21"/>
  <c r="V130" i="4"/>
  <c r="AA39" i="21"/>
  <c r="AD39" i="21"/>
  <c r="AF39" i="21"/>
  <c r="V39" i="4"/>
  <c r="AA214" i="21"/>
  <c r="AD214" i="21"/>
  <c r="AF214" i="21"/>
  <c r="V228" i="4"/>
  <c r="AA103" i="21"/>
  <c r="AD103" i="21"/>
  <c r="AF103" i="21"/>
  <c r="V105" i="4"/>
  <c r="AA46" i="21"/>
  <c r="AD46" i="21"/>
  <c r="AF46" i="21"/>
  <c r="V46" i="4"/>
  <c r="AA164" i="21"/>
  <c r="AD164" i="21"/>
  <c r="AF164" i="21"/>
  <c r="V171" i="4"/>
  <c r="AA65" i="21"/>
  <c r="AD65" i="21"/>
  <c r="AF65" i="21"/>
  <c r="V65" i="4"/>
  <c r="AA230" i="21"/>
  <c r="AD230" i="21"/>
  <c r="AF230" i="21"/>
  <c r="V242" i="4"/>
  <c r="AA232" i="21"/>
  <c r="AD232" i="21"/>
  <c r="AF232" i="21"/>
  <c r="V244" i="4"/>
  <c r="AA112" i="21"/>
  <c r="AD112" i="21"/>
  <c r="AF112" i="21"/>
  <c r="V115" i="4"/>
  <c r="AA128" i="21"/>
  <c r="AD128" i="21"/>
  <c r="AF128" i="21"/>
  <c r="V133" i="4"/>
  <c r="AA192" i="21"/>
  <c r="AD192" i="21"/>
  <c r="AF192" i="21"/>
  <c r="V204" i="4"/>
  <c r="AA213" i="21"/>
  <c r="AD213" i="21"/>
  <c r="AF213" i="21"/>
  <c r="V227" i="4"/>
  <c r="AA28" i="21"/>
  <c r="AD28" i="21"/>
  <c r="AF28" i="21"/>
  <c r="V28" i="4"/>
  <c r="AA52" i="21"/>
  <c r="AD52" i="21"/>
  <c r="AF52" i="21"/>
  <c r="V52" i="4"/>
  <c r="AA78" i="21"/>
  <c r="AD78" i="21"/>
  <c r="AF78" i="21"/>
  <c r="V78" i="4"/>
  <c r="AA90" i="21"/>
  <c r="AD90" i="21"/>
  <c r="AF90" i="21"/>
  <c r="V90" i="4"/>
  <c r="AA208" i="21"/>
  <c r="AD208" i="21"/>
  <c r="AF208" i="21"/>
  <c r="V222" i="4"/>
  <c r="AA179" i="21"/>
  <c r="AD179" i="21"/>
  <c r="AF179" i="21"/>
  <c r="V189" i="4"/>
  <c r="AA181" i="21"/>
  <c r="AD181" i="21"/>
  <c r="AF181" i="21"/>
  <c r="V191" i="4"/>
  <c r="AA180" i="21"/>
  <c r="AD180" i="21"/>
  <c r="AF180" i="21"/>
  <c r="V190" i="4"/>
  <c r="AA137" i="21"/>
  <c r="AD137" i="21"/>
  <c r="AF137" i="21"/>
  <c r="V143" i="4"/>
  <c r="AA159" i="21"/>
  <c r="AD159" i="21"/>
  <c r="AF159" i="21"/>
  <c r="V167" i="4"/>
  <c r="AA53" i="21"/>
  <c r="AD53" i="21"/>
  <c r="AF53" i="21"/>
  <c r="V53" i="4"/>
  <c r="AA163" i="21"/>
  <c r="AD163" i="21"/>
  <c r="AF163" i="21"/>
  <c r="V170" i="4"/>
  <c r="AA152" i="21"/>
  <c r="AD152" i="21"/>
  <c r="AF152" i="21"/>
  <c r="V159" i="4"/>
  <c r="AA226" i="21"/>
  <c r="AD226" i="21"/>
  <c r="AF226" i="21"/>
  <c r="V118" i="4"/>
  <c r="AA86" i="21"/>
  <c r="AD86" i="21"/>
  <c r="AF86" i="21"/>
  <c r="V86" i="4"/>
  <c r="AA66" i="21"/>
  <c r="AD66" i="21"/>
  <c r="AF66" i="21"/>
  <c r="V66" i="4"/>
  <c r="AA136" i="21"/>
  <c r="AD136" i="21"/>
  <c r="AF136" i="21"/>
  <c r="V142" i="4"/>
  <c r="AA220" i="21"/>
  <c r="AD220" i="21"/>
  <c r="AF220" i="21"/>
  <c r="V234" i="4"/>
  <c r="AA36" i="21"/>
  <c r="AD36" i="21"/>
  <c r="AF36" i="21"/>
  <c r="V36" i="4"/>
  <c r="AA184" i="21"/>
  <c r="AD184" i="21"/>
  <c r="AF184" i="21"/>
  <c r="V194" i="4"/>
  <c r="AA48" i="21"/>
  <c r="AD48" i="21"/>
  <c r="AF48" i="21"/>
  <c r="V48" i="4"/>
  <c r="AA242" i="21"/>
  <c r="AD242" i="21"/>
  <c r="AF242" i="21"/>
  <c r="V251" i="4"/>
  <c r="AA175" i="21"/>
  <c r="AD175" i="21"/>
  <c r="AF175" i="21"/>
  <c r="V185" i="4"/>
  <c r="AA153" i="21"/>
  <c r="AD153" i="21"/>
  <c r="AF153" i="21"/>
  <c r="V160" i="4"/>
  <c r="AA133" i="21"/>
  <c r="AD133" i="21"/>
  <c r="AF133" i="21"/>
  <c r="V138" i="4"/>
  <c r="AA218" i="21"/>
  <c r="AD218" i="21"/>
  <c r="AF218" i="21"/>
  <c r="V232" i="4"/>
  <c r="AA187" i="21"/>
  <c r="AD187" i="21"/>
  <c r="AF187" i="21"/>
  <c r="V199" i="4"/>
  <c r="AA182" i="21"/>
  <c r="AD182" i="21"/>
  <c r="AF182" i="21"/>
  <c r="V192" i="4"/>
  <c r="AA224" i="21"/>
  <c r="AD224" i="21"/>
  <c r="AF224" i="21"/>
  <c r="V238" i="4"/>
  <c r="AA202" i="21"/>
  <c r="AD202" i="21"/>
  <c r="AF202" i="21"/>
  <c r="AA255" i="21"/>
  <c r="AD255" i="21"/>
  <c r="AF255" i="21"/>
  <c r="V262" i="4"/>
  <c r="AA105" i="21"/>
  <c r="AD105" i="21"/>
  <c r="AF105" i="21"/>
  <c r="V107" i="4"/>
  <c r="AA101" i="21"/>
  <c r="AD101" i="21"/>
  <c r="AF101" i="21"/>
  <c r="V103" i="4"/>
  <c r="AA144" i="21"/>
  <c r="AD144" i="21"/>
  <c r="AF144" i="21"/>
  <c r="V151" i="4"/>
  <c r="AA43" i="21"/>
  <c r="AD43" i="21"/>
  <c r="AF43" i="21"/>
  <c r="V43" i="4"/>
  <c r="AA234" i="21"/>
  <c r="AD234" i="21"/>
  <c r="AF234" i="21"/>
  <c r="V246" i="4"/>
  <c r="AA67" i="21"/>
  <c r="AD67" i="21"/>
  <c r="AF67" i="21"/>
  <c r="V67" i="4"/>
  <c r="AA160" i="21"/>
  <c r="AD160" i="21"/>
  <c r="AF160" i="21"/>
  <c r="V168" i="4"/>
  <c r="AA45" i="21"/>
  <c r="AD45" i="21"/>
  <c r="AF45" i="21"/>
  <c r="V45" i="4"/>
  <c r="AA85" i="21"/>
  <c r="AD85" i="21"/>
  <c r="AF85" i="21"/>
  <c r="V85" i="4"/>
  <c r="AA194" i="21"/>
  <c r="AD194" i="21"/>
  <c r="AF194" i="21"/>
  <c r="V206" i="4"/>
  <c r="AA178" i="21"/>
  <c r="AD178" i="21"/>
  <c r="AF178" i="21"/>
  <c r="V188" i="4"/>
  <c r="AA216" i="21"/>
  <c r="AD216" i="21"/>
  <c r="AF216" i="21"/>
  <c r="V230" i="4"/>
  <c r="AA125" i="21"/>
  <c r="AD125" i="21"/>
  <c r="AF125" i="21"/>
  <c r="V129" i="4"/>
  <c r="AA30" i="21"/>
  <c r="AD30" i="21"/>
  <c r="AF30" i="21"/>
  <c r="V30" i="4"/>
  <c r="AA209" i="21"/>
  <c r="AD209" i="21"/>
  <c r="AF209" i="21"/>
  <c r="V223" i="4"/>
  <c r="AA80" i="21"/>
  <c r="AD80" i="21"/>
  <c r="AF80" i="21"/>
  <c r="V80" i="4"/>
  <c r="AA217" i="21"/>
  <c r="AD217" i="21"/>
  <c r="AF217" i="21"/>
  <c r="V231" i="4"/>
  <c r="AA165" i="21"/>
  <c r="AD165" i="21"/>
  <c r="AF165" i="21"/>
  <c r="V172" i="4"/>
  <c r="AA73" i="21"/>
  <c r="AD73" i="21"/>
  <c r="AF73" i="21"/>
  <c r="V73" i="4"/>
  <c r="AA190" i="21"/>
  <c r="AD190" i="21"/>
  <c r="AF190" i="21"/>
  <c r="V202" i="4"/>
  <c r="AA114" i="21"/>
  <c r="AD114" i="21"/>
  <c r="AF114" i="21"/>
  <c r="V117" i="4"/>
  <c r="AA176" i="21"/>
  <c r="AD176" i="21"/>
  <c r="AF176" i="21"/>
  <c r="V186" i="4"/>
  <c r="AA109" i="21"/>
  <c r="AD109" i="21"/>
  <c r="AF109" i="21"/>
  <c r="V112" i="4"/>
  <c r="AA249" i="21"/>
  <c r="AD249" i="21"/>
  <c r="AF249" i="21"/>
  <c r="V257" i="4"/>
  <c r="AA191" i="21"/>
  <c r="AD191" i="21"/>
  <c r="AF191" i="21"/>
  <c r="V203" i="4"/>
  <c r="AA215" i="21"/>
  <c r="AD215" i="21"/>
  <c r="AF215" i="21"/>
  <c r="V229" i="4"/>
  <c r="AA200" i="21"/>
  <c r="AD200" i="21"/>
  <c r="AF200" i="21"/>
  <c r="V212" i="4"/>
  <c r="AA84" i="21"/>
  <c r="AD84" i="21"/>
  <c r="AF84" i="21"/>
  <c r="V84" i="4"/>
  <c r="AA219" i="21"/>
  <c r="AD219" i="21"/>
  <c r="AF219" i="21"/>
  <c r="V233" i="4"/>
  <c r="AA251" i="21"/>
  <c r="AD251" i="21"/>
  <c r="AF251" i="21"/>
  <c r="V258" i="4"/>
  <c r="AA210" i="21"/>
  <c r="AD210" i="21"/>
  <c r="AF210" i="21"/>
  <c r="V224" i="4"/>
  <c r="AA140" i="21"/>
  <c r="AD140" i="21"/>
  <c r="AF140" i="21"/>
  <c r="V147" i="4"/>
  <c r="AA270" i="21"/>
  <c r="AD270" i="21"/>
  <c r="AF270" i="21"/>
  <c r="V277" i="4"/>
  <c r="AA189" i="21"/>
  <c r="AD189" i="21"/>
  <c r="AF189" i="21"/>
  <c r="V201" i="4"/>
  <c r="AA29" i="21"/>
  <c r="AD29" i="21"/>
  <c r="AF29" i="21"/>
  <c r="V29" i="4"/>
  <c r="AA174" i="21"/>
  <c r="AD174" i="21"/>
  <c r="AF174" i="21"/>
  <c r="V184" i="4"/>
  <c r="AA139" i="21"/>
  <c r="AD139" i="21"/>
  <c r="AF139" i="21"/>
  <c r="V146" i="4"/>
  <c r="AA222" i="21"/>
  <c r="AD222" i="21"/>
  <c r="AF222" i="21"/>
  <c r="V236" i="4"/>
  <c r="AA168" i="21"/>
  <c r="AD168" i="21"/>
  <c r="AF168" i="21"/>
  <c r="V175" i="4"/>
  <c r="AA223" i="21"/>
  <c r="AD223" i="21"/>
  <c r="AF223" i="21"/>
  <c r="V237" i="4"/>
  <c r="AA118" i="21"/>
  <c r="AD118" i="21"/>
  <c r="AF118" i="21"/>
  <c r="V122" i="4"/>
  <c r="AA225" i="21"/>
  <c r="AD225" i="21"/>
  <c r="AF225" i="21"/>
  <c r="AA107" i="21"/>
  <c r="AD107" i="21"/>
  <c r="AF107" i="21"/>
  <c r="V110" i="4"/>
  <c r="AA132" i="21"/>
  <c r="AD132" i="21"/>
  <c r="AF132" i="21"/>
  <c r="V137" i="4"/>
  <c r="AA50" i="21"/>
  <c r="AD50" i="21"/>
  <c r="AF50" i="21"/>
  <c r="V50" i="4"/>
  <c r="AA60" i="21"/>
  <c r="AD60" i="21"/>
  <c r="AF60" i="21"/>
  <c r="V60" i="4"/>
  <c r="AA240" i="21"/>
  <c r="AD240" i="21"/>
  <c r="AF240" i="21"/>
  <c r="V249" i="4"/>
  <c r="AA127" i="21"/>
  <c r="AD127" i="21"/>
  <c r="AF127" i="21"/>
  <c r="V131" i="4"/>
  <c r="AA252" i="21"/>
  <c r="AD252" i="21"/>
  <c r="AF252" i="21"/>
  <c r="V259" i="4"/>
  <c r="AA157" i="21"/>
  <c r="AD157" i="21"/>
  <c r="AF157" i="21"/>
  <c r="V165" i="4"/>
  <c r="AA253" i="21"/>
  <c r="AD253" i="21"/>
  <c r="AF253" i="21"/>
  <c r="V260" i="4"/>
  <c r="AA99" i="21"/>
  <c r="AD99" i="21"/>
  <c r="AF99" i="21"/>
  <c r="V101" i="4"/>
  <c r="AA207" i="21"/>
  <c r="AD207" i="21"/>
  <c r="AF207" i="21"/>
  <c r="V221" i="4"/>
  <c r="AA113" i="21"/>
  <c r="AD113" i="21"/>
  <c r="AF113" i="21"/>
  <c r="V116" i="4"/>
  <c r="AA93" i="21"/>
  <c r="AD93" i="21"/>
  <c r="AF93" i="21"/>
  <c r="V93" i="4"/>
  <c r="AA42" i="21"/>
  <c r="AD42" i="21"/>
  <c r="AF42" i="21"/>
  <c r="V42" i="4"/>
  <c r="AA193" i="21"/>
  <c r="AD193" i="21"/>
  <c r="AF193" i="21"/>
  <c r="V205" i="4"/>
  <c r="AA169" i="21"/>
  <c r="AD169" i="21"/>
  <c r="AF169" i="21"/>
  <c r="V176" i="4"/>
  <c r="AA227" i="21"/>
  <c r="AD227" i="21"/>
  <c r="AF227" i="21"/>
  <c r="V239" i="4"/>
  <c r="AA110" i="21"/>
  <c r="AD110" i="21"/>
  <c r="AF110" i="21"/>
  <c r="V113" i="4"/>
  <c r="AA142" i="21"/>
  <c r="AD142" i="21"/>
  <c r="AF142" i="21"/>
  <c r="V149" i="4"/>
  <c r="AA79" i="21"/>
  <c r="AD79" i="21"/>
  <c r="AF79" i="21"/>
  <c r="V79" i="4"/>
  <c r="AA233" i="21"/>
  <c r="AD233" i="21"/>
  <c r="AF233" i="21"/>
  <c r="V245" i="4"/>
  <c r="AA243" i="21"/>
  <c r="AD243" i="21"/>
  <c r="AF243" i="21"/>
  <c r="V141" i="4"/>
  <c r="AA150" i="21"/>
  <c r="AD150" i="21"/>
  <c r="AF150" i="21"/>
  <c r="V157" i="4"/>
  <c r="AA61" i="21"/>
  <c r="AD61" i="21"/>
  <c r="AF61" i="21"/>
  <c r="V61" i="4"/>
  <c r="AA106" i="21"/>
  <c r="AD106" i="21"/>
  <c r="AF106" i="21"/>
  <c r="V109" i="4"/>
  <c r="AA254" i="21"/>
  <c r="AD254" i="21"/>
  <c r="AF254" i="21"/>
  <c r="V261" i="4"/>
  <c r="AA198" i="21"/>
  <c r="AD198" i="21"/>
  <c r="AF198" i="21"/>
  <c r="V210" i="4"/>
  <c r="AA81" i="21"/>
  <c r="AD81" i="21"/>
  <c r="AF81" i="21"/>
  <c r="V81" i="4"/>
  <c r="AA56" i="21"/>
  <c r="AD56" i="21"/>
  <c r="AF56" i="21"/>
  <c r="V56" i="4"/>
  <c r="AA57" i="21"/>
  <c r="AD57" i="21"/>
  <c r="AF57" i="21"/>
  <c r="V57" i="4"/>
  <c r="AA47" i="21"/>
  <c r="AD47" i="21"/>
  <c r="AF47" i="21"/>
  <c r="V47" i="4"/>
  <c r="AA72" i="21"/>
  <c r="AD72" i="21"/>
  <c r="AF72" i="21"/>
  <c r="V72" i="4"/>
  <c r="AA201" i="21"/>
  <c r="AD201" i="21"/>
  <c r="AF201" i="21"/>
  <c r="V213" i="4"/>
  <c r="AA260" i="21"/>
  <c r="AD260" i="21"/>
  <c r="AF260" i="21"/>
  <c r="V268" i="4"/>
  <c r="AA206" i="21"/>
  <c r="AD206" i="21"/>
  <c r="AF206" i="21"/>
  <c r="V220" i="4"/>
  <c r="AA259" i="21"/>
  <c r="AD259" i="21"/>
  <c r="AF259" i="21"/>
  <c r="V266" i="4"/>
  <c r="AA116" i="21"/>
  <c r="AD116" i="21"/>
  <c r="AF116" i="21"/>
  <c r="V120" i="4"/>
  <c r="AA229" i="21"/>
  <c r="AD229" i="21"/>
  <c r="AF229" i="21"/>
  <c r="V241" i="4"/>
  <c r="AA34" i="21"/>
  <c r="AD34" i="21"/>
  <c r="AF34" i="21"/>
  <c r="V34" i="4"/>
  <c r="AA183" i="21"/>
  <c r="AD183" i="21"/>
  <c r="AF183" i="21"/>
  <c r="V193" i="4"/>
  <c r="AA91" i="21"/>
  <c r="AD91" i="21"/>
  <c r="AF91" i="21"/>
  <c r="V91" i="4"/>
  <c r="AA261" i="21"/>
  <c r="AD261" i="21"/>
  <c r="AF261" i="21"/>
  <c r="V269" i="4"/>
  <c r="AA70" i="21"/>
  <c r="AD70" i="21"/>
  <c r="AF70" i="21"/>
  <c r="V70" i="4"/>
  <c r="AA197" i="21"/>
  <c r="AD197" i="21"/>
  <c r="AF197" i="21"/>
  <c r="V209" i="4"/>
  <c r="AA121" i="21"/>
  <c r="AD121" i="21"/>
  <c r="AF121" i="21"/>
  <c r="V125" i="4"/>
  <c r="AA211" i="21"/>
  <c r="AD211" i="21"/>
  <c r="AF211" i="21"/>
  <c r="V225" i="4"/>
  <c r="AA100" i="21"/>
  <c r="AD100" i="21"/>
  <c r="AF100" i="21"/>
  <c r="V102" i="4"/>
  <c r="AA196" i="21"/>
  <c r="AD196" i="21"/>
  <c r="AF196" i="21"/>
  <c r="V208" i="4"/>
  <c r="AA62" i="21"/>
  <c r="AD62" i="21"/>
  <c r="AF62" i="21"/>
  <c r="V62" i="4"/>
  <c r="AA228" i="21"/>
  <c r="AD228" i="21"/>
  <c r="AF228" i="21"/>
  <c r="V240" i="4"/>
  <c r="AA267" i="21"/>
  <c r="AD267" i="21"/>
  <c r="AF267" i="21"/>
  <c r="V274" i="4"/>
  <c r="AA269" i="21"/>
  <c r="AD269" i="21"/>
  <c r="AF269" i="21"/>
  <c r="V276" i="4"/>
  <c r="AA248" i="21"/>
  <c r="AD248" i="21"/>
  <c r="AF248" i="21"/>
  <c r="V256" i="4"/>
  <c r="AA98" i="21"/>
  <c r="AD98" i="21"/>
  <c r="AF98" i="21"/>
  <c r="V100" i="4"/>
  <c r="AA147" i="21"/>
  <c r="AD147" i="21"/>
  <c r="AF147" i="21"/>
  <c r="V154" i="4"/>
  <c r="AA258" i="21"/>
  <c r="AD258" i="21"/>
  <c r="AF258" i="21"/>
  <c r="V265" i="4"/>
  <c r="AA199" i="21"/>
  <c r="AD199" i="21"/>
  <c r="AF199" i="21"/>
  <c r="V211" i="4"/>
  <c r="AA141" i="21"/>
  <c r="AD141" i="21"/>
  <c r="AF141" i="21"/>
  <c r="V148" i="4"/>
  <c r="AA104" i="21"/>
  <c r="AD104" i="21"/>
  <c r="AF104" i="21"/>
  <c r="V106" i="4"/>
  <c r="AA102" i="21"/>
  <c r="AD102" i="21"/>
  <c r="AF102" i="21"/>
  <c r="V104" i="4"/>
  <c r="AA268" i="21"/>
  <c r="AD268" i="21"/>
  <c r="AF268" i="21"/>
  <c r="V275" i="4"/>
  <c r="AA266" i="21"/>
  <c r="AD266" i="21"/>
  <c r="AF266" i="21"/>
  <c r="V273" i="4"/>
  <c r="AA134" i="21"/>
  <c r="AD134" i="21"/>
  <c r="AF134" i="21"/>
  <c r="V139" i="4"/>
  <c r="AA204" i="21"/>
  <c r="AD204" i="21"/>
  <c r="AF204" i="21"/>
  <c r="V218" i="4"/>
  <c r="AA264" i="21"/>
  <c r="AD264" i="21"/>
  <c r="AF264" i="21"/>
  <c r="AA64" i="21"/>
  <c r="AD64" i="21"/>
  <c r="AF64" i="21"/>
  <c r="V64" i="4"/>
  <c r="AA247" i="21"/>
  <c r="AD247" i="21"/>
  <c r="AF247" i="21"/>
  <c r="V255" i="4"/>
  <c r="AA151" i="21"/>
  <c r="AD151" i="21"/>
  <c r="AF151" i="21"/>
  <c r="V158" i="4"/>
  <c r="AA262" i="21"/>
  <c r="AD262" i="21"/>
  <c r="AF262" i="21"/>
  <c r="V270" i="4"/>
  <c r="AA148" i="21"/>
  <c r="AD148" i="21"/>
  <c r="AF148" i="21"/>
  <c r="V155" i="4"/>
  <c r="AA59" i="21"/>
  <c r="AD59" i="21"/>
  <c r="AF59" i="21"/>
  <c r="V59" i="4"/>
  <c r="AA35" i="21"/>
  <c r="AD35" i="21"/>
  <c r="AF35" i="21"/>
  <c r="V35" i="4"/>
  <c r="AA143" i="21"/>
  <c r="AD143" i="21"/>
  <c r="AF143" i="21"/>
  <c r="V150" i="4"/>
  <c r="AA257" i="21"/>
  <c r="AD257" i="21"/>
  <c r="AF257" i="21"/>
  <c r="V264" i="4"/>
  <c r="AA131" i="21"/>
  <c r="AD131" i="21"/>
  <c r="AF131" i="21"/>
  <c r="V136" i="4"/>
  <c r="AA238" i="21"/>
  <c r="AD238" i="21"/>
  <c r="AF238" i="21"/>
  <c r="AA236" i="21"/>
  <c r="AD236" i="21"/>
  <c r="AF236" i="21"/>
  <c r="V126" i="4"/>
  <c r="AA120" i="21"/>
  <c r="AD120" i="21"/>
  <c r="AF120" i="21"/>
  <c r="V124" i="4"/>
  <c r="AA154" i="21"/>
  <c r="AD154" i="21"/>
  <c r="AF154" i="21"/>
  <c r="V161" i="4"/>
  <c r="AA158" i="21"/>
  <c r="AD158" i="21"/>
  <c r="AF158" i="21"/>
  <c r="V166" i="4"/>
  <c r="AA244" i="21"/>
  <c r="AD244" i="21"/>
  <c r="AF244" i="21"/>
  <c r="V252" i="4"/>
  <c r="AA75" i="21"/>
  <c r="AD75" i="21"/>
  <c r="AF75" i="21"/>
  <c r="V75" i="4"/>
  <c r="AA205" i="21"/>
  <c r="AD205" i="21"/>
  <c r="AF205" i="21"/>
  <c r="V219" i="4"/>
  <c r="AA161" i="21"/>
  <c r="AD161" i="21"/>
  <c r="AF161" i="21"/>
  <c r="V169" i="4"/>
  <c r="AA250" i="21"/>
  <c r="AD250" i="21"/>
  <c r="AF250" i="21"/>
  <c r="V163" i="4"/>
  <c r="AA51" i="21"/>
  <c r="AD51" i="21"/>
  <c r="AF51" i="21"/>
  <c r="V51" i="4"/>
  <c r="AA166" i="21"/>
  <c r="AD166" i="21"/>
  <c r="AF166" i="21"/>
  <c r="V173" i="4"/>
  <c r="AA172" i="21"/>
  <c r="AD172" i="21"/>
  <c r="AF172" i="21"/>
  <c r="V182" i="4"/>
  <c r="AA256" i="21"/>
  <c r="AD256" i="21"/>
  <c r="AF256" i="21"/>
  <c r="V263" i="4"/>
  <c r="AA117" i="21"/>
  <c r="AD117" i="21"/>
  <c r="AF117" i="21"/>
  <c r="V121" i="4"/>
  <c r="AA89" i="21"/>
  <c r="AD89" i="21"/>
  <c r="AF89" i="21"/>
  <c r="V89" i="4"/>
  <c r="AA96" i="21"/>
  <c r="AD96" i="21"/>
  <c r="AF96" i="21"/>
  <c r="AA156" i="21"/>
  <c r="AD156" i="21"/>
  <c r="AF156" i="21"/>
  <c r="V164" i="4"/>
  <c r="AA40" i="21"/>
  <c r="AD40" i="21"/>
  <c r="AF40" i="21"/>
  <c r="V40" i="4"/>
  <c r="AA246" i="21"/>
  <c r="AD246" i="21"/>
  <c r="AF246" i="21"/>
  <c r="V254" i="4"/>
  <c r="AA54" i="21"/>
  <c r="AD54" i="21"/>
  <c r="AF54" i="21"/>
  <c r="V54" i="4"/>
  <c r="AA186" i="21"/>
  <c r="AD186" i="21"/>
  <c r="AF186" i="21"/>
  <c r="V197" i="4"/>
  <c r="AA235" i="21"/>
  <c r="AD235" i="21"/>
  <c r="AF235" i="21"/>
  <c r="V247" i="4"/>
  <c r="AA77" i="21"/>
  <c r="AD77" i="21"/>
  <c r="AF77" i="21"/>
  <c r="V77" i="4"/>
  <c r="AA94" i="21"/>
  <c r="AD94" i="21"/>
  <c r="AF94" i="21"/>
  <c r="V94" i="4"/>
  <c r="AA135" i="21"/>
  <c r="AD135" i="21"/>
  <c r="AF135" i="21"/>
  <c r="V140" i="4"/>
  <c r="AA221" i="21"/>
  <c r="AD221" i="21"/>
  <c r="AF221" i="21"/>
  <c r="V235" i="4"/>
  <c r="AA108" i="21"/>
  <c r="AD108" i="21"/>
  <c r="AF108" i="21"/>
  <c r="V111" i="4"/>
  <c r="AA149" i="21"/>
  <c r="AD149" i="21"/>
  <c r="AF149" i="21"/>
  <c r="V156" i="4"/>
  <c r="AA146" i="21"/>
  <c r="AD146" i="21"/>
  <c r="AF146" i="21"/>
  <c r="V153" i="4"/>
  <c r="AA55" i="21"/>
  <c r="AD55" i="21"/>
  <c r="AF55" i="21"/>
  <c r="V55" i="4"/>
  <c r="AA123" i="21"/>
  <c r="AD123" i="21"/>
  <c r="AF123" i="21"/>
  <c r="V127" i="4"/>
  <c r="AA124" i="21"/>
  <c r="AD124" i="21"/>
  <c r="AF124" i="21"/>
  <c r="V128" i="4"/>
  <c r="AA83" i="21"/>
  <c r="AD83" i="21"/>
  <c r="AF83" i="21"/>
  <c r="V83" i="4"/>
  <c r="AA82" i="21"/>
  <c r="AD82" i="21"/>
  <c r="AF82" i="21"/>
  <c r="V82" i="4"/>
  <c r="AA265" i="21"/>
  <c r="AD265" i="21"/>
  <c r="AF265" i="21"/>
  <c r="V272" i="4"/>
  <c r="AA155" i="21"/>
  <c r="AD155" i="21"/>
  <c r="AF155" i="21"/>
  <c r="V162" i="4"/>
  <c r="AA130" i="21"/>
  <c r="AD130" i="21"/>
  <c r="AF130" i="21"/>
  <c r="V135" i="4"/>
  <c r="AA195" i="21"/>
  <c r="AD195" i="21"/>
  <c r="AF195" i="21"/>
  <c r="V207" i="4"/>
  <c r="AA97" i="21"/>
  <c r="AD97" i="21"/>
  <c r="AF97" i="21"/>
  <c r="V99" i="4"/>
  <c r="AA95" i="21"/>
  <c r="AD95" i="21"/>
  <c r="AF95" i="21"/>
  <c r="V97" i="4"/>
  <c r="AA76" i="21"/>
  <c r="AD76" i="21"/>
  <c r="AF76" i="21"/>
  <c r="V76" i="4"/>
  <c r="AA245" i="21"/>
  <c r="AD245" i="21"/>
  <c r="AF245" i="21"/>
  <c r="V253" i="4"/>
  <c r="AA115" i="21"/>
  <c r="AD115" i="21"/>
  <c r="AF115" i="21"/>
  <c r="V119" i="4"/>
  <c r="S19" i="4"/>
  <c r="R23" i="4" a="1"/>
  <c r="R23" i="4"/>
  <c r="R22" i="4" a="1"/>
  <c r="R22" i="4"/>
  <c r="S22" i="4"/>
  <c r="R34" i="18"/>
  <c r="S34" i="18"/>
  <c r="R33" i="18"/>
  <c r="S33" i="18"/>
  <c r="R35" i="18"/>
  <c r="S35" i="18"/>
  <c r="R36" i="18"/>
  <c r="S36" i="18"/>
  <c r="R32" i="18"/>
  <c r="S32" i="18"/>
  <c r="R37" i="18"/>
  <c r="S37" i="18"/>
  <c r="K4" i="19"/>
  <c r="K5" i="19"/>
  <c r="R43" i="18"/>
  <c r="S43" i="18"/>
  <c r="R41" i="18"/>
  <c r="S41" i="18"/>
  <c r="R40" i="18"/>
  <c r="S40" i="18"/>
  <c r="R39" i="18"/>
  <c r="S39" i="18"/>
  <c r="R42" i="18"/>
  <c r="S42" i="18"/>
  <c r="R38" i="18"/>
  <c r="S38" i="18"/>
  <c r="R44" i="18"/>
  <c r="S44" i="18"/>
  <c r="R251" i="18"/>
  <c r="S251" i="18"/>
  <c r="R266" i="18"/>
  <c r="S266" i="18"/>
  <c r="R265" i="18"/>
  <c r="S265" i="18"/>
  <c r="R267" i="18"/>
  <c r="S267" i="18"/>
  <c r="R274" i="18"/>
  <c r="S274" i="18"/>
  <c r="R253" i="18"/>
  <c r="S253" i="18"/>
  <c r="R256" i="18"/>
  <c r="S256" i="18"/>
  <c r="R254" i="18"/>
  <c r="S254" i="18"/>
  <c r="R247" i="18"/>
  <c r="S247" i="18"/>
  <c r="R263" i="18"/>
  <c r="S263" i="18"/>
  <c r="R269" i="18"/>
  <c r="S269" i="18"/>
  <c r="R249" i="18"/>
  <c r="S249" i="18"/>
  <c r="R246" i="18"/>
  <c r="S246" i="18"/>
  <c r="R271" i="18"/>
  <c r="S271" i="18"/>
  <c r="R264" i="18"/>
  <c r="S264" i="18"/>
  <c r="R261" i="18"/>
  <c r="S261" i="18"/>
  <c r="R270" i="18"/>
  <c r="S270" i="18"/>
  <c r="R250" i="18"/>
  <c r="S250" i="18"/>
  <c r="R255" i="18"/>
  <c r="S255" i="18"/>
  <c r="R248" i="18"/>
  <c r="S248" i="18"/>
  <c r="R252" i="18"/>
  <c r="S252" i="18"/>
  <c r="R262" i="18"/>
  <c r="S262" i="18"/>
  <c r="R257" i="18"/>
  <c r="S257" i="18"/>
  <c r="R259" i="18"/>
  <c r="S259" i="18"/>
  <c r="R268" i="18"/>
  <c r="S268" i="18"/>
  <c r="R273" i="18"/>
  <c r="S273" i="18"/>
  <c r="R258" i="18"/>
  <c r="S258" i="18"/>
  <c r="R272" i="18"/>
  <c r="S272" i="18"/>
  <c r="R260" i="18"/>
  <c r="S260" i="18"/>
  <c r="R245" i="18"/>
  <c r="S245" i="18"/>
  <c r="R203" i="18"/>
  <c r="S203" i="18"/>
  <c r="R238" i="18"/>
  <c r="S238" i="18"/>
  <c r="R226" i="18"/>
  <c r="S226" i="18"/>
  <c r="R211" i="18"/>
  <c r="S211" i="18"/>
  <c r="R202" i="18"/>
  <c r="S202" i="18"/>
  <c r="R209" i="18"/>
  <c r="S209" i="18"/>
  <c r="R199" i="18"/>
  <c r="S199" i="18"/>
  <c r="R230" i="18"/>
  <c r="S230" i="18"/>
  <c r="R195" i="18"/>
  <c r="S195" i="18"/>
  <c r="R200" i="18"/>
  <c r="S200" i="18"/>
  <c r="R239" i="18"/>
  <c r="S239" i="18"/>
  <c r="R224" i="18"/>
  <c r="S224" i="18"/>
  <c r="R231" i="18"/>
  <c r="S231" i="18"/>
  <c r="R215" i="18"/>
  <c r="S215" i="18"/>
  <c r="R233" i="18"/>
  <c r="S233" i="18"/>
  <c r="R241" i="18"/>
  <c r="S241" i="18"/>
  <c r="R197" i="18"/>
  <c r="S197" i="18"/>
  <c r="R223" i="18"/>
  <c r="S223" i="18"/>
  <c r="R237" i="18"/>
  <c r="S237" i="18"/>
  <c r="R217" i="18"/>
  <c r="S217" i="18"/>
  <c r="R210" i="18"/>
  <c r="S210" i="18"/>
  <c r="R242" i="18"/>
  <c r="S242" i="18"/>
  <c r="R206" i="18"/>
  <c r="S206" i="18"/>
  <c r="R205" i="18"/>
  <c r="S205" i="18"/>
  <c r="R218" i="18"/>
  <c r="S218" i="18"/>
  <c r="R204" i="18"/>
  <c r="S204" i="18"/>
  <c r="R227" i="18"/>
  <c r="S227" i="18"/>
  <c r="R240" i="18"/>
  <c r="S240" i="18"/>
  <c r="R207" i="18"/>
  <c r="S207" i="18"/>
  <c r="R198" i="18"/>
  <c r="S198" i="18"/>
  <c r="R232" i="18"/>
  <c r="S232" i="18"/>
  <c r="R219" i="18"/>
  <c r="S219" i="18"/>
  <c r="R229" i="18"/>
  <c r="S229" i="18"/>
  <c r="R216" i="18"/>
  <c r="S216" i="18"/>
  <c r="R243" i="18"/>
  <c r="S243" i="18"/>
  <c r="R221" i="18"/>
  <c r="S221" i="18"/>
  <c r="R201" i="18"/>
  <c r="S201" i="18"/>
  <c r="R234" i="18"/>
  <c r="S234" i="18"/>
  <c r="R212" i="18"/>
  <c r="S212" i="18"/>
  <c r="R235" i="18"/>
  <c r="S235" i="18"/>
  <c r="R220" i="18"/>
  <c r="S220" i="18"/>
  <c r="R222" i="18"/>
  <c r="S222" i="18"/>
  <c r="R236" i="18"/>
  <c r="S236" i="18"/>
  <c r="R208" i="18"/>
  <c r="S208" i="18"/>
  <c r="R225" i="18"/>
  <c r="S225" i="18"/>
  <c r="R244" i="18"/>
  <c r="S244" i="18"/>
  <c r="R228" i="18"/>
  <c r="S228" i="18"/>
  <c r="R214" i="18"/>
  <c r="S214" i="18"/>
  <c r="R196" i="18"/>
  <c r="S196" i="18"/>
  <c r="R213" i="18"/>
  <c r="S213" i="18"/>
  <c r="R165" i="18"/>
  <c r="S165" i="18"/>
  <c r="R132" i="18"/>
  <c r="S132" i="18"/>
  <c r="R188" i="18"/>
  <c r="S188" i="18"/>
  <c r="R154" i="18"/>
  <c r="S154" i="18"/>
  <c r="R168" i="18"/>
  <c r="S168" i="18"/>
  <c r="R177" i="18"/>
  <c r="S177" i="18"/>
  <c r="R178" i="18"/>
  <c r="S178" i="18"/>
  <c r="R142" i="18"/>
  <c r="S142" i="18"/>
  <c r="R150" i="18"/>
  <c r="S150" i="18"/>
  <c r="R135" i="18"/>
  <c r="S135" i="18"/>
  <c r="R173" i="18"/>
  <c r="S173" i="18"/>
  <c r="R179" i="18"/>
  <c r="S179" i="18"/>
  <c r="R175" i="18"/>
  <c r="S175" i="18"/>
  <c r="R166" i="18"/>
  <c r="S166" i="18"/>
  <c r="R182" i="18"/>
  <c r="S182" i="18"/>
  <c r="R162" i="18"/>
  <c r="S162" i="18"/>
  <c r="R149" i="18"/>
  <c r="S149" i="18"/>
  <c r="R133" i="18"/>
  <c r="S133" i="18"/>
  <c r="R139" i="18"/>
  <c r="S139" i="18"/>
  <c r="R159" i="18"/>
  <c r="S159" i="18"/>
  <c r="R187" i="18"/>
  <c r="S187" i="18"/>
  <c r="R151" i="18"/>
  <c r="S151" i="18"/>
  <c r="R185" i="18"/>
  <c r="S185" i="18"/>
  <c r="R146" i="18"/>
  <c r="S146" i="18"/>
  <c r="R140" i="18"/>
  <c r="S140" i="18"/>
  <c r="R167" i="18"/>
  <c r="S167" i="18"/>
  <c r="R186" i="18"/>
  <c r="S186" i="18"/>
  <c r="R158" i="18"/>
  <c r="S158" i="18"/>
  <c r="R134" i="18"/>
  <c r="S134" i="18"/>
  <c r="R129" i="18"/>
  <c r="S129" i="18"/>
  <c r="R170" i="18"/>
  <c r="S170" i="18"/>
  <c r="R143" i="18"/>
  <c r="S143" i="18"/>
  <c r="R153" i="18"/>
  <c r="S153" i="18"/>
  <c r="R171" i="18"/>
  <c r="S171" i="18"/>
  <c r="R193" i="18"/>
  <c r="S193" i="18"/>
  <c r="R183" i="18"/>
  <c r="S183" i="18"/>
  <c r="R155" i="18"/>
  <c r="S155" i="18"/>
  <c r="R190" i="18"/>
  <c r="S190" i="18"/>
  <c r="R130" i="18"/>
  <c r="S130" i="18"/>
  <c r="R194" i="18"/>
  <c r="S194" i="18"/>
  <c r="R148" i="18"/>
  <c r="S148" i="18"/>
  <c r="R161" i="18"/>
  <c r="S161" i="18"/>
  <c r="R172" i="18"/>
  <c r="S172" i="18"/>
  <c r="R157" i="18"/>
  <c r="S157" i="18"/>
  <c r="R176" i="18"/>
  <c r="S176" i="18"/>
  <c r="R164" i="18"/>
  <c r="S164" i="18"/>
  <c r="R169" i="18"/>
  <c r="S169" i="18"/>
  <c r="R184" i="18"/>
  <c r="S184" i="18"/>
  <c r="R192" i="18"/>
  <c r="S192" i="18"/>
  <c r="R137" i="18"/>
  <c r="S137" i="18"/>
  <c r="R144" i="18"/>
  <c r="S144" i="18"/>
  <c r="R152" i="18"/>
  <c r="S152" i="18"/>
  <c r="R163" i="18"/>
  <c r="S163" i="18"/>
  <c r="R136" i="18"/>
  <c r="S136" i="18"/>
  <c r="R160" i="18"/>
  <c r="S160" i="18"/>
  <c r="R189" i="18"/>
  <c r="S189" i="18"/>
  <c r="R156" i="18"/>
  <c r="S156" i="18"/>
  <c r="R191" i="18"/>
  <c r="S191" i="18"/>
  <c r="R131" i="18"/>
  <c r="S131" i="18"/>
  <c r="R180" i="18"/>
  <c r="S180" i="18"/>
  <c r="R174" i="18"/>
  <c r="S174" i="18"/>
  <c r="R138" i="18"/>
  <c r="S138" i="18"/>
  <c r="R141" i="18"/>
  <c r="S141" i="18"/>
  <c r="R145" i="18"/>
  <c r="S145" i="18"/>
  <c r="R147" i="18"/>
  <c r="S147" i="18"/>
  <c r="R181" i="18"/>
  <c r="S181" i="18"/>
  <c r="R26" i="18"/>
  <c r="S26" i="18"/>
  <c r="R28" i="18"/>
  <c r="S28" i="18"/>
  <c r="R27" i="18"/>
  <c r="S27" i="18"/>
  <c r="R31" i="18"/>
  <c r="S31" i="18"/>
  <c r="R30" i="18"/>
  <c r="S30" i="18"/>
  <c r="R29" i="18"/>
  <c r="S29" i="18"/>
  <c r="R48" i="18"/>
  <c r="S48" i="18"/>
  <c r="R52" i="18"/>
  <c r="S52" i="18"/>
  <c r="R55" i="18"/>
  <c r="S55" i="18"/>
  <c r="R51" i="18"/>
  <c r="S51" i="18"/>
  <c r="R47" i="18"/>
  <c r="S47" i="18"/>
  <c r="R54" i="18"/>
  <c r="S54" i="18"/>
  <c r="R49" i="18"/>
  <c r="S49" i="18"/>
  <c r="R59" i="18"/>
  <c r="S59" i="18"/>
  <c r="R46" i="18"/>
  <c r="S46" i="18"/>
  <c r="R58" i="18"/>
  <c r="S58" i="18"/>
  <c r="R56" i="18"/>
  <c r="S56" i="18"/>
  <c r="R45" i="18"/>
  <c r="S45" i="18"/>
  <c r="R53" i="18"/>
  <c r="S53" i="18"/>
  <c r="R57" i="18"/>
  <c r="S57" i="18"/>
  <c r="R50" i="18"/>
  <c r="S50" i="18"/>
  <c r="R60" i="18"/>
  <c r="S60" i="18"/>
  <c r="R61" i="18"/>
  <c r="S61" i="18"/>
  <c r="R63" i="18"/>
  <c r="S63" i="18"/>
  <c r="R64" i="18"/>
  <c r="S64" i="18"/>
  <c r="R65" i="18"/>
  <c r="S65" i="18"/>
  <c r="R75" i="18"/>
  <c r="S75" i="18"/>
  <c r="R76" i="18"/>
  <c r="S76" i="18"/>
  <c r="R73" i="18"/>
  <c r="S73" i="18"/>
  <c r="R68" i="18"/>
  <c r="S68" i="18"/>
  <c r="R79" i="18"/>
  <c r="S79" i="18"/>
  <c r="R66" i="18"/>
  <c r="S66" i="18"/>
  <c r="R69" i="18"/>
  <c r="S69" i="18"/>
  <c r="R70" i="18"/>
  <c r="S70" i="18"/>
  <c r="R74" i="18"/>
  <c r="S74" i="18"/>
  <c r="R67" i="18"/>
  <c r="S67" i="18"/>
  <c r="R71" i="18"/>
  <c r="S71" i="18"/>
  <c r="R78" i="18"/>
  <c r="S78" i="18"/>
  <c r="R77" i="18"/>
  <c r="S77" i="18"/>
  <c r="R72" i="18"/>
  <c r="S72" i="18"/>
  <c r="R62" i="18"/>
  <c r="S62" i="18"/>
  <c r="R90" i="18"/>
  <c r="S90" i="18"/>
  <c r="R93" i="18"/>
  <c r="S93" i="18"/>
  <c r="R92" i="18"/>
  <c r="S92" i="18"/>
  <c r="R112" i="18"/>
  <c r="S112" i="18"/>
  <c r="R107" i="18"/>
  <c r="S107" i="18"/>
  <c r="R122" i="18"/>
  <c r="S122" i="18"/>
  <c r="R109" i="18"/>
  <c r="S109" i="18"/>
  <c r="R98" i="18"/>
  <c r="S98" i="18"/>
  <c r="R99" i="18"/>
  <c r="S99" i="18"/>
  <c r="R114" i="18"/>
  <c r="S114" i="18"/>
  <c r="R89" i="18"/>
  <c r="S89" i="18"/>
  <c r="R124" i="18"/>
  <c r="S124" i="18"/>
  <c r="R106" i="18"/>
  <c r="S106" i="18"/>
  <c r="R104" i="18"/>
  <c r="S104" i="18"/>
  <c r="R101" i="18"/>
  <c r="S101" i="18"/>
  <c r="R116" i="18"/>
  <c r="S116" i="18"/>
  <c r="R86" i="18"/>
  <c r="S86" i="18"/>
  <c r="R85" i="18"/>
  <c r="S85" i="18"/>
  <c r="R83" i="18"/>
  <c r="S83" i="18"/>
  <c r="R127" i="18"/>
  <c r="S127" i="18"/>
  <c r="R121" i="18"/>
  <c r="S121" i="18"/>
  <c r="R80" i="18"/>
  <c r="S80" i="18"/>
  <c r="R105" i="18"/>
  <c r="S105" i="18"/>
  <c r="R94" i="18"/>
  <c r="S94" i="18"/>
  <c r="R117" i="18"/>
  <c r="S117" i="18"/>
  <c r="R123" i="18"/>
  <c r="S123" i="18"/>
  <c r="R102" i="18"/>
  <c r="S102" i="18"/>
  <c r="R125" i="18"/>
  <c r="S125" i="18"/>
  <c r="R108" i="18"/>
  <c r="S108" i="18"/>
  <c r="R97" i="18"/>
  <c r="S97" i="18"/>
  <c r="R120" i="18"/>
  <c r="S120" i="18"/>
  <c r="R95" i="18"/>
  <c r="S95" i="18"/>
  <c r="R111" i="18"/>
  <c r="S111" i="18"/>
  <c r="R84" i="18"/>
  <c r="S84" i="18"/>
  <c r="R88" i="18"/>
  <c r="S88" i="18"/>
  <c r="R128" i="18"/>
  <c r="S128" i="18"/>
  <c r="R96" i="18"/>
  <c r="S96" i="18"/>
  <c r="R81" i="18"/>
  <c r="S81" i="18"/>
  <c r="R119" i="18"/>
  <c r="S119" i="18"/>
  <c r="R87" i="18"/>
  <c r="S87" i="18"/>
  <c r="R126" i="18"/>
  <c r="S126" i="18"/>
  <c r="R118" i="18"/>
  <c r="S118" i="18"/>
  <c r="R100" i="18"/>
  <c r="S100" i="18"/>
  <c r="R103" i="18"/>
  <c r="S103" i="18"/>
  <c r="R82" i="18"/>
  <c r="S82" i="18"/>
  <c r="R110" i="18"/>
  <c r="S110" i="18"/>
  <c r="R91" i="18"/>
  <c r="S91" i="18"/>
  <c r="R113" i="18"/>
  <c r="S113" i="18"/>
  <c r="R115" i="18"/>
  <c r="S115" i="18"/>
  <c r="S88" i="4"/>
  <c r="S63" i="4"/>
  <c r="S95" i="4"/>
  <c r="AA23" i="21"/>
  <c r="AA25" i="21"/>
  <c r="V23" i="4"/>
  <c r="S26" i="4"/>
  <c r="S87" i="4"/>
  <c r="S262" i="4"/>
  <c r="S209" i="4"/>
  <c r="S215" i="4"/>
  <c r="S124" i="4"/>
  <c r="S176" i="4"/>
  <c r="S231" i="4"/>
  <c r="S134" i="4"/>
  <c r="S43" i="4"/>
  <c r="S99" i="4"/>
  <c r="S156" i="4"/>
  <c r="S45" i="4"/>
  <c r="S46" i="4"/>
  <c r="S246" i="4"/>
  <c r="S174" i="4"/>
  <c r="S32" i="4"/>
  <c r="S205" i="4"/>
  <c r="S169" i="4"/>
  <c r="S185" i="4"/>
  <c r="S78" i="4"/>
  <c r="S275" i="4"/>
  <c r="S196" i="4"/>
  <c r="S202" i="4"/>
  <c r="S112" i="4"/>
  <c r="S80" i="4"/>
  <c r="S167" i="4"/>
  <c r="S159" i="4"/>
  <c r="S158" i="4"/>
  <c r="S178" i="4"/>
  <c r="S264" i="4"/>
  <c r="S263" i="4"/>
  <c r="S67" i="4"/>
  <c r="S142" i="4"/>
  <c r="S149" i="4"/>
  <c r="S31" i="4"/>
  <c r="S224" i="4"/>
  <c r="S93" i="4"/>
  <c r="S248" i="4"/>
  <c r="S200" i="4"/>
  <c r="S152" i="4"/>
  <c r="S75" i="4"/>
  <c r="S252" i="4"/>
  <c r="S245" i="4"/>
  <c r="S125" i="4"/>
  <c r="S145" i="4"/>
  <c r="S40" i="4"/>
  <c r="S172" i="4"/>
  <c r="S120" i="4"/>
  <c r="S277" i="4"/>
  <c r="S50" i="4"/>
  <c r="S217" i="4"/>
  <c r="S79" i="4"/>
  <c r="S129" i="4"/>
  <c r="S92" i="4"/>
  <c r="S34" i="4"/>
  <c r="S103" i="4"/>
  <c r="S210" i="4"/>
  <c r="S141" i="4"/>
  <c r="S140" i="4"/>
  <c r="S94" i="4"/>
  <c r="S133" i="4"/>
  <c r="S189" i="4"/>
  <c r="S116" i="4"/>
  <c r="S166" i="4"/>
  <c r="S139" i="4"/>
  <c r="S164" i="4"/>
  <c r="S187" i="4"/>
  <c r="S61" i="4"/>
  <c r="S91" i="4"/>
  <c r="S60" i="4"/>
  <c r="S222" i="4"/>
  <c r="S128" i="4"/>
  <c r="S268" i="4"/>
  <c r="S54" i="4"/>
  <c r="S184" i="4"/>
  <c r="S219" i="4"/>
  <c r="S249" i="4"/>
  <c r="S183" i="4"/>
  <c r="S38" i="4"/>
  <c r="S117" i="4"/>
  <c r="S179" i="4"/>
  <c r="S37" i="4"/>
  <c r="S64" i="4"/>
  <c r="S35" i="4"/>
  <c r="S253" i="4"/>
  <c r="S265" i="4"/>
  <c r="S44" i="4"/>
  <c r="S182" i="4"/>
  <c r="S77" i="4"/>
  <c r="S55" i="4"/>
  <c r="S175" i="4"/>
  <c r="S228" i="4"/>
  <c r="S229" i="4"/>
  <c r="S226" i="4"/>
  <c r="S49" i="4"/>
  <c r="S235" i="4"/>
  <c r="S171" i="4"/>
  <c r="S154" i="4"/>
  <c r="S186" i="4"/>
  <c r="S278" i="4"/>
  <c r="S109" i="4"/>
  <c r="S157" i="4"/>
  <c r="S199" i="4"/>
  <c r="S194" i="4"/>
  <c r="S216" i="4"/>
  <c r="S153" i="4"/>
  <c r="S173" i="4"/>
  <c r="S122" i="4"/>
  <c r="S135" i="4"/>
  <c r="S76" i="4"/>
  <c r="S66" i="4"/>
  <c r="S180" i="4"/>
  <c r="S221" i="4"/>
  <c r="S239" i="4"/>
  <c r="S274" i="4"/>
  <c r="S206" i="4"/>
  <c r="S261" i="4"/>
  <c r="S70" i="4"/>
  <c r="S102" i="4"/>
  <c r="S147" i="4"/>
  <c r="S42" i="4"/>
  <c r="S110" i="4"/>
  <c r="S89" i="4"/>
  <c r="S188" i="4"/>
  <c r="S96" i="4"/>
  <c r="S144" i="4"/>
  <c r="S33" i="4"/>
  <c r="S227" i="4"/>
  <c r="S232" i="4"/>
  <c r="S68" i="4"/>
  <c r="S51" i="4"/>
  <c r="S272" i="4"/>
  <c r="S162" i="4"/>
  <c r="S30" i="4"/>
  <c r="S101" i="4"/>
  <c r="S270" i="4"/>
  <c r="S241" i="4"/>
  <c r="S113" i="4"/>
  <c r="S220" i="4"/>
  <c r="S107" i="4"/>
  <c r="S104" i="4"/>
  <c r="S86" i="4"/>
  <c r="S81" i="4"/>
  <c r="S131" i="4"/>
  <c r="S161" i="4"/>
  <c r="S111" i="4"/>
  <c r="S269" i="4"/>
  <c r="S36" i="4"/>
  <c r="S267" i="4"/>
  <c r="S106" i="4"/>
  <c r="S266" i="4"/>
  <c r="S143" i="4"/>
  <c r="S244" i="4"/>
  <c r="S214" i="4"/>
  <c r="S62" i="4"/>
  <c r="S260" i="4"/>
  <c r="S237" i="4"/>
  <c r="S233" i="4"/>
  <c r="S234" i="4"/>
  <c r="S118" i="4"/>
  <c r="S48" i="4"/>
  <c r="S115" i="4"/>
  <c r="S259" i="4"/>
  <c r="S192" i="4"/>
  <c r="S69" i="4"/>
  <c r="S121" i="4"/>
  <c r="S213" i="4"/>
  <c r="S146" i="4"/>
  <c r="S39" i="4"/>
  <c r="S97" i="4"/>
  <c r="S201" i="4"/>
  <c r="S165" i="4"/>
  <c r="S276" i="4"/>
  <c r="S56" i="4"/>
  <c r="S254" i="4"/>
  <c r="S223" i="4"/>
  <c r="S119" i="4"/>
  <c r="S197" i="4"/>
  <c r="S90" i="4"/>
  <c r="S41" i="4"/>
  <c r="S98" i="4"/>
  <c r="S198" i="4"/>
  <c r="S132" i="4"/>
  <c r="S138" i="4"/>
  <c r="S238" i="4"/>
  <c r="S251" i="4"/>
  <c r="S247" i="4"/>
  <c r="S47" i="4"/>
  <c r="S207" i="4"/>
  <c r="S137" i="4"/>
  <c r="S193" i="4"/>
  <c r="S65" i="4"/>
  <c r="S255" i="4"/>
  <c r="S126" i="4"/>
  <c r="S168" i="4"/>
  <c r="S181" i="4"/>
  <c r="S208" i="4"/>
  <c r="S27" i="4"/>
  <c r="S53" i="4"/>
  <c r="S218" i="4"/>
  <c r="S82" i="4"/>
  <c r="S123" i="4"/>
  <c r="S212" i="4"/>
  <c r="S191" i="4"/>
  <c r="S72" i="4"/>
  <c r="S71" i="4"/>
  <c r="S204" i="4"/>
  <c r="S85" i="4"/>
  <c r="S73" i="4"/>
  <c r="S170" i="4"/>
  <c r="S240" i="4"/>
  <c r="S257" i="4"/>
  <c r="S271" i="4"/>
  <c r="S114" i="4"/>
  <c r="S150" i="4"/>
  <c r="S230" i="4"/>
  <c r="S84" i="4"/>
  <c r="S242" i="4"/>
  <c r="S136" i="4"/>
  <c r="S160" i="4"/>
  <c r="S83" i="4"/>
  <c r="S258" i="4"/>
  <c r="S58" i="4"/>
  <c r="S74" i="4"/>
  <c r="S57" i="4"/>
  <c r="S52" i="4"/>
  <c r="S105" i="4"/>
  <c r="S59" i="4"/>
  <c r="S108" i="4"/>
  <c r="S177" i="4"/>
  <c r="S273" i="4"/>
  <c r="S29" i="4"/>
  <c r="S127" i="4"/>
  <c r="S190" i="4"/>
  <c r="S100" i="4"/>
  <c r="S195" i="4"/>
  <c r="S225" i="4"/>
  <c r="S211" i="4"/>
  <c r="S151" i="4"/>
  <c r="S250" i="4"/>
  <c r="S256" i="4"/>
  <c r="S236" i="4"/>
  <c r="S155" i="4"/>
  <c r="S203" i="4"/>
  <c r="S243" i="4"/>
  <c r="S28" i="4"/>
  <c r="S130" i="4"/>
  <c r="S163" i="4"/>
  <c r="S148" i="4"/>
  <c r="S24" i="18"/>
  <c r="U82" i="18"/>
  <c r="S25" i="18"/>
  <c r="U72" i="18"/>
  <c r="U221" i="18"/>
  <c r="W161" i="18"/>
  <c r="U95" i="18"/>
  <c r="U109" i="18"/>
  <c r="U117" i="18"/>
  <c r="U46" i="18"/>
  <c r="W114" i="18"/>
  <c r="W258" i="18"/>
  <c r="W129" i="18"/>
  <c r="W43" i="18"/>
  <c r="U202" i="18"/>
  <c r="U196" i="18"/>
  <c r="W240" i="18"/>
  <c r="W173" i="18"/>
  <c r="U223" i="18"/>
  <c r="S25" i="4"/>
  <c r="S23" i="4"/>
  <c r="W135" i="18"/>
  <c r="W120" i="18"/>
  <c r="W207" i="18"/>
  <c r="U55" i="18"/>
  <c r="W28" i="18"/>
  <c r="U163" i="18"/>
  <c r="U241" i="18"/>
  <c r="U264" i="18"/>
  <c r="U61" i="18"/>
  <c r="U133" i="18"/>
  <c r="U119" i="18"/>
  <c r="U201" i="18"/>
  <c r="W62" i="18"/>
  <c r="W70" i="18"/>
  <c r="U53" i="18"/>
  <c r="U214" i="18"/>
  <c r="U197" i="18"/>
  <c r="U261" i="18"/>
  <c r="U266" i="18"/>
  <c r="U137" i="18"/>
  <c r="U77" i="18"/>
  <c r="U139" i="18"/>
  <c r="U35" i="18"/>
  <c r="U165" i="18"/>
  <c r="U118" i="18"/>
  <c r="W138" i="18"/>
  <c r="U170" i="18"/>
  <c r="U213" i="18"/>
  <c r="W273" i="18"/>
  <c r="U52" i="18"/>
  <c r="U41" i="18"/>
  <c r="W172" i="18"/>
  <c r="U248" i="18"/>
  <c r="U274" i="18"/>
  <c r="U239" i="18"/>
  <c r="W76" i="18"/>
  <c r="U141" i="18"/>
  <c r="U143" i="18"/>
  <c r="U211" i="18"/>
  <c r="W58" i="18"/>
  <c r="U265" i="18"/>
  <c r="U144" i="18"/>
  <c r="U242" i="18"/>
  <c r="U199" i="18"/>
  <c r="U192" i="18"/>
  <c r="U83" i="18"/>
  <c r="W73" i="18"/>
  <c r="U145" i="18"/>
  <c r="U154" i="18"/>
  <c r="U212" i="18"/>
  <c r="W110" i="18"/>
  <c r="U247" i="18"/>
  <c r="U127" i="18"/>
  <c r="W68" i="18"/>
  <c r="U183" i="18"/>
  <c r="U187" i="18"/>
  <c r="U271" i="18"/>
  <c r="W97" i="18"/>
  <c r="U270" i="18"/>
  <c r="W121" i="18"/>
  <c r="W266" i="18"/>
  <c r="W211" i="18"/>
  <c r="W221" i="18"/>
  <c r="W133" i="18"/>
  <c r="W137" i="18"/>
  <c r="U58" i="18"/>
  <c r="W109" i="18"/>
  <c r="W119" i="18"/>
  <c r="W77" i="18"/>
  <c r="W265" i="18"/>
  <c r="W202" i="18"/>
  <c r="W201" i="18"/>
  <c r="W139" i="18"/>
  <c r="W144" i="18"/>
  <c r="W55" i="18"/>
  <c r="U62" i="18"/>
  <c r="W95" i="18"/>
  <c r="W35" i="18"/>
  <c r="W248" i="18"/>
  <c r="W242" i="18"/>
  <c r="W154" i="18"/>
  <c r="W183" i="18"/>
  <c r="U28" i="18"/>
  <c r="U70" i="18"/>
  <c r="W117" i="18"/>
  <c r="W165" i="18"/>
  <c r="W274" i="18"/>
  <c r="W199" i="18"/>
  <c r="W212" i="18"/>
  <c r="W187" i="18"/>
  <c r="W163" i="18"/>
  <c r="W53" i="18"/>
  <c r="U114" i="18"/>
  <c r="W118" i="18"/>
  <c r="W239" i="18"/>
  <c r="W192" i="18"/>
  <c r="U110" i="18"/>
  <c r="W271" i="18"/>
  <c r="W241" i="18"/>
  <c r="W214" i="18"/>
  <c r="U129" i="18"/>
  <c r="U138" i="18"/>
  <c r="U76" i="18"/>
  <c r="W83" i="18"/>
  <c r="W247" i="18"/>
  <c r="U97" i="18"/>
  <c r="W264" i="18"/>
  <c r="W197" i="18"/>
  <c r="W196" i="18"/>
  <c r="W170" i="18"/>
  <c r="W141" i="18"/>
  <c r="U73" i="18"/>
  <c r="W127" i="18"/>
  <c r="W270" i="18"/>
  <c r="W61" i="18"/>
  <c r="W261" i="18"/>
  <c r="W223" i="18"/>
  <c r="W213" i="18"/>
  <c r="W143" i="18"/>
  <c r="W145" i="18"/>
  <c r="U68" i="18"/>
  <c r="U121" i="18"/>
  <c r="U263" i="18"/>
  <c r="U224" i="18"/>
  <c r="U208" i="18"/>
  <c r="U167" i="18"/>
  <c r="U191" i="18"/>
  <c r="U63" i="18"/>
  <c r="U101" i="18"/>
  <c r="U91" i="18"/>
  <c r="W81" i="18"/>
  <c r="U269" i="18"/>
  <c r="U231" i="18"/>
  <c r="U225" i="18"/>
  <c r="W186" i="18"/>
  <c r="U131" i="18"/>
  <c r="W56" i="18"/>
  <c r="W98" i="18"/>
  <c r="U87" i="18"/>
  <c r="W40" i="18"/>
  <c r="U272" i="18"/>
  <c r="U198" i="18"/>
  <c r="U179" i="18"/>
  <c r="U157" i="18"/>
  <c r="U51" i="18"/>
  <c r="W90" i="18"/>
  <c r="U111" i="18"/>
  <c r="W80" i="18"/>
  <c r="U246" i="18"/>
  <c r="U233" i="18"/>
  <c r="U228" i="18"/>
  <c r="U134" i="18"/>
  <c r="U174" i="18"/>
  <c r="U75" i="18"/>
  <c r="U85" i="18"/>
  <c r="U251" i="18"/>
  <c r="U227" i="18"/>
  <c r="W48" i="18"/>
  <c r="W32" i="18"/>
  <c r="U262" i="18"/>
  <c r="U205" i="18"/>
  <c r="U177" i="18"/>
  <c r="U190" i="18"/>
  <c r="U31" i="18"/>
  <c r="U67" i="18"/>
  <c r="W102" i="18"/>
  <c r="U243" i="18"/>
  <c r="U37" i="18"/>
  <c r="U257" i="18"/>
  <c r="U218" i="18"/>
  <c r="U178" i="18"/>
  <c r="U130" i="18"/>
  <c r="W30" i="18"/>
  <c r="U71" i="18"/>
  <c r="U125" i="18"/>
  <c r="U150" i="18"/>
  <c r="W122" i="18"/>
  <c r="U259" i="18"/>
  <c r="U204" i="18"/>
  <c r="U142" i="18"/>
  <c r="U194" i="18"/>
  <c r="U29" i="18"/>
  <c r="W78" i="18"/>
  <c r="W108" i="18"/>
  <c r="W263" i="18"/>
  <c r="W224" i="18"/>
  <c r="W208" i="18"/>
  <c r="W167" i="18"/>
  <c r="W191" i="18"/>
  <c r="W63" i="18"/>
  <c r="W101" i="18"/>
  <c r="W91" i="18"/>
  <c r="U81" i="18"/>
  <c r="W269" i="18"/>
  <c r="W231" i="18"/>
  <c r="W225" i="18"/>
  <c r="U186" i="18"/>
  <c r="W131" i="18"/>
  <c r="U56" i="18"/>
  <c r="U98" i="18"/>
  <c r="W87" i="18"/>
  <c r="U40" i="18"/>
  <c r="W272" i="18"/>
  <c r="W198" i="18"/>
  <c r="W179" i="18"/>
  <c r="W157" i="18"/>
  <c r="W51" i="18"/>
  <c r="U90" i="18"/>
  <c r="W111" i="18"/>
  <c r="U80" i="18"/>
  <c r="W246" i="18"/>
  <c r="W233" i="18"/>
  <c r="W228" i="18"/>
  <c r="W134" i="18"/>
  <c r="W174" i="18"/>
  <c r="W75" i="18"/>
  <c r="W85" i="18"/>
  <c r="W251" i="18"/>
  <c r="W227" i="18"/>
  <c r="U48" i="18"/>
  <c r="U32" i="18"/>
  <c r="W262" i="18"/>
  <c r="W205" i="18"/>
  <c r="W177" i="18"/>
  <c r="W190" i="18"/>
  <c r="W31" i="18"/>
  <c r="W67" i="18"/>
  <c r="U102" i="18"/>
  <c r="W243" i="18"/>
  <c r="W37" i="18"/>
  <c r="W257" i="18"/>
  <c r="W218" i="18"/>
  <c r="W178" i="18"/>
  <c r="W130" i="18"/>
  <c r="U30" i="18"/>
  <c r="W71" i="18"/>
  <c r="W125" i="18"/>
  <c r="W150" i="18"/>
  <c r="U122" i="18"/>
  <c r="W259" i="18"/>
  <c r="W204" i="18"/>
  <c r="W142" i="18"/>
  <c r="W194" i="18"/>
  <c r="W29" i="18"/>
  <c r="U78" i="18"/>
  <c r="U108" i="18"/>
  <c r="W34" i="18"/>
  <c r="U250" i="18"/>
  <c r="U217" i="18"/>
  <c r="U132" i="18"/>
  <c r="U171" i="18"/>
  <c r="U181" i="18"/>
  <c r="W66" i="18"/>
  <c r="W105" i="18"/>
  <c r="U237" i="18"/>
  <c r="W33" i="18"/>
  <c r="U255" i="18"/>
  <c r="U210" i="18"/>
  <c r="U188" i="18"/>
  <c r="U193" i="18"/>
  <c r="W64" i="18"/>
  <c r="W116" i="18"/>
  <c r="W113" i="18"/>
  <c r="U267" i="18"/>
  <c r="U209" i="18"/>
  <c r="U234" i="18"/>
  <c r="U159" i="18"/>
  <c r="U152" i="18"/>
  <c r="U45" i="18"/>
  <c r="U99" i="18"/>
  <c r="U126" i="18"/>
  <c r="W36" i="18"/>
  <c r="U252" i="18"/>
  <c r="U206" i="18"/>
  <c r="U168" i="18"/>
  <c r="U155" i="18"/>
  <c r="U27" i="18"/>
  <c r="W74" i="18"/>
  <c r="U123" i="18"/>
  <c r="U268" i="18"/>
  <c r="U149" i="18"/>
  <c r="U79" i="18"/>
  <c r="W42" i="18"/>
  <c r="U245" i="18"/>
  <c r="U219" i="18"/>
  <c r="U166" i="18"/>
  <c r="U164" i="18"/>
  <c r="W54" i="18"/>
  <c r="W92" i="18"/>
  <c r="W88" i="18"/>
  <c r="U140" i="18"/>
  <c r="W38" i="18"/>
  <c r="U203" i="18"/>
  <c r="U229" i="18"/>
  <c r="U182" i="18"/>
  <c r="U169" i="18"/>
  <c r="W49" i="18"/>
  <c r="W112" i="18"/>
  <c r="U128" i="18"/>
  <c r="U148" i="18"/>
  <c r="W44" i="18"/>
  <c r="U238" i="18"/>
  <c r="U216" i="18"/>
  <c r="U162" i="18"/>
  <c r="U184" i="18"/>
  <c r="U59" i="18"/>
  <c r="U107" i="18"/>
  <c r="W96" i="18"/>
  <c r="U34" i="18"/>
  <c r="W250" i="18"/>
  <c r="W217" i="18"/>
  <c r="W132" i="18"/>
  <c r="W171" i="18"/>
  <c r="W181" i="18"/>
  <c r="U66" i="18"/>
  <c r="U105" i="18"/>
  <c r="W237" i="18"/>
  <c r="U33" i="18"/>
  <c r="W255" i="18"/>
  <c r="W210" i="18"/>
  <c r="W188" i="18"/>
  <c r="W193" i="18"/>
  <c r="W26" i="18"/>
  <c r="U64" i="18"/>
  <c r="U116" i="18"/>
  <c r="U113" i="18"/>
  <c r="W267" i="18"/>
  <c r="W209" i="18"/>
  <c r="W234" i="18"/>
  <c r="W159" i="18"/>
  <c r="W152" i="18"/>
  <c r="W45" i="18"/>
  <c r="W99" i="18"/>
  <c r="W126" i="18"/>
  <c r="U36" i="18"/>
  <c r="W252" i="18"/>
  <c r="W206" i="18"/>
  <c r="W168" i="18"/>
  <c r="W155" i="18"/>
  <c r="W27" i="18"/>
  <c r="U74" i="18"/>
  <c r="W123" i="18"/>
  <c r="W268" i="18"/>
  <c r="W149" i="18"/>
  <c r="W79" i="18"/>
  <c r="U42" i="18"/>
  <c r="W245" i="18"/>
  <c r="W219" i="18"/>
  <c r="W166" i="18"/>
  <c r="W164" i="18"/>
  <c r="U54" i="18"/>
  <c r="U92" i="18"/>
  <c r="U88" i="18"/>
  <c r="W140" i="18"/>
  <c r="U38" i="18"/>
  <c r="W203" i="18"/>
  <c r="W229" i="18"/>
  <c r="W182" i="18"/>
  <c r="W169" i="18"/>
  <c r="U49" i="18"/>
  <c r="U112" i="18"/>
  <c r="W128" i="18"/>
  <c r="W148" i="18"/>
  <c r="U44" i="18"/>
  <c r="W238" i="18"/>
  <c r="W216" i="18"/>
  <c r="W162" i="18"/>
  <c r="W184" i="18"/>
  <c r="W59" i="18"/>
  <c r="W107" i="18"/>
  <c r="U96" i="18"/>
  <c r="U43" i="18"/>
  <c r="U273" i="18"/>
  <c r="U240" i="18"/>
  <c r="U135" i="18"/>
  <c r="U161" i="18"/>
  <c r="W52" i="18"/>
  <c r="W72" i="18"/>
  <c r="U120" i="18"/>
  <c r="W46" i="18"/>
  <c r="W41" i="18"/>
  <c r="U258" i="18"/>
  <c r="U207" i="18"/>
  <c r="U173" i="18"/>
  <c r="U172" i="18"/>
  <c r="U26" i="18"/>
  <c r="U69" i="18"/>
  <c r="W94" i="18"/>
  <c r="U236" i="18"/>
  <c r="U249" i="18"/>
  <c r="U215" i="18"/>
  <c r="U244" i="18"/>
  <c r="U158" i="18"/>
  <c r="U180" i="18"/>
  <c r="W65" i="18"/>
  <c r="W86" i="18"/>
  <c r="U115" i="18"/>
  <c r="U39" i="18"/>
  <c r="U260" i="18"/>
  <c r="U232" i="18"/>
  <c r="U175" i="18"/>
  <c r="U176" i="18"/>
  <c r="U47" i="18"/>
  <c r="U93" i="18"/>
  <c r="W84" i="18"/>
  <c r="U226" i="18"/>
  <c r="U153" i="18"/>
  <c r="W104" i="18"/>
  <c r="U253" i="18"/>
  <c r="U230" i="18"/>
  <c r="U235" i="18"/>
  <c r="U151" i="18"/>
  <c r="U136" i="18"/>
  <c r="W57" i="18"/>
  <c r="W89" i="18"/>
  <c r="W100" i="18"/>
  <c r="U156" i="18"/>
  <c r="U256" i="18"/>
  <c r="U195" i="18"/>
  <c r="U220" i="18"/>
  <c r="U185" i="18"/>
  <c r="U160" i="18"/>
  <c r="W50" i="18"/>
  <c r="U124" i="18"/>
  <c r="U103" i="18"/>
  <c r="U147" i="18"/>
  <c r="U254" i="18"/>
  <c r="U200" i="18"/>
  <c r="U222" i="18"/>
  <c r="U146" i="18"/>
  <c r="U189" i="18"/>
  <c r="W60" i="18"/>
  <c r="W106" i="18"/>
  <c r="W82" i="18"/>
  <c r="W69" i="18"/>
  <c r="U94" i="18"/>
  <c r="W236" i="18"/>
  <c r="W249" i="18"/>
  <c r="W215" i="18"/>
  <c r="W244" i="18"/>
  <c r="W158" i="18"/>
  <c r="W180" i="18"/>
  <c r="U65" i="18"/>
  <c r="U86" i="18"/>
  <c r="W115" i="18"/>
  <c r="W39" i="18"/>
  <c r="W260" i="18"/>
  <c r="W232" i="18"/>
  <c r="W175" i="18"/>
  <c r="W176" i="18"/>
  <c r="W47" i="18"/>
  <c r="W93" i="18"/>
  <c r="U84" i="18"/>
  <c r="W226" i="18"/>
  <c r="W153" i="18"/>
  <c r="U104" i="18"/>
  <c r="W253" i="18"/>
  <c r="W230" i="18"/>
  <c r="W235" i="18"/>
  <c r="W151" i="18"/>
  <c r="W136" i="18"/>
  <c r="U57" i="18"/>
  <c r="U89" i="18"/>
  <c r="U100" i="18"/>
  <c r="W156" i="18"/>
  <c r="W256" i="18"/>
  <c r="W195" i="18"/>
  <c r="W220" i="18"/>
  <c r="W185" i="18"/>
  <c r="W160" i="18"/>
  <c r="U50" i="18"/>
  <c r="W124" i="18"/>
  <c r="W103" i="18"/>
  <c r="W147" i="18"/>
  <c r="W254" i="18"/>
  <c r="W200" i="18"/>
  <c r="W222" i="18"/>
  <c r="W146" i="18"/>
  <c r="W189" i="18"/>
  <c r="U60" i="18"/>
  <c r="U106" i="18"/>
  <c r="U24" i="18"/>
  <c r="W24" i="18"/>
  <c r="W23" i="18"/>
  <c r="X26" i="18"/>
  <c r="X28" i="18"/>
  <c r="Y28" i="18"/>
  <c r="Z28" i="18"/>
  <c r="X30" i="18"/>
  <c r="Y30" i="18"/>
  <c r="Z30" i="18"/>
  <c r="X32" i="18"/>
  <c r="Y32" i="18"/>
  <c r="Z32" i="18"/>
  <c r="X34" i="18"/>
  <c r="Y34" i="18"/>
  <c r="Z34" i="18"/>
  <c r="X36" i="18"/>
  <c r="Y36" i="18"/>
  <c r="Z36" i="18"/>
  <c r="X38" i="18"/>
  <c r="Y38" i="18"/>
  <c r="Z38" i="18"/>
  <c r="X40" i="18"/>
  <c r="Y40" i="18"/>
  <c r="Z40" i="18"/>
  <c r="X42" i="18"/>
  <c r="Y42" i="18"/>
  <c r="Z42" i="18"/>
  <c r="X44" i="18"/>
  <c r="Y44" i="18"/>
  <c r="Z44" i="18"/>
  <c r="X46" i="18"/>
  <c r="Y46" i="18"/>
  <c r="Z46" i="18"/>
  <c r="X48" i="18"/>
  <c r="Y48" i="18"/>
  <c r="Z48" i="18"/>
  <c r="X50" i="18"/>
  <c r="Y50" i="18"/>
  <c r="Z50" i="18"/>
  <c r="X52" i="18"/>
  <c r="Y52" i="18"/>
  <c r="Z52" i="18"/>
  <c r="X54" i="18"/>
  <c r="Y54" i="18"/>
  <c r="Z54" i="18"/>
  <c r="X56" i="18"/>
  <c r="Y56" i="18"/>
  <c r="Z56" i="18"/>
  <c r="X58" i="18"/>
  <c r="Y58" i="18"/>
  <c r="Z58" i="18"/>
  <c r="X60" i="18"/>
  <c r="Y60" i="18"/>
  <c r="Z60" i="18"/>
  <c r="X62" i="18"/>
  <c r="Y62" i="18"/>
  <c r="Z62" i="18"/>
  <c r="X64" i="18"/>
  <c r="Y64" i="18"/>
  <c r="Z64" i="18"/>
  <c r="X66" i="18"/>
  <c r="Y66" i="18"/>
  <c r="Z66" i="18"/>
  <c r="X68" i="18"/>
  <c r="Y68" i="18"/>
  <c r="Z68" i="18"/>
  <c r="X70" i="18"/>
  <c r="Y70" i="18"/>
  <c r="Z70" i="18"/>
  <c r="X72" i="18"/>
  <c r="Y72" i="18"/>
  <c r="Z72" i="18"/>
  <c r="X74" i="18"/>
  <c r="Y74" i="18"/>
  <c r="Z74" i="18"/>
  <c r="X76" i="18"/>
  <c r="Y76" i="18"/>
  <c r="Z76" i="18"/>
  <c r="X78" i="18"/>
  <c r="Y78" i="18"/>
  <c r="Z78" i="18"/>
  <c r="X80" i="18"/>
  <c r="Y80" i="18"/>
  <c r="Z80" i="18"/>
  <c r="X82" i="18"/>
  <c r="Y82" i="18"/>
  <c r="Z82" i="18"/>
  <c r="X84" i="18"/>
  <c r="Y84" i="18"/>
  <c r="Z84" i="18"/>
  <c r="X86" i="18"/>
  <c r="Y86" i="18"/>
  <c r="Z86" i="18"/>
  <c r="X88" i="18"/>
  <c r="Y88" i="18"/>
  <c r="Z88" i="18"/>
  <c r="X90" i="18"/>
  <c r="Y90" i="18"/>
  <c r="Z90" i="18"/>
  <c r="X92" i="18"/>
  <c r="Y92" i="18"/>
  <c r="Z92" i="18"/>
  <c r="X94" i="18"/>
  <c r="Y94" i="18"/>
  <c r="Z94" i="18"/>
  <c r="X96" i="18"/>
  <c r="Y96" i="18"/>
  <c r="Z96" i="18"/>
  <c r="X98" i="18"/>
  <c r="Y98" i="18"/>
  <c r="Z98" i="18"/>
  <c r="X100" i="18"/>
  <c r="Y100" i="18"/>
  <c r="Z100" i="18"/>
  <c r="X102" i="18"/>
  <c r="Y102" i="18"/>
  <c r="Z102" i="18"/>
  <c r="X104" i="18"/>
  <c r="Y104" i="18"/>
  <c r="Z104" i="18"/>
  <c r="X106" i="18"/>
  <c r="Y106" i="18"/>
  <c r="Z106" i="18"/>
  <c r="X108" i="18"/>
  <c r="Y108" i="18"/>
  <c r="Z108" i="18"/>
  <c r="X110" i="18"/>
  <c r="Y110" i="18"/>
  <c r="Z110" i="18"/>
  <c r="X112" i="18"/>
  <c r="Y112" i="18"/>
  <c r="Z112" i="18"/>
  <c r="X114" i="18"/>
  <c r="Y114" i="18"/>
  <c r="Z114" i="18"/>
  <c r="X116" i="18"/>
  <c r="Y116" i="18"/>
  <c r="Z116" i="18"/>
  <c r="X118" i="18"/>
  <c r="Y118" i="18"/>
  <c r="Z118" i="18"/>
  <c r="X120" i="18"/>
  <c r="Y120" i="18"/>
  <c r="Z120" i="18"/>
  <c r="X122" i="18"/>
  <c r="Y122" i="18"/>
  <c r="Z122" i="18"/>
  <c r="X124" i="18"/>
  <c r="Y124" i="18"/>
  <c r="Z124" i="18"/>
  <c r="X126" i="18"/>
  <c r="Y126" i="18"/>
  <c r="Z126" i="18"/>
  <c r="X128" i="18"/>
  <c r="Y128" i="18"/>
  <c r="Z128" i="18"/>
  <c r="X130" i="18"/>
  <c r="Y130" i="18"/>
  <c r="Z130" i="18"/>
  <c r="X27" i="18"/>
  <c r="Y27" i="18"/>
  <c r="Z27" i="18"/>
  <c r="X29" i="18"/>
  <c r="Y29" i="18"/>
  <c r="Z29" i="18"/>
  <c r="X31" i="18"/>
  <c r="Y31" i="18"/>
  <c r="Z31" i="18"/>
  <c r="X33" i="18"/>
  <c r="Y33" i="18"/>
  <c r="Z33" i="18"/>
  <c r="X35" i="18"/>
  <c r="Y35" i="18"/>
  <c r="Z35" i="18"/>
  <c r="X37" i="18"/>
  <c r="Y37" i="18"/>
  <c r="Z37" i="18"/>
  <c r="X39" i="18"/>
  <c r="Y39" i="18"/>
  <c r="Z39" i="18"/>
  <c r="X41" i="18"/>
  <c r="Y41" i="18"/>
  <c r="Z41" i="18"/>
  <c r="X43" i="18"/>
  <c r="Y43" i="18"/>
  <c r="Z43" i="18"/>
  <c r="X45" i="18"/>
  <c r="Y45" i="18"/>
  <c r="Z45" i="18"/>
  <c r="X47" i="18"/>
  <c r="Y47" i="18"/>
  <c r="Z47" i="18"/>
  <c r="X49" i="18"/>
  <c r="Y49" i="18"/>
  <c r="Z49" i="18"/>
  <c r="X51" i="18"/>
  <c r="Y51" i="18"/>
  <c r="Z51" i="18"/>
  <c r="X53" i="18"/>
  <c r="Y53" i="18"/>
  <c r="Z53" i="18"/>
  <c r="X55" i="18"/>
  <c r="Y55" i="18"/>
  <c r="Z55" i="18"/>
  <c r="X57" i="18"/>
  <c r="Y57" i="18"/>
  <c r="Z57" i="18"/>
  <c r="X59" i="18"/>
  <c r="Y59" i="18"/>
  <c r="Z59" i="18"/>
  <c r="X61" i="18"/>
  <c r="Y61" i="18"/>
  <c r="Z61" i="18"/>
  <c r="X63" i="18"/>
  <c r="Y63" i="18"/>
  <c r="Z63" i="18"/>
  <c r="X65" i="18"/>
  <c r="Y65" i="18"/>
  <c r="Z65" i="18"/>
  <c r="X67" i="18"/>
  <c r="Y67" i="18"/>
  <c r="Z67" i="18"/>
  <c r="X69" i="18"/>
  <c r="Y69" i="18"/>
  <c r="Z69" i="18"/>
  <c r="X71" i="18"/>
  <c r="Y71" i="18"/>
  <c r="Z71" i="18"/>
  <c r="X73" i="18"/>
  <c r="Y73" i="18"/>
  <c r="Z73" i="18"/>
  <c r="X75" i="18"/>
  <c r="Y75" i="18"/>
  <c r="Z75" i="18"/>
  <c r="X77" i="18"/>
  <c r="Y77" i="18"/>
  <c r="Z77" i="18"/>
  <c r="X79" i="18"/>
  <c r="Y79" i="18"/>
  <c r="Z79" i="18"/>
  <c r="X81" i="18"/>
  <c r="Y81" i="18"/>
  <c r="Z81" i="18"/>
  <c r="X83" i="18"/>
  <c r="Y83" i="18"/>
  <c r="Z83" i="18"/>
  <c r="X85" i="18"/>
  <c r="Y85" i="18"/>
  <c r="Z85" i="18"/>
  <c r="X87" i="18"/>
  <c r="Y87" i="18"/>
  <c r="Z87" i="18"/>
  <c r="X89" i="18"/>
  <c r="Y89" i="18"/>
  <c r="Z89" i="18"/>
  <c r="X91" i="18"/>
  <c r="Y91" i="18"/>
  <c r="Z91" i="18"/>
  <c r="X93" i="18"/>
  <c r="Y93" i="18"/>
  <c r="Z93" i="18"/>
  <c r="X95" i="18"/>
  <c r="Y95" i="18"/>
  <c r="Z95" i="18"/>
  <c r="X97" i="18"/>
  <c r="Y97" i="18"/>
  <c r="Z97" i="18"/>
  <c r="X99" i="18"/>
  <c r="Y99" i="18"/>
  <c r="Z99" i="18"/>
  <c r="X101" i="18"/>
  <c r="Y101" i="18"/>
  <c r="Z101" i="18"/>
  <c r="X103" i="18"/>
  <c r="Y103" i="18"/>
  <c r="Z103" i="18"/>
  <c r="X105" i="18"/>
  <c r="Y105" i="18"/>
  <c r="Z105" i="18"/>
  <c r="X107" i="18"/>
  <c r="Y107" i="18"/>
  <c r="Z107" i="18"/>
  <c r="X109" i="18"/>
  <c r="Y109" i="18"/>
  <c r="Z109" i="18"/>
  <c r="X111" i="18"/>
  <c r="Y111" i="18"/>
  <c r="Z111" i="18"/>
  <c r="X113" i="18"/>
  <c r="Y113" i="18"/>
  <c r="Z113" i="18"/>
  <c r="X115" i="18"/>
  <c r="Y115" i="18"/>
  <c r="Z115" i="18"/>
  <c r="X117" i="18"/>
  <c r="Y117" i="18"/>
  <c r="Z117" i="18"/>
  <c r="X119" i="18"/>
  <c r="Y119" i="18"/>
  <c r="Z119" i="18"/>
  <c r="X121" i="18"/>
  <c r="Y121" i="18"/>
  <c r="Z121" i="18"/>
  <c r="X123" i="18"/>
  <c r="Y123" i="18"/>
  <c r="Z123" i="18"/>
  <c r="X125" i="18"/>
  <c r="Y125" i="18"/>
  <c r="Z125" i="18"/>
  <c r="X127" i="18"/>
  <c r="Y127" i="18"/>
  <c r="Z127" i="18"/>
  <c r="X129" i="18"/>
  <c r="Y129" i="18"/>
  <c r="Z129" i="18"/>
  <c r="X131" i="18"/>
  <c r="Y131" i="18"/>
  <c r="Z131" i="18"/>
  <c r="X133" i="18"/>
  <c r="Y133" i="18"/>
  <c r="Z133" i="18"/>
  <c r="X135" i="18"/>
  <c r="Y135" i="18"/>
  <c r="Z135" i="18"/>
  <c r="X137" i="18"/>
  <c r="Y137" i="18"/>
  <c r="Z137" i="18"/>
  <c r="X139" i="18"/>
  <c r="Y139" i="18"/>
  <c r="Z139" i="18"/>
  <c r="X141" i="18"/>
  <c r="Y141" i="18"/>
  <c r="Z141" i="18"/>
  <c r="X143" i="18"/>
  <c r="Y143" i="18"/>
  <c r="Z143" i="18"/>
  <c r="X145" i="18"/>
  <c r="Y145" i="18"/>
  <c r="Z145" i="18"/>
  <c r="X147" i="18"/>
  <c r="Y147" i="18"/>
  <c r="Z147" i="18"/>
  <c r="X149" i="18"/>
  <c r="Y149" i="18"/>
  <c r="Z149" i="18"/>
  <c r="X151" i="18"/>
  <c r="Y151" i="18"/>
  <c r="Z151" i="18"/>
  <c r="X153" i="18"/>
  <c r="Y153" i="18"/>
  <c r="Z153" i="18"/>
  <c r="X155" i="18"/>
  <c r="Y155" i="18"/>
  <c r="Z155" i="18"/>
  <c r="X157" i="18"/>
  <c r="Y157" i="18"/>
  <c r="Z157" i="18"/>
  <c r="X159" i="18"/>
  <c r="Y159" i="18"/>
  <c r="Z159" i="18"/>
  <c r="X161" i="18"/>
  <c r="Y161" i="18"/>
  <c r="Z161" i="18"/>
  <c r="X163" i="18"/>
  <c r="Y163" i="18"/>
  <c r="Z163" i="18"/>
  <c r="X165" i="18"/>
  <c r="Y165" i="18"/>
  <c r="Z165" i="18"/>
  <c r="X167" i="18"/>
  <c r="Y167" i="18"/>
  <c r="Z167" i="18"/>
  <c r="X169" i="18"/>
  <c r="Y169" i="18"/>
  <c r="Z169" i="18"/>
  <c r="X171" i="18"/>
  <c r="Y171" i="18"/>
  <c r="Z171" i="18"/>
  <c r="X173" i="18"/>
  <c r="Y173" i="18"/>
  <c r="Z173" i="18"/>
  <c r="X175" i="18"/>
  <c r="Y175" i="18"/>
  <c r="Z175" i="18"/>
  <c r="X177" i="18"/>
  <c r="Y177" i="18"/>
  <c r="Z177" i="18"/>
  <c r="X179" i="18"/>
  <c r="Y179" i="18"/>
  <c r="Z179" i="18"/>
  <c r="X181" i="18"/>
  <c r="Y181" i="18"/>
  <c r="Z181" i="18"/>
  <c r="X183" i="18"/>
  <c r="Y183" i="18"/>
  <c r="Z183" i="18"/>
  <c r="X185" i="18"/>
  <c r="Y185" i="18"/>
  <c r="Z185" i="18"/>
  <c r="X187" i="18"/>
  <c r="Y187" i="18"/>
  <c r="Z187" i="18"/>
  <c r="X189" i="18"/>
  <c r="Y189" i="18"/>
  <c r="Z189" i="18"/>
  <c r="X191" i="18"/>
  <c r="Y191" i="18"/>
  <c r="Z191" i="18"/>
  <c r="X193" i="18"/>
  <c r="Y193" i="18"/>
  <c r="Z193" i="18"/>
  <c r="X195" i="18"/>
  <c r="Y195" i="18"/>
  <c r="Z195" i="18"/>
  <c r="X197" i="18"/>
  <c r="Y197" i="18"/>
  <c r="Z197" i="18"/>
  <c r="X199" i="18"/>
  <c r="Y199" i="18"/>
  <c r="Z199" i="18"/>
  <c r="X201" i="18"/>
  <c r="Y201" i="18"/>
  <c r="Z201" i="18"/>
  <c r="X203" i="18"/>
  <c r="Y203" i="18"/>
  <c r="Z203" i="18"/>
  <c r="X205" i="18"/>
  <c r="Y205" i="18"/>
  <c r="Z205" i="18"/>
  <c r="X207" i="18"/>
  <c r="Y207" i="18"/>
  <c r="Z207" i="18"/>
  <c r="X209" i="18"/>
  <c r="Y209" i="18"/>
  <c r="Z209" i="18"/>
  <c r="X211" i="18"/>
  <c r="Y211" i="18"/>
  <c r="Z211" i="18"/>
  <c r="X213" i="18"/>
  <c r="Y213" i="18"/>
  <c r="Z213" i="18"/>
  <c r="X215" i="18"/>
  <c r="Y215" i="18"/>
  <c r="Z215" i="18"/>
  <c r="X217" i="18"/>
  <c r="Y217" i="18"/>
  <c r="Z217" i="18"/>
  <c r="X219" i="18"/>
  <c r="Y219" i="18"/>
  <c r="Z219" i="18"/>
  <c r="X221" i="18"/>
  <c r="Y221" i="18"/>
  <c r="Z221" i="18"/>
  <c r="X223" i="18"/>
  <c r="Y223" i="18"/>
  <c r="Z223" i="18"/>
  <c r="X225" i="18"/>
  <c r="Y225" i="18"/>
  <c r="Z225" i="18"/>
  <c r="X227" i="18"/>
  <c r="Y227" i="18"/>
  <c r="Z227" i="18"/>
  <c r="X229" i="18"/>
  <c r="Y229" i="18"/>
  <c r="Z229" i="18"/>
  <c r="X132" i="18"/>
  <c r="Y132" i="18"/>
  <c r="Z132" i="18"/>
  <c r="X140" i="18"/>
  <c r="Y140" i="18"/>
  <c r="Z140" i="18"/>
  <c r="X148" i="18"/>
  <c r="Y148" i="18"/>
  <c r="Z148" i="18"/>
  <c r="X156" i="18"/>
  <c r="Y156" i="18"/>
  <c r="Z156" i="18"/>
  <c r="X164" i="18"/>
  <c r="Y164" i="18"/>
  <c r="Z164" i="18"/>
  <c r="X172" i="18"/>
  <c r="Y172" i="18"/>
  <c r="Z172" i="18"/>
  <c r="X180" i="18"/>
  <c r="Y180" i="18"/>
  <c r="Z180" i="18"/>
  <c r="X188" i="18"/>
  <c r="Y188" i="18"/>
  <c r="Z188" i="18"/>
  <c r="X196" i="18"/>
  <c r="Y196" i="18"/>
  <c r="Z196" i="18"/>
  <c r="X204" i="18"/>
  <c r="Y204" i="18"/>
  <c r="Z204" i="18"/>
  <c r="X212" i="18"/>
  <c r="Y212" i="18"/>
  <c r="Z212" i="18"/>
  <c r="X220" i="18"/>
  <c r="Y220" i="18"/>
  <c r="Z220" i="18"/>
  <c r="X231" i="18"/>
  <c r="Y231" i="18"/>
  <c r="Z231" i="18"/>
  <c r="X235" i="18"/>
  <c r="Y235" i="18"/>
  <c r="Z235" i="18"/>
  <c r="X239" i="18"/>
  <c r="Y239" i="18"/>
  <c r="Z239" i="18"/>
  <c r="X249" i="18"/>
  <c r="Y249" i="18"/>
  <c r="Z249" i="18"/>
  <c r="X252" i="18"/>
  <c r="Y252" i="18"/>
  <c r="Z252" i="18"/>
  <c r="X265" i="18"/>
  <c r="Y265" i="18"/>
  <c r="Z265" i="18"/>
  <c r="X268" i="18"/>
  <c r="Y268" i="18"/>
  <c r="Z268" i="18"/>
  <c r="X226" i="18"/>
  <c r="Y226" i="18"/>
  <c r="Z226" i="18"/>
  <c r="X243" i="18"/>
  <c r="Y243" i="18"/>
  <c r="Z243" i="18"/>
  <c r="X246" i="18"/>
  <c r="Y246" i="18"/>
  <c r="Z246" i="18"/>
  <c r="X259" i="18"/>
  <c r="Y259" i="18"/>
  <c r="Z259" i="18"/>
  <c r="X262" i="18"/>
  <c r="Y262" i="18"/>
  <c r="Z262" i="18"/>
  <c r="X274" i="18"/>
  <c r="Y274" i="18"/>
  <c r="Z274" i="18"/>
  <c r="X134" i="18"/>
  <c r="Y134" i="18"/>
  <c r="Z134" i="18"/>
  <c r="X142" i="18"/>
  <c r="Y142" i="18"/>
  <c r="Z142" i="18"/>
  <c r="X150" i="18"/>
  <c r="Y150" i="18"/>
  <c r="Z150" i="18"/>
  <c r="X158" i="18"/>
  <c r="Y158" i="18"/>
  <c r="Z158" i="18"/>
  <c r="X166" i="18"/>
  <c r="Y166" i="18"/>
  <c r="Z166" i="18"/>
  <c r="X174" i="18"/>
  <c r="Y174" i="18"/>
  <c r="Z174" i="18"/>
  <c r="X182" i="18"/>
  <c r="Y182" i="18"/>
  <c r="Z182" i="18"/>
  <c r="X190" i="18"/>
  <c r="Y190" i="18"/>
  <c r="Z190" i="18"/>
  <c r="X198" i="18"/>
  <c r="Y198" i="18"/>
  <c r="Z198" i="18"/>
  <c r="X206" i="18"/>
  <c r="Y206" i="18"/>
  <c r="Z206" i="18"/>
  <c r="X214" i="18"/>
  <c r="Y214" i="18"/>
  <c r="Z214" i="18"/>
  <c r="X253" i="18"/>
  <c r="Y253" i="18"/>
  <c r="Z253" i="18"/>
  <c r="X256" i="18"/>
  <c r="Y256" i="18"/>
  <c r="Z256" i="18"/>
  <c r="X269" i="18"/>
  <c r="Y269" i="18"/>
  <c r="Z269" i="18"/>
  <c r="X272" i="18"/>
  <c r="Y272" i="18"/>
  <c r="Z272" i="18"/>
  <c r="X136" i="18"/>
  <c r="Y136" i="18"/>
  <c r="Z136" i="18"/>
  <c r="X144" i="18"/>
  <c r="Y144" i="18"/>
  <c r="Z144" i="18"/>
  <c r="X152" i="18"/>
  <c r="Y152" i="18"/>
  <c r="Z152" i="18"/>
  <c r="X160" i="18"/>
  <c r="Y160" i="18"/>
  <c r="Z160" i="18"/>
  <c r="X168" i="18"/>
  <c r="Y168" i="18"/>
  <c r="Z168" i="18"/>
  <c r="X176" i="18"/>
  <c r="Y176" i="18"/>
  <c r="Z176" i="18"/>
  <c r="X184" i="18"/>
  <c r="Y184" i="18"/>
  <c r="Z184" i="18"/>
  <c r="X192" i="18"/>
  <c r="Y192" i="18"/>
  <c r="Z192" i="18"/>
  <c r="X200" i="18"/>
  <c r="Y200" i="18"/>
  <c r="Z200" i="18"/>
  <c r="X208" i="18"/>
  <c r="Y208" i="18"/>
  <c r="Z208" i="18"/>
  <c r="X216" i="18"/>
  <c r="Y216" i="18"/>
  <c r="Z216" i="18"/>
  <c r="X228" i="18"/>
  <c r="Y228" i="18"/>
  <c r="Z228" i="18"/>
  <c r="X233" i="18"/>
  <c r="Y233" i="18"/>
  <c r="Z233" i="18"/>
  <c r="X237" i="18"/>
  <c r="Y237" i="18"/>
  <c r="Z237" i="18"/>
  <c r="X241" i="18"/>
  <c r="Y241" i="18"/>
  <c r="Z241" i="18"/>
  <c r="X244" i="18"/>
  <c r="Y244" i="18"/>
  <c r="Z244" i="18"/>
  <c r="X257" i="18"/>
  <c r="Y257" i="18"/>
  <c r="Z257" i="18"/>
  <c r="X260" i="18"/>
  <c r="Y260" i="18"/>
  <c r="Z260" i="18"/>
  <c r="X251" i="18"/>
  <c r="Y251" i="18"/>
  <c r="Z251" i="18"/>
  <c r="X254" i="18"/>
  <c r="Y254" i="18"/>
  <c r="Z254" i="18"/>
  <c r="X267" i="18"/>
  <c r="Y267" i="18"/>
  <c r="Z267" i="18"/>
  <c r="X270" i="18"/>
  <c r="Y270" i="18"/>
  <c r="Z270" i="18"/>
  <c r="X273" i="18"/>
  <c r="Y273" i="18"/>
  <c r="Z273" i="18"/>
  <c r="X138" i="18"/>
  <c r="Y138" i="18"/>
  <c r="Z138" i="18"/>
  <c r="X202" i="18"/>
  <c r="Y202" i="18"/>
  <c r="Z202" i="18"/>
  <c r="X222" i="18"/>
  <c r="Y222" i="18"/>
  <c r="Z222" i="18"/>
  <c r="X234" i="18"/>
  <c r="Y234" i="18"/>
  <c r="Z234" i="18"/>
  <c r="X245" i="18"/>
  <c r="Y245" i="18"/>
  <c r="Z245" i="18"/>
  <c r="X162" i="18"/>
  <c r="Y162" i="18"/>
  <c r="Z162" i="18"/>
  <c r="X224" i="18"/>
  <c r="Y224" i="18"/>
  <c r="Z224" i="18"/>
  <c r="X236" i="18"/>
  <c r="Y236" i="18"/>
  <c r="Z236" i="18"/>
  <c r="X263" i="18"/>
  <c r="Y263" i="18"/>
  <c r="Z263" i="18"/>
  <c r="X271" i="18"/>
  <c r="Y271" i="18"/>
  <c r="Z271" i="18"/>
  <c r="X186" i="18"/>
  <c r="Y186" i="18"/>
  <c r="Z186" i="18"/>
  <c r="X247" i="18"/>
  <c r="Y247" i="18"/>
  <c r="Z247" i="18"/>
  <c r="X255" i="18"/>
  <c r="Y255" i="18"/>
  <c r="Z255" i="18"/>
  <c r="X264" i="18"/>
  <c r="Y264" i="18"/>
  <c r="Z264" i="18"/>
  <c r="X146" i="18"/>
  <c r="Y146" i="18"/>
  <c r="Z146" i="18"/>
  <c r="X210" i="18"/>
  <c r="Y210" i="18"/>
  <c r="Z210" i="18"/>
  <c r="X238" i="18"/>
  <c r="Y238" i="18"/>
  <c r="Z238" i="18"/>
  <c r="X248" i="18"/>
  <c r="Y248" i="18"/>
  <c r="Z248" i="18"/>
  <c r="X170" i="18"/>
  <c r="Y170" i="18"/>
  <c r="Z170" i="18"/>
  <c r="X240" i="18"/>
  <c r="Y240" i="18"/>
  <c r="Z240" i="18"/>
  <c r="X266" i="18"/>
  <c r="Y266" i="18"/>
  <c r="Z266" i="18"/>
  <c r="X194" i="18"/>
  <c r="Y194" i="18"/>
  <c r="Z194" i="18"/>
  <c r="X230" i="18"/>
  <c r="Y230" i="18"/>
  <c r="Z230" i="18"/>
  <c r="X250" i="18"/>
  <c r="Y250" i="18"/>
  <c r="Z250" i="18"/>
  <c r="X258" i="18"/>
  <c r="Y258" i="18"/>
  <c r="Z258" i="18"/>
  <c r="X242" i="18"/>
  <c r="Y242" i="18"/>
  <c r="Z242" i="18"/>
  <c r="X178" i="18"/>
  <c r="Y178" i="18"/>
  <c r="Z178" i="18"/>
  <c r="X261" i="18"/>
  <c r="Y261" i="18"/>
  <c r="Z261" i="18"/>
  <c r="X154" i="18"/>
  <c r="Y154" i="18"/>
  <c r="Z154" i="18"/>
  <c r="X232" i="18"/>
  <c r="Y232" i="18"/>
  <c r="Z232" i="18"/>
  <c r="X218" i="18"/>
  <c r="Y218" i="18"/>
  <c r="Z218" i="18"/>
  <c r="X24" i="18"/>
  <c r="Y26" i="18"/>
  <c r="Z26" i="18"/>
  <c r="Y24" i="18"/>
  <c r="Y25" i="18"/>
  <c r="Z22" i="18" a="1"/>
  <c r="Z22" i="18"/>
  <c r="Z23" i="18" a="1"/>
  <c r="Z23" i="18"/>
  <c r="AA26" i="18"/>
  <c r="AA22" i="18" a="1"/>
  <c r="AA22" i="18"/>
  <c r="AA19" i="18" a="1"/>
  <c r="AA19" i="18"/>
  <c r="AD26" i="18"/>
  <c r="U26" i="4"/>
  <c r="AA73" i="18"/>
  <c r="AD73" i="18"/>
  <c r="U74" i="4"/>
  <c r="AA246" i="18"/>
  <c r="AD246" i="18"/>
  <c r="U250" i="4"/>
  <c r="AA138" i="18"/>
  <c r="AD138" i="18"/>
  <c r="U139" i="4"/>
  <c r="AA71" i="18"/>
  <c r="AD71" i="18"/>
  <c r="U71" i="4"/>
  <c r="AA85" i="18"/>
  <c r="AD85" i="18"/>
  <c r="U86" i="4"/>
  <c r="AA195" i="18"/>
  <c r="AD195" i="18"/>
  <c r="U199" i="4"/>
  <c r="AA145" i="18"/>
  <c r="AD145" i="18"/>
  <c r="U146" i="4"/>
  <c r="AA194" i="18"/>
  <c r="AD194" i="18"/>
  <c r="U197" i="4"/>
  <c r="AA243" i="18"/>
  <c r="AD243" i="18"/>
  <c r="U247" i="4"/>
  <c r="AA143" i="18"/>
  <c r="AD143" i="18"/>
  <c r="U144" i="4"/>
  <c r="AA120" i="18"/>
  <c r="AD120" i="18"/>
  <c r="U122" i="4"/>
  <c r="AA150" i="18"/>
  <c r="AD150" i="18"/>
  <c r="U151" i="4"/>
  <c r="AA157" i="18"/>
  <c r="AD157" i="18"/>
  <c r="U158" i="4"/>
  <c r="AA240" i="18"/>
  <c r="AD240" i="18"/>
  <c r="U244" i="4"/>
  <c r="AA139" i="18"/>
  <c r="AD139" i="18"/>
  <c r="U140" i="4"/>
  <c r="AA201" i="18"/>
  <c r="AD201" i="18"/>
  <c r="U205" i="4"/>
  <c r="AA199" i="18"/>
  <c r="AD199" i="18"/>
  <c r="U203" i="4"/>
  <c r="AA213" i="18"/>
  <c r="AD213" i="18"/>
  <c r="U218" i="4"/>
  <c r="AA67" i="18"/>
  <c r="AD67" i="18"/>
  <c r="U67" i="4"/>
  <c r="AA122" i="18"/>
  <c r="AD122" i="18"/>
  <c r="U124" i="4"/>
  <c r="AA264" i="18"/>
  <c r="AD264" i="18"/>
  <c r="U269" i="4"/>
  <c r="AA231" i="18"/>
  <c r="AD231" i="18"/>
  <c r="U236" i="4"/>
  <c r="AA127" i="18"/>
  <c r="AD127" i="18"/>
  <c r="U128" i="4"/>
  <c r="AA104" i="18"/>
  <c r="AD104" i="18"/>
  <c r="U106" i="4"/>
  <c r="AA266" i="18"/>
  <c r="AD266" i="18"/>
  <c r="U271" i="4"/>
  <c r="AA226" i="18"/>
  <c r="AD226" i="18"/>
  <c r="U231" i="4"/>
  <c r="AA141" i="18"/>
  <c r="AD141" i="18"/>
  <c r="U142" i="4"/>
  <c r="AA118" i="18"/>
  <c r="AD118" i="18"/>
  <c r="U120" i="4"/>
  <c r="AA247" i="18"/>
  <c r="AD247" i="18"/>
  <c r="U251" i="4"/>
  <c r="AA212" i="18"/>
  <c r="AD212" i="18"/>
  <c r="U216" i="4"/>
  <c r="AA123" i="18"/>
  <c r="AD123" i="18"/>
  <c r="U125" i="4"/>
  <c r="AA100" i="18"/>
  <c r="AD100" i="18"/>
  <c r="U102" i="4"/>
  <c r="AA260" i="18"/>
  <c r="AD260" i="18"/>
  <c r="U264" i="4"/>
  <c r="AA185" i="18"/>
  <c r="AD185" i="18"/>
  <c r="U187" i="4"/>
  <c r="AA57" i="18"/>
  <c r="AD57" i="18"/>
  <c r="U57" i="4"/>
  <c r="AA34" i="18"/>
  <c r="AD34" i="18"/>
  <c r="U34" i="4"/>
  <c r="AA136" i="18"/>
  <c r="AD136" i="18"/>
  <c r="U137" i="4"/>
  <c r="AA183" i="18"/>
  <c r="AD183" i="18"/>
  <c r="U185" i="4"/>
  <c r="AA55" i="18"/>
  <c r="AD55" i="18"/>
  <c r="U55" i="4"/>
  <c r="AA32" i="18"/>
  <c r="AD32" i="18"/>
  <c r="U32" i="4"/>
  <c r="AA192" i="18"/>
  <c r="AD192" i="18"/>
  <c r="U194" i="4"/>
  <c r="AA197" i="18"/>
  <c r="AD197" i="18"/>
  <c r="U201" i="4"/>
  <c r="AA69" i="18"/>
  <c r="AD69" i="18"/>
  <c r="U69" i="4"/>
  <c r="AA46" i="18"/>
  <c r="AD46" i="18"/>
  <c r="U46" i="4"/>
  <c r="AA269" i="18"/>
  <c r="AD269" i="18"/>
  <c r="U273" i="4"/>
  <c r="AA179" i="18"/>
  <c r="AD179" i="18"/>
  <c r="U181" i="4"/>
  <c r="AA51" i="18"/>
  <c r="AD51" i="18"/>
  <c r="U51" i="4"/>
  <c r="AA28" i="18"/>
  <c r="AD28" i="18"/>
  <c r="U28" i="4"/>
  <c r="AA235" i="18"/>
  <c r="AD235" i="18"/>
  <c r="U239" i="4"/>
  <c r="AA129" i="18"/>
  <c r="AD129" i="18"/>
  <c r="U130" i="4"/>
  <c r="AA106" i="18"/>
  <c r="AD106" i="18"/>
  <c r="U108" i="4"/>
  <c r="AA162" i="18"/>
  <c r="AD162" i="18"/>
  <c r="U163" i="4"/>
  <c r="AA164" i="18"/>
  <c r="AD164" i="18"/>
  <c r="U165" i="4"/>
  <c r="AA111" i="18"/>
  <c r="AD111" i="18"/>
  <c r="U113" i="4"/>
  <c r="AA88" i="18"/>
  <c r="AD88" i="18"/>
  <c r="U89" i="4"/>
  <c r="AA255" i="18"/>
  <c r="AD255" i="18"/>
  <c r="U259" i="4"/>
  <c r="AA220" i="18"/>
  <c r="AD220" i="18"/>
  <c r="U225" i="4"/>
  <c r="AA125" i="18"/>
  <c r="AD125" i="18"/>
  <c r="AA102" i="18"/>
  <c r="AD102" i="18"/>
  <c r="U104" i="4"/>
  <c r="AA234" i="18"/>
  <c r="AD234" i="18"/>
  <c r="AA148" i="18"/>
  <c r="AD148" i="18"/>
  <c r="U149" i="4"/>
  <c r="AA107" i="18"/>
  <c r="AD107" i="18"/>
  <c r="U109" i="4"/>
  <c r="AA84" i="18"/>
  <c r="AD84" i="18"/>
  <c r="U85" i="4"/>
  <c r="AA144" i="18"/>
  <c r="AD144" i="18"/>
  <c r="U145" i="4"/>
  <c r="AA169" i="18"/>
  <c r="AD169" i="18"/>
  <c r="U267" i="4"/>
  <c r="AA41" i="18"/>
  <c r="AD41" i="18"/>
  <c r="U41" i="4"/>
  <c r="AA198" i="18"/>
  <c r="AD198" i="18"/>
  <c r="U202" i="4"/>
  <c r="AA190" i="18"/>
  <c r="AD190" i="18"/>
  <c r="U192" i="4"/>
  <c r="AA167" i="18"/>
  <c r="AD167" i="18"/>
  <c r="U168" i="4"/>
  <c r="AA39" i="18"/>
  <c r="AD39" i="18"/>
  <c r="U39" i="4"/>
  <c r="AA170" i="18"/>
  <c r="AD170" i="18"/>
  <c r="U170" i="4"/>
  <c r="AA272" i="18"/>
  <c r="AD272" i="18"/>
  <c r="U276" i="4"/>
  <c r="AA181" i="18"/>
  <c r="AD181" i="18"/>
  <c r="U183" i="4"/>
  <c r="AA53" i="18"/>
  <c r="AD53" i="18"/>
  <c r="U53" i="4"/>
  <c r="AA30" i="18"/>
  <c r="AD30" i="18"/>
  <c r="U30" i="4"/>
  <c r="AA174" i="18"/>
  <c r="AD174" i="18"/>
  <c r="U174" i="4"/>
  <c r="AA163" i="18"/>
  <c r="AD163" i="18"/>
  <c r="U164" i="4"/>
  <c r="AA35" i="18"/>
  <c r="AD35" i="18"/>
  <c r="U35" i="4"/>
  <c r="AA218" i="18"/>
  <c r="AD218" i="18"/>
  <c r="U223" i="4"/>
  <c r="AA172" i="18"/>
  <c r="AD172" i="18"/>
  <c r="U172" i="4"/>
  <c r="AA113" i="18"/>
  <c r="AD113" i="18"/>
  <c r="U115" i="4"/>
  <c r="AA90" i="18"/>
  <c r="AD90" i="18"/>
  <c r="U91" i="4"/>
  <c r="AA267" i="18"/>
  <c r="AD267" i="18"/>
  <c r="AA223" i="18"/>
  <c r="AD223" i="18"/>
  <c r="U228" i="4"/>
  <c r="AA95" i="18"/>
  <c r="AD95" i="18"/>
  <c r="U97" i="4"/>
  <c r="AA72" i="18"/>
  <c r="AD72" i="18"/>
  <c r="U72" i="4"/>
  <c r="AA245" i="18"/>
  <c r="AD245" i="18"/>
  <c r="U249" i="4"/>
  <c r="AA156" i="18"/>
  <c r="AD156" i="18"/>
  <c r="U157" i="4"/>
  <c r="AA109" i="18"/>
  <c r="AD109" i="18"/>
  <c r="U111" i="4"/>
  <c r="AA86" i="18"/>
  <c r="AD86" i="18"/>
  <c r="U87" i="4"/>
  <c r="AA251" i="18"/>
  <c r="AD251" i="18"/>
  <c r="U255" i="4"/>
  <c r="AA219" i="18"/>
  <c r="AD219" i="18"/>
  <c r="U224" i="4"/>
  <c r="AA91" i="18"/>
  <c r="AD91" i="18"/>
  <c r="U92" i="4"/>
  <c r="AA68" i="18"/>
  <c r="AD68" i="18"/>
  <c r="U68" i="4"/>
  <c r="AA134" i="18"/>
  <c r="AD134" i="18"/>
  <c r="U135" i="4"/>
  <c r="AA153" i="18"/>
  <c r="AD153" i="18"/>
  <c r="U154" i="4"/>
  <c r="AA130" i="18"/>
  <c r="AD130" i="18"/>
  <c r="U131" i="4"/>
  <c r="AA242" i="18"/>
  <c r="AD242" i="18"/>
  <c r="U246" i="4"/>
  <c r="AA274" i="18"/>
  <c r="AD274" i="18"/>
  <c r="U278" i="4"/>
  <c r="AA151" i="18"/>
  <c r="AD151" i="18"/>
  <c r="U152" i="4"/>
  <c r="AA128" i="18"/>
  <c r="AD128" i="18"/>
  <c r="U129" i="4"/>
  <c r="AA208" i="18"/>
  <c r="AD208" i="18"/>
  <c r="U212" i="4"/>
  <c r="AA165" i="18"/>
  <c r="AD165" i="18"/>
  <c r="U166" i="4"/>
  <c r="AA37" i="18"/>
  <c r="AD37" i="18"/>
  <c r="U37" i="4"/>
  <c r="AA250" i="18"/>
  <c r="AD250" i="18"/>
  <c r="U254" i="4"/>
  <c r="AA259" i="18"/>
  <c r="AD259" i="18"/>
  <c r="U263" i="4"/>
  <c r="AA147" i="18"/>
  <c r="AD147" i="18"/>
  <c r="U148" i="4"/>
  <c r="AA124" i="18"/>
  <c r="AD124" i="18"/>
  <c r="U126" i="4"/>
  <c r="AA146" i="18"/>
  <c r="AD146" i="18"/>
  <c r="U147" i="4"/>
  <c r="AA225" i="18"/>
  <c r="AD225" i="18"/>
  <c r="U230" i="4"/>
  <c r="AA97" i="18"/>
  <c r="AD97" i="18"/>
  <c r="U99" i="4"/>
  <c r="AA74" i="18"/>
  <c r="AD74" i="18"/>
  <c r="U75" i="4"/>
  <c r="AA79" i="18"/>
  <c r="AD79" i="18"/>
  <c r="U80" i="4"/>
  <c r="AA221" i="18"/>
  <c r="AD221" i="18"/>
  <c r="U226" i="4"/>
  <c r="AA70" i="18"/>
  <c r="AD70" i="18"/>
  <c r="U70" i="4"/>
  <c r="AA203" i="18"/>
  <c r="AD203" i="18"/>
  <c r="U207" i="4"/>
  <c r="AA52" i="18"/>
  <c r="AD52" i="18"/>
  <c r="U52" i="4"/>
  <c r="AA265" i="18"/>
  <c r="AD265" i="18"/>
  <c r="U270" i="4"/>
  <c r="AA248" i="18"/>
  <c r="AD248" i="18"/>
  <c r="U252" i="4"/>
  <c r="AA252" i="18"/>
  <c r="AD252" i="18"/>
  <c r="U256" i="4"/>
  <c r="AA258" i="18"/>
  <c r="AD258" i="18"/>
  <c r="U262" i="4"/>
  <c r="AA262" i="18"/>
  <c r="AD262" i="18"/>
  <c r="U266" i="4"/>
  <c r="AA210" i="18"/>
  <c r="AD210" i="18"/>
  <c r="U214" i="4"/>
  <c r="AA239" i="18"/>
  <c r="AD239" i="18"/>
  <c r="U243" i="4"/>
  <c r="AA224" i="18"/>
  <c r="AD224" i="18"/>
  <c r="U229" i="4"/>
  <c r="AA58" i="18"/>
  <c r="AD58" i="18"/>
  <c r="U58" i="4"/>
  <c r="AA114" i="18"/>
  <c r="AD114" i="18"/>
  <c r="U116" i="4"/>
  <c r="AA209" i="18"/>
  <c r="AD209" i="18"/>
  <c r="U213" i="4"/>
  <c r="AA182" i="18"/>
  <c r="AD182" i="18"/>
  <c r="U184" i="4"/>
  <c r="AA112" i="18"/>
  <c r="AD112" i="18"/>
  <c r="U114" i="4"/>
  <c r="AA126" i="18"/>
  <c r="AD126" i="18"/>
  <c r="U127" i="4"/>
  <c r="AA131" i="18"/>
  <c r="AD131" i="18"/>
  <c r="U132" i="4"/>
  <c r="AA81" i="18"/>
  <c r="AD81" i="18"/>
  <c r="U82" i="4"/>
  <c r="AA233" i="18"/>
  <c r="AD233" i="18"/>
  <c r="U238" i="4"/>
  <c r="AA207" i="18"/>
  <c r="AD207" i="18"/>
  <c r="U211" i="4"/>
  <c r="AA56" i="18"/>
  <c r="AD56" i="18"/>
  <c r="U56" i="4"/>
  <c r="AA254" i="18"/>
  <c r="AD254" i="18"/>
  <c r="U258" i="4"/>
  <c r="AA93" i="18"/>
  <c r="AD93" i="18"/>
  <c r="U94" i="4"/>
  <c r="AA216" i="18"/>
  <c r="AD216" i="18"/>
  <c r="U221" i="4"/>
  <c r="AA75" i="18"/>
  <c r="AD75" i="18"/>
  <c r="U76" i="4"/>
  <c r="AA137" i="18"/>
  <c r="AD137" i="18"/>
  <c r="U138" i="4"/>
  <c r="AA135" i="18"/>
  <c r="AD135" i="18"/>
  <c r="U136" i="4"/>
  <c r="AA149" i="18"/>
  <c r="AD149" i="18"/>
  <c r="U150" i="4"/>
  <c r="AA108" i="18"/>
  <c r="AD108" i="18"/>
  <c r="U110" i="4"/>
  <c r="AA168" i="18"/>
  <c r="AD168" i="18"/>
  <c r="U169" i="4"/>
  <c r="AA191" i="18"/>
  <c r="AD191" i="18"/>
  <c r="U193" i="4"/>
  <c r="AA63" i="18"/>
  <c r="AD63" i="18"/>
  <c r="U63" i="4"/>
  <c r="AA40" i="18"/>
  <c r="AD40" i="18"/>
  <c r="U40" i="4"/>
  <c r="AA228" i="18"/>
  <c r="AD228" i="18"/>
  <c r="U233" i="4"/>
  <c r="AA205" i="18"/>
  <c r="AD205" i="18"/>
  <c r="U209" i="4"/>
  <c r="AA77" i="18"/>
  <c r="AD77" i="18"/>
  <c r="U78" i="4"/>
  <c r="AA54" i="18"/>
  <c r="AD54" i="18"/>
  <c r="U54" i="4"/>
  <c r="AA152" i="18"/>
  <c r="AD152" i="18"/>
  <c r="U153" i="4"/>
  <c r="AA187" i="18"/>
  <c r="AD187" i="18"/>
  <c r="U189" i="4"/>
  <c r="AA59" i="18"/>
  <c r="AD59" i="18"/>
  <c r="U59" i="4"/>
  <c r="AA36" i="18"/>
  <c r="AD36" i="18"/>
  <c r="U36" i="4"/>
  <c r="AA204" i="18"/>
  <c r="AD204" i="18"/>
  <c r="U208" i="4"/>
  <c r="AA121" i="18"/>
  <c r="AD121" i="18"/>
  <c r="U123" i="4"/>
  <c r="AA98" i="18"/>
  <c r="AD98" i="18"/>
  <c r="U100" i="4"/>
  <c r="AA271" i="18"/>
  <c r="AD271" i="18"/>
  <c r="U275" i="4"/>
  <c r="AA196" i="18"/>
  <c r="AD196" i="18"/>
  <c r="U200" i="4"/>
  <c r="AA119" i="18"/>
  <c r="AD119" i="18"/>
  <c r="U121" i="4"/>
  <c r="AA96" i="18"/>
  <c r="AD96" i="18"/>
  <c r="U98" i="4"/>
  <c r="AA238" i="18"/>
  <c r="AD238" i="18"/>
  <c r="U242" i="4"/>
  <c r="AA249" i="18"/>
  <c r="AD249" i="18"/>
  <c r="U253" i="4"/>
  <c r="AA133" i="18"/>
  <c r="AD133" i="18"/>
  <c r="U134" i="4"/>
  <c r="AA110" i="18"/>
  <c r="AD110" i="18"/>
  <c r="U112" i="4"/>
  <c r="AA236" i="18"/>
  <c r="AD236" i="18"/>
  <c r="U240" i="4"/>
  <c r="AA180" i="18"/>
  <c r="AD180" i="18"/>
  <c r="U182" i="4"/>
  <c r="AA115" i="18"/>
  <c r="AD115" i="18"/>
  <c r="U117" i="4"/>
  <c r="AA92" i="18"/>
  <c r="AD92" i="18"/>
  <c r="U93" i="4"/>
  <c r="AA270" i="18"/>
  <c r="AD270" i="18"/>
  <c r="U274" i="4"/>
  <c r="AA193" i="18"/>
  <c r="AD193" i="18"/>
  <c r="U195" i="4"/>
  <c r="AA65" i="18"/>
  <c r="AD65" i="18"/>
  <c r="U65" i="4"/>
  <c r="AA42" i="18"/>
  <c r="AD42" i="18"/>
  <c r="U42" i="4"/>
  <c r="AA256" i="18"/>
  <c r="AD256" i="18"/>
  <c r="U260" i="4"/>
  <c r="AA253" i="18"/>
  <c r="AD253" i="18"/>
  <c r="U257" i="4"/>
  <c r="AA175" i="18"/>
  <c r="AD175" i="18"/>
  <c r="U175" i="4"/>
  <c r="AA47" i="18"/>
  <c r="AD47" i="18"/>
  <c r="U47" i="4"/>
  <c r="AA230" i="18"/>
  <c r="AD230" i="18"/>
  <c r="U235" i="4"/>
  <c r="AA160" i="18"/>
  <c r="AD160" i="18"/>
  <c r="U161" i="4"/>
  <c r="AA189" i="18"/>
  <c r="AD189" i="18"/>
  <c r="U191" i="4"/>
  <c r="AA61" i="18"/>
  <c r="AD61" i="18"/>
  <c r="U61" i="4"/>
  <c r="AA38" i="18"/>
  <c r="AD38" i="18"/>
  <c r="U38" i="4"/>
  <c r="AA206" i="18"/>
  <c r="AD206" i="18"/>
  <c r="U210" i="4"/>
  <c r="AA171" i="18"/>
  <c r="AD171" i="18"/>
  <c r="U171" i="4"/>
  <c r="AA43" i="18"/>
  <c r="AD43" i="18"/>
  <c r="U43" i="4"/>
  <c r="AA178" i="18"/>
  <c r="AD178" i="18"/>
  <c r="U180" i="4"/>
  <c r="AA140" i="18"/>
  <c r="AD140" i="18"/>
  <c r="U141" i="4"/>
  <c r="AA105" i="18"/>
  <c r="AD105" i="18"/>
  <c r="U107" i="4"/>
  <c r="AA82" i="18"/>
  <c r="AD82" i="18"/>
  <c r="U83" i="4"/>
  <c r="AA202" i="18"/>
  <c r="AD202" i="18"/>
  <c r="U206" i="4"/>
  <c r="AA132" i="18"/>
  <c r="AD132" i="18"/>
  <c r="U133" i="4"/>
  <c r="AA103" i="18"/>
  <c r="AD103" i="18"/>
  <c r="U105" i="4"/>
  <c r="AA80" i="18"/>
  <c r="AD80" i="18"/>
  <c r="U81" i="4"/>
  <c r="AA263" i="18"/>
  <c r="AD263" i="18"/>
  <c r="U268" i="4"/>
  <c r="AA188" i="18"/>
  <c r="AD188" i="18"/>
  <c r="U190" i="4"/>
  <c r="AA117" i="18"/>
  <c r="AD117" i="18"/>
  <c r="U119" i="4"/>
  <c r="AA94" i="18"/>
  <c r="AD94" i="18"/>
  <c r="U95" i="4"/>
  <c r="AA273" i="18"/>
  <c r="AD273" i="18"/>
  <c r="U277" i="4"/>
  <c r="AA227" i="18"/>
  <c r="AD227" i="18"/>
  <c r="U232" i="4"/>
  <c r="AA99" i="18"/>
  <c r="AD99" i="18"/>
  <c r="U101" i="4"/>
  <c r="AA76" i="18"/>
  <c r="AD76" i="18"/>
  <c r="U77" i="4"/>
  <c r="AA176" i="18"/>
  <c r="AD176" i="18"/>
  <c r="U176" i="4"/>
  <c r="AA177" i="18"/>
  <c r="AD177" i="18"/>
  <c r="U177" i="4"/>
  <c r="AA49" i="18"/>
  <c r="AD49" i="18"/>
  <c r="U49" i="4"/>
  <c r="AA232" i="18"/>
  <c r="AD232" i="18"/>
  <c r="U237" i="4"/>
  <c r="AA158" i="18"/>
  <c r="AD158" i="18"/>
  <c r="U159" i="4"/>
  <c r="AA159" i="18"/>
  <c r="AD159" i="18"/>
  <c r="U160" i="4"/>
  <c r="AA31" i="18"/>
  <c r="AD31" i="18"/>
  <c r="U31" i="4"/>
  <c r="AA237" i="18"/>
  <c r="AD237" i="18"/>
  <c r="U241" i="4"/>
  <c r="AA214" i="18"/>
  <c r="AD214" i="18"/>
  <c r="U219" i="4"/>
  <c r="AA173" i="18"/>
  <c r="AD173" i="18"/>
  <c r="U173" i="4"/>
  <c r="AA45" i="18"/>
  <c r="AD45" i="18"/>
  <c r="U45" i="4"/>
  <c r="AA261" i="18"/>
  <c r="AD261" i="18"/>
  <c r="U265" i="4"/>
  <c r="AA142" i="18"/>
  <c r="AD142" i="18"/>
  <c r="U143" i="4"/>
  <c r="AA155" i="18"/>
  <c r="AD155" i="18"/>
  <c r="U156" i="4"/>
  <c r="AA27" i="18"/>
  <c r="AD27" i="18"/>
  <c r="U27" i="4"/>
  <c r="AA186" i="18"/>
  <c r="AD186" i="18"/>
  <c r="U188" i="4"/>
  <c r="AA217" i="18"/>
  <c r="AD217" i="18"/>
  <c r="U222" i="4"/>
  <c r="AA89" i="18"/>
  <c r="AD89" i="18"/>
  <c r="U90" i="4"/>
  <c r="AA66" i="18"/>
  <c r="AD66" i="18"/>
  <c r="U66" i="4"/>
  <c r="AA257" i="18"/>
  <c r="AD257" i="18"/>
  <c r="U261" i="4"/>
  <c r="AA215" i="18"/>
  <c r="AD215" i="18"/>
  <c r="U220" i="4"/>
  <c r="AA87" i="18"/>
  <c r="AD87" i="18"/>
  <c r="U88" i="4"/>
  <c r="AA64" i="18"/>
  <c r="AD64" i="18"/>
  <c r="U64" i="4"/>
  <c r="AA229" i="18"/>
  <c r="AD229" i="18"/>
  <c r="U234" i="4"/>
  <c r="AA101" i="18"/>
  <c r="AD101" i="18"/>
  <c r="U103" i="4"/>
  <c r="AA78" i="18"/>
  <c r="AD78" i="18"/>
  <c r="U79" i="4"/>
  <c r="AA241" i="18"/>
  <c r="AD241" i="18"/>
  <c r="U245" i="4"/>
  <c r="AA211" i="18"/>
  <c r="AD211" i="18"/>
  <c r="U215" i="4"/>
  <c r="AA83" i="18"/>
  <c r="AD83" i="18"/>
  <c r="U84" i="4"/>
  <c r="AA60" i="18"/>
  <c r="AD60" i="18"/>
  <c r="U60" i="4"/>
  <c r="AA166" i="18"/>
  <c r="AD166" i="18"/>
  <c r="U167" i="4"/>
  <c r="AA161" i="18"/>
  <c r="AD161" i="18"/>
  <c r="U162" i="4"/>
  <c r="AA33" i="18"/>
  <c r="AD33" i="18"/>
  <c r="U33" i="4"/>
  <c r="AA154" i="18"/>
  <c r="AD154" i="18"/>
  <c r="U155" i="4"/>
  <c r="AA29" i="18"/>
  <c r="AD29" i="18"/>
  <c r="U29" i="4"/>
  <c r="AA268" i="18"/>
  <c r="AD268" i="18"/>
  <c r="U272" i="4"/>
  <c r="AA116" i="18"/>
  <c r="AD116" i="18"/>
  <c r="U118" i="4"/>
  <c r="AA222" i="18"/>
  <c r="AD222" i="18"/>
  <c r="U227" i="4"/>
  <c r="AA50" i="18"/>
  <c r="AD50" i="18"/>
  <c r="U50" i="4"/>
  <c r="AA200" i="18"/>
  <c r="AD200" i="18"/>
  <c r="U204" i="4"/>
  <c r="AA48" i="18"/>
  <c r="AD48" i="18"/>
  <c r="U48" i="4"/>
  <c r="AA244" i="18"/>
  <c r="AD244" i="18"/>
  <c r="U248" i="4"/>
  <c r="AA62" i="18"/>
  <c r="AD62" i="18"/>
  <c r="U62" i="4"/>
  <c r="AA184" i="18"/>
  <c r="AD184" i="18"/>
  <c r="U186" i="4"/>
  <c r="AA44" i="18"/>
  <c r="AD44" i="18"/>
  <c r="U44" i="4"/>
  <c r="AA25" i="18"/>
  <c r="U23" i="4"/>
  <c r="W22" i="4"/>
  <c r="AA23" i="18"/>
  <c r="W232" i="4"/>
  <c r="X232" i="4"/>
  <c r="Z232" i="4"/>
  <c r="W42" i="4"/>
  <c r="X42" i="4"/>
  <c r="Z42" i="4"/>
  <c r="W119" i="4"/>
  <c r="X119" i="4"/>
  <c r="Z119" i="4"/>
  <c r="W60" i="4"/>
  <c r="X60" i="4"/>
  <c r="Z60" i="4"/>
  <c r="W77" i="4"/>
  <c r="X77" i="4"/>
  <c r="Z77" i="4"/>
  <c r="W142" i="4"/>
  <c r="X142" i="4"/>
  <c r="Z142" i="4"/>
  <c r="W94" i="4"/>
  <c r="X94" i="4"/>
  <c r="Z94" i="4"/>
  <c r="W221" i="4"/>
  <c r="X221" i="4"/>
  <c r="Z221" i="4"/>
  <c r="W201" i="4"/>
  <c r="X201" i="4"/>
  <c r="Z201" i="4"/>
  <c r="W122" i="4"/>
  <c r="X122" i="4"/>
  <c r="Z122" i="4"/>
  <c r="W89" i="4"/>
  <c r="X89" i="4"/>
  <c r="Z89" i="4"/>
  <c r="W173" i="4"/>
  <c r="X173" i="4"/>
  <c r="Z173" i="4"/>
  <c r="W174" i="4"/>
  <c r="X174" i="4"/>
  <c r="Z174" i="4"/>
  <c r="W38" i="4"/>
  <c r="X38" i="4"/>
  <c r="Z38" i="4"/>
  <c r="W68" i="4"/>
  <c r="X68" i="4"/>
  <c r="Z68" i="4"/>
  <c r="W204" i="4"/>
  <c r="X204" i="4"/>
  <c r="Z204" i="4"/>
  <c r="W190" i="4"/>
  <c r="X190" i="4"/>
  <c r="Z190" i="4"/>
  <c r="W272" i="4"/>
  <c r="X272" i="4"/>
  <c r="Z272" i="4"/>
  <c r="W179" i="4"/>
  <c r="X179" i="4"/>
  <c r="Z179" i="4"/>
  <c r="W200" i="4"/>
  <c r="X200" i="4"/>
  <c r="Z200" i="4"/>
  <c r="W99" i="4"/>
  <c r="X99" i="4"/>
  <c r="Z99" i="4"/>
  <c r="W233" i="4"/>
  <c r="X233" i="4"/>
  <c r="Z233" i="4"/>
  <c r="W180" i="4"/>
  <c r="X180" i="4"/>
  <c r="Z180" i="4"/>
  <c r="W146" i="4"/>
  <c r="X146" i="4"/>
  <c r="Z146" i="4"/>
  <c r="W164" i="4"/>
  <c r="X164" i="4"/>
  <c r="Z164" i="4"/>
  <c r="W96" i="4"/>
  <c r="X96" i="4"/>
  <c r="Z96" i="4"/>
  <c r="W102" i="4"/>
  <c r="X102" i="4"/>
  <c r="Z102" i="4"/>
  <c r="W134" i="4"/>
  <c r="X134" i="4"/>
  <c r="Z134" i="4"/>
  <c r="W43" i="4"/>
  <c r="X43" i="4"/>
  <c r="Z43" i="4"/>
  <c r="W188" i="4"/>
  <c r="X188" i="4"/>
  <c r="Z188" i="4"/>
  <c r="W175" i="4"/>
  <c r="X175" i="4"/>
  <c r="Z175" i="4"/>
  <c r="W56" i="4"/>
  <c r="X56" i="4"/>
  <c r="Z56" i="4"/>
  <c r="W192" i="4"/>
  <c r="X192" i="4"/>
  <c r="Z192" i="4"/>
  <c r="W156" i="4"/>
  <c r="X156" i="4"/>
  <c r="Z156" i="4"/>
  <c r="W87" i="4"/>
  <c r="X87" i="4"/>
  <c r="Z87" i="4"/>
  <c r="W247" i="4"/>
  <c r="X247" i="4"/>
  <c r="Z247" i="4"/>
  <c r="W125" i="4"/>
  <c r="X125" i="4"/>
  <c r="Z125" i="4"/>
  <c r="W82" i="4"/>
  <c r="X82" i="4"/>
  <c r="Z82" i="4"/>
  <c r="W253" i="4"/>
  <c r="X253" i="4"/>
  <c r="Z253" i="4"/>
  <c r="W40" i="4"/>
  <c r="X40" i="4"/>
  <c r="Z40" i="4"/>
  <c r="W222" i="4"/>
  <c r="X222" i="4"/>
  <c r="Z222" i="4"/>
  <c r="W270" i="4"/>
  <c r="X270" i="4"/>
  <c r="Z270" i="4"/>
  <c r="W243" i="4"/>
  <c r="X243" i="4"/>
  <c r="Z243" i="4"/>
  <c r="W251" i="4"/>
  <c r="X251" i="4"/>
  <c r="Z251" i="4"/>
  <c r="W154" i="4"/>
  <c r="X154" i="4"/>
  <c r="Z154" i="4"/>
  <c r="W273" i="4"/>
  <c r="X273" i="4"/>
  <c r="Z273" i="4"/>
  <c r="W252" i="4"/>
  <c r="X252" i="4"/>
  <c r="Z252" i="4"/>
  <c r="W126" i="4"/>
  <c r="X126" i="4"/>
  <c r="Z126" i="4"/>
  <c r="W30" i="4"/>
  <c r="X30" i="4"/>
  <c r="Z30" i="4"/>
  <c r="W240" i="4"/>
  <c r="X240" i="4"/>
  <c r="Z240" i="4"/>
  <c r="W48" i="4"/>
  <c r="X48" i="4"/>
  <c r="Z48" i="4"/>
  <c r="W28" i="4"/>
  <c r="X28" i="4"/>
  <c r="Z28" i="4"/>
  <c r="W230" i="4"/>
  <c r="X230" i="4"/>
  <c r="Z230" i="4"/>
  <c r="W120" i="4"/>
  <c r="X120" i="4"/>
  <c r="Z120" i="4"/>
  <c r="W245" i="4"/>
  <c r="X245" i="4"/>
  <c r="Z245" i="4"/>
  <c r="W207" i="4"/>
  <c r="X207" i="4"/>
  <c r="Z207" i="4"/>
  <c r="W138" i="4"/>
  <c r="X138" i="4"/>
  <c r="Z138" i="4"/>
  <c r="W112" i="4"/>
  <c r="X112" i="4"/>
  <c r="Z112" i="4"/>
  <c r="W170" i="4"/>
  <c r="X170" i="4"/>
  <c r="Z170" i="4"/>
  <c r="W168" i="4"/>
  <c r="X168" i="4"/>
  <c r="Z168" i="4"/>
  <c r="W116" i="4"/>
  <c r="X116" i="4"/>
  <c r="Z116" i="4"/>
  <c r="W182" i="4"/>
  <c r="X182" i="4"/>
  <c r="Z182" i="4"/>
  <c r="W229" i="4"/>
  <c r="X229" i="4"/>
  <c r="Z229" i="4"/>
  <c r="W178" i="4"/>
  <c r="X178" i="4"/>
  <c r="Z178" i="4"/>
  <c r="W143" i="4"/>
  <c r="X143" i="4"/>
  <c r="Z143" i="4"/>
  <c r="W244" i="4"/>
  <c r="X244" i="4"/>
  <c r="Z244" i="4"/>
  <c r="W46" i="4"/>
  <c r="X46" i="4"/>
  <c r="Z46" i="4"/>
  <c r="W137" i="4"/>
  <c r="X137" i="4"/>
  <c r="Z137" i="4"/>
  <c r="W70" i="4"/>
  <c r="X70" i="4"/>
  <c r="Z70" i="4"/>
  <c r="W265" i="4"/>
  <c r="X265" i="4"/>
  <c r="Z265" i="4"/>
  <c r="W177" i="4"/>
  <c r="X177" i="4"/>
  <c r="Z177" i="4"/>
  <c r="W148" i="4"/>
  <c r="X148" i="4"/>
  <c r="Z148" i="4"/>
  <c r="W27" i="4"/>
  <c r="X27" i="4"/>
  <c r="Z27" i="4"/>
  <c r="W37" i="4"/>
  <c r="X37" i="4"/>
  <c r="Z37" i="4"/>
  <c r="W109" i="4"/>
  <c r="X109" i="4"/>
  <c r="Z109" i="4"/>
  <c r="W45" i="4"/>
  <c r="X45" i="4"/>
  <c r="Z45" i="4"/>
  <c r="W144" i="4"/>
  <c r="X144" i="4"/>
  <c r="Z144" i="4"/>
  <c r="W181" i="4"/>
  <c r="X181" i="4"/>
  <c r="Z181" i="4"/>
  <c r="W167" i="4"/>
  <c r="X167" i="4"/>
  <c r="Z167" i="4"/>
  <c r="W93" i="4"/>
  <c r="X93" i="4"/>
  <c r="Z93" i="4"/>
  <c r="W62" i="4"/>
  <c r="X62" i="4"/>
  <c r="Z62" i="4"/>
  <c r="W235" i="4"/>
  <c r="X235" i="4"/>
  <c r="Z235" i="4"/>
  <c r="W135" i="4"/>
  <c r="X135" i="4"/>
  <c r="Z135" i="4"/>
  <c r="W196" i="4"/>
  <c r="X196" i="4"/>
  <c r="Z196" i="4"/>
  <c r="W202" i="4"/>
  <c r="X202" i="4"/>
  <c r="Z202" i="4"/>
  <c r="W185" i="4"/>
  <c r="X185" i="4"/>
  <c r="Z185" i="4"/>
  <c r="W226" i="4"/>
  <c r="X226" i="4"/>
  <c r="Z226" i="4"/>
  <c r="W186" i="4"/>
  <c r="X186" i="4"/>
  <c r="Z186" i="4"/>
  <c r="W91" i="4"/>
  <c r="X91" i="4"/>
  <c r="Z91" i="4"/>
  <c r="W257" i="4"/>
  <c r="X257" i="4"/>
  <c r="Z257" i="4"/>
  <c r="W212" i="4"/>
  <c r="X212" i="4"/>
  <c r="Z212" i="4"/>
  <c r="W163" i="4"/>
  <c r="X163" i="4"/>
  <c r="Z163" i="4"/>
  <c r="W278" i="4"/>
  <c r="X278" i="4"/>
  <c r="Z278" i="4"/>
  <c r="W88" i="4"/>
  <c r="X88" i="4"/>
  <c r="Z88" i="4"/>
  <c r="W187" i="4"/>
  <c r="X187" i="4"/>
  <c r="Z187" i="4"/>
  <c r="W205" i="4"/>
  <c r="X205" i="4"/>
  <c r="Z205" i="4"/>
  <c r="W152" i="4"/>
  <c r="X152" i="4"/>
  <c r="Z152" i="4"/>
  <c r="W255" i="4"/>
  <c r="X255" i="4"/>
  <c r="Z255" i="4"/>
  <c r="W103" i="4"/>
  <c r="X103" i="4"/>
  <c r="Z103" i="4"/>
  <c r="W132" i="4"/>
  <c r="X132" i="4"/>
  <c r="Z132" i="4"/>
  <c r="W149" i="4"/>
  <c r="X149" i="4"/>
  <c r="Z149" i="4"/>
  <c r="W193" i="4"/>
  <c r="X193" i="4"/>
  <c r="Z193" i="4"/>
  <c r="W39" i="4"/>
  <c r="X39" i="4"/>
  <c r="Z39" i="4"/>
  <c r="W264" i="4"/>
  <c r="X264" i="4"/>
  <c r="Z264" i="4"/>
  <c r="W54" i="4"/>
  <c r="X54" i="4"/>
  <c r="Z54" i="4"/>
  <c r="W246" i="4"/>
  <c r="X246" i="4"/>
  <c r="Z246" i="4"/>
  <c r="W197" i="4"/>
  <c r="X197" i="4"/>
  <c r="Z197" i="4"/>
  <c r="W67" i="4"/>
  <c r="X67" i="4"/>
  <c r="Z67" i="4"/>
  <c r="W141" i="4"/>
  <c r="X141" i="4"/>
  <c r="Z141" i="4"/>
  <c r="W92" i="4"/>
  <c r="X92" i="4"/>
  <c r="Z92" i="4"/>
  <c r="W110" i="4"/>
  <c r="X110" i="4"/>
  <c r="Z110" i="4"/>
  <c r="W191" i="4"/>
  <c r="X191" i="4"/>
  <c r="Z191" i="4"/>
  <c r="W155" i="4"/>
  <c r="X155" i="4"/>
  <c r="Z155" i="4"/>
  <c r="W52" i="4"/>
  <c r="X52" i="4"/>
  <c r="Z52" i="4"/>
  <c r="W259" i="4"/>
  <c r="X259" i="4"/>
  <c r="Z259" i="4"/>
  <c r="W237" i="4"/>
  <c r="X237" i="4"/>
  <c r="Z237" i="4"/>
  <c r="W127" i="4"/>
  <c r="X127" i="4"/>
  <c r="Z127" i="4"/>
  <c r="W81" i="4"/>
  <c r="X81" i="4"/>
  <c r="Z81" i="4"/>
  <c r="W100" i="4"/>
  <c r="X100" i="4"/>
  <c r="Z100" i="4"/>
  <c r="W32" i="4"/>
  <c r="X32" i="4"/>
  <c r="Z32" i="4"/>
  <c r="W275" i="4"/>
  <c r="X275" i="4"/>
  <c r="Z275" i="4"/>
  <c r="W114" i="4"/>
  <c r="X114" i="4"/>
  <c r="Z114" i="4"/>
  <c r="W225" i="4"/>
  <c r="X225" i="4"/>
  <c r="Z225" i="4"/>
  <c r="W121" i="4"/>
  <c r="X121" i="4"/>
  <c r="Z121" i="4"/>
  <c r="W51" i="4"/>
  <c r="X51" i="4"/>
  <c r="Z51" i="4"/>
  <c r="W203" i="4"/>
  <c r="X203" i="4"/>
  <c r="Z203" i="4"/>
  <c r="W118" i="4"/>
  <c r="X118" i="4"/>
  <c r="Z118" i="4"/>
  <c r="W136" i="4"/>
  <c r="X136" i="4"/>
  <c r="Z136" i="4"/>
  <c r="W267" i="4"/>
  <c r="X267" i="4"/>
  <c r="Z267" i="4"/>
  <c r="W128" i="4"/>
  <c r="X128" i="4"/>
  <c r="Z128" i="4"/>
  <c r="W33" i="4"/>
  <c r="X33" i="4"/>
  <c r="Z33" i="4"/>
  <c r="W83" i="4"/>
  <c r="X83" i="4"/>
  <c r="Z83" i="4"/>
  <c r="W85" i="4"/>
  <c r="X85" i="4"/>
  <c r="Z85" i="4"/>
  <c r="W47" i="4"/>
  <c r="X47" i="4"/>
  <c r="Z47" i="4"/>
  <c r="W139" i="4"/>
  <c r="X139" i="4"/>
  <c r="Z139" i="4"/>
  <c r="W105" i="4"/>
  <c r="X105" i="4"/>
  <c r="Z105" i="4"/>
  <c r="W159" i="4"/>
  <c r="X159" i="4"/>
  <c r="Z159" i="4"/>
  <c r="W75" i="4"/>
  <c r="X75" i="4"/>
  <c r="Z75" i="4"/>
  <c r="W162" i="4"/>
  <c r="X162" i="4"/>
  <c r="Z162" i="4"/>
  <c r="W153" i="4"/>
  <c r="X153" i="4"/>
  <c r="Z153" i="4"/>
  <c r="W157" i="4"/>
  <c r="X157" i="4"/>
  <c r="Z157" i="4"/>
  <c r="W195" i="4"/>
  <c r="X195" i="4"/>
  <c r="Z195" i="4"/>
  <c r="W95" i="4"/>
  <c r="X95" i="4"/>
  <c r="Z95" i="4"/>
  <c r="W113" i="4"/>
  <c r="X113" i="4"/>
  <c r="Z113" i="4"/>
  <c r="W86" i="4"/>
  <c r="X86" i="4"/>
  <c r="Z86" i="4"/>
  <c r="W215" i="4"/>
  <c r="X215" i="4"/>
  <c r="Z215" i="4"/>
  <c r="W266" i="4"/>
  <c r="X266" i="4"/>
  <c r="Z266" i="4"/>
  <c r="W117" i="4"/>
  <c r="X117" i="4"/>
  <c r="Z117" i="4"/>
  <c r="W101" i="4"/>
  <c r="X101" i="4"/>
  <c r="Z101" i="4"/>
  <c r="W256" i="4"/>
  <c r="X256" i="4"/>
  <c r="Z256" i="4"/>
  <c r="W106" i="4"/>
  <c r="X106" i="4"/>
  <c r="Z106" i="4"/>
  <c r="W151" i="4"/>
  <c r="X151" i="4"/>
  <c r="Z151" i="4"/>
  <c r="W31" i="4"/>
  <c r="X31" i="4"/>
  <c r="Z31" i="4"/>
  <c r="W238" i="4"/>
  <c r="X238" i="4"/>
  <c r="Z238" i="4"/>
  <c r="W277" i="4"/>
  <c r="X277" i="4"/>
  <c r="Z277" i="4"/>
  <c r="W228" i="4"/>
  <c r="X228" i="4"/>
  <c r="Z228" i="4"/>
  <c r="W254" i="4"/>
  <c r="X254" i="4"/>
  <c r="Z254" i="4"/>
  <c r="W34" i="4"/>
  <c r="X34" i="4"/>
  <c r="Z34" i="4"/>
  <c r="W223" i="4"/>
  <c r="X223" i="4"/>
  <c r="Z223" i="4"/>
  <c r="W239" i="4"/>
  <c r="X239" i="4"/>
  <c r="Z239" i="4"/>
  <c r="W206" i="4"/>
  <c r="X206" i="4"/>
  <c r="Z206" i="4"/>
  <c r="W50" i="4"/>
  <c r="X50" i="4"/>
  <c r="Z50" i="4"/>
  <c r="W111" i="4"/>
  <c r="X111" i="4"/>
  <c r="Z111" i="4"/>
  <c r="W260" i="4"/>
  <c r="X260" i="4"/>
  <c r="Z260" i="4"/>
  <c r="W176" i="4"/>
  <c r="X176" i="4"/>
  <c r="Z176" i="4"/>
  <c r="W65" i="4"/>
  <c r="X65" i="4"/>
  <c r="Z65" i="4"/>
  <c r="W63" i="4"/>
  <c r="X63" i="4"/>
  <c r="Z63" i="4"/>
  <c r="W72" i="4"/>
  <c r="X72" i="4"/>
  <c r="Z72" i="4"/>
  <c r="W41" i="4"/>
  <c r="X41" i="4"/>
  <c r="Z41" i="4"/>
  <c r="W216" i="4"/>
  <c r="X216" i="4"/>
  <c r="Z216" i="4"/>
  <c r="W97" i="4"/>
  <c r="X97" i="4"/>
  <c r="Z97" i="4"/>
  <c r="W61" i="4"/>
  <c r="X61" i="4"/>
  <c r="Z61" i="4"/>
  <c r="W199" i="4"/>
  <c r="X199" i="4"/>
  <c r="Z199" i="4"/>
  <c r="W124" i="4"/>
  <c r="X124" i="4"/>
  <c r="Z124" i="4"/>
  <c r="W66" i="4"/>
  <c r="X66" i="4"/>
  <c r="Z66" i="4"/>
  <c r="W236" i="4"/>
  <c r="X236" i="4"/>
  <c r="Z236" i="4"/>
  <c r="W26" i="4"/>
  <c r="W130" i="4"/>
  <c r="X130" i="4"/>
  <c r="Z130" i="4"/>
  <c r="W217" i="4"/>
  <c r="X217" i="4"/>
  <c r="Z217" i="4"/>
  <c r="W147" i="4"/>
  <c r="X147" i="4"/>
  <c r="Z147" i="4"/>
  <c r="W29" i="4"/>
  <c r="X29" i="4"/>
  <c r="Z29" i="4"/>
  <c r="W104" i="4"/>
  <c r="X104" i="4"/>
  <c r="Z104" i="4"/>
  <c r="W35" i="4"/>
  <c r="X35" i="4"/>
  <c r="Z35" i="4"/>
  <c r="W214" i="4"/>
  <c r="X214" i="4"/>
  <c r="Z214" i="4"/>
  <c r="W194" i="4"/>
  <c r="X194" i="4"/>
  <c r="Z194" i="4"/>
  <c r="W131" i="4"/>
  <c r="X131" i="4"/>
  <c r="Z131" i="4"/>
  <c r="W161" i="4"/>
  <c r="X161" i="4"/>
  <c r="Z161" i="4"/>
  <c r="W165" i="4"/>
  <c r="X165" i="4"/>
  <c r="Z165" i="4"/>
  <c r="W213" i="4"/>
  <c r="X213" i="4"/>
  <c r="Z213" i="4"/>
  <c r="W90" i="4"/>
  <c r="X90" i="4"/>
  <c r="Z90" i="4"/>
  <c r="W211" i="4"/>
  <c r="X211" i="4"/>
  <c r="Z211" i="4"/>
  <c r="W274" i="4"/>
  <c r="X274" i="4"/>
  <c r="Z274" i="4"/>
  <c r="W58" i="4"/>
  <c r="X58" i="4"/>
  <c r="Z58" i="4"/>
  <c r="W44" i="4"/>
  <c r="X44" i="4"/>
  <c r="Z44" i="4"/>
  <c r="W55" i="4"/>
  <c r="X55" i="4"/>
  <c r="Z55" i="4"/>
  <c r="W69" i="4"/>
  <c r="X69" i="4"/>
  <c r="Z69" i="4"/>
  <c r="W79" i="4"/>
  <c r="X79" i="4"/>
  <c r="Z79" i="4"/>
  <c r="W183" i="4"/>
  <c r="X183" i="4"/>
  <c r="Z183" i="4"/>
  <c r="W271" i="4"/>
  <c r="X271" i="4"/>
  <c r="Z271" i="4"/>
  <c r="W198" i="4"/>
  <c r="X198" i="4"/>
  <c r="Z198" i="4"/>
  <c r="W218" i="4"/>
  <c r="X218" i="4"/>
  <c r="Z218" i="4"/>
  <c r="W98" i="4"/>
  <c r="X98" i="4"/>
  <c r="Z98" i="4"/>
  <c r="W172" i="4"/>
  <c r="X172" i="4"/>
  <c r="Z172" i="4"/>
  <c r="W107" i="4"/>
  <c r="X107" i="4"/>
  <c r="Z107" i="4"/>
  <c r="W208" i="4"/>
  <c r="X208" i="4"/>
  <c r="Z208" i="4"/>
  <c r="W248" i="4"/>
  <c r="X248" i="4"/>
  <c r="Z248" i="4"/>
  <c r="W73" i="4"/>
  <c r="X73" i="4"/>
  <c r="Z73" i="4"/>
  <c r="W269" i="4"/>
  <c r="X269" i="4"/>
  <c r="Z269" i="4"/>
  <c r="W57" i="4"/>
  <c r="X57" i="4"/>
  <c r="Z57" i="4"/>
  <c r="W184" i="4"/>
  <c r="X184" i="4"/>
  <c r="Z184" i="4"/>
  <c r="W189" i="4"/>
  <c r="X189" i="4"/>
  <c r="Z189" i="4"/>
  <c r="W276" i="4"/>
  <c r="X276" i="4"/>
  <c r="Z276" i="4"/>
  <c r="W160" i="4"/>
  <c r="X160" i="4"/>
  <c r="Z160" i="4"/>
  <c r="W268" i="4"/>
  <c r="X268" i="4"/>
  <c r="Z268" i="4"/>
  <c r="W227" i="4"/>
  <c r="X227" i="4"/>
  <c r="Z227" i="4"/>
  <c r="W76" i="4"/>
  <c r="X76" i="4"/>
  <c r="Z76" i="4"/>
  <c r="W169" i="4"/>
  <c r="X169" i="4"/>
  <c r="Z169" i="4"/>
  <c r="W166" i="4"/>
  <c r="X166" i="4"/>
  <c r="Z166" i="4"/>
  <c r="W242" i="4"/>
  <c r="X242" i="4"/>
  <c r="Z242" i="4"/>
  <c r="W36" i="4"/>
  <c r="X36" i="4"/>
  <c r="Z36" i="4"/>
  <c r="W59" i="4"/>
  <c r="X59" i="4"/>
  <c r="Z59" i="4"/>
  <c r="W129" i="4"/>
  <c r="X129" i="4"/>
  <c r="Z129" i="4"/>
  <c r="W231" i="4"/>
  <c r="X231" i="4"/>
  <c r="Z231" i="4"/>
  <c r="W171" i="4"/>
  <c r="X171" i="4"/>
  <c r="Z171" i="4"/>
  <c r="W241" i="4"/>
  <c r="X241" i="4"/>
  <c r="Z241" i="4"/>
  <c r="W123" i="4"/>
  <c r="X123" i="4"/>
  <c r="Z123" i="4"/>
  <c r="W133" i="4"/>
  <c r="X133" i="4"/>
  <c r="Z133" i="4"/>
  <c r="W234" i="4"/>
  <c r="X234" i="4"/>
  <c r="Z234" i="4"/>
  <c r="W219" i="4"/>
  <c r="X219" i="4"/>
  <c r="Z219" i="4"/>
  <c r="W49" i="4"/>
  <c r="X49" i="4"/>
  <c r="Z49" i="4"/>
  <c r="W220" i="4"/>
  <c r="X220" i="4"/>
  <c r="Z220" i="4"/>
  <c r="W262" i="4"/>
  <c r="X262" i="4"/>
  <c r="Z262" i="4"/>
  <c r="W210" i="4"/>
  <c r="X210" i="4"/>
  <c r="Z210" i="4"/>
  <c r="W150" i="4"/>
  <c r="X150" i="4"/>
  <c r="Z150" i="4"/>
  <c r="W209" i="4"/>
  <c r="X209" i="4"/>
  <c r="Z209" i="4"/>
  <c r="W71" i="4"/>
  <c r="X71" i="4"/>
  <c r="Z71" i="4"/>
  <c r="W53" i="4"/>
  <c r="X53" i="4"/>
  <c r="Z53" i="4"/>
  <c r="W263" i="4"/>
  <c r="X263" i="4"/>
  <c r="Z263" i="4"/>
  <c r="W84" i="4"/>
  <c r="X84" i="4"/>
  <c r="Z84" i="4"/>
  <c r="W108" i="4"/>
  <c r="X108" i="4"/>
  <c r="Z108" i="4"/>
  <c r="W249" i="4"/>
  <c r="X249" i="4"/>
  <c r="Z249" i="4"/>
  <c r="W80" i="4"/>
  <c r="X80" i="4"/>
  <c r="Z80" i="4"/>
  <c r="W145" i="4"/>
  <c r="X145" i="4"/>
  <c r="Z145" i="4"/>
  <c r="W140" i="4"/>
  <c r="X140" i="4"/>
  <c r="Z140" i="4"/>
  <c r="W250" i="4"/>
  <c r="X250" i="4"/>
  <c r="Z250" i="4"/>
  <c r="W224" i="4"/>
  <c r="X224" i="4"/>
  <c r="Z224" i="4"/>
  <c r="W261" i="4"/>
  <c r="X261" i="4"/>
  <c r="Z261" i="4"/>
  <c r="W78" i="4"/>
  <c r="X78" i="4"/>
  <c r="Z78" i="4"/>
  <c r="W158" i="4"/>
  <c r="X158" i="4"/>
  <c r="Z158" i="4"/>
  <c r="W258" i="4"/>
  <c r="X258" i="4"/>
  <c r="Z258" i="4"/>
  <c r="W115" i="4"/>
  <c r="X115" i="4"/>
  <c r="Z115" i="4"/>
  <c r="W64" i="4"/>
  <c r="X64" i="4"/>
  <c r="Z64" i="4"/>
  <c r="W74" i="4"/>
  <c r="X74" i="4"/>
  <c r="Z74" i="4"/>
  <c r="AB78" i="4"/>
  <c r="AC78" i="4"/>
  <c r="AB108" i="4"/>
  <c r="AC108" i="4"/>
  <c r="AB262" i="4"/>
  <c r="AC262" i="4"/>
  <c r="AB171" i="4"/>
  <c r="AC171" i="4"/>
  <c r="AB76" i="4"/>
  <c r="AC76" i="4"/>
  <c r="AB269" i="4"/>
  <c r="AC269" i="4"/>
  <c r="AB198" i="4"/>
  <c r="AC198" i="4"/>
  <c r="AB274" i="4"/>
  <c r="AC274" i="4"/>
  <c r="AB214" i="4"/>
  <c r="AC214" i="4"/>
  <c r="AB236" i="4"/>
  <c r="AC236" i="4"/>
  <c r="AB72" i="4"/>
  <c r="AC72" i="4"/>
  <c r="AB239" i="4"/>
  <c r="AC239" i="4"/>
  <c r="AB151" i="4"/>
  <c r="AC151" i="4"/>
  <c r="AB113" i="4"/>
  <c r="AC113" i="4"/>
  <c r="AB105" i="4"/>
  <c r="AC105" i="4"/>
  <c r="AB136" i="4"/>
  <c r="AC136" i="4"/>
  <c r="AB32" i="4"/>
  <c r="AC32" i="4"/>
  <c r="AB191" i="4"/>
  <c r="AC191" i="4"/>
  <c r="AB264" i="4"/>
  <c r="AC264" i="4"/>
  <c r="AB205" i="4"/>
  <c r="AC205" i="4"/>
  <c r="AB186" i="4"/>
  <c r="AC186" i="4"/>
  <c r="AB93" i="4"/>
  <c r="AC93" i="4"/>
  <c r="AB148" i="4"/>
  <c r="AC148" i="4"/>
  <c r="AB178" i="4"/>
  <c r="AC178" i="4"/>
  <c r="AB207" i="4"/>
  <c r="AC207" i="4"/>
  <c r="AB126" i="4"/>
  <c r="AC126" i="4"/>
  <c r="AB40" i="4"/>
  <c r="AC40" i="4"/>
  <c r="AB56" i="4"/>
  <c r="AC56" i="4"/>
  <c r="AB146" i="4"/>
  <c r="AC146" i="4"/>
  <c r="AB204" i="4"/>
  <c r="AC204" i="4"/>
  <c r="AB221" i="4"/>
  <c r="AC221" i="4"/>
  <c r="AB261" i="4"/>
  <c r="AC261" i="4"/>
  <c r="AB84" i="4"/>
  <c r="AC84" i="4"/>
  <c r="AB220" i="4"/>
  <c r="AC220" i="4"/>
  <c r="AB231" i="4"/>
  <c r="AC231" i="4"/>
  <c r="AB227" i="4"/>
  <c r="AC227" i="4"/>
  <c r="AB73" i="4"/>
  <c r="AC73" i="4"/>
  <c r="AB271" i="4"/>
  <c r="AC271" i="4"/>
  <c r="AB211" i="4"/>
  <c r="AC211" i="4"/>
  <c r="AB35" i="4"/>
  <c r="AC35" i="4"/>
  <c r="AB66" i="4"/>
  <c r="AC66" i="4"/>
  <c r="AB63" i="4"/>
  <c r="AC63" i="4"/>
  <c r="AB223" i="4"/>
  <c r="AC223" i="4"/>
  <c r="AB106" i="4"/>
  <c r="AC106" i="4"/>
  <c r="AB95" i="4"/>
  <c r="AC95" i="4"/>
  <c r="AB139" i="4"/>
  <c r="AC139" i="4"/>
  <c r="AB118" i="4"/>
  <c r="AC118" i="4"/>
  <c r="AB100" i="4"/>
  <c r="AC100" i="4"/>
  <c r="AB110" i="4"/>
  <c r="AC110" i="4"/>
  <c r="AB39" i="4"/>
  <c r="AC39" i="4"/>
  <c r="AB187" i="4"/>
  <c r="AC187" i="4"/>
  <c r="AB226" i="4"/>
  <c r="AC226" i="4"/>
  <c r="AB167" i="4"/>
  <c r="AC167" i="4"/>
  <c r="AB177" i="4"/>
  <c r="AC177" i="4"/>
  <c r="AB229" i="4"/>
  <c r="AC229" i="4"/>
  <c r="AB245" i="4"/>
  <c r="AC245" i="4"/>
  <c r="AB252" i="4"/>
  <c r="AC252" i="4"/>
  <c r="AB253" i="4"/>
  <c r="AC253" i="4"/>
  <c r="AB175" i="4"/>
  <c r="AC175" i="4"/>
  <c r="AB180" i="4"/>
  <c r="AC180" i="4"/>
  <c r="AB68" i="4"/>
  <c r="AC68" i="4"/>
  <c r="AB94" i="4"/>
  <c r="AC94" i="4"/>
  <c r="AB224" i="4"/>
  <c r="AC224" i="4"/>
  <c r="AB263" i="4"/>
  <c r="AC263" i="4"/>
  <c r="AB49" i="4"/>
  <c r="AC49" i="4"/>
  <c r="AB129" i="4"/>
  <c r="AC129" i="4"/>
  <c r="AB268" i="4"/>
  <c r="AC268" i="4"/>
  <c r="AB248" i="4"/>
  <c r="AC248" i="4"/>
  <c r="AB183" i="4"/>
  <c r="AC183" i="4"/>
  <c r="AB90" i="4"/>
  <c r="AC90" i="4"/>
  <c r="AB104" i="4"/>
  <c r="AC104" i="4"/>
  <c r="AB124" i="4"/>
  <c r="AC124" i="4"/>
  <c r="AB65" i="4"/>
  <c r="AC65" i="4"/>
  <c r="AB34" i="4"/>
  <c r="AC34" i="4"/>
  <c r="AB256" i="4"/>
  <c r="AC256" i="4"/>
  <c r="AB195" i="4"/>
  <c r="AC195" i="4"/>
  <c r="AB47" i="4"/>
  <c r="AC47" i="4"/>
  <c r="AB203" i="4"/>
  <c r="AC203" i="4"/>
  <c r="AB81" i="4"/>
  <c r="AC81" i="4"/>
  <c r="AB92" i="4"/>
  <c r="AC92" i="4"/>
  <c r="AB193" i="4"/>
  <c r="AC193" i="4"/>
  <c r="AB88" i="4"/>
  <c r="AC88" i="4"/>
  <c r="AB185" i="4"/>
  <c r="AC185" i="4"/>
  <c r="AB181" i="4"/>
  <c r="AC181" i="4"/>
  <c r="AB265" i="4"/>
  <c r="AC265" i="4"/>
  <c r="AB182" i="4"/>
  <c r="AC182" i="4"/>
  <c r="AB120" i="4"/>
  <c r="AC120" i="4"/>
  <c r="AB273" i="4"/>
  <c r="AC273" i="4"/>
  <c r="AB82" i="4"/>
  <c r="AC82" i="4"/>
  <c r="AB188" i="4"/>
  <c r="AC188" i="4"/>
  <c r="AB233" i="4"/>
  <c r="AC233" i="4"/>
  <c r="AB38" i="4"/>
  <c r="AC38" i="4"/>
  <c r="AB142" i="4"/>
  <c r="AC142" i="4"/>
  <c r="AB74" i="4"/>
  <c r="AC74" i="4"/>
  <c r="AB250" i="4"/>
  <c r="AC250" i="4"/>
  <c r="AB53" i="4"/>
  <c r="AC53" i="4"/>
  <c r="AB219" i="4"/>
  <c r="AC219" i="4"/>
  <c r="AB59" i="4"/>
  <c r="AC59" i="4"/>
  <c r="AB160" i="4"/>
  <c r="AC160" i="4"/>
  <c r="AB208" i="4"/>
  <c r="AC208" i="4"/>
  <c r="AB79" i="4"/>
  <c r="AC79" i="4"/>
  <c r="AB213" i="4"/>
  <c r="AC213" i="4"/>
  <c r="AB29" i="4"/>
  <c r="AC29" i="4"/>
  <c r="AB199" i="4"/>
  <c r="AC199" i="4"/>
  <c r="AB176" i="4"/>
  <c r="AC176" i="4"/>
  <c r="AB254" i="4"/>
  <c r="AC254" i="4"/>
  <c r="AB101" i="4"/>
  <c r="AC101" i="4"/>
  <c r="AB157" i="4"/>
  <c r="AC157" i="4"/>
  <c r="AB85" i="4"/>
  <c r="AC85" i="4"/>
  <c r="AB51" i="4"/>
  <c r="AC51" i="4"/>
  <c r="AB127" i="4"/>
  <c r="AC127" i="4"/>
  <c r="AB141" i="4"/>
  <c r="AC141" i="4"/>
  <c r="AB149" i="4"/>
  <c r="AC149" i="4"/>
  <c r="AB278" i="4"/>
  <c r="AC278" i="4"/>
  <c r="AB202" i="4"/>
  <c r="AC202" i="4"/>
  <c r="AB144" i="4"/>
  <c r="AC144" i="4"/>
  <c r="AB70" i="4"/>
  <c r="AC70" i="4"/>
  <c r="AB116" i="4"/>
  <c r="AC116" i="4"/>
  <c r="AB230" i="4"/>
  <c r="AC230" i="4"/>
  <c r="AB154" i="4"/>
  <c r="AC154" i="4"/>
  <c r="AB125" i="4"/>
  <c r="AC125" i="4"/>
  <c r="AB43" i="4"/>
  <c r="AC43" i="4"/>
  <c r="AB99" i="4"/>
  <c r="AC99" i="4"/>
  <c r="AB174" i="4"/>
  <c r="AC174" i="4"/>
  <c r="AB77" i="4"/>
  <c r="AC77" i="4"/>
  <c r="AB64" i="4"/>
  <c r="AC64" i="4"/>
  <c r="AB140" i="4"/>
  <c r="AC140" i="4"/>
  <c r="AB71" i="4"/>
  <c r="AC71" i="4"/>
  <c r="AB234" i="4"/>
  <c r="AC234" i="4"/>
  <c r="AB36" i="4"/>
  <c r="AC36" i="4"/>
  <c r="AB276" i="4"/>
  <c r="AC276" i="4"/>
  <c r="AB107" i="4"/>
  <c r="AC107" i="4"/>
  <c r="AB69" i="4"/>
  <c r="AC69" i="4"/>
  <c r="AB165" i="4"/>
  <c r="AC165" i="4"/>
  <c r="AB147" i="4"/>
  <c r="AC147" i="4"/>
  <c r="AB61" i="4"/>
  <c r="AC61" i="4"/>
  <c r="AB260" i="4"/>
  <c r="AC260" i="4"/>
  <c r="AB228" i="4"/>
  <c r="AC228" i="4"/>
  <c r="AB117" i="4"/>
  <c r="AC117" i="4"/>
  <c r="AB153" i="4"/>
  <c r="AC153" i="4"/>
  <c r="AB83" i="4"/>
  <c r="AC83" i="4"/>
  <c r="AB121" i="4"/>
  <c r="AC121" i="4"/>
  <c r="AB237" i="4"/>
  <c r="AC237" i="4"/>
  <c r="AB67" i="4"/>
  <c r="AC67" i="4"/>
  <c r="AB132" i="4"/>
  <c r="AC132" i="4"/>
  <c r="AB163" i="4"/>
  <c r="AC163" i="4"/>
  <c r="AB196" i="4"/>
  <c r="AC196" i="4"/>
  <c r="AB45" i="4"/>
  <c r="AC45" i="4"/>
  <c r="AB137" i="4"/>
  <c r="AC137" i="4"/>
  <c r="AB168" i="4"/>
  <c r="AC168" i="4"/>
  <c r="AB28" i="4"/>
  <c r="AC28" i="4"/>
  <c r="AB251" i="4"/>
  <c r="AC251" i="4"/>
  <c r="AB247" i="4"/>
  <c r="AC247" i="4"/>
  <c r="AB134" i="4"/>
  <c r="AC134" i="4"/>
  <c r="AB200" i="4"/>
  <c r="AC200" i="4"/>
  <c r="AB173" i="4"/>
  <c r="AC173" i="4"/>
  <c r="AB60" i="4"/>
  <c r="AC60" i="4"/>
  <c r="AB115" i="4"/>
  <c r="AC115" i="4"/>
  <c r="AB145" i="4"/>
  <c r="AC145" i="4"/>
  <c r="AB209" i="4"/>
  <c r="AC209" i="4"/>
  <c r="AB133" i="4"/>
  <c r="AC133" i="4"/>
  <c r="AB242" i="4"/>
  <c r="AC242" i="4"/>
  <c r="AB189" i="4"/>
  <c r="AC189" i="4"/>
  <c r="AB172" i="4"/>
  <c r="AC172" i="4"/>
  <c r="AB55" i="4"/>
  <c r="AC55" i="4"/>
  <c r="AB161" i="4"/>
  <c r="AC161" i="4"/>
  <c r="AB217" i="4"/>
  <c r="AC217" i="4"/>
  <c r="AB97" i="4"/>
  <c r="AC97" i="4"/>
  <c r="AB111" i="4"/>
  <c r="AC111" i="4"/>
  <c r="AB277" i="4"/>
  <c r="AC277" i="4"/>
  <c r="AB266" i="4"/>
  <c r="AC266" i="4"/>
  <c r="AB162" i="4"/>
  <c r="AC162" i="4"/>
  <c r="AB33" i="4"/>
  <c r="AC33" i="4"/>
  <c r="AB225" i="4"/>
  <c r="AC225" i="4"/>
  <c r="AB259" i="4"/>
  <c r="AC259" i="4"/>
  <c r="AB197" i="4"/>
  <c r="AC197" i="4"/>
  <c r="AB103" i="4"/>
  <c r="AC103" i="4"/>
  <c r="AB212" i="4"/>
  <c r="AC212" i="4"/>
  <c r="AB135" i="4"/>
  <c r="AC135" i="4"/>
  <c r="AB109" i="4"/>
  <c r="AC109" i="4"/>
  <c r="AB46" i="4"/>
  <c r="AC46" i="4"/>
  <c r="AB170" i="4"/>
  <c r="AC170" i="4"/>
  <c r="AB48" i="4"/>
  <c r="AC48" i="4"/>
  <c r="AB243" i="4"/>
  <c r="AC243" i="4"/>
  <c r="AB87" i="4"/>
  <c r="AC87" i="4"/>
  <c r="AB102" i="4"/>
  <c r="AC102" i="4"/>
  <c r="AB179" i="4"/>
  <c r="AC179" i="4"/>
  <c r="AB89" i="4"/>
  <c r="AC89" i="4"/>
  <c r="AB119" i="4"/>
  <c r="AC119" i="4"/>
  <c r="AB258" i="4"/>
  <c r="AC258" i="4"/>
  <c r="AB80" i="4"/>
  <c r="AC80" i="4"/>
  <c r="AB150" i="4"/>
  <c r="AC150" i="4"/>
  <c r="AB123" i="4"/>
  <c r="AC123" i="4"/>
  <c r="AB166" i="4"/>
  <c r="AC166" i="4"/>
  <c r="AB184" i="4"/>
  <c r="AC184" i="4"/>
  <c r="AB98" i="4"/>
  <c r="AC98" i="4"/>
  <c r="AB44" i="4"/>
  <c r="AC44" i="4"/>
  <c r="AB131" i="4"/>
  <c r="AC131" i="4"/>
  <c r="AB130" i="4"/>
  <c r="AC130" i="4"/>
  <c r="AB216" i="4"/>
  <c r="AC216" i="4"/>
  <c r="AB50" i="4"/>
  <c r="AC50" i="4"/>
  <c r="AB238" i="4"/>
  <c r="AC238" i="4"/>
  <c r="AB215" i="4"/>
  <c r="AC215" i="4"/>
  <c r="AB75" i="4"/>
  <c r="AC75" i="4"/>
  <c r="AB128" i="4"/>
  <c r="AC128" i="4"/>
  <c r="AB114" i="4"/>
  <c r="AC114" i="4"/>
  <c r="AB52" i="4"/>
  <c r="AC52" i="4"/>
  <c r="AB246" i="4"/>
  <c r="AC246" i="4"/>
  <c r="AB255" i="4"/>
  <c r="AC255" i="4"/>
  <c r="AB257" i="4"/>
  <c r="AC257" i="4"/>
  <c r="AB235" i="4"/>
  <c r="AC235" i="4"/>
  <c r="AB37" i="4"/>
  <c r="AC37" i="4"/>
  <c r="AB244" i="4"/>
  <c r="AC244" i="4"/>
  <c r="AB112" i="4"/>
  <c r="AC112" i="4"/>
  <c r="AB240" i="4"/>
  <c r="AC240" i="4"/>
  <c r="AB270" i="4"/>
  <c r="AC270" i="4"/>
  <c r="AB156" i="4"/>
  <c r="AC156" i="4"/>
  <c r="AB96" i="4"/>
  <c r="AC96" i="4"/>
  <c r="AB272" i="4"/>
  <c r="AC272" i="4"/>
  <c r="AB122" i="4"/>
  <c r="AC122" i="4"/>
  <c r="AB42" i="4"/>
  <c r="AC42" i="4"/>
  <c r="AB158" i="4"/>
  <c r="AC158" i="4"/>
  <c r="AB249" i="4"/>
  <c r="AC249" i="4"/>
  <c r="AB210" i="4"/>
  <c r="AC210" i="4"/>
  <c r="AB241" i="4"/>
  <c r="AC241" i="4"/>
  <c r="AB169" i="4"/>
  <c r="AC169" i="4"/>
  <c r="AB57" i="4"/>
  <c r="AC57" i="4"/>
  <c r="AB218" i="4"/>
  <c r="AC218" i="4"/>
  <c r="AB58" i="4"/>
  <c r="AC58" i="4"/>
  <c r="AB194" i="4"/>
  <c r="AC194" i="4"/>
  <c r="W23" i="4"/>
  <c r="X26" i="4"/>
  <c r="AB41" i="4"/>
  <c r="AC41" i="4"/>
  <c r="AB206" i="4"/>
  <c r="AC206" i="4"/>
  <c r="AB31" i="4"/>
  <c r="AC31" i="4"/>
  <c r="AB86" i="4"/>
  <c r="AC86" i="4"/>
  <c r="AB159" i="4"/>
  <c r="AC159" i="4"/>
  <c r="AB267" i="4"/>
  <c r="AC267" i="4"/>
  <c r="AB275" i="4"/>
  <c r="AC275" i="4"/>
  <c r="AB155" i="4"/>
  <c r="AC155" i="4"/>
  <c r="AB54" i="4"/>
  <c r="AC54" i="4"/>
  <c r="AB152" i="4"/>
  <c r="AC152" i="4"/>
  <c r="AB91" i="4"/>
  <c r="AC91" i="4"/>
  <c r="AB62" i="4"/>
  <c r="AC62" i="4"/>
  <c r="AB27" i="4"/>
  <c r="AC27" i="4"/>
  <c r="AB143" i="4"/>
  <c r="AC143" i="4"/>
  <c r="AB138" i="4"/>
  <c r="AC138" i="4"/>
  <c r="AB30" i="4"/>
  <c r="AC30" i="4"/>
  <c r="AB222" i="4"/>
  <c r="AC222" i="4"/>
  <c r="AB192" i="4"/>
  <c r="AC192" i="4"/>
  <c r="AB164" i="4"/>
  <c r="AC164" i="4"/>
  <c r="AB190" i="4"/>
  <c r="AC190" i="4"/>
  <c r="AB201" i="4"/>
  <c r="AC201" i="4"/>
  <c r="AB232" i="4"/>
  <c r="AC232" i="4"/>
  <c r="AH122" i="4"/>
  <c r="AE122" i="4"/>
  <c r="AG122" i="4"/>
  <c r="AF122" i="4"/>
  <c r="AF67" i="4"/>
  <c r="AG67" i="4"/>
  <c r="AE67" i="4"/>
  <c r="AH67" i="4"/>
  <c r="AG250" i="4"/>
  <c r="AE250" i="4"/>
  <c r="AF250" i="4"/>
  <c r="AH250" i="4"/>
  <c r="AF47" i="4"/>
  <c r="AH47" i="4"/>
  <c r="AE47" i="4"/>
  <c r="AG47" i="4"/>
  <c r="AE68" i="4"/>
  <c r="AF68" i="4"/>
  <c r="AG68" i="4"/>
  <c r="AH68" i="4"/>
  <c r="AG220" i="4"/>
  <c r="AE220" i="4"/>
  <c r="AF220" i="4"/>
  <c r="AH220" i="4"/>
  <c r="AH225" i="4"/>
  <c r="AF225" i="4"/>
  <c r="AE225" i="4"/>
  <c r="AG225" i="4"/>
  <c r="AH137" i="4"/>
  <c r="AG137" i="4"/>
  <c r="AE137" i="4"/>
  <c r="AF137" i="4"/>
  <c r="AF228" i="4"/>
  <c r="AH228" i="4"/>
  <c r="AE228" i="4"/>
  <c r="AG228" i="4"/>
  <c r="AF43" i="4"/>
  <c r="AE43" i="4"/>
  <c r="AG43" i="4"/>
  <c r="AH43" i="4"/>
  <c r="AH74" i="4"/>
  <c r="AE74" i="4"/>
  <c r="AG74" i="4"/>
  <c r="AF74" i="4"/>
  <c r="AF185" i="4"/>
  <c r="AE185" i="4"/>
  <c r="AG185" i="4"/>
  <c r="AH185" i="4"/>
  <c r="AG180" i="4"/>
  <c r="AH180" i="4"/>
  <c r="AF180" i="4"/>
  <c r="AE180" i="4"/>
  <c r="AF39" i="4"/>
  <c r="AG39" i="4"/>
  <c r="AE39" i="4"/>
  <c r="AH39" i="4"/>
  <c r="AG210" i="4"/>
  <c r="AH210" i="4"/>
  <c r="AF210" i="4"/>
  <c r="AE210" i="4"/>
  <c r="AH246" i="4"/>
  <c r="AE246" i="4"/>
  <c r="AG246" i="4"/>
  <c r="AF246" i="4"/>
  <c r="AH135" i="4"/>
  <c r="AE135" i="4"/>
  <c r="AG135" i="4"/>
  <c r="AF135" i="4"/>
  <c r="AE33" i="4"/>
  <c r="AH33" i="4"/>
  <c r="AG33" i="4"/>
  <c r="AF33" i="4"/>
  <c r="AH172" i="4"/>
  <c r="AG172" i="4"/>
  <c r="AE172" i="4"/>
  <c r="AF172" i="4"/>
  <c r="AH134" i="4"/>
  <c r="AF134" i="4"/>
  <c r="AG134" i="4"/>
  <c r="AE134" i="4"/>
  <c r="AE45" i="4"/>
  <c r="AF45" i="4"/>
  <c r="AH45" i="4"/>
  <c r="AG45" i="4"/>
  <c r="AG107" i="4"/>
  <c r="AH107" i="4"/>
  <c r="AF107" i="4"/>
  <c r="AE107" i="4"/>
  <c r="AF144" i="4"/>
  <c r="AH144" i="4"/>
  <c r="AG144" i="4"/>
  <c r="AE144" i="4"/>
  <c r="AH51" i="4"/>
  <c r="AE51" i="4"/>
  <c r="AF51" i="4"/>
  <c r="AG51" i="4"/>
  <c r="AH199" i="4"/>
  <c r="AE199" i="4"/>
  <c r="AF199" i="4"/>
  <c r="AG199" i="4"/>
  <c r="AF273" i="4"/>
  <c r="AH273" i="4"/>
  <c r="AG273" i="4"/>
  <c r="AE273" i="4"/>
  <c r="AG88" i="4"/>
  <c r="AF88" i="4"/>
  <c r="AH88" i="4"/>
  <c r="AE88" i="4"/>
  <c r="AE90" i="4"/>
  <c r="AF90" i="4"/>
  <c r="AH90" i="4"/>
  <c r="AG90" i="4"/>
  <c r="AH177" i="4"/>
  <c r="AE177" i="4"/>
  <c r="AF177" i="4"/>
  <c r="AG177" i="4"/>
  <c r="AH271" i="4"/>
  <c r="AE271" i="4"/>
  <c r="AG271" i="4"/>
  <c r="AF271" i="4"/>
  <c r="AE93" i="4"/>
  <c r="AG93" i="4"/>
  <c r="AH93" i="4"/>
  <c r="AF93" i="4"/>
  <c r="AE269" i="4"/>
  <c r="AF269" i="4"/>
  <c r="AG269" i="4"/>
  <c r="AH269" i="4"/>
  <c r="AH54" i="4"/>
  <c r="AG54" i="4"/>
  <c r="AE54" i="4"/>
  <c r="AF54" i="4"/>
  <c r="AE168" i="4"/>
  <c r="AF168" i="4"/>
  <c r="AG168" i="4"/>
  <c r="AH168" i="4"/>
  <c r="AE181" i="4"/>
  <c r="AF181" i="4"/>
  <c r="AH181" i="4"/>
  <c r="AG181" i="4"/>
  <c r="AF129" i="4"/>
  <c r="AH129" i="4"/>
  <c r="AE129" i="4"/>
  <c r="AG129" i="4"/>
  <c r="AE95" i="4"/>
  <c r="AF95" i="4"/>
  <c r="AG95" i="4"/>
  <c r="AH95" i="4"/>
  <c r="AG215" i="4"/>
  <c r="AH215" i="4"/>
  <c r="AF215" i="4"/>
  <c r="AE215" i="4"/>
  <c r="AH109" i="4"/>
  <c r="AF109" i="4"/>
  <c r="AG109" i="4"/>
  <c r="AE109" i="4"/>
  <c r="AF209" i="4"/>
  <c r="AH209" i="4"/>
  <c r="AE209" i="4"/>
  <c r="AG209" i="4"/>
  <c r="AE232" i="4"/>
  <c r="AG232" i="4"/>
  <c r="AH232" i="4"/>
  <c r="AF232" i="4"/>
  <c r="AH27" i="4"/>
  <c r="AE27" i="4"/>
  <c r="AG27" i="4"/>
  <c r="AF27" i="4"/>
  <c r="AG275" i="4"/>
  <c r="AE275" i="4"/>
  <c r="AH275" i="4"/>
  <c r="AF275" i="4"/>
  <c r="AF243" i="4"/>
  <c r="AG243" i="4"/>
  <c r="AH243" i="4"/>
  <c r="AE243" i="4"/>
  <c r="AE212" i="4"/>
  <c r="AH212" i="4"/>
  <c r="AF212" i="4"/>
  <c r="AG212" i="4"/>
  <c r="AG97" i="4"/>
  <c r="AE97" i="4"/>
  <c r="AF97" i="4"/>
  <c r="AH97" i="4"/>
  <c r="AF196" i="4"/>
  <c r="AE196" i="4"/>
  <c r="AG196" i="4"/>
  <c r="AH196" i="4"/>
  <c r="AE121" i="4"/>
  <c r="AF121" i="4"/>
  <c r="AG121" i="4"/>
  <c r="AH121" i="4"/>
  <c r="AG64" i="4"/>
  <c r="AE64" i="4"/>
  <c r="AF64" i="4"/>
  <c r="AH64" i="4"/>
  <c r="AG202" i="4"/>
  <c r="AF202" i="4"/>
  <c r="AE202" i="4"/>
  <c r="AH202" i="4"/>
  <c r="AE85" i="4"/>
  <c r="AF85" i="4"/>
  <c r="AG85" i="4"/>
  <c r="AH85" i="4"/>
  <c r="AE59" i="4"/>
  <c r="AH59" i="4"/>
  <c r="AG59" i="4"/>
  <c r="AF59" i="4"/>
  <c r="AG223" i="4"/>
  <c r="AF223" i="4"/>
  <c r="AE223" i="4"/>
  <c r="AH223" i="4"/>
  <c r="AH261" i="4"/>
  <c r="AF261" i="4"/>
  <c r="AE261" i="4"/>
  <c r="AG261" i="4"/>
  <c r="AG186" i="4"/>
  <c r="AF186" i="4"/>
  <c r="AE186" i="4"/>
  <c r="AH186" i="4"/>
  <c r="AH201" i="4"/>
  <c r="AE201" i="4"/>
  <c r="AG201" i="4"/>
  <c r="AF201" i="4"/>
  <c r="AF218" i="4"/>
  <c r="AE218" i="4"/>
  <c r="AG218" i="4"/>
  <c r="AH218" i="4"/>
  <c r="AG83" i="4"/>
  <c r="AH83" i="4"/>
  <c r="AF83" i="4"/>
  <c r="AE83" i="4"/>
  <c r="AF278" i="4"/>
  <c r="AG278" i="4"/>
  <c r="AH278" i="4"/>
  <c r="AE278" i="4"/>
  <c r="AF105" i="4"/>
  <c r="AE105" i="4"/>
  <c r="AH105" i="4"/>
  <c r="AG105" i="4"/>
  <c r="AE37" i="4"/>
  <c r="AH37" i="4"/>
  <c r="AF37" i="4"/>
  <c r="AG37" i="4"/>
  <c r="AE251" i="4"/>
  <c r="AG251" i="4"/>
  <c r="AH251" i="4"/>
  <c r="AF251" i="4"/>
  <c r="AF34" i="4"/>
  <c r="AG34" i="4"/>
  <c r="AE34" i="4"/>
  <c r="AH34" i="4"/>
  <c r="AG113" i="4"/>
  <c r="AE113" i="4"/>
  <c r="AH113" i="4"/>
  <c r="AF113" i="4"/>
  <c r="AF115" i="4"/>
  <c r="AE115" i="4"/>
  <c r="AG115" i="4"/>
  <c r="AH115" i="4"/>
  <c r="AG154" i="4"/>
  <c r="AH154" i="4"/>
  <c r="AF154" i="4"/>
  <c r="AE154" i="4"/>
  <c r="AH38" i="4"/>
  <c r="AF38" i="4"/>
  <c r="AG38" i="4"/>
  <c r="AE38" i="4"/>
  <c r="AH63" i="4"/>
  <c r="AG63" i="4"/>
  <c r="AE63" i="4"/>
  <c r="AF63" i="4"/>
  <c r="AH126" i="4"/>
  <c r="AF126" i="4"/>
  <c r="AG126" i="4"/>
  <c r="AE126" i="4"/>
  <c r="AE205" i="4"/>
  <c r="AF205" i="4"/>
  <c r="AH205" i="4"/>
  <c r="AG205" i="4"/>
  <c r="AE57" i="4"/>
  <c r="AF57" i="4"/>
  <c r="AG57" i="4"/>
  <c r="AH57" i="4"/>
  <c r="AG98" i="4"/>
  <c r="AH98" i="4"/>
  <c r="AE98" i="4"/>
  <c r="AF98" i="4"/>
  <c r="AF36" i="4"/>
  <c r="AH36" i="4"/>
  <c r="AG36" i="4"/>
  <c r="AE36" i="4"/>
  <c r="AF213" i="4"/>
  <c r="AH213" i="4"/>
  <c r="AE213" i="4"/>
  <c r="AG213" i="4"/>
  <c r="AH182" i="4"/>
  <c r="AE182" i="4"/>
  <c r="AF182" i="4"/>
  <c r="AG182" i="4"/>
  <c r="AE92" i="4"/>
  <c r="AG92" i="4"/>
  <c r="AH92" i="4"/>
  <c r="AF92" i="4"/>
  <c r="AG248" i="4"/>
  <c r="AH248" i="4"/>
  <c r="AE248" i="4"/>
  <c r="AF248" i="4"/>
  <c r="AH227" i="4"/>
  <c r="AF227" i="4"/>
  <c r="AE227" i="4"/>
  <c r="AG227" i="4"/>
  <c r="AG171" i="4"/>
  <c r="AF171" i="4"/>
  <c r="AH171" i="4"/>
  <c r="AE171" i="4"/>
  <c r="AH91" i="4"/>
  <c r="AF91" i="4"/>
  <c r="AG91" i="4"/>
  <c r="AE91" i="4"/>
  <c r="AE235" i="4"/>
  <c r="AG235" i="4"/>
  <c r="AH235" i="4"/>
  <c r="AF235" i="4"/>
  <c r="AF128" i="4"/>
  <c r="AG128" i="4"/>
  <c r="AH128" i="4"/>
  <c r="AE128" i="4"/>
  <c r="AE216" i="4"/>
  <c r="AH216" i="4"/>
  <c r="AG216" i="4"/>
  <c r="AF216" i="4"/>
  <c r="AG184" i="4"/>
  <c r="AE184" i="4"/>
  <c r="AF184" i="4"/>
  <c r="AH184" i="4"/>
  <c r="AH197" i="4"/>
  <c r="AF197" i="4"/>
  <c r="AG197" i="4"/>
  <c r="AE197" i="4"/>
  <c r="AF174" i="4"/>
  <c r="AH174" i="4"/>
  <c r="AE174" i="4"/>
  <c r="AG174" i="4"/>
  <c r="AE101" i="4"/>
  <c r="AG101" i="4"/>
  <c r="AH101" i="4"/>
  <c r="AF101" i="4"/>
  <c r="AF81" i="4"/>
  <c r="AH81" i="4"/>
  <c r="AG81" i="4"/>
  <c r="AE81" i="4"/>
  <c r="AE65" i="4"/>
  <c r="AF65" i="4"/>
  <c r="AG65" i="4"/>
  <c r="AH65" i="4"/>
  <c r="AG204" i="4"/>
  <c r="AH204" i="4"/>
  <c r="AF204" i="4"/>
  <c r="AE204" i="4"/>
  <c r="AH262" i="4"/>
  <c r="AG262" i="4"/>
  <c r="AF262" i="4"/>
  <c r="AE262" i="4"/>
  <c r="AE267" i="4"/>
  <c r="AF267" i="4"/>
  <c r="AG267" i="4"/>
  <c r="AH267" i="4"/>
  <c r="AG244" i="4"/>
  <c r="AH244" i="4"/>
  <c r="AF244" i="4"/>
  <c r="AE244" i="4"/>
  <c r="AE61" i="4"/>
  <c r="AF61" i="4"/>
  <c r="AG61" i="4"/>
  <c r="AH61" i="4"/>
  <c r="AE253" i="4"/>
  <c r="AH253" i="4"/>
  <c r="AF253" i="4"/>
  <c r="AG253" i="4"/>
  <c r="AG100" i="4"/>
  <c r="AE100" i="4"/>
  <c r="AF100" i="4"/>
  <c r="AH100" i="4"/>
  <c r="AE236" i="4"/>
  <c r="AF236" i="4"/>
  <c r="AH236" i="4"/>
  <c r="AG236" i="4"/>
  <c r="AF41" i="4"/>
  <c r="AH41" i="4"/>
  <c r="AE41" i="4"/>
  <c r="AG41" i="4"/>
  <c r="AE158" i="4"/>
  <c r="AF158" i="4"/>
  <c r="AG158" i="4"/>
  <c r="AH158" i="4"/>
  <c r="AH114" i="4"/>
  <c r="AE114" i="4"/>
  <c r="AG114" i="4"/>
  <c r="AF114" i="4"/>
  <c r="AE152" i="4"/>
  <c r="AG152" i="4"/>
  <c r="AH152" i="4"/>
  <c r="AF152" i="4"/>
  <c r="AE270" i="4"/>
  <c r="AG270" i="4"/>
  <c r="AH270" i="4"/>
  <c r="AF270" i="4"/>
  <c r="AF257" i="4"/>
  <c r="AH257" i="4"/>
  <c r="AE257" i="4"/>
  <c r="AG257" i="4"/>
  <c r="AH173" i="4"/>
  <c r="AG173" i="4"/>
  <c r="AF173" i="4"/>
  <c r="AE173" i="4"/>
  <c r="AH165" i="4"/>
  <c r="AE165" i="4"/>
  <c r="AF165" i="4"/>
  <c r="AG165" i="4"/>
  <c r="AE116" i="4"/>
  <c r="AF116" i="4"/>
  <c r="AG116" i="4"/>
  <c r="AH116" i="4"/>
  <c r="AE141" i="4"/>
  <c r="AF141" i="4"/>
  <c r="AG141" i="4"/>
  <c r="AH141" i="4"/>
  <c r="AG254" i="4"/>
  <c r="AH254" i="4"/>
  <c r="AE254" i="4"/>
  <c r="AF254" i="4"/>
  <c r="AF188" i="4"/>
  <c r="AG188" i="4"/>
  <c r="AH188" i="4"/>
  <c r="AE188" i="4"/>
  <c r="AH203" i="4"/>
  <c r="AG203" i="4"/>
  <c r="AF203" i="4"/>
  <c r="AE203" i="4"/>
  <c r="AH124" i="4"/>
  <c r="AE124" i="4"/>
  <c r="AF124" i="4"/>
  <c r="AG124" i="4"/>
  <c r="AE94" i="4"/>
  <c r="AH94" i="4"/>
  <c r="AF94" i="4"/>
  <c r="AG94" i="4"/>
  <c r="AG245" i="4"/>
  <c r="AE245" i="4"/>
  <c r="AH245" i="4"/>
  <c r="AF245" i="4"/>
  <c r="AH139" i="4"/>
  <c r="AE139" i="4"/>
  <c r="AF139" i="4"/>
  <c r="AG139" i="4"/>
  <c r="AF35" i="4"/>
  <c r="AG35" i="4"/>
  <c r="AH35" i="4"/>
  <c r="AE35" i="4"/>
  <c r="AG178" i="4"/>
  <c r="AE178" i="4"/>
  <c r="AH178" i="4"/>
  <c r="AF178" i="4"/>
  <c r="AH191" i="4"/>
  <c r="AE191" i="4"/>
  <c r="AF191" i="4"/>
  <c r="AG191" i="4"/>
  <c r="AH274" i="4"/>
  <c r="AE274" i="4"/>
  <c r="AF274" i="4"/>
  <c r="AG274" i="4"/>
  <c r="AF108" i="4"/>
  <c r="AH108" i="4"/>
  <c r="AE108" i="4"/>
  <c r="AG108" i="4"/>
  <c r="AE46" i="4"/>
  <c r="AF46" i="4"/>
  <c r="AH46" i="4"/>
  <c r="AG46" i="4"/>
  <c r="AG71" i="4"/>
  <c r="AH71" i="4"/>
  <c r="AF71" i="4"/>
  <c r="AE71" i="4"/>
  <c r="AE208" i="4"/>
  <c r="AG208" i="4"/>
  <c r="AH208" i="4"/>
  <c r="AF208" i="4"/>
  <c r="AG56" i="4"/>
  <c r="AH56" i="4"/>
  <c r="AF56" i="4"/>
  <c r="AE56" i="4"/>
  <c r="AG163" i="4"/>
  <c r="AE163" i="4"/>
  <c r="AF163" i="4"/>
  <c r="AH163" i="4"/>
  <c r="AF192" i="4"/>
  <c r="AG192" i="4"/>
  <c r="AH192" i="4"/>
  <c r="AE192" i="4"/>
  <c r="AH206" i="4"/>
  <c r="AE206" i="4"/>
  <c r="AF206" i="4"/>
  <c r="AG206" i="4"/>
  <c r="AG58" i="4"/>
  <c r="AE58" i="4"/>
  <c r="AH58" i="4"/>
  <c r="AF58" i="4"/>
  <c r="AF156" i="4"/>
  <c r="AG156" i="4"/>
  <c r="AE156" i="4"/>
  <c r="AH156" i="4"/>
  <c r="AE44" i="4"/>
  <c r="AG44" i="4"/>
  <c r="AH44" i="4"/>
  <c r="AF44" i="4"/>
  <c r="AE119" i="4"/>
  <c r="AG119" i="4"/>
  <c r="AH119" i="4"/>
  <c r="AF119" i="4"/>
  <c r="AH87" i="4"/>
  <c r="AF87" i="4"/>
  <c r="AG87" i="4"/>
  <c r="AE87" i="4"/>
  <c r="AE103" i="4"/>
  <c r="AH103" i="4"/>
  <c r="AF103" i="4"/>
  <c r="AG103" i="4"/>
  <c r="AG55" i="4"/>
  <c r="AE55" i="4"/>
  <c r="AF55" i="4"/>
  <c r="AH55" i="4"/>
  <c r="AF133" i="4"/>
  <c r="AE133" i="4"/>
  <c r="AG133" i="4"/>
  <c r="AH133" i="4"/>
  <c r="AH247" i="4"/>
  <c r="AE247" i="4"/>
  <c r="AG247" i="4"/>
  <c r="AF247" i="4"/>
  <c r="AF260" i="4"/>
  <c r="AE260" i="4"/>
  <c r="AH260" i="4"/>
  <c r="AG260" i="4"/>
  <c r="AH234" i="4"/>
  <c r="AE234" i="4"/>
  <c r="AF234" i="4"/>
  <c r="AG234" i="4"/>
  <c r="AE77" i="4"/>
  <c r="AG77" i="4"/>
  <c r="AF77" i="4"/>
  <c r="AH77" i="4"/>
  <c r="AF125" i="4"/>
  <c r="AE125" i="4"/>
  <c r="AH125" i="4"/>
  <c r="AG125" i="4"/>
  <c r="AH149" i="4"/>
  <c r="AE149" i="4"/>
  <c r="AG149" i="4"/>
  <c r="AF149" i="4"/>
  <c r="AH79" i="4"/>
  <c r="AF79" i="4"/>
  <c r="AG79" i="4"/>
  <c r="AE79" i="4"/>
  <c r="AF219" i="4"/>
  <c r="AG219" i="4"/>
  <c r="AH219" i="4"/>
  <c r="AE219" i="4"/>
  <c r="AF82" i="4"/>
  <c r="AG82" i="4"/>
  <c r="AE82" i="4"/>
  <c r="AH82" i="4"/>
  <c r="AG265" i="4"/>
  <c r="AH265" i="4"/>
  <c r="AE265" i="4"/>
  <c r="AF265" i="4"/>
  <c r="AF193" i="4"/>
  <c r="AG193" i="4"/>
  <c r="AH193" i="4"/>
  <c r="AE193" i="4"/>
  <c r="AG183" i="4"/>
  <c r="AH183" i="4"/>
  <c r="AE183" i="4"/>
  <c r="AF183" i="4"/>
  <c r="AG49" i="4"/>
  <c r="AH49" i="4"/>
  <c r="AF49" i="4"/>
  <c r="AE49" i="4"/>
  <c r="AF252" i="4"/>
  <c r="AG252" i="4"/>
  <c r="AE252" i="4"/>
  <c r="AH252" i="4"/>
  <c r="AG167" i="4"/>
  <c r="AE167" i="4"/>
  <c r="AH167" i="4"/>
  <c r="AF167" i="4"/>
  <c r="AE110" i="4"/>
  <c r="AG110" i="4"/>
  <c r="AH110" i="4"/>
  <c r="AF110" i="4"/>
  <c r="AE66" i="4"/>
  <c r="AG66" i="4"/>
  <c r="AH66" i="4"/>
  <c r="AF66" i="4"/>
  <c r="AE73" i="4"/>
  <c r="AF73" i="4"/>
  <c r="AH73" i="4"/>
  <c r="AG73" i="4"/>
  <c r="AH84" i="4"/>
  <c r="AG84" i="4"/>
  <c r="AE84" i="4"/>
  <c r="AF84" i="4"/>
  <c r="AE146" i="4"/>
  <c r="AG146" i="4"/>
  <c r="AH146" i="4"/>
  <c r="AF146" i="4"/>
  <c r="AE32" i="4"/>
  <c r="AG32" i="4"/>
  <c r="AF32" i="4"/>
  <c r="AH32" i="4"/>
  <c r="AF151" i="4"/>
  <c r="AE151" i="4"/>
  <c r="AH151" i="4"/>
  <c r="AG151" i="4"/>
  <c r="AF214" i="4"/>
  <c r="AH214" i="4"/>
  <c r="AE214" i="4"/>
  <c r="AG214" i="4"/>
  <c r="AE78" i="4"/>
  <c r="AF78" i="4"/>
  <c r="AG78" i="4"/>
  <c r="AH78" i="4"/>
  <c r="AH31" i="4"/>
  <c r="AE31" i="4"/>
  <c r="AG31" i="4"/>
  <c r="AF31" i="4"/>
  <c r="AH131" i="4"/>
  <c r="AF131" i="4"/>
  <c r="AG131" i="4"/>
  <c r="AE131" i="4"/>
  <c r="AH159" i="4"/>
  <c r="AF159" i="4"/>
  <c r="AG159" i="4"/>
  <c r="AE159" i="4"/>
  <c r="AG89" i="4"/>
  <c r="AE89" i="4"/>
  <c r="AF89" i="4"/>
  <c r="AH89" i="4"/>
  <c r="AG153" i="4"/>
  <c r="AE153" i="4"/>
  <c r="AH153" i="4"/>
  <c r="AF153" i="4"/>
  <c r="AH157" i="4"/>
  <c r="AF157" i="4"/>
  <c r="AE157" i="4"/>
  <c r="AG157" i="4"/>
  <c r="AH53" i="4"/>
  <c r="AF53" i="4"/>
  <c r="AE53" i="4"/>
  <c r="AG53" i="4"/>
  <c r="AG195" i="4"/>
  <c r="AF195" i="4"/>
  <c r="AH195" i="4"/>
  <c r="AE195" i="4"/>
  <c r="AG263" i="4"/>
  <c r="AF263" i="4"/>
  <c r="AH263" i="4"/>
  <c r="AE263" i="4"/>
  <c r="AH226" i="4"/>
  <c r="AF226" i="4"/>
  <c r="AG226" i="4"/>
  <c r="AE226" i="4"/>
  <c r="AH106" i="4"/>
  <c r="AG106" i="4"/>
  <c r="AE106" i="4"/>
  <c r="AF106" i="4"/>
  <c r="AE136" i="4"/>
  <c r="AG136" i="4"/>
  <c r="AH136" i="4"/>
  <c r="AF136" i="4"/>
  <c r="AE239" i="4"/>
  <c r="AG239" i="4"/>
  <c r="AH239" i="4"/>
  <c r="AF239" i="4"/>
  <c r="AG169" i="4"/>
  <c r="AH169" i="4"/>
  <c r="AF169" i="4"/>
  <c r="AE169" i="4"/>
  <c r="AE112" i="4"/>
  <c r="AF112" i="4"/>
  <c r="AG112" i="4"/>
  <c r="AH112" i="4"/>
  <c r="AH222" i="4"/>
  <c r="AE222" i="4"/>
  <c r="AF222" i="4"/>
  <c r="AG222" i="4"/>
  <c r="AF162" i="4"/>
  <c r="AG162" i="4"/>
  <c r="AH162" i="4"/>
  <c r="AE162" i="4"/>
  <c r="AE48" i="4"/>
  <c r="AG48" i="4"/>
  <c r="AH48" i="4"/>
  <c r="AF48" i="4"/>
  <c r="AH233" i="4"/>
  <c r="AF233" i="4"/>
  <c r="AG233" i="4"/>
  <c r="AE233" i="4"/>
  <c r="AF75" i="4"/>
  <c r="AE75" i="4"/>
  <c r="AH75" i="4"/>
  <c r="AG75" i="4"/>
  <c r="AH150" i="4"/>
  <c r="AF150" i="4"/>
  <c r="AG150" i="4"/>
  <c r="AE150" i="4"/>
  <c r="AH190" i="4"/>
  <c r="AF190" i="4"/>
  <c r="AG190" i="4"/>
  <c r="AE190" i="4"/>
  <c r="AF30" i="4"/>
  <c r="AE30" i="4"/>
  <c r="AG30" i="4"/>
  <c r="AH30" i="4"/>
  <c r="AG62" i="4"/>
  <c r="AH62" i="4"/>
  <c r="AF62" i="4"/>
  <c r="AE62" i="4"/>
  <c r="AH155" i="4"/>
  <c r="AF155" i="4"/>
  <c r="AE155" i="4"/>
  <c r="AG155" i="4"/>
  <c r="AE86" i="4"/>
  <c r="AH86" i="4"/>
  <c r="AG86" i="4"/>
  <c r="AF86" i="4"/>
  <c r="Z26" i="4"/>
  <c r="X23" i="4"/>
  <c r="AG249" i="4"/>
  <c r="AE249" i="4"/>
  <c r="AH249" i="4"/>
  <c r="AF249" i="4"/>
  <c r="AF272" i="4"/>
  <c r="AG272" i="4"/>
  <c r="AE272" i="4"/>
  <c r="AH272" i="4"/>
  <c r="AH240" i="4"/>
  <c r="AG240" i="4"/>
  <c r="AE240" i="4"/>
  <c r="AF240" i="4"/>
  <c r="AE52" i="4"/>
  <c r="AG52" i="4"/>
  <c r="AH52" i="4"/>
  <c r="AF52" i="4"/>
  <c r="AE130" i="4"/>
  <c r="AG130" i="4"/>
  <c r="AH130" i="4"/>
  <c r="AF130" i="4"/>
  <c r="AH80" i="4"/>
  <c r="AF80" i="4"/>
  <c r="AG80" i="4"/>
  <c r="AE80" i="4"/>
  <c r="AE179" i="4"/>
  <c r="AF179" i="4"/>
  <c r="AG179" i="4"/>
  <c r="AH179" i="4"/>
  <c r="AF259" i="4"/>
  <c r="AE259" i="4"/>
  <c r="AG259" i="4"/>
  <c r="AH259" i="4"/>
  <c r="AG266" i="4"/>
  <c r="AE266" i="4"/>
  <c r="AF266" i="4"/>
  <c r="AH266" i="4"/>
  <c r="AG217" i="4"/>
  <c r="AH217" i="4"/>
  <c r="AE217" i="4"/>
  <c r="AF217" i="4"/>
  <c r="AE189" i="4"/>
  <c r="AH189" i="4"/>
  <c r="AG189" i="4"/>
  <c r="AF189" i="4"/>
  <c r="AF145" i="4"/>
  <c r="AG145" i="4"/>
  <c r="AH145" i="4"/>
  <c r="AE145" i="4"/>
  <c r="AG200" i="4"/>
  <c r="AE200" i="4"/>
  <c r="AH200" i="4"/>
  <c r="AF200" i="4"/>
  <c r="AF28" i="4"/>
  <c r="AG28" i="4"/>
  <c r="AH28" i="4"/>
  <c r="AE28" i="4"/>
  <c r="AE237" i="4"/>
  <c r="AF237" i="4"/>
  <c r="AG237" i="4"/>
  <c r="AH237" i="4"/>
  <c r="AE117" i="4"/>
  <c r="AG117" i="4"/>
  <c r="AH117" i="4"/>
  <c r="AF117" i="4"/>
  <c r="AG147" i="4"/>
  <c r="AH147" i="4"/>
  <c r="AF147" i="4"/>
  <c r="AE147" i="4"/>
  <c r="AG276" i="4"/>
  <c r="AF276" i="4"/>
  <c r="AH276" i="4"/>
  <c r="AE276" i="4"/>
  <c r="AE140" i="4"/>
  <c r="AF140" i="4"/>
  <c r="AG140" i="4"/>
  <c r="AH140" i="4"/>
  <c r="AE99" i="4"/>
  <c r="AG99" i="4"/>
  <c r="AH99" i="4"/>
  <c r="AF99" i="4"/>
  <c r="AG230" i="4"/>
  <c r="AH230" i="4"/>
  <c r="AE230" i="4"/>
  <c r="AF230" i="4"/>
  <c r="AH127" i="4"/>
  <c r="AE127" i="4"/>
  <c r="AF127" i="4"/>
  <c r="AG127" i="4"/>
  <c r="AF29" i="4"/>
  <c r="AG29" i="4"/>
  <c r="AE29" i="4"/>
  <c r="AH29" i="4"/>
  <c r="AG160" i="4"/>
  <c r="AE160" i="4"/>
  <c r="AF160" i="4"/>
  <c r="AH160" i="4"/>
  <c r="AE120" i="4"/>
  <c r="AF120" i="4"/>
  <c r="AG120" i="4"/>
  <c r="AH120" i="4"/>
  <c r="AE256" i="4"/>
  <c r="AF256" i="4"/>
  <c r="AG256" i="4"/>
  <c r="AH256" i="4"/>
  <c r="AH104" i="4"/>
  <c r="AF104" i="4"/>
  <c r="AG104" i="4"/>
  <c r="AE104" i="4"/>
  <c r="AH268" i="4"/>
  <c r="AE268" i="4"/>
  <c r="AF268" i="4"/>
  <c r="AG268" i="4"/>
  <c r="AG224" i="4"/>
  <c r="AF224" i="4"/>
  <c r="AH224" i="4"/>
  <c r="AE224" i="4"/>
  <c r="AF175" i="4"/>
  <c r="AE175" i="4"/>
  <c r="AG175" i="4"/>
  <c r="AH175" i="4"/>
  <c r="AF229" i="4"/>
  <c r="AG229" i="4"/>
  <c r="AE229" i="4"/>
  <c r="AH229" i="4"/>
  <c r="AE187" i="4"/>
  <c r="AF187" i="4"/>
  <c r="AG187" i="4"/>
  <c r="AH187" i="4"/>
  <c r="AF118" i="4"/>
  <c r="AH118" i="4"/>
  <c r="AE118" i="4"/>
  <c r="AG118" i="4"/>
  <c r="AE211" i="4"/>
  <c r="AH211" i="4"/>
  <c r="AF211" i="4"/>
  <c r="AG211" i="4"/>
  <c r="AH231" i="4"/>
  <c r="AF231" i="4"/>
  <c r="AG231" i="4"/>
  <c r="AE231" i="4"/>
  <c r="AF221" i="4"/>
  <c r="AG221" i="4"/>
  <c r="AH221" i="4"/>
  <c r="AE221" i="4"/>
  <c r="AF40" i="4"/>
  <c r="AG40" i="4"/>
  <c r="AH40" i="4"/>
  <c r="AE40" i="4"/>
  <c r="AH148" i="4"/>
  <c r="AF148" i="4"/>
  <c r="AE148" i="4"/>
  <c r="AG148" i="4"/>
  <c r="AG264" i="4"/>
  <c r="AE264" i="4"/>
  <c r="AF264" i="4"/>
  <c r="AH264" i="4"/>
  <c r="AH72" i="4"/>
  <c r="AE72" i="4"/>
  <c r="AG72" i="4"/>
  <c r="AF72" i="4"/>
  <c r="AG198" i="4"/>
  <c r="AH198" i="4"/>
  <c r="AF198" i="4"/>
  <c r="AE198" i="4"/>
  <c r="AE96" i="4"/>
  <c r="AF96" i="4"/>
  <c r="AG96" i="4"/>
  <c r="AH96" i="4"/>
  <c r="AF238" i="4"/>
  <c r="AH238" i="4"/>
  <c r="AE238" i="4"/>
  <c r="AG238" i="4"/>
  <c r="AE166" i="4"/>
  <c r="AF166" i="4"/>
  <c r="AH166" i="4"/>
  <c r="AG166" i="4"/>
  <c r="AE258" i="4"/>
  <c r="AG258" i="4"/>
  <c r="AH258" i="4"/>
  <c r="AF258" i="4"/>
  <c r="AG102" i="4"/>
  <c r="AF102" i="4"/>
  <c r="AE102" i="4"/>
  <c r="AH102" i="4"/>
  <c r="AH170" i="4"/>
  <c r="AE170" i="4"/>
  <c r="AG170" i="4"/>
  <c r="AF170" i="4"/>
  <c r="AH277" i="4"/>
  <c r="AF277" i="4"/>
  <c r="AG277" i="4"/>
  <c r="AE277" i="4"/>
  <c r="AF161" i="4"/>
  <c r="AH161" i="4"/>
  <c r="AG161" i="4"/>
  <c r="AE161" i="4"/>
  <c r="AE242" i="4"/>
  <c r="AG242" i="4"/>
  <c r="AH242" i="4"/>
  <c r="AF242" i="4"/>
  <c r="AG164" i="4"/>
  <c r="AE164" i="4"/>
  <c r="AF164" i="4"/>
  <c r="AH164" i="4"/>
  <c r="AF194" i="4"/>
  <c r="AG194" i="4"/>
  <c r="AE194" i="4"/>
  <c r="AH194" i="4"/>
  <c r="AE143" i="4"/>
  <c r="AF143" i="4"/>
  <c r="AG143" i="4"/>
  <c r="AH143" i="4"/>
  <c r="AF241" i="4"/>
  <c r="AG241" i="4"/>
  <c r="AH241" i="4"/>
  <c r="AE241" i="4"/>
  <c r="AH255" i="4"/>
  <c r="AG255" i="4"/>
  <c r="AE255" i="4"/>
  <c r="AF255" i="4"/>
  <c r="AH123" i="4"/>
  <c r="AF123" i="4"/>
  <c r="AG123" i="4"/>
  <c r="AE123" i="4"/>
  <c r="AF111" i="4"/>
  <c r="AH111" i="4"/>
  <c r="AE111" i="4"/>
  <c r="AG111" i="4"/>
  <c r="AF60" i="4"/>
  <c r="AG60" i="4"/>
  <c r="AH60" i="4"/>
  <c r="AE60" i="4"/>
  <c r="AG132" i="4"/>
  <c r="AH132" i="4"/>
  <c r="AE132" i="4"/>
  <c r="AF132" i="4"/>
  <c r="AE69" i="4"/>
  <c r="AG69" i="4"/>
  <c r="AH69" i="4"/>
  <c r="AF69" i="4"/>
  <c r="AE70" i="4"/>
  <c r="AF70" i="4"/>
  <c r="AH70" i="4"/>
  <c r="AG70" i="4"/>
  <c r="AF176" i="4"/>
  <c r="AE176" i="4"/>
  <c r="AG176" i="4"/>
  <c r="AH176" i="4"/>
  <c r="AF142" i="4"/>
  <c r="AE142" i="4"/>
  <c r="AH142" i="4"/>
  <c r="AG142" i="4"/>
  <c r="AE207" i="4"/>
  <c r="AG207" i="4"/>
  <c r="AH207" i="4"/>
  <c r="AF207" i="4"/>
  <c r="AF76" i="4"/>
  <c r="AH76" i="4"/>
  <c r="AE76" i="4"/>
  <c r="AG76" i="4"/>
  <c r="AG138" i="4"/>
  <c r="AH138" i="4"/>
  <c r="AF138" i="4"/>
  <c r="AE138" i="4"/>
  <c r="AF42" i="4"/>
  <c r="AE42" i="4"/>
  <c r="AH42" i="4"/>
  <c r="AG42" i="4"/>
  <c r="AF50" i="4"/>
  <c r="AG50" i="4"/>
  <c r="AE50" i="4"/>
  <c r="AH50" i="4"/>
  <c r="Z25" i="4"/>
  <c r="AB26" i="4"/>
  <c r="AB24" i="4"/>
  <c r="Z24" i="4"/>
  <c r="Q3" i="4"/>
  <c r="AC26" i="4"/>
  <c r="Q7" i="4"/>
  <c r="Q8" i="4"/>
  <c r="Q9" i="4"/>
  <c r="AB23" i="4"/>
  <c r="Q10" i="4"/>
  <c r="AG26" i="4"/>
  <c r="AG24" i="4"/>
  <c r="AC24" i="4"/>
  <c r="Q5" i="4"/>
  <c r="AE26" i="4"/>
  <c r="AE24" i="4"/>
  <c r="AH26" i="4"/>
  <c r="AH24" i="4"/>
  <c r="AF26" i="4"/>
  <c r="AF2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8927A39F-8E0B-49B9-B220-5F93A325D33A}">
      <text>
        <r>
          <rPr>
            <sz val="9"/>
            <color indexed="81"/>
            <rFont val="Tahoma"/>
            <family val="2"/>
          </rPr>
          <t xml:space="preserve">Maximum Cost considered in evaluation of Group Average &amp; Wt. Std. Deviation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Caitlin Oliver</author>
  </authors>
  <commentList>
    <comment ref="J2" authorId="0" shapeId="0" xr:uid="{96626C25-6442-417D-825F-07792BE37885}">
      <text>
        <r>
          <rPr>
            <b/>
            <sz val="9"/>
            <color indexed="81"/>
            <rFont val="Tahoma"/>
            <family val="2"/>
          </rPr>
          <t>Authorr:</t>
        </r>
        <r>
          <rPr>
            <sz val="9"/>
            <color indexed="81"/>
            <rFont val="Tahoma"/>
            <family val="2"/>
          </rPr>
          <t xml:space="preserve">
minimum switch not used in MFAM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B4298B44-6157-40F1-B2E7-6AA7CEF3E715}">
      <text>
        <r>
          <rPr>
            <sz val="9"/>
            <color indexed="81"/>
            <rFont val="Tahoma"/>
            <family val="2"/>
          </rPr>
          <t xml:space="preserve">Maximum Cost considered in evaluation of Group Average &amp; Wt. Std. Deviation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Caitlin Oliver</author>
  </authors>
  <commentList>
    <comment ref="J2" authorId="0" shapeId="0" xr:uid="{21935B8D-CA75-4BA1-9071-025D1FE60451}">
      <text>
        <r>
          <rPr>
            <b/>
            <sz val="9"/>
            <color indexed="81"/>
            <rFont val="Tahoma"/>
            <family val="2"/>
          </rPr>
          <t>Authorr:</t>
        </r>
        <r>
          <rPr>
            <sz val="9"/>
            <color indexed="81"/>
            <rFont val="Tahoma"/>
            <family val="2"/>
          </rPr>
          <t xml:space="preserve">
minimum switch not used in MFAM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9F244EF0-1B4C-472B-B53F-CDD44DFE32BD}">
      <text>
        <r>
          <rPr>
            <sz val="9"/>
            <color indexed="81"/>
            <rFont val="Tahoma"/>
            <family val="2"/>
          </rPr>
          <t xml:space="preserve">Maximum Cost considered in evaluation of Group Average &amp; Wt. Std. Deviation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<sst xmlns="http://schemas.openxmlformats.org/spreadsheetml/2006/main" count="2247" uniqueCount="381">
  <si>
    <t>Minaki Recycling Corporation</t>
  </si>
  <si>
    <t>Allowable Net Cost per Tonne</t>
  </si>
  <si>
    <t>Max. Net Cost per Tonne</t>
  </si>
  <si>
    <t>Min. Net Cost per Tonne</t>
  </si>
  <si>
    <t>Wt. Std. Deviation Net Cost/T</t>
  </si>
  <si>
    <t>(xi - xw)²</t>
  </si>
  <si>
    <t>N</t>
  </si>
  <si>
    <t>Weighted Average Group Cost</t>
  </si>
  <si>
    <t>Reported Net Cost per Tonne</t>
  </si>
  <si>
    <t>Program</t>
  </si>
  <si>
    <t>Group</t>
  </si>
  <si>
    <t>PC</t>
  </si>
  <si>
    <t>∑ Adj. Net Costs</t>
  </si>
  <si>
    <t>Use Minimum?</t>
  </si>
  <si>
    <t>Maximum:</t>
  </si>
  <si>
    <t>Straight Avg.</t>
  </si>
  <si>
    <t>Straight SD.</t>
  </si>
  <si>
    <t>Total Gross Residential Cost</t>
  </si>
  <si>
    <t>Reported Revenue</t>
  </si>
  <si>
    <t>Reported Net Cost</t>
  </si>
  <si>
    <t>Tonnes</t>
  </si>
  <si>
    <t>Net Cost per Tonne</t>
  </si>
  <si>
    <t>Cutoff Percent:</t>
  </si>
  <si>
    <t>Marketed Tonnes</t>
  </si>
  <si>
    <t>Weighted Average Net Cost/Tonne</t>
  </si>
  <si>
    <t>Maximum Allowable Net Cost/Tonne</t>
  </si>
  <si>
    <t>Cash Funding</t>
  </si>
  <si>
    <t>CIF Deduction</t>
  </si>
  <si>
    <t>Total Cash</t>
  </si>
  <si>
    <t>Steward Municipal Obligation</t>
  </si>
  <si>
    <t>CNA/OCNA</t>
  </si>
  <si>
    <t>Late Penalty</t>
  </si>
  <si>
    <t>CNA/OCNA In-Kind non cash deduction Balance</t>
  </si>
  <si>
    <t>Obligation</t>
  </si>
  <si>
    <t>CIF Total Allocation</t>
  </si>
  <si>
    <t>CIF Total</t>
  </si>
  <si>
    <t>Cash Obligation Net of CIF Allocation.</t>
  </si>
  <si>
    <t>Total Recovered Tonnes</t>
  </si>
  <si>
    <t>Best Practices Score</t>
  </si>
  <si>
    <t>Net Cost</t>
  </si>
  <si>
    <t>Recovered Tonnage</t>
  </si>
  <si>
    <t>Best Practices</t>
  </si>
  <si>
    <t>BP Bonus</t>
  </si>
  <si>
    <t>Starting Percent of Adjusted Net Cost</t>
  </si>
  <si>
    <t>Late Penalty?</t>
  </si>
  <si>
    <t>Late Penalty Assessed</t>
  </si>
  <si>
    <t>Final Payment Incl. Late Penalty</t>
  </si>
  <si>
    <t xml:space="preserve">2015 Steward Cash Obligation </t>
  </si>
  <si>
    <t>Best Practices Portion of  Obligation</t>
  </si>
  <si>
    <t>Recovered Tonnage Portion of  Obligation</t>
  </si>
  <si>
    <t>Net Cost Portion of  Obligation</t>
  </si>
  <si>
    <t>Missing Program Adjustment</t>
  </si>
  <si>
    <t>Final PYA</t>
  </si>
  <si>
    <t>Accounting for Prior Year Adjustments</t>
  </si>
  <si>
    <t>Difference</t>
  </si>
  <si>
    <t>Program Name</t>
  </si>
  <si>
    <t>Obj. 4 (a)</t>
  </si>
  <si>
    <t>Obj. 4 (b)</t>
  </si>
  <si>
    <t>2016 Steward Cash Obligation</t>
  </si>
  <si>
    <t xml:space="preserve">2016 Steward Cash Obligation </t>
  </si>
  <si>
    <t>2015 Steward Cash Obligation</t>
  </si>
  <si>
    <t xml:space="preserve"> </t>
  </si>
  <si>
    <t>HALTON, REGIONAL MUNICIPALITY OF</t>
  </si>
  <si>
    <t>TORONTO, CITY OF</t>
  </si>
  <si>
    <t>LONDON, CITY OF</t>
  </si>
  <si>
    <t>YORK, REGIONAL MUNICIPALITY OF</t>
  </si>
  <si>
    <t>HAMILTON, CITY OF</t>
  </si>
  <si>
    <t>PEEL, REGIONAL MUNICIPALITY OF</t>
  </si>
  <si>
    <t>DURHAM, REGIONAL MUNICIPALITY OF</t>
  </si>
  <si>
    <t>ESSEX-WINDSOR SOLID WASTE AUTHORITY</t>
  </si>
  <si>
    <t>WATERLOO, REGIONAL MUNICIPALITY OF</t>
  </si>
  <si>
    <t>SIMCOE, COUNTY OF</t>
  </si>
  <si>
    <t>NIAGARA, REGIONAL MUNICIPALITY OF</t>
  </si>
  <si>
    <t>OTTAWA, CITY OF</t>
  </si>
  <si>
    <t>BARRIE, CITY OF</t>
  </si>
  <si>
    <t>GUELPH, CITY OF</t>
  </si>
  <si>
    <t>SAULT STE. MARIE, CITY OF</t>
  </si>
  <si>
    <t>SARNIA, CITY OF</t>
  </si>
  <si>
    <t>THUNDER BAY, CITY OF</t>
  </si>
  <si>
    <t>BRANTFORD, CITY OF</t>
  </si>
  <si>
    <t>PETERBOROUGH, CITY OF</t>
  </si>
  <si>
    <t>NORTHUMBERLAND, COUNTY OF</t>
  </si>
  <si>
    <t>WELLINGTON, COUNTY OF</t>
  </si>
  <si>
    <t>NORFOLK, COUNTY OF</t>
  </si>
  <si>
    <t>QUINTE WASTE SOLUTIONS</t>
  </si>
  <si>
    <t>PETERBOROUGH, COUNTY OF</t>
  </si>
  <si>
    <t>MUSKOKA , DISTRICT MUNICIPALITY OF</t>
  </si>
  <si>
    <t>NORTH BAY, CITY OF</t>
  </si>
  <si>
    <t>GREATER SUDBURY, CITY OF</t>
  </si>
  <si>
    <t>BLUEWATER RECYCLING ASSOCIATION</t>
  </si>
  <si>
    <t>BRUCE AREA SOLID WASTE RECYCLING</t>
  </si>
  <si>
    <t>KINGSTON, CITY OF</t>
  </si>
  <si>
    <t>CHATHAM-KENT, MUNICIPALITY OF</t>
  </si>
  <si>
    <t>KAWARTHA LAKES, CITY OF</t>
  </si>
  <si>
    <t>DUFFERIN, COUNTY OF</t>
  </si>
  <si>
    <t>OXFORD,  RESTRUCTURED COUNTY OF</t>
  </si>
  <si>
    <t>STRATFORD, CITY OF</t>
  </si>
  <si>
    <t>OWEN SOUND, CITY OF</t>
  </si>
  <si>
    <t>ORILLIA, CITY OF</t>
  </si>
  <si>
    <t>BROCKVILLE, CITY OF</t>
  </si>
  <si>
    <t>HANOVER, TOWN OF</t>
  </si>
  <si>
    <t>CORNWALL, CITY OF</t>
  </si>
  <si>
    <t>PARRY SOUND, TOWN OF</t>
  </si>
  <si>
    <t>PRESCOTT,TOWN OF</t>
  </si>
  <si>
    <t>ST. THOMAS, CITY OF</t>
  </si>
  <si>
    <t>GANANOQUE, TOWN OF</t>
  </si>
  <si>
    <t>AYLMER, TOWN OF</t>
  </si>
  <si>
    <t>Arnprior, Town of</t>
  </si>
  <si>
    <t>RENFREW, TOWN OF</t>
  </si>
  <si>
    <t>MATTAWA, TOWN OF</t>
  </si>
  <si>
    <t>PETROLIA, TOWN OF</t>
  </si>
  <si>
    <t>CARLETON PLACE, TOWN OF</t>
  </si>
  <si>
    <t>CASSELMAN,  VILLAGE OF</t>
  </si>
  <si>
    <t>DESERONTO, TOWN OF</t>
  </si>
  <si>
    <t>PERTH, TOWN OF</t>
  </si>
  <si>
    <t>SMITHS FALLS, TOWN OF</t>
  </si>
  <si>
    <t>SUNDRIDGE, VILLAGE OF</t>
  </si>
  <si>
    <t>WEST NIPISSING, MUNICIPALITY OF</t>
  </si>
  <si>
    <t>KIRKLAND LAKE, TOWN OF</t>
  </si>
  <si>
    <t>ELLIOT LAKE, CITY OF</t>
  </si>
  <si>
    <t>TIMMINS, CITY OF</t>
  </si>
  <si>
    <t>GAUTHIER, TOWNSHIP OF</t>
  </si>
  <si>
    <t>PRINCE, TOWNSHIP OF</t>
  </si>
  <si>
    <t>SABLES-SPANISH RIVERS, TOWNSHIP OF</t>
  </si>
  <si>
    <t>BALDWIN, TOWNSHIP OF</t>
  </si>
  <si>
    <t>BLIND RIVER, TOWN OF</t>
  </si>
  <si>
    <t>CENTRAL MANITOULIN, TOWNSHIP OF</t>
  </si>
  <si>
    <t>ESPANOLA, TOWN OF</t>
  </si>
  <si>
    <t>NAIRN &amp; HYMAN, TOWNSHIP OF</t>
  </si>
  <si>
    <t>NORTHEASTERN MANITOULIN &amp; ISLANDS, TOWN OF</t>
  </si>
  <si>
    <t>Temiskaming Shores, City of</t>
  </si>
  <si>
    <t>WAHNAPITAE FIRST NATION</t>
  </si>
  <si>
    <t>SAULT NORTH WASTE MANAGEMENT COUNCIL</t>
  </si>
  <si>
    <t>ATIKOKAN, TOWNSHIP OF</t>
  </si>
  <si>
    <t>COBALT, TOWN OF</t>
  </si>
  <si>
    <t>COLEMAN,  TOWNSHIP OF</t>
  </si>
  <si>
    <t>DRYDEN, CITY OF</t>
  </si>
  <si>
    <t>ENGLEHART, TOWN OF</t>
  </si>
  <si>
    <t>EVANTUREL, TOWNSHIP OF</t>
  </si>
  <si>
    <t>FORT FRANCES, TOWN OF</t>
  </si>
  <si>
    <t>HEAD, CLARA AND MARIA, TOWNSHIPS OF</t>
  </si>
  <si>
    <t>JAMES, TOWNSHIP OF</t>
  </si>
  <si>
    <t>KENORA, CITY OF</t>
  </si>
  <si>
    <t>LARDER LAKE,  TOWNSHIP OF</t>
  </si>
  <si>
    <t>LATCHFORD, TOWN OF</t>
  </si>
  <si>
    <t>MARATHON,  TOWN OF</t>
  </si>
  <si>
    <t xml:space="preserve">Matachewan, The Corporation of the Township of </t>
  </si>
  <si>
    <t>MCGARRY, TOWNSHIP OF</t>
  </si>
  <si>
    <t>TRI-NEIGHBOURS</t>
  </si>
  <si>
    <t>PAPINEAU-CAMERON, TOWNSHIP OF</t>
  </si>
  <si>
    <t>POWASSAN, MUNICIPALITY OF</t>
  </si>
  <si>
    <t>SPANISH, TOWN OF</t>
  </si>
  <si>
    <t xml:space="preserve">SIOUX LOOKOUT, THE CORPORATION OF THE MUNICIPALITY OF </t>
  </si>
  <si>
    <t>ST. CHARLES, MUNICIPALITY OF</t>
  </si>
  <si>
    <t>CHISHOLM, TOWNSHIP OF</t>
  </si>
  <si>
    <t>EAST FERRIS, MUNICIPALITY OF</t>
  </si>
  <si>
    <t>RAINY RIVER FIRST NATIONS</t>
  </si>
  <si>
    <t>CALLANDER, MUNICIPALITY OF</t>
  </si>
  <si>
    <t>ATIKAMEKSHENG ANISHNAWBEK FIRST NATION</t>
  </si>
  <si>
    <t>BATCHEWANA FIRST NATIONS OJIBWAYS</t>
  </si>
  <si>
    <t>NIPISSING FIRST NATION</t>
  </si>
  <si>
    <t>COCHRANE, Corporation of the Town of</t>
  </si>
  <si>
    <t>NORTH HURON, TOWNSHIP OF</t>
  </si>
  <si>
    <t>ASHFIELD-COLBORNE-WAWANOSH, TOWNSHIP OF</t>
  </si>
  <si>
    <t>HOWICK, TOWNSHIP OF</t>
  </si>
  <si>
    <t>CHATSWORTH, TOWNSHIP OF</t>
  </si>
  <si>
    <t>THE BLUE MOUNTAINS, TOWN OF</t>
  </si>
  <si>
    <t>THAMES CENTRE, MUNICIPALITY OF</t>
  </si>
  <si>
    <t>WEST ELGIN, MUNICIPALITY OF</t>
  </si>
  <si>
    <t>RIDEAU LAKES, TOWNSHIP OF</t>
  </si>
  <si>
    <t>GEORGIAN BLUFFS, TOWNSHIP OF</t>
  </si>
  <si>
    <t>MEAFORD, MUNICIPALITY OF</t>
  </si>
  <si>
    <t>CENTRAL ELGIN, MUNICIPALITY OF</t>
  </si>
  <si>
    <t>NORTH GRENVILLE, MUNICIPALITY OF</t>
  </si>
  <si>
    <t>OTTAWA VALLEY WASTE RECOVERY CENTRE</t>
  </si>
  <si>
    <t>HAWKESBURY JOINT RECYCLING</t>
  </si>
  <si>
    <t>NORTH GLENGARRY, TOWNSHIP OF</t>
  </si>
  <si>
    <t>ST. CLAIR, TOWNSHIP OF</t>
  </si>
  <si>
    <t>ATHENS, TOWNSHIP OF</t>
  </si>
  <si>
    <t>MERRICKVILLE-WOLFORD, VILLAGE OF</t>
  </si>
  <si>
    <t>NORTH STORMONT, TOWNSHIP OF</t>
  </si>
  <si>
    <t>RUSSELL, TOWNSHIP OF</t>
  </si>
  <si>
    <t>SOUTH FRONTENAC, TOWNSHIP OF</t>
  </si>
  <si>
    <t>SOUTH STORMONT, TOWNSHIP OF</t>
  </si>
  <si>
    <t>NORTH DUNDAS, TOWNSHIP OF</t>
  </si>
  <si>
    <t>WHITEWATER REGION, TOWNSHIP OF</t>
  </si>
  <si>
    <t>SOUTHWOLD, TOWNSHIP OF</t>
  </si>
  <si>
    <t>BAYHAM, MUNICIPALITY OF</t>
  </si>
  <si>
    <t>CLARENCE-ROCKLAND, CITY OF</t>
  </si>
  <si>
    <t>THE NATION, MUNICIPALITY</t>
  </si>
  <si>
    <t>DUTTON-DUNWICH, MUNICIPALITY OF</t>
  </si>
  <si>
    <t>GREATER NAPANEE, TOWNSHIP OF</t>
  </si>
  <si>
    <t>EDWARDSBURGH CARDINAL, TOWNSHIP OF</t>
  </si>
  <si>
    <t>PLYMPTON-WYOMING, TOWN OF</t>
  </si>
  <si>
    <t>SOUTH GLENGARRY, TOWNSHIP OF</t>
  </si>
  <si>
    <t>MALAHIDE, TOWNSHIP OF</t>
  </si>
  <si>
    <t>SOUTH DUNDAS, TOWNSHIP OF</t>
  </si>
  <si>
    <t>BRANT, COUNTY OF</t>
  </si>
  <si>
    <t>HASTINGS HIGHLANDS, MUNICIPALITY OF</t>
  </si>
  <si>
    <t>HORTON, TOWNSHIP OF</t>
  </si>
  <si>
    <t>GREY HIGHLANDS, MUNICIPALITY OF</t>
  </si>
  <si>
    <t>MCNAB-BRAESIDE, TOWNSHIP OF</t>
  </si>
  <si>
    <t>SOUTHWEST MIDDLESEX, MUNICIPALITY OF</t>
  </si>
  <si>
    <t>ALFRED AND PLANTAGENET, TOWNSHIP OF</t>
  </si>
  <si>
    <t>WEST GREY, MUNICIPALITY OF</t>
  </si>
  <si>
    <t>SOUTHGATE, TOWNSHIP OF</t>
  </si>
  <si>
    <t>BANCROFT, TOWN OF</t>
  </si>
  <si>
    <t>BECKWITH, TOWNSHIP OF</t>
  </si>
  <si>
    <t>MISSISSAUGAS OF THE NEW CREDIT FIRST NATION</t>
  </si>
  <si>
    <t>LAURENTIAN HILLS, TOWN OF</t>
  </si>
  <si>
    <t>DRUMMOND-NORTH ELMSLEY, TOWNSHIP OF</t>
  </si>
  <si>
    <t>HALDIMAND, COUNTY OF</t>
  </si>
  <si>
    <t>MISSISSIPPI MILLS, TOWN OF</t>
  </si>
  <si>
    <t>MONTAGUE, TOWNSHIP OF</t>
  </si>
  <si>
    <t>NEWBURY,  VILLAGE OF</t>
  </si>
  <si>
    <t>DEEP RIVER, TOWN OF</t>
  </si>
  <si>
    <t>MOHAWKS OF THE BAY OF QUINTE</t>
  </si>
  <si>
    <t>LOYALIST, TOWNSHIP OF</t>
  </si>
  <si>
    <t>ALGONQUINS OF PIKWAKANAGAN</t>
  </si>
  <si>
    <t>CHIPPEWAS OF NAWASH FIRST NATION</t>
  </si>
  <si>
    <t>ALDERVILLE FIRST NATION</t>
  </si>
  <si>
    <t>CHIPPEWAS OF RAMA FIRST NATION</t>
  </si>
  <si>
    <t>CURVE LAKE FIRST NATION</t>
  </si>
  <si>
    <t>ARMOUR, TOWNSHIP OF</t>
  </si>
  <si>
    <t>WHITESTONE, MUNICIPALITY OF</t>
  </si>
  <si>
    <t>THE ARCHIPELAGO, TOWNSHIP OF</t>
  </si>
  <si>
    <t>CARLING, TOWNSHIP OF</t>
  </si>
  <si>
    <t>MCDOUGALL, MUNICIPALITY OF</t>
  </si>
  <si>
    <t>SEGUIN, TOWNSHIP OF</t>
  </si>
  <si>
    <t>MCKELLAR, TOWNSHIP OF</t>
  </si>
  <si>
    <t>CASEY, TOWNSHIP OF</t>
  </si>
  <si>
    <t>GILLIES, TOWNSHIP OF</t>
  </si>
  <si>
    <t>CHIPPEWAS OF THE THAMES FIRST NATION</t>
  </si>
  <si>
    <t>KERNS, TOWNSHIP OF</t>
  </si>
  <si>
    <t>HUDSON, TOWNSHIP OF</t>
  </si>
  <si>
    <t>NEEBING, MUNICIPALITY OF</t>
  </si>
  <si>
    <t>CALVIN, MUNICIPALITY OF</t>
  </si>
  <si>
    <t>PERRY, TOWNSHIP OF</t>
  </si>
  <si>
    <t>NORTHEAST RECYCLING ASSOCIATION</t>
  </si>
  <si>
    <t>ARMSTRONG, TOWNSHIP OF</t>
  </si>
  <si>
    <t>ASSIGINACK,  TOWNSHIP OF</t>
  </si>
  <si>
    <t>BILLINGS, TOWNSHIP OF</t>
  </si>
  <si>
    <t>CONMEE,  TOWNSHIP OF</t>
  </si>
  <si>
    <t>EMO, TOWNSHIP OF</t>
  </si>
  <si>
    <t>FRENCH RIVER, MUNICIPALITY OF</t>
  </si>
  <si>
    <t>HARLEY, TOWNSHIP OF</t>
  </si>
  <si>
    <t>HILLIARD,  TOWNSHIP OF</t>
  </si>
  <si>
    <t>HILTON BEACH,  VILLAGE OF</t>
  </si>
  <si>
    <t>HURON SHORES,  MUNICIPALITY OF</t>
  </si>
  <si>
    <t>KEARNEY, TOWN OF</t>
  </si>
  <si>
    <t>KILLARNEY, MUNICIPALITY OF</t>
  </si>
  <si>
    <t>LAIRD, TOWNSHIP OF</t>
  </si>
  <si>
    <t>MACDONALD, MEREDITH &amp; ABERDEEN ADDITIONAL, TOWNSHIP OF</t>
  </si>
  <si>
    <t>MACHAR, TOWNSHIP OF</t>
  </si>
  <si>
    <t>MAGNETAWAN, MUNICIPALITY OF</t>
  </si>
  <si>
    <t>MCMURRICH/MONTEITH, TOWNSHIP OF</t>
  </si>
  <si>
    <t>NIPISSING, TOWNSHIP OF</t>
  </si>
  <si>
    <t>OCONNOR,  TOWNSHIP OF</t>
  </si>
  <si>
    <t>OLIVER PAIPOONGE,  MUNICIPALITY OF</t>
  </si>
  <si>
    <t>RAINY RIVER, TOWN OF</t>
  </si>
  <si>
    <t>RED LAKE, MUNICIPALITY OF</t>
  </si>
  <si>
    <t>SHUNIAH, MUNICIPALITY OF</t>
  </si>
  <si>
    <t>SIOUX NARROWS NESTOR FALLS, TOWNSHIP OF</t>
  </si>
  <si>
    <t>ST. JOSEPH, TOWNSHIP OF</t>
  </si>
  <si>
    <t>STRONG, TOWNSHIP OF</t>
  </si>
  <si>
    <t>TARBUTT &amp; TARBUTT ADDITIONAL, TOWNSHIP OF</t>
  </si>
  <si>
    <t>TERRACE BAY, TOWNSHIP OF</t>
  </si>
  <si>
    <t>BONFIELD, TOWNSHIP OF</t>
  </si>
  <si>
    <t>CHARLTON AND DACK, MUNICIPALITY OF</t>
  </si>
  <si>
    <t>SERPENT RIVER FIRST NATIONS</t>
  </si>
  <si>
    <t>SAGAMOK ANISHNAWBEK FIRST NATION</t>
  </si>
  <si>
    <t>WIKWEMIKONG UNCEDED INDIAN RESERVE</t>
  </si>
  <si>
    <t>ONEIDA NATION OF THE THAMES</t>
  </si>
  <si>
    <t>DYSART ET AL, TOWNSHIP OF</t>
  </si>
  <si>
    <t>ALGONQUIN HIGHLANDS,TOWNSHIP OF</t>
  </si>
  <si>
    <t>LEEDS AND THE THOUSAND ISLANDS, TOWNSHIP OF</t>
  </si>
  <si>
    <t>ELIZABETHTOWN-KITLEY, TOWNSHIP OF</t>
  </si>
  <si>
    <t>FRONT OF YONGE, TOWNSHIP OF</t>
  </si>
  <si>
    <t>FRONTENAC ISLANDS, TOWNSHIP OF</t>
  </si>
  <si>
    <t>AUGUSTA, TOWNSHIP OF</t>
  </si>
  <si>
    <t>STONE MILLS, TOWNSHIP OF</t>
  </si>
  <si>
    <t>HIGHLANDS EAST, MUNICIPALITY OF</t>
  </si>
  <si>
    <t>BRUDENELL, LYNDOCH AND RAGLAN, TOWNSHIP OF</t>
  </si>
  <si>
    <t>NORTHERN BRUCE PENINSULA, MUNICIPALITY OF</t>
  </si>
  <si>
    <t>CARLOW MAYO, TOWNSHIP OF</t>
  </si>
  <si>
    <t>TAY VALLEY, TOWNSHIP OF</t>
  </si>
  <si>
    <t>LANARK HIGHLANDS, TOWNSHIP OF</t>
  </si>
  <si>
    <t>ADDINGTON HIGHLANDS, TOWNSHIP OF</t>
  </si>
  <si>
    <t>ADMASTON/BROMLEY, TOWNSHIP OF</t>
  </si>
  <si>
    <t>MINDEN HILLS, TOWNSHIP OF</t>
  </si>
  <si>
    <t>GREATER MADAWASKA, TOWNSHIP OF</t>
  </si>
  <si>
    <t>ENNISKILLEN, TOWNSHIP OF</t>
  </si>
  <si>
    <t>BONNECHERE VALLEY, TOWNSHIP OF</t>
  </si>
  <si>
    <t>KILLALOE, HAGARTY, AND RICHARDS, TOWNSHIP OF</t>
  </si>
  <si>
    <t>MADAWASKA VALLEY, TOWNSHIP OF</t>
  </si>
  <si>
    <t>CENTRAL FRONTENAC, TOWNSHIP OF</t>
  </si>
  <si>
    <t>NORTH FRONTENAC, TOWNSHIP OF</t>
  </si>
  <si>
    <t>CHIPPEWAS OF KETTLE AND STONY POINT FIRST NATIONS</t>
  </si>
  <si>
    <t>FARADAY, TOWNSHIP OF</t>
  </si>
  <si>
    <t>Limerick, Township of</t>
  </si>
  <si>
    <t>TUDOR &amp; CASHEL, TOWNSHIP OF</t>
  </si>
  <si>
    <t>WOLLASTON, TOWNSHIP OF</t>
  </si>
  <si>
    <t>WALPOLE ISLAND FIRST NATION</t>
  </si>
  <si>
    <t>SIX NATIONS</t>
  </si>
  <si>
    <t>Beausoleil First Nation</t>
  </si>
  <si>
    <t>CHIPPEWAS OF GEORGINA ISLAND</t>
  </si>
  <si>
    <t xml:space="preserve">2018 MFAM </t>
  </si>
  <si>
    <t>Adjusted Net Cost</t>
  </si>
  <si>
    <t>Calculation of 2020 Steward Cash Obligation</t>
  </si>
  <si>
    <t>2020 Steward Cash Obligation to Municipalities Based on:</t>
  </si>
  <si>
    <t>MUSKOKA,  DISTRICT MUNICIPALITY OF</t>
  </si>
  <si>
    <t>WESTPORT, VILLAGE OF</t>
  </si>
  <si>
    <t>Burk's Falls, Village of</t>
  </si>
  <si>
    <t>Goulais Local Service Board</t>
  </si>
  <si>
    <t>Matachewan First Nation</t>
  </si>
  <si>
    <t>Temagami First Nation</t>
  </si>
  <si>
    <t>Moose Deer Point</t>
  </si>
  <si>
    <t>HEARST</t>
  </si>
  <si>
    <t>KAPUSKASING, TOWN OF</t>
  </si>
  <si>
    <t>MATTICE-VAL COTE</t>
  </si>
  <si>
    <t>SIOUX LOOKOUT, THE CORPORATION OF THE MUNICIPALITY OF</t>
  </si>
  <si>
    <t>2018 Marketed Tonnes</t>
  </si>
  <si>
    <t>2018 Reported Gross Cost</t>
  </si>
  <si>
    <t>2018 Reported Revenue</t>
  </si>
  <si>
    <t>2018 Reported Net Cost</t>
  </si>
  <si>
    <t>2021 Municipal Funding</t>
  </si>
  <si>
    <t>Calculation of Weighted Averages and Allowable Net Costs - 2019 Program Year</t>
  </si>
  <si>
    <t>2019 Program Year - Best Practices Scores</t>
  </si>
  <si>
    <t>Jun. 2021
Payment</t>
  </si>
  <si>
    <t>Sept. 2021
Payment</t>
  </si>
  <si>
    <t>Dec. 2021
Payment</t>
  </si>
  <si>
    <t>Mar. 2022
Payment</t>
  </si>
  <si>
    <t>Additional PYA Re: 2017 Data Year</t>
  </si>
  <si>
    <t>PYA Re: 2018 Data Year</t>
  </si>
  <si>
    <t>2021 Funding Summary</t>
  </si>
  <si>
    <t>Local Services Board of Aweres</t>
  </si>
  <si>
    <t>Huron East-Brussels/Tuckersmith, Municipality of</t>
  </si>
  <si>
    <t>Wahta Mohawks First Nation</t>
  </si>
  <si>
    <t>Hiawatha First Nation</t>
  </si>
  <si>
    <t>Dokis First Nation</t>
  </si>
  <si>
    <t>2019 Marketed Tonnes</t>
  </si>
  <si>
    <t>2019 Reported Gross Cost</t>
  </si>
  <si>
    <t>2019 Reported Revenue</t>
  </si>
  <si>
    <t>2019 Reported Net Cost</t>
  </si>
  <si>
    <t>2018.
Adjusted Marketed Tonnes</t>
  </si>
  <si>
    <t>2018 Adjusted Reported Gross Cost</t>
  </si>
  <si>
    <t>2018 Adjusted Reported Revenue</t>
  </si>
  <si>
    <t>2018 Adjusted Reported Net Cost</t>
  </si>
  <si>
    <t>Prior Year Adjustment (PYA) Re: 2018 Data Year</t>
  </si>
  <si>
    <t>2018
Marketed Tonnes</t>
  </si>
  <si>
    <t>Additional Prior Year Adjustment (PYA) Re: 2017 Data Year</t>
  </si>
  <si>
    <t>Calculation of 2019  Steward Cash Obligation</t>
  </si>
  <si>
    <t>2019 Steward Cash Obligation to Municipalities Based on:</t>
  </si>
  <si>
    <t>2017 Adjusted Reported Gross Cost</t>
  </si>
  <si>
    <t>2017 Adjusted Reported Revenue</t>
  </si>
  <si>
    <t>2017 Adjusted Reported Net Cost</t>
  </si>
  <si>
    <t xml:space="preserve">2019 MFAM </t>
  </si>
  <si>
    <t>Adjusted PYA Re: 2017 Data Year</t>
  </si>
  <si>
    <t>PYA Re: 2017 Data Year - 2020 MFAM</t>
  </si>
  <si>
    <t>2017
Marketed Tonnes</t>
  </si>
  <si>
    <t>2017.
Adjusted Marketed Tonnes</t>
  </si>
  <si>
    <t>2017 Reported Gross Cost</t>
  </si>
  <si>
    <t>2017 Reported Revenue</t>
  </si>
  <si>
    <t>2017 Reported Net Cost</t>
  </si>
  <si>
    <t>HEARST, TOWN OF</t>
  </si>
  <si>
    <t>MATTICE-VAL CÔTÉ,  TOWNSHIP OF</t>
  </si>
  <si>
    <t>2017 Marketed Tonnes</t>
  </si>
  <si>
    <t>Re - Calculation of Weighted Averages and Allowable Net Costs for PYA - 2017 Program Year</t>
  </si>
  <si>
    <t>Re - Calculation of Weighted Averages and Allowable Net Costs for PYA - 2018 Program Year</t>
  </si>
  <si>
    <t>Adjusted CNA/OCNA InKind</t>
  </si>
  <si>
    <t>Total InKind PYA</t>
  </si>
  <si>
    <t>InKind PYA Re: 2020 MFAM</t>
  </si>
  <si>
    <t>Remaining InKind PYA</t>
  </si>
  <si>
    <t>2017 Revised Reported &amp; Calculated Gross Costs</t>
  </si>
  <si>
    <t>Final Score</t>
  </si>
  <si>
    <t>2019 Reported &amp; Calculated Gross Costs</t>
  </si>
  <si>
    <t>2018 Revised Reported &amp; Calculated Gross Costs</t>
  </si>
  <si>
    <t>2021 Steward Cash Obligation to Municipalities Based on:</t>
  </si>
  <si>
    <t>Calculation of 2021 Steward Cash Obligation</t>
  </si>
  <si>
    <t>2021 Steward Cash Obligation</t>
  </si>
  <si>
    <t xml:space="preserve">2021 Steward Cash Obligation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</si>
</sst>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&quot;$&quot;#,##0;[Red]\-&quot;$&quot;#,##0"/>
    <numFmt numFmtId="165" formatCode="&quot;$&quot;#,##0.00;\-&quot;$&quot;#,##0.00"/>
    <numFmt numFmtId="166" formatCode="&quot;$&quot;#,##0.00;[Red]\-&quot;$&quot;#,##0.00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.00&quot;/T&quot;;[Red]\(&quot;$&quot;#,##0.00&quot;/T&quot;\);\-"/>
    <numFmt numFmtId="170" formatCode="[=1]&quot;X&quot;;\-"/>
    <numFmt numFmtId="171" formatCode="&quot;$&quot;#,##0;[Red]\(&quot;$&quot;#,##0\);\-"/>
    <numFmt numFmtId="172" formatCode="&quot;$&quot;#,##0.00\ &quot;/T&quot;;[Red]\(&quot;$&quot;#,##0.00\ &quot;/T&quot;\);\-"/>
    <numFmt numFmtId="173" formatCode="&quot;$&quot;#,##0;[Red]&quot;$&quot;#,##0"/>
    <numFmt numFmtId="174" formatCode="[=1]&quot;yes&quot;;[=0]&quot;no&quot;;&quot;error&quot;"/>
    <numFmt numFmtId="175" formatCode="#,##0&quot; T&quot;;[Red]\(#,##0&quot; T&quot;\);\-"/>
    <numFmt numFmtId="176" formatCode="0.0%"/>
    <numFmt numFmtId="177" formatCode=";;"/>
    <numFmt numFmtId="178" formatCode="\$#,##0.00;\-\$#,##0.00"/>
    <numFmt numFmtId="179" formatCode="#,##0\ &quot;T&quot;"/>
    <numFmt numFmtId="180" formatCode="&quot;Group&quot;\ 0"/>
    <numFmt numFmtId="181" formatCode="_-&quot;$&quot;* #,##0_-;\-&quot;$&quot;* #,##0_-;_-&quot;$&quot;* &quot;-&quot;??_-;_-@_-"/>
    <numFmt numFmtId="182" formatCode="#,##0.0%&quot; up&quot;;[Red]\(#,##0.0%\)&quot; down&quot;;\-"/>
    <numFmt numFmtId="183" formatCode="#,##0.00%;[Red]\(#,##0.00%\);\-"/>
    <numFmt numFmtId="184" formatCode="&quot;$&quot;#,##0.00"/>
    <numFmt numFmtId="185" formatCode="[=1]&quot;yes&quot;;[=0]\-;&quot;error&quot;"/>
    <numFmt numFmtId="186" formatCode="&quot;$&quot;#,##0.00;[Red]\(&quot;$&quot;#,##0.00\);\-"/>
    <numFmt numFmtId="187" formatCode="&quot;Obj. &quot;0"/>
    <numFmt numFmtId="188" formatCode=";;;"/>
    <numFmt numFmtId="189" formatCode="#,##0\ &quot;T&quot;;[Red]\(#,##0\ &quot;T&quot;\);\-"/>
    <numFmt numFmtId="190" formatCode="&quot;$&quot;#,##0"/>
    <numFmt numFmtId="191" formatCode="#,##0.00\ &quot;T&quot;"/>
    <numFmt numFmtId="192" formatCode="&quot;$&quot;#,##0.000;[Red]\(&quot;$&quot;#,##0.000\);\-"/>
    <numFmt numFmtId="193" formatCode="&quot;Cutoff&quot;\ 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u/>
      <sz val="11"/>
      <color theme="1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6795556505021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theme="4" tint="0.39997558519241921"/>
        <bgColor rgb="FFC0C0C0"/>
      </patternFill>
    </fill>
    <fill>
      <patternFill patternType="solid">
        <fgColor rgb="FFCCE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rgb="FFD0D7E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medium">
        <color indexed="64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68" fontId="19" fillId="0" borderId="0" applyFont="0" applyFill="0" applyBorder="0" applyAlignment="0" applyProtection="0"/>
    <xf numFmtId="0" fontId="20" fillId="0" borderId="0"/>
    <xf numFmtId="167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21" fillId="0" borderId="0"/>
  </cellStyleXfs>
  <cellXfs count="232">
    <xf numFmtId="0" fontId="0" fillId="0" borderId="0" xfId="0"/>
    <xf numFmtId="0" fontId="0" fillId="0" borderId="0" xfId="0" applyAlignment="1">
      <alignment horizontal="center"/>
    </xf>
    <xf numFmtId="169" fontId="0" fillId="0" borderId="0" xfId="0" applyNumberFormat="1"/>
    <xf numFmtId="1" fontId="0" fillId="0" borderId="0" xfId="0" applyNumberFormat="1"/>
    <xf numFmtId="170" fontId="0" fillId="0" borderId="0" xfId="0" applyNumberFormat="1" applyAlignment="1">
      <alignment horizontal="center"/>
    </xf>
    <xf numFmtId="171" fontId="3" fillId="0" borderId="1" xfId="0" applyNumberFormat="1" applyFont="1" applyFill="1" applyBorder="1" applyAlignment="1" applyProtection="1">
      <alignment horizontal="right" vertical="center" wrapText="1"/>
    </xf>
    <xf numFmtId="172" fontId="0" fillId="0" borderId="0" xfId="0" applyNumberFormat="1"/>
    <xf numFmtId="173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9" fontId="6" fillId="0" borderId="0" xfId="0" applyNumberFormat="1" applyFont="1" applyAlignment="1">
      <alignment horizontal="center"/>
    </xf>
    <xf numFmtId="9" fontId="6" fillId="3" borderId="0" xfId="0" applyNumberFormat="1" applyFont="1" applyFill="1" applyAlignment="1">
      <alignment horizontal="center"/>
    </xf>
    <xf numFmtId="164" fontId="0" fillId="0" borderId="0" xfId="0" applyNumberFormat="1" applyBorder="1"/>
    <xf numFmtId="0" fontId="0" fillId="0" borderId="0" xfId="0"/>
    <xf numFmtId="0" fontId="0" fillId="0" borderId="0" xfId="0" applyBorder="1"/>
    <xf numFmtId="0" fontId="0" fillId="0" borderId="0" xfId="0" applyBorder="1"/>
    <xf numFmtId="174" fontId="6" fillId="3" borderId="0" xfId="0" applyNumberFormat="1" applyFont="1" applyFill="1" applyAlignment="1">
      <alignment horizontal="center"/>
    </xf>
    <xf numFmtId="9" fontId="0" fillId="0" borderId="0" xfId="0" applyNumberFormat="1"/>
    <xf numFmtId="0" fontId="7" fillId="0" borderId="0" xfId="0" applyFont="1" applyAlignment="1">
      <alignment horizontal="left"/>
    </xf>
    <xf numFmtId="175" fontId="0" fillId="0" borderId="0" xfId="0" applyNumberFormat="1"/>
    <xf numFmtId="171" fontId="0" fillId="0" borderId="0" xfId="0" applyNumberFormat="1"/>
    <xf numFmtId="0" fontId="0" fillId="0" borderId="0" xfId="0" applyFill="1"/>
    <xf numFmtId="171" fontId="0" fillId="0" borderId="0" xfId="0" applyNumberFormat="1" applyFill="1" applyBorder="1"/>
    <xf numFmtId="0" fontId="10" fillId="0" borderId="2" xfId="0" applyFont="1" applyFill="1" applyBorder="1" applyAlignment="1" applyProtection="1">
      <alignment horizontal="right" vertical="center" wrapText="1"/>
    </xf>
    <xf numFmtId="0" fontId="0" fillId="0" borderId="0" xfId="0" applyFill="1" applyBorder="1"/>
    <xf numFmtId="0" fontId="11" fillId="0" borderId="0" xfId="0" applyFont="1"/>
    <xf numFmtId="0" fontId="12" fillId="0" borderId="0" xfId="0" applyFont="1"/>
    <xf numFmtId="176" fontId="11" fillId="0" borderId="0" xfId="2" applyNumberFormat="1" applyFont="1"/>
    <xf numFmtId="171" fontId="11" fillId="0" borderId="0" xfId="0" applyNumberFormat="1" applyFont="1"/>
    <xf numFmtId="0" fontId="11" fillId="0" borderId="0" xfId="0" applyFont="1"/>
    <xf numFmtId="0" fontId="10" fillId="0" borderId="2" xfId="0" applyFont="1" applyFill="1" applyBorder="1" applyAlignment="1" applyProtection="1">
      <alignment vertical="center"/>
    </xf>
    <xf numFmtId="0" fontId="11" fillId="0" borderId="2" xfId="0" applyFont="1" applyBorder="1"/>
    <xf numFmtId="177" fontId="11" fillId="0" borderId="0" xfId="0" applyNumberFormat="1" applyFont="1"/>
    <xf numFmtId="0" fontId="10" fillId="0" borderId="0" xfId="0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14" fillId="0" borderId="0" xfId="0" applyFont="1"/>
    <xf numFmtId="171" fontId="0" fillId="0" borderId="0" xfId="0" applyNumberFormat="1" applyBorder="1"/>
    <xf numFmtId="0" fontId="1" fillId="0" borderId="0" xfId="0" applyFont="1" applyBorder="1"/>
    <xf numFmtId="0" fontId="6" fillId="0" borderId="0" xfId="0" applyFont="1"/>
    <xf numFmtId="180" fontId="0" fillId="0" borderId="8" xfId="0" applyNumberFormat="1" applyBorder="1" applyAlignment="1">
      <alignment horizontal="center"/>
    </xf>
    <xf numFmtId="172" fontId="0" fillId="0" borderId="9" xfId="0" applyNumberFormat="1" applyBorder="1"/>
    <xf numFmtId="0" fontId="0" fillId="0" borderId="11" xfId="0" applyBorder="1"/>
    <xf numFmtId="171" fontId="0" fillId="0" borderId="12" xfId="0" applyNumberFormat="1" applyBorder="1"/>
    <xf numFmtId="0" fontId="7" fillId="0" borderId="8" xfId="0" applyFont="1" applyBorder="1" applyAlignment="1">
      <alignment horizontal="centerContinuous" vertical="center"/>
    </xf>
    <xf numFmtId="171" fontId="7" fillId="0" borderId="9" xfId="0" applyNumberFormat="1" applyFont="1" applyBorder="1" applyAlignment="1">
      <alignment horizontal="centerContinuous" vertical="center"/>
    </xf>
    <xf numFmtId="171" fontId="7" fillId="0" borderId="10" xfId="0" applyNumberFormat="1" applyFont="1" applyBorder="1" applyAlignment="1">
      <alignment horizontal="centerContinuous" vertical="center"/>
    </xf>
    <xf numFmtId="180" fontId="0" fillId="0" borderId="11" xfId="0" applyNumberFormat="1" applyBorder="1" applyAlignment="1">
      <alignment horizontal="center"/>
    </xf>
    <xf numFmtId="172" fontId="0" fillId="0" borderId="0" xfId="0" applyNumberFormat="1" applyBorder="1"/>
    <xf numFmtId="0" fontId="7" fillId="0" borderId="11" xfId="0" applyFont="1" applyBorder="1" applyAlignment="1">
      <alignment horizontal="centerContinuous"/>
    </xf>
    <xf numFmtId="0" fontId="15" fillId="0" borderId="0" xfId="0" applyFont="1" applyBorder="1" applyAlignment="1">
      <alignment horizontal="centerContinuous"/>
    </xf>
    <xf numFmtId="0" fontId="15" fillId="0" borderId="12" xfId="0" applyFont="1" applyBorder="1" applyAlignment="1">
      <alignment horizontal="centerContinuous"/>
    </xf>
    <xf numFmtId="0" fontId="1" fillId="0" borderId="0" xfId="0" applyFont="1" applyFill="1" applyBorder="1" applyAlignment="1">
      <alignment horizontal="left" indent="2"/>
    </xf>
    <xf numFmtId="0" fontId="0" fillId="0" borderId="0" xfId="0" applyFont="1" applyFill="1" applyBorder="1"/>
    <xf numFmtId="171" fontId="0" fillId="0" borderId="13" xfId="0" applyNumberFormat="1" applyBorder="1"/>
    <xf numFmtId="0" fontId="0" fillId="0" borderId="11" xfId="0" applyBorder="1" applyAlignment="1">
      <alignment horizontal="left" indent="1"/>
    </xf>
    <xf numFmtId="171" fontId="0" fillId="0" borderId="0" xfId="0" applyNumberFormat="1" applyFill="1" applyBorder="1" applyProtection="1">
      <protection locked="0"/>
    </xf>
    <xf numFmtId="164" fontId="2" fillId="0" borderId="14" xfId="0" applyNumberFormat="1" applyFont="1" applyFill="1" applyBorder="1" applyProtection="1">
      <protection locked="0"/>
    </xf>
    <xf numFmtId="0" fontId="0" fillId="0" borderId="11" xfId="0" applyFill="1" applyBorder="1" applyAlignment="1">
      <alignment horizontal="left" indent="1"/>
    </xf>
    <xf numFmtId="0" fontId="0" fillId="0" borderId="12" xfId="0" applyBorder="1"/>
    <xf numFmtId="0" fontId="0" fillId="0" borderId="15" xfId="0" applyFill="1" applyBorder="1"/>
    <xf numFmtId="171" fontId="0" fillId="0" borderId="16" xfId="0" applyNumberFormat="1" applyBorder="1"/>
    <xf numFmtId="181" fontId="0" fillId="0" borderId="17" xfId="0" applyNumberFormat="1" applyBorder="1"/>
    <xf numFmtId="0" fontId="0" fillId="0" borderId="0" xfId="0" applyNumberFormat="1" applyFont="1" applyFill="1" applyBorder="1"/>
    <xf numFmtId="0" fontId="0" fillId="0" borderId="0" xfId="0" applyBorder="1" applyAlignment="1">
      <alignment horizontal="left" indent="1"/>
    </xf>
    <xf numFmtId="180" fontId="0" fillId="0" borderId="15" xfId="0" applyNumberFormat="1" applyBorder="1" applyAlignment="1">
      <alignment horizontal="center"/>
    </xf>
    <xf numFmtId="0" fontId="0" fillId="0" borderId="18" xfId="0" applyBorder="1"/>
    <xf numFmtId="172" fontId="0" fillId="0" borderId="18" xfId="0" applyNumberFormat="1" applyBorder="1"/>
    <xf numFmtId="0" fontId="1" fillId="0" borderId="0" xfId="0" applyNumberFormat="1" applyFont="1" applyFill="1" applyBorder="1" applyProtection="1">
      <protection locked="0"/>
    </xf>
    <xf numFmtId="164" fontId="0" fillId="0" borderId="0" xfId="0" applyNumberFormat="1" applyFont="1" applyFill="1" applyBorder="1"/>
    <xf numFmtId="10" fontId="0" fillId="0" borderId="12" xfId="0" applyNumberFormat="1" applyBorder="1" applyAlignment="1" applyProtection="1">
      <alignment horizontal="center"/>
      <protection locked="0"/>
    </xf>
    <xf numFmtId="169" fontId="0" fillId="0" borderId="0" xfId="0" applyNumberFormat="1" applyBorder="1"/>
    <xf numFmtId="164" fontId="0" fillId="0" borderId="4" xfId="0" applyNumberFormat="1" applyBorder="1"/>
    <xf numFmtId="182" fontId="1" fillId="0" borderId="0" xfId="0" applyNumberFormat="1" applyFont="1" applyBorder="1" applyAlignment="1">
      <alignment horizontal="center"/>
    </xf>
    <xf numFmtId="164" fontId="0" fillId="0" borderId="19" xfId="0" applyNumberFormat="1" applyBorder="1"/>
    <xf numFmtId="164" fontId="0" fillId="0" borderId="12" xfId="0" applyNumberFormat="1" applyBorder="1"/>
    <xf numFmtId="0" fontId="6" fillId="0" borderId="0" xfId="0" applyFont="1" applyFill="1" applyBorder="1" applyAlignment="1">
      <alignment horizontal="centerContinuous"/>
    </xf>
    <xf numFmtId="0" fontId="0" fillId="0" borderId="15" xfId="0" applyBorder="1" applyAlignment="1">
      <alignment horizontal="left" indent="1"/>
    </xf>
    <xf numFmtId="0" fontId="0" fillId="0" borderId="16" xfId="0" applyBorder="1"/>
    <xf numFmtId="2" fontId="0" fillId="0" borderId="0" xfId="0" applyNumberFormat="1" applyFill="1" applyBorder="1"/>
    <xf numFmtId="2" fontId="0" fillId="0" borderId="0" xfId="0" applyNumberFormat="1" applyFont="1" applyFill="1" applyBorder="1"/>
    <xf numFmtId="177" fontId="0" fillId="0" borderId="0" xfId="0" applyNumberFormat="1" applyBorder="1"/>
    <xf numFmtId="177" fontId="0" fillId="0" borderId="0" xfId="0" applyNumberFormat="1"/>
    <xf numFmtId="164" fontId="0" fillId="0" borderId="0" xfId="0" applyNumberFormat="1"/>
    <xf numFmtId="171" fontId="0" fillId="6" borderId="15" xfId="0" applyNumberFormat="1" applyFill="1" applyBorder="1"/>
    <xf numFmtId="171" fontId="0" fillId="6" borderId="18" xfId="0" applyNumberFormat="1" applyFill="1" applyBorder="1"/>
    <xf numFmtId="9" fontId="6" fillId="0" borderId="0" xfId="2" applyFont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172" fontId="0" fillId="0" borderId="0" xfId="0" applyNumberFormat="1" applyAlignment="1">
      <alignment horizontal="right"/>
    </xf>
    <xf numFmtId="184" fontId="0" fillId="0" borderId="0" xfId="0" applyNumberFormat="1"/>
    <xf numFmtId="171" fontId="3" fillId="0" borderId="0" xfId="0" applyNumberFormat="1" applyFont="1" applyFill="1" applyBorder="1" applyAlignment="1" applyProtection="1">
      <alignment horizontal="right" vertical="center" wrapText="1"/>
    </xf>
    <xf numFmtId="171" fontId="3" fillId="0" borderId="20" xfId="0" applyNumberFormat="1" applyFont="1" applyFill="1" applyBorder="1" applyAlignment="1" applyProtection="1">
      <alignment horizontal="right" vertical="center" wrapText="1"/>
    </xf>
    <xf numFmtId="185" fontId="3" fillId="0" borderId="0" xfId="0" applyNumberFormat="1" applyFont="1" applyFill="1" applyBorder="1" applyAlignment="1" applyProtection="1">
      <alignment horizontal="center" vertical="center" wrapText="1"/>
    </xf>
    <xf numFmtId="171" fontId="3" fillId="0" borderId="0" xfId="0" applyNumberFormat="1" applyFont="1" applyFill="1" applyBorder="1" applyAlignment="1" applyProtection="1">
      <alignment horizontal="center" vertical="center" wrapText="1"/>
    </xf>
    <xf numFmtId="169" fontId="0" fillId="0" borderId="10" xfId="0" applyNumberFormat="1" applyBorder="1"/>
    <xf numFmtId="0" fontId="1" fillId="0" borderId="0" xfId="0" applyFont="1" applyBorder="1"/>
    <xf numFmtId="9" fontId="0" fillId="0" borderId="0" xfId="2" applyFont="1"/>
    <xf numFmtId="183" fontId="3" fillId="0" borderId="20" xfId="0" applyNumberFormat="1" applyFont="1" applyFill="1" applyBorder="1" applyAlignment="1" applyProtection="1">
      <alignment horizontal="right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171" fontId="7" fillId="0" borderId="0" xfId="0" applyNumberFormat="1" applyFont="1" applyBorder="1" applyAlignment="1">
      <alignment horizontal="centerContinuous" vertical="center"/>
    </xf>
    <xf numFmtId="181" fontId="0" fillId="0" borderId="0" xfId="0" applyNumberFormat="1" applyBorder="1"/>
    <xf numFmtId="10" fontId="0" fillId="0" borderId="0" xfId="0" applyNumberFormat="1" applyBorder="1" applyAlignment="1" applyProtection="1">
      <alignment horizontal="center"/>
      <protection locked="0"/>
    </xf>
    <xf numFmtId="0" fontId="5" fillId="8" borderId="3" xfId="0" applyFont="1" applyFill="1" applyBorder="1" applyAlignment="1" applyProtection="1">
      <alignment horizontal="center" vertical="center" wrapText="1"/>
    </xf>
    <xf numFmtId="0" fontId="5" fillId="9" borderId="3" xfId="0" applyFont="1" applyFill="1" applyBorder="1" applyAlignment="1" applyProtection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0" fontId="2" fillId="3" borderId="0" xfId="0" applyNumberFormat="1" applyFont="1" applyFill="1"/>
    <xf numFmtId="187" fontId="2" fillId="11" borderId="3" xfId="0" applyNumberFormat="1" applyFont="1" applyFill="1" applyBorder="1" applyAlignment="1">
      <alignment horizontal="center" vertical="center" wrapText="1"/>
    </xf>
    <xf numFmtId="187" fontId="2" fillId="4" borderId="3" xfId="0" applyNumberFormat="1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169" fontId="0" fillId="0" borderId="12" xfId="0" applyNumberFormat="1" applyBorder="1"/>
    <xf numFmtId="169" fontId="0" fillId="0" borderId="16" xfId="0" applyNumberFormat="1" applyBorder="1"/>
    <xf numFmtId="164" fontId="2" fillId="0" borderId="0" xfId="0" applyNumberFormat="1" applyFont="1" applyFill="1" applyBorder="1" applyProtection="1">
      <protection locked="0"/>
    </xf>
    <xf numFmtId="188" fontId="0" fillId="0" borderId="0" xfId="0" applyNumberFormat="1"/>
    <xf numFmtId="0" fontId="2" fillId="12" borderId="3" xfId="0" applyFont="1" applyFill="1" applyBorder="1" applyAlignment="1">
      <alignment horizontal="center"/>
    </xf>
    <xf numFmtId="188" fontId="0" fillId="6" borderId="8" xfId="1" applyNumberFormat="1" applyFont="1" applyFill="1" applyBorder="1" applyAlignment="1"/>
    <xf numFmtId="188" fontId="0" fillId="6" borderId="9" xfId="1" applyNumberFormat="1" applyFont="1" applyFill="1" applyBorder="1" applyAlignment="1"/>
    <xf numFmtId="188" fontId="0" fillId="6" borderId="9" xfId="2" applyNumberFormat="1" applyFont="1" applyFill="1" applyBorder="1" applyAlignment="1"/>
    <xf numFmtId="188" fontId="0" fillId="6" borderId="0" xfId="0" applyNumberFormat="1" applyFill="1" applyBorder="1" applyAlignment="1"/>
    <xf numFmtId="188" fontId="0" fillId="6" borderId="11" xfId="0" applyNumberFormat="1" applyFill="1" applyBorder="1" applyAlignment="1"/>
    <xf numFmtId="188" fontId="0" fillId="6" borderId="0" xfId="0" applyNumberFormat="1" applyFont="1" applyFill="1" applyBorder="1" applyAlignment="1"/>
    <xf numFmtId="188" fontId="0" fillId="6" borderId="0" xfId="1" applyNumberFormat="1" applyFont="1" applyFill="1" applyBorder="1" applyAlignment="1"/>
    <xf numFmtId="188" fontId="0" fillId="6" borderId="12" xfId="0" applyNumberFormat="1" applyFill="1" applyBorder="1" applyAlignment="1"/>
    <xf numFmtId="181" fontId="16" fillId="0" borderId="0" xfId="1" applyNumberFormat="1" applyFont="1" applyFill="1" applyBorder="1"/>
    <xf numFmtId="172" fontId="0" fillId="0" borderId="0" xfId="0" applyNumberFormat="1" applyFill="1"/>
    <xf numFmtId="0" fontId="2" fillId="7" borderId="3" xfId="0" applyFont="1" applyFill="1" applyBorder="1" applyAlignment="1" applyProtection="1">
      <alignment horizontal="center" vertical="center" wrapText="1"/>
    </xf>
    <xf numFmtId="9" fontId="0" fillId="0" borderId="0" xfId="2" applyNumberFormat="1" applyFont="1" applyProtection="1"/>
    <xf numFmtId="186" fontId="0" fillId="0" borderId="0" xfId="0" applyNumberFormat="1" applyBorder="1"/>
    <xf numFmtId="186" fontId="0" fillId="0" borderId="0" xfId="0" applyNumberFormat="1" applyFont="1" applyFill="1" applyBorder="1"/>
    <xf numFmtId="1" fontId="0" fillId="0" borderId="0" xfId="0" applyNumberFormat="1" applyFont="1" applyFill="1" applyBorder="1"/>
    <xf numFmtId="1" fontId="0" fillId="0" borderId="0" xfId="0" applyNumberFormat="1" applyFill="1" applyBorder="1"/>
    <xf numFmtId="1" fontId="0" fillId="0" borderId="0" xfId="0" applyNumberFormat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71" fontId="7" fillId="0" borderId="0" xfId="0" applyNumberFormat="1" applyFont="1" applyBorder="1" applyAlignment="1">
      <alignment vertical="center"/>
    </xf>
    <xf numFmtId="0" fontId="0" fillId="0" borderId="0" xfId="0" applyFont="1" applyBorder="1"/>
    <xf numFmtId="164" fontId="0" fillId="0" borderId="0" xfId="1" applyNumberFormat="1" applyFont="1"/>
    <xf numFmtId="166" fontId="0" fillId="0" borderId="0" xfId="0" applyNumberFormat="1"/>
    <xf numFmtId="171" fontId="0" fillId="0" borderId="17" xfId="0" applyNumberFormat="1" applyBorder="1"/>
    <xf numFmtId="171" fontId="15" fillId="0" borderId="0" xfId="0" applyNumberFormat="1" applyFont="1" applyBorder="1" applyAlignment="1">
      <alignment horizontal="centerContinuous"/>
    </xf>
    <xf numFmtId="171" fontId="0" fillId="0" borderId="4" xfId="0" applyNumberFormat="1" applyBorder="1"/>
    <xf numFmtId="171" fontId="0" fillId="0" borderId="19" xfId="0" applyNumberFormat="1" applyBorder="1"/>
    <xf numFmtId="0" fontId="2" fillId="7" borderId="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89" fontId="3" fillId="0" borderId="1" xfId="0" applyNumberFormat="1" applyFont="1" applyFill="1" applyBorder="1" applyAlignment="1" applyProtection="1">
      <alignment vertical="center" wrapText="1"/>
    </xf>
    <xf numFmtId="189" fontId="11" fillId="0" borderId="0" xfId="0" applyNumberFormat="1" applyFont="1"/>
    <xf numFmtId="189" fontId="0" fillId="0" borderId="0" xfId="0" applyNumberFormat="1" applyBorder="1"/>
    <xf numFmtId="189" fontId="0" fillId="0" borderId="0" xfId="0" applyNumberFormat="1"/>
    <xf numFmtId="189" fontId="0" fillId="0" borderId="9" xfId="0" applyNumberFormat="1" applyBorder="1"/>
    <xf numFmtId="189" fontId="0" fillId="0" borderId="18" xfId="0" applyNumberFormat="1" applyBorder="1"/>
    <xf numFmtId="189" fontId="1" fillId="0" borderId="0" xfId="0" applyNumberFormat="1" applyFont="1" applyBorder="1"/>
    <xf numFmtId="189" fontId="0" fillId="0" borderId="16" xfId="0" applyNumberFormat="1" applyBorder="1"/>
    <xf numFmtId="189" fontId="3" fillId="0" borderId="23" xfId="0" applyNumberFormat="1" applyFont="1" applyFill="1" applyBorder="1" applyAlignment="1" applyProtection="1">
      <alignment vertical="center" wrapText="1"/>
    </xf>
    <xf numFmtId="189" fontId="3" fillId="0" borderId="24" xfId="0" applyNumberFormat="1" applyFont="1" applyFill="1" applyBorder="1" applyAlignment="1" applyProtection="1">
      <alignment vertical="center" wrapText="1"/>
    </xf>
    <xf numFmtId="171" fontId="16" fillId="0" borderId="0" xfId="1" applyNumberFormat="1" applyFont="1" applyFill="1" applyBorder="1"/>
    <xf numFmtId="171" fontId="0" fillId="0" borderId="0" xfId="0" applyNumberFormat="1" applyBorder="1" applyAlignment="1">
      <alignment vertical="center"/>
    </xf>
    <xf numFmtId="190" fontId="0" fillId="0" borderId="0" xfId="0" applyNumberFormat="1"/>
    <xf numFmtId="9" fontId="0" fillId="0" borderId="22" xfId="0" applyNumberFormat="1" applyBorder="1"/>
    <xf numFmtId="0" fontId="3" fillId="0" borderId="25" xfId="0" applyFont="1" applyFill="1" applyBorder="1" applyAlignment="1" applyProtection="1">
      <alignment horizontal="center" vertical="center" wrapText="1"/>
    </xf>
    <xf numFmtId="10" fontId="0" fillId="0" borderId="25" xfId="0" applyNumberFormat="1" applyBorder="1"/>
    <xf numFmtId="9" fontId="0" fillId="0" borderId="25" xfId="0" applyNumberFormat="1" applyBorder="1"/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169" fontId="11" fillId="0" borderId="0" xfId="0" applyNumberFormat="1" applyFont="1"/>
    <xf numFmtId="165" fontId="11" fillId="0" borderId="0" xfId="0" applyNumberFormat="1" applyFont="1"/>
    <xf numFmtId="0" fontId="4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2" fillId="0" borderId="26" xfId="14" applyFont="1" applyBorder="1" applyAlignment="1">
      <alignment horizontal="right" wrapText="1"/>
    </xf>
    <xf numFmtId="0" fontId="10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/>
    </xf>
    <xf numFmtId="178" fontId="3" fillId="0" borderId="2" xfId="0" applyNumberFormat="1" applyFont="1" applyBorder="1" applyAlignment="1">
      <alignment horizontal="right" vertical="center" wrapText="1"/>
    </xf>
    <xf numFmtId="186" fontId="10" fillId="0" borderId="2" xfId="0" applyNumberFormat="1" applyFont="1" applyBorder="1" applyAlignment="1">
      <alignment horizontal="right" vertical="center" wrapText="1"/>
    </xf>
    <xf numFmtId="179" fontId="10" fillId="0" borderId="0" xfId="0" applyNumberFormat="1" applyFont="1" applyAlignment="1">
      <alignment horizontal="right" vertical="center" wrapText="1"/>
    </xf>
    <xf numFmtId="165" fontId="10" fillId="0" borderId="0" xfId="0" applyNumberFormat="1" applyFont="1" applyAlignment="1">
      <alignment horizontal="right" vertical="center" wrapText="1"/>
    </xf>
    <xf numFmtId="0" fontId="3" fillId="0" borderId="2" xfId="13" applyFont="1" applyBorder="1" applyAlignment="1">
      <alignment horizontal="center" vertical="center" wrapText="1"/>
    </xf>
    <xf numFmtId="191" fontId="10" fillId="0" borderId="0" xfId="0" applyNumberFormat="1" applyFont="1" applyAlignment="1">
      <alignment horizontal="right" vertical="center" wrapText="1"/>
    </xf>
    <xf numFmtId="192" fontId="0" fillId="0" borderId="0" xfId="0" applyNumberFormat="1"/>
    <xf numFmtId="171" fontId="10" fillId="0" borderId="2" xfId="0" applyNumberFormat="1" applyFont="1" applyBorder="1" applyAlignment="1">
      <alignment horizontal="right" vertical="center" wrapText="1"/>
    </xf>
    <xf numFmtId="170" fontId="0" fillId="3" borderId="0" xfId="0" applyNumberFormat="1" applyFill="1" applyAlignment="1">
      <alignment horizontal="center"/>
    </xf>
    <xf numFmtId="171" fontId="0" fillId="0" borderId="17" xfId="0" applyNumberFormat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89" fontId="3" fillId="0" borderId="1" xfId="0" applyNumberFormat="1" applyFont="1" applyFill="1" applyBorder="1" applyAlignment="1" applyProtection="1">
      <alignment vertical="center"/>
    </xf>
    <xf numFmtId="171" fontId="3" fillId="0" borderId="1" xfId="0" applyNumberFormat="1" applyFont="1" applyFill="1" applyBorder="1" applyAlignment="1" applyProtection="1">
      <alignment horizontal="right" vertical="center"/>
    </xf>
    <xf numFmtId="171" fontId="3" fillId="0" borderId="0" xfId="0" applyNumberFormat="1" applyFont="1" applyFill="1" applyBorder="1" applyAlignment="1" applyProtection="1">
      <alignment horizontal="right" vertical="center"/>
    </xf>
    <xf numFmtId="172" fontId="0" fillId="0" borderId="0" xfId="0" applyNumberFormat="1" applyAlignment="1"/>
    <xf numFmtId="9" fontId="0" fillId="0" borderId="0" xfId="2" applyNumberFormat="1" applyFont="1" applyAlignment="1" applyProtection="1"/>
    <xf numFmtId="183" fontId="3" fillId="0" borderId="20" xfId="0" applyNumberFormat="1" applyFont="1" applyFill="1" applyBorder="1" applyAlignment="1" applyProtection="1">
      <alignment horizontal="right" vertical="center"/>
    </xf>
    <xf numFmtId="184" fontId="0" fillId="0" borderId="0" xfId="0" applyNumberFormat="1" applyAlignment="1"/>
    <xf numFmtId="0" fontId="0" fillId="0" borderId="0" xfId="0" applyAlignment="1"/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2" xfId="0" applyBorder="1" applyAlignment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171" fontId="0" fillId="0" borderId="0" xfId="0" applyNumberFormat="1" applyAlignment="1">
      <alignment vertical="center"/>
    </xf>
    <xf numFmtId="193" fontId="6" fillId="0" borderId="0" xfId="0" applyNumberFormat="1" applyFont="1" applyAlignment="1">
      <alignment horizontal="center" vertical="center"/>
    </xf>
    <xf numFmtId="171" fontId="0" fillId="0" borderId="0" xfId="0" applyNumberFormat="1" applyFill="1" applyBorder="1" applyAlignment="1">
      <alignment vertic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171" fontId="0" fillId="0" borderId="0" xfId="0" applyNumberFormat="1" applyAlignment="1" applyProtection="1">
      <alignment horizontal="center"/>
      <protection locked="0"/>
    </xf>
    <xf numFmtId="181" fontId="0" fillId="0" borderId="0" xfId="0" applyNumberFormat="1" applyBorder="1" applyAlignment="1">
      <alignment horizontal="center"/>
    </xf>
    <xf numFmtId="171" fontId="0" fillId="0" borderId="0" xfId="0" applyNumberFormat="1" applyBorder="1" applyAlignment="1">
      <alignment horizontal="center"/>
    </xf>
  </cellXfs>
  <cellStyles count="15">
    <cellStyle name="Comma 2" xfId="9" xr:uid="{00000000-0005-0000-0000-000001000000}"/>
    <cellStyle name="Currency" xfId="1" builtinId="4"/>
    <cellStyle name="Currency 2" xfId="11" xr:uid="{00000000-0005-0000-0000-000003000000}"/>
    <cellStyle name="Normal" xfId="0" builtinId="0"/>
    <cellStyle name="Normal 10" xfId="13" xr:uid="{75A9A523-CA2E-41F1-9743-057949EC6D7F}"/>
    <cellStyle name="Normal 16" xfId="3" xr:uid="{00000000-0005-0000-0000-000005000000}"/>
    <cellStyle name="Normal 18" xfId="4" xr:uid="{00000000-0005-0000-0000-000006000000}"/>
    <cellStyle name="Normal 19" xfId="5" xr:uid="{00000000-0005-0000-0000-000007000000}"/>
    <cellStyle name="Normal 2" xfId="7" xr:uid="{00000000-0005-0000-0000-000008000000}"/>
    <cellStyle name="Normal 3" xfId="8" xr:uid="{00000000-0005-0000-0000-000009000000}"/>
    <cellStyle name="Normal 4" xfId="10" xr:uid="{00000000-0005-0000-0000-00000A000000}"/>
    <cellStyle name="Normal_dbo_COMPLETED_DATACALL_1" xfId="14" xr:uid="{D0E44515-6828-4D3D-B982-338749DD9A97}"/>
    <cellStyle name="Percent" xfId="2" builtinId="5"/>
    <cellStyle name="Percent 2" xfId="6" xr:uid="{00000000-0005-0000-0000-00000C000000}"/>
    <cellStyle name="Percent 3" xfId="12" xr:uid="{00000000-0005-0000-0000-00000D000000}"/>
  </cellStyles>
  <dxfs count="8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FF"/>
      <color rgb="FFCC99FF"/>
      <color rgb="FFFF9999"/>
      <color rgb="FFE2C9E9"/>
      <color rgb="FFD8CCE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2</xdr:col>
      <xdr:colOff>466725</xdr:colOff>
      <xdr:row>0</xdr:row>
      <xdr:rowOff>695325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094465-5986-494C-8FFA-169A8C3F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1514475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</xdr:rowOff>
    </xdr:from>
    <xdr:to>
      <xdr:col>2</xdr:col>
      <xdr:colOff>904875</xdr:colOff>
      <xdr:row>0</xdr:row>
      <xdr:rowOff>690952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4AEA4A-3719-4327-B826-8D00BA3D6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9525"/>
          <a:ext cx="1905000" cy="6814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0</xdr:rowOff>
    </xdr:from>
    <xdr:to>
      <xdr:col>2</xdr:col>
      <xdr:colOff>809625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5DF6A5-CE63-4B52-9863-C2F30A197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1" y="0"/>
          <a:ext cx="1800224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call/2019%20Datacall%20Year/2.1%20Data%20Lockdown/2018%20Lockdown%20for%202019/Datacall%20Lockdown%202018-%20July%2028,%202020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call/2018%20Datacall%20Year/2.4%20MFAM/4.2%20Final%20MFAM/3.%20Final%20Draft%20-%20Sent%20for%20Review/MFAM-2018-Program-Year-2020-Funding-Year%20-%20All%20Tabs%20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call/2019%20Datacall%20Year/2.1%20Data%20Lockdown/2017%20Lockdown%20for%202019/3.%20Final/Datacall%20Lockdown%202017%20for%20201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Program List"/>
      <sheetName val="Submission List"/>
      <sheetName val="2018 Programs"/>
      <sheetName val="2014 Summary"/>
      <sheetName val="2018 Summary"/>
      <sheetName val="Gross Costs"/>
      <sheetName val="Tonnes"/>
      <sheetName val="2014 Tonnes"/>
      <sheetName val="2014 Program Streams"/>
      <sheetName val="Material Analysis"/>
      <sheetName val="M&amp;R"/>
      <sheetName val="2014 M&amp;R"/>
      <sheetName val="Other Revenue"/>
      <sheetName val="2014 Other Revenue"/>
      <sheetName val="2014 Programs"/>
    </sheetNames>
    <sheetDataSet>
      <sheetData sheetId="0">
        <row r="2">
          <cell r="A2">
            <v>1</v>
          </cell>
          <cell r="B2">
            <v>1</v>
          </cell>
          <cell r="C2" t="str">
            <v>HALTON, REGIONAL MUNICIPALITY OF</v>
          </cell>
        </row>
        <row r="3">
          <cell r="A3">
            <v>6</v>
          </cell>
          <cell r="B3">
            <v>2</v>
          </cell>
          <cell r="C3" t="str">
            <v>DURHAM, REGIONAL MUNICIPALITY OF</v>
          </cell>
        </row>
        <row r="4">
          <cell r="A4">
            <v>8</v>
          </cell>
          <cell r="B4">
            <v>5</v>
          </cell>
          <cell r="C4" t="str">
            <v>STRATFORD, CITY OF</v>
          </cell>
        </row>
        <row r="5">
          <cell r="A5">
            <v>12</v>
          </cell>
          <cell r="B5">
            <v>4</v>
          </cell>
          <cell r="C5" t="str">
            <v>NORTHUMBERLAND, COUNTY OF</v>
          </cell>
        </row>
        <row r="6">
          <cell r="A6">
            <v>14</v>
          </cell>
          <cell r="B6">
            <v>3</v>
          </cell>
          <cell r="C6" t="str">
            <v>BARRIE, CITY OF</v>
          </cell>
        </row>
        <row r="7">
          <cell r="A7">
            <v>18</v>
          </cell>
          <cell r="B7">
            <v>2</v>
          </cell>
          <cell r="C7" t="str">
            <v>ESSEX-WINDSOR SOLID WASTE AUTHORITY</v>
          </cell>
        </row>
        <row r="8">
          <cell r="A8">
            <v>20</v>
          </cell>
          <cell r="B8">
            <v>1</v>
          </cell>
          <cell r="C8" t="str">
            <v>TORONTO, CITY OF</v>
          </cell>
        </row>
        <row r="9">
          <cell r="A9">
            <v>21</v>
          </cell>
          <cell r="B9">
            <v>4</v>
          </cell>
          <cell r="C9" t="str">
            <v>WELLINGTON, COUNTY OF</v>
          </cell>
        </row>
        <row r="10">
          <cell r="A10">
            <v>34</v>
          </cell>
          <cell r="B10">
            <v>4</v>
          </cell>
          <cell r="C10" t="str">
            <v>NORFOLK, COUNTY OF</v>
          </cell>
        </row>
        <row r="11">
          <cell r="A11">
            <v>36</v>
          </cell>
          <cell r="B11">
            <v>3</v>
          </cell>
          <cell r="C11" t="str">
            <v>GUELPH, CITY OF</v>
          </cell>
        </row>
        <row r="12">
          <cell r="A12">
            <v>39</v>
          </cell>
          <cell r="B12">
            <v>7</v>
          </cell>
          <cell r="C12" t="str">
            <v>NORTH HURON, TOWNSHIP OF</v>
          </cell>
        </row>
        <row r="13">
          <cell r="A13">
            <v>41</v>
          </cell>
          <cell r="B13">
            <v>5</v>
          </cell>
          <cell r="C13" t="str">
            <v>OWEN SOUND, CITY OF</v>
          </cell>
        </row>
        <row r="14">
          <cell r="A14">
            <v>50</v>
          </cell>
          <cell r="B14">
            <v>1</v>
          </cell>
          <cell r="C14" t="str">
            <v>LONDON, CITY OF</v>
          </cell>
        </row>
        <row r="15">
          <cell r="A15">
            <v>53</v>
          </cell>
          <cell r="B15">
            <v>2</v>
          </cell>
          <cell r="C15" t="str">
            <v>WATERLOO, REGIONAL MUNICIPALITY OF</v>
          </cell>
        </row>
        <row r="16">
          <cell r="A16">
            <v>55</v>
          </cell>
          <cell r="B16">
            <v>3</v>
          </cell>
          <cell r="C16" t="str">
            <v>SAULT STE. MARIE, CITY OF</v>
          </cell>
        </row>
        <row r="17">
          <cell r="A17">
            <v>56</v>
          </cell>
          <cell r="B17">
            <v>5</v>
          </cell>
          <cell r="C17" t="str">
            <v>ORILLIA, CITY OF</v>
          </cell>
        </row>
        <row r="18">
          <cell r="A18">
            <v>59</v>
          </cell>
          <cell r="B18">
            <v>7</v>
          </cell>
          <cell r="C18" t="str">
            <v>ASHFIELD-COLBORNE-WAWANOSH, TOWNSHIP OF</v>
          </cell>
        </row>
        <row r="19">
          <cell r="A19">
            <v>67</v>
          </cell>
          <cell r="B19">
            <v>5</v>
          </cell>
          <cell r="C19" t="str">
            <v>BROCKVILLE, CITY OF</v>
          </cell>
        </row>
        <row r="20">
          <cell r="A20">
            <v>87</v>
          </cell>
          <cell r="B20">
            <v>4</v>
          </cell>
          <cell r="C20" t="str">
            <v>QUINTE WASTE SOLUTIONS</v>
          </cell>
        </row>
        <row r="21">
          <cell r="A21">
            <v>88</v>
          </cell>
          <cell r="B21">
            <v>4</v>
          </cell>
          <cell r="C21" t="str">
            <v>PETERBOROUGH, COUNTY OF</v>
          </cell>
        </row>
        <row r="22">
          <cell r="A22">
            <v>89</v>
          </cell>
          <cell r="B22">
            <v>4</v>
          </cell>
          <cell r="C22" t="str">
            <v>MUSKOKA,  DISTRICT MUNICIPALITY OF</v>
          </cell>
        </row>
        <row r="23">
          <cell r="A23">
            <v>97</v>
          </cell>
          <cell r="B23">
            <v>1</v>
          </cell>
          <cell r="C23" t="str">
            <v>YORK, REGIONAL MUNICIPALITY OF</v>
          </cell>
        </row>
        <row r="24">
          <cell r="A24">
            <v>100</v>
          </cell>
          <cell r="B24">
            <v>9</v>
          </cell>
          <cell r="C24" t="str">
            <v>ONEIDA NATION OF THE THAMES</v>
          </cell>
        </row>
        <row r="25">
          <cell r="A25">
            <v>103</v>
          </cell>
          <cell r="B25">
            <v>3</v>
          </cell>
          <cell r="C25" t="str">
            <v>SARNIA, CITY OF</v>
          </cell>
        </row>
        <row r="26">
          <cell r="A26">
            <v>123</v>
          </cell>
          <cell r="B26">
            <v>3</v>
          </cell>
          <cell r="C26" t="str">
            <v>THUNDER BAY, CITY OF</v>
          </cell>
        </row>
        <row r="27">
          <cell r="A27">
            <v>128</v>
          </cell>
          <cell r="B27">
            <v>7</v>
          </cell>
          <cell r="C27" t="str">
            <v>HOWICK, TOWNSHIP OF</v>
          </cell>
        </row>
        <row r="28">
          <cell r="A28">
            <v>143</v>
          </cell>
          <cell r="B28">
            <v>4</v>
          </cell>
          <cell r="C28" t="str">
            <v>NORTH BAY, CITY OF</v>
          </cell>
        </row>
        <row r="29">
          <cell r="A29">
            <v>152</v>
          </cell>
          <cell r="B29">
            <v>7</v>
          </cell>
          <cell r="C29" t="str">
            <v>CHATSWORTH, TOWNSHIP OF</v>
          </cell>
        </row>
        <row r="30">
          <cell r="A30">
            <v>157</v>
          </cell>
          <cell r="B30">
            <v>5</v>
          </cell>
          <cell r="C30" t="str">
            <v>HANOVER, TOWN OF</v>
          </cell>
        </row>
        <row r="31">
          <cell r="A31">
            <v>159</v>
          </cell>
          <cell r="B31">
            <v>9</v>
          </cell>
          <cell r="C31" t="str">
            <v>DYSART ET AL, TOWNSHIP OF</v>
          </cell>
        </row>
        <row r="32">
          <cell r="A32">
            <v>162</v>
          </cell>
          <cell r="B32">
            <v>7</v>
          </cell>
          <cell r="C32" t="str">
            <v>THE BLUE MOUNTAINS, TOWN OF</v>
          </cell>
        </row>
        <row r="33">
          <cell r="A33">
            <v>166</v>
          </cell>
          <cell r="B33">
            <v>7</v>
          </cell>
          <cell r="C33" t="str">
            <v>THAMES CENTRE, MUNICIPALITY OF</v>
          </cell>
        </row>
        <row r="34">
          <cell r="A34">
            <v>172</v>
          </cell>
          <cell r="B34">
            <v>1</v>
          </cell>
          <cell r="C34" t="str">
            <v>HAMILTON, CITY OF</v>
          </cell>
        </row>
        <row r="35">
          <cell r="A35">
            <v>173</v>
          </cell>
          <cell r="B35">
            <v>9</v>
          </cell>
          <cell r="C35" t="str">
            <v>ALGONQUIN HIGHLANDS,TOWNSHIP OF</v>
          </cell>
        </row>
        <row r="36">
          <cell r="A36">
            <v>179</v>
          </cell>
          <cell r="B36">
            <v>3</v>
          </cell>
          <cell r="C36" t="str">
            <v>BRANTFORD, CITY OF</v>
          </cell>
        </row>
        <row r="37">
          <cell r="A37">
            <v>183</v>
          </cell>
          <cell r="B37">
            <v>4</v>
          </cell>
          <cell r="C37" t="str">
            <v>GREATER SUDBURY, CITY OF</v>
          </cell>
        </row>
        <row r="38">
          <cell r="A38">
            <v>186</v>
          </cell>
          <cell r="B38">
            <v>4</v>
          </cell>
          <cell r="C38" t="str">
            <v>BLUEWATER RECYCLING ASSOCIATION</v>
          </cell>
        </row>
        <row r="39">
          <cell r="A39">
            <v>188</v>
          </cell>
          <cell r="B39">
            <v>8</v>
          </cell>
          <cell r="C39" t="str">
            <v>ARMOUR, TOWNSHIP OF</v>
          </cell>
        </row>
        <row r="40">
          <cell r="A40">
            <v>190</v>
          </cell>
          <cell r="B40">
            <v>4</v>
          </cell>
          <cell r="C40" t="str">
            <v>BRUCE AREA SOLID WASTE RECYCLING</v>
          </cell>
        </row>
        <row r="41">
          <cell r="A41">
            <v>192</v>
          </cell>
          <cell r="B41">
            <v>7</v>
          </cell>
          <cell r="C41" t="str">
            <v>WEST ELGIN, MUNICIPALITY OF</v>
          </cell>
        </row>
        <row r="42">
          <cell r="A42">
            <v>204</v>
          </cell>
          <cell r="B42">
            <v>9</v>
          </cell>
          <cell r="C42" t="str">
            <v>LEEDS AND THE THOUSAND ISLANDS, TOWNSHIP OF</v>
          </cell>
        </row>
        <row r="43">
          <cell r="A43">
            <v>205</v>
          </cell>
          <cell r="B43">
            <v>7</v>
          </cell>
          <cell r="C43" t="str">
            <v>RIDEAU LAKES, TOWNSHIP OF</v>
          </cell>
        </row>
        <row r="44">
          <cell r="A44">
            <v>212</v>
          </cell>
          <cell r="B44">
            <v>7</v>
          </cell>
          <cell r="C44" t="str">
            <v>GEORGIAN BLUFFS, TOWNSHIP OF</v>
          </cell>
        </row>
        <row r="45">
          <cell r="A45">
            <v>214</v>
          </cell>
          <cell r="B45">
            <v>5</v>
          </cell>
          <cell r="C45" t="str">
            <v>CORNWALL, CITY OF</v>
          </cell>
        </row>
        <row r="46">
          <cell r="A46">
            <v>216</v>
          </cell>
          <cell r="B46">
            <v>7</v>
          </cell>
          <cell r="C46" t="str">
            <v>MEAFORD, MUNICIPALITY OF</v>
          </cell>
        </row>
        <row r="47">
          <cell r="A47">
            <v>218</v>
          </cell>
          <cell r="B47">
            <v>9</v>
          </cell>
          <cell r="C47" t="str">
            <v>ELIZABETHTOWN-KITLEY, TOWNSHIP OF</v>
          </cell>
        </row>
        <row r="48">
          <cell r="A48">
            <v>223</v>
          </cell>
          <cell r="B48">
            <v>5</v>
          </cell>
          <cell r="C48" t="str">
            <v>PARRY SOUND, TOWN OF</v>
          </cell>
        </row>
        <row r="49">
          <cell r="A49">
            <v>224</v>
          </cell>
          <cell r="B49">
            <v>5</v>
          </cell>
          <cell r="C49" t="str">
            <v>PRESCOTT,TOWN OF</v>
          </cell>
        </row>
        <row r="50">
          <cell r="A50">
            <v>229</v>
          </cell>
          <cell r="B50">
            <v>7</v>
          </cell>
          <cell r="C50" t="str">
            <v>CENTRAL ELGIN, MUNICIPALITY OF</v>
          </cell>
        </row>
        <row r="51">
          <cell r="A51">
            <v>230</v>
          </cell>
          <cell r="B51">
            <v>9</v>
          </cell>
          <cell r="C51" t="str">
            <v>FRONT OF YONGE, TOWNSHIP OF</v>
          </cell>
        </row>
        <row r="52">
          <cell r="A52">
            <v>232</v>
          </cell>
          <cell r="B52">
            <v>8</v>
          </cell>
          <cell r="C52" t="str">
            <v>WHITESTONE, MUNICIPALITY OF</v>
          </cell>
        </row>
        <row r="53">
          <cell r="A53">
            <v>233</v>
          </cell>
          <cell r="B53">
            <v>5</v>
          </cell>
          <cell r="C53" t="str">
            <v>ST. THOMAS, CITY OF</v>
          </cell>
        </row>
        <row r="54">
          <cell r="A54">
            <v>236</v>
          </cell>
          <cell r="B54">
            <v>7</v>
          </cell>
          <cell r="C54" t="str">
            <v>NORTH GRENVILLE, MUNICIPALITY OF</v>
          </cell>
        </row>
        <row r="55">
          <cell r="A55">
            <v>238</v>
          </cell>
          <cell r="B55">
            <v>7</v>
          </cell>
          <cell r="C55" t="str">
            <v>WESTPORT, VILLAGE OF</v>
          </cell>
        </row>
        <row r="56">
          <cell r="A56">
            <v>239</v>
          </cell>
          <cell r="B56">
            <v>7</v>
          </cell>
          <cell r="C56" t="str">
            <v>OTTAWA VALLEY WASTE RECOVERY CENTRE</v>
          </cell>
        </row>
        <row r="57">
          <cell r="A57">
            <v>245</v>
          </cell>
          <cell r="B57">
            <v>8</v>
          </cell>
          <cell r="C57" t="str">
            <v>THE ARCHIPELAGO, TOWNSHIP OF</v>
          </cell>
        </row>
        <row r="58">
          <cell r="A58">
            <v>249</v>
          </cell>
          <cell r="B58">
            <v>7</v>
          </cell>
          <cell r="C58" t="str">
            <v>HAWKESBURY JOINT RECYCLING</v>
          </cell>
        </row>
        <row r="59">
          <cell r="A59">
            <v>270</v>
          </cell>
          <cell r="B59">
            <v>1</v>
          </cell>
          <cell r="C59" t="str">
            <v>PEEL, REGIONAL MUNICIPALITY OF</v>
          </cell>
        </row>
        <row r="60">
          <cell r="A60">
            <v>271</v>
          </cell>
          <cell r="B60">
            <v>7</v>
          </cell>
          <cell r="C60" t="str">
            <v>NORTH GLENGARRY, TOWNSHIP OF</v>
          </cell>
        </row>
        <row r="61">
          <cell r="A61">
            <v>272</v>
          </cell>
          <cell r="B61">
            <v>5</v>
          </cell>
          <cell r="C61" t="str">
            <v>GANANOQUE, TOWN OF</v>
          </cell>
        </row>
        <row r="62">
          <cell r="A62">
            <v>275</v>
          </cell>
          <cell r="B62">
            <v>7</v>
          </cell>
          <cell r="C62" t="str">
            <v>ST. CLAIR, TOWNSHIP OF</v>
          </cell>
        </row>
        <row r="63">
          <cell r="A63">
            <v>277</v>
          </cell>
          <cell r="B63">
            <v>9</v>
          </cell>
          <cell r="C63" t="str">
            <v>FRONTENAC ISLANDS, TOWNSHIP OF</v>
          </cell>
        </row>
        <row r="64">
          <cell r="A64">
            <v>279</v>
          </cell>
          <cell r="B64">
            <v>9</v>
          </cell>
          <cell r="C64" t="str">
            <v>AUGUSTA, TOWNSHIP OF</v>
          </cell>
        </row>
        <row r="65">
          <cell r="A65">
            <v>282</v>
          </cell>
          <cell r="B65">
            <v>7</v>
          </cell>
          <cell r="C65" t="str">
            <v>ATHENS, TOWNSHIP OF</v>
          </cell>
        </row>
        <row r="66">
          <cell r="A66">
            <v>287</v>
          </cell>
          <cell r="B66">
            <v>7</v>
          </cell>
          <cell r="C66" t="str">
            <v>MERRICKVILLE-WOLFORD, VILLAGE OF</v>
          </cell>
        </row>
        <row r="67">
          <cell r="A67">
            <v>290</v>
          </cell>
          <cell r="B67">
            <v>7</v>
          </cell>
          <cell r="C67" t="str">
            <v>NORTH STORMONT, TOWNSHIP OF</v>
          </cell>
        </row>
        <row r="68">
          <cell r="A68">
            <v>293</v>
          </cell>
          <cell r="B68">
            <v>3</v>
          </cell>
          <cell r="C68" t="str">
            <v>PETERBOROUGH, CITY OF</v>
          </cell>
        </row>
        <row r="69">
          <cell r="A69">
            <v>294</v>
          </cell>
          <cell r="B69">
            <v>7</v>
          </cell>
          <cell r="C69" t="str">
            <v>RUSSELL, TOWNSHIP OF</v>
          </cell>
        </row>
        <row r="70">
          <cell r="A70">
            <v>296</v>
          </cell>
          <cell r="B70">
            <v>7</v>
          </cell>
          <cell r="C70" t="str">
            <v>SOUTH FRONTENAC, TOWNSHIP OF</v>
          </cell>
        </row>
        <row r="71">
          <cell r="A71">
            <v>301</v>
          </cell>
          <cell r="B71">
            <v>7</v>
          </cell>
          <cell r="C71" t="str">
            <v>SOUTH STORMONT, TOWNSHIP OF</v>
          </cell>
        </row>
        <row r="72">
          <cell r="A72">
            <v>321</v>
          </cell>
          <cell r="B72">
            <v>7</v>
          </cell>
          <cell r="C72" t="str">
            <v>NORTH DUNDAS, TOWNSHIP OF</v>
          </cell>
        </row>
        <row r="73">
          <cell r="A73">
            <v>324</v>
          </cell>
          <cell r="B73">
            <v>4</v>
          </cell>
          <cell r="C73" t="str">
            <v>KINGSTON, CITY OF</v>
          </cell>
        </row>
        <row r="74">
          <cell r="A74">
            <v>325</v>
          </cell>
          <cell r="B74">
            <v>7</v>
          </cell>
          <cell r="C74" t="str">
            <v>WHITEWATER REGION, TOWNSHIP OF</v>
          </cell>
        </row>
        <row r="75">
          <cell r="A75">
            <v>331</v>
          </cell>
          <cell r="B75">
            <v>9</v>
          </cell>
          <cell r="C75" t="str">
            <v>STONE MILLS, TOWNSHIP OF</v>
          </cell>
        </row>
        <row r="76">
          <cell r="A76">
            <v>335</v>
          </cell>
          <cell r="B76">
            <v>2</v>
          </cell>
          <cell r="C76" t="str">
            <v>SIMCOE, COUNTY OF</v>
          </cell>
        </row>
        <row r="77">
          <cell r="A77">
            <v>346</v>
          </cell>
          <cell r="B77">
            <v>7</v>
          </cell>
          <cell r="C77" t="str">
            <v>SOUTHWOLD, TOWNSHIP OF</v>
          </cell>
        </row>
        <row r="78">
          <cell r="A78">
            <v>357</v>
          </cell>
          <cell r="B78">
            <v>2</v>
          </cell>
          <cell r="C78" t="str">
            <v>NIAGARA, REGIONAL MUNICIPALITY OF</v>
          </cell>
        </row>
        <row r="79">
          <cell r="A79">
            <v>358</v>
          </cell>
          <cell r="B79">
            <v>7</v>
          </cell>
          <cell r="C79" t="str">
            <v>BAYHAM, MUNICIPALITY OF</v>
          </cell>
        </row>
        <row r="80">
          <cell r="A80">
            <v>361</v>
          </cell>
          <cell r="B80">
            <v>7</v>
          </cell>
          <cell r="C80" t="str">
            <v>CLARENCE-ROCKLAND, CITY OF</v>
          </cell>
        </row>
        <row r="81">
          <cell r="A81">
            <v>369</v>
          </cell>
          <cell r="B81">
            <v>9</v>
          </cell>
          <cell r="C81" t="str">
            <v>HIGHLANDS EAST, MUNICIPALITY OF</v>
          </cell>
        </row>
        <row r="82">
          <cell r="A82">
            <v>372</v>
          </cell>
          <cell r="B82">
            <v>8</v>
          </cell>
          <cell r="C82" t="str">
            <v>CARLING, TOWNSHIP OF</v>
          </cell>
        </row>
        <row r="83">
          <cell r="A83">
            <v>375</v>
          </cell>
          <cell r="B83">
            <v>8</v>
          </cell>
          <cell r="C83" t="str">
            <v>MCDOUGALL, MUNICIPALITY OF</v>
          </cell>
        </row>
        <row r="84">
          <cell r="A84">
            <v>376</v>
          </cell>
          <cell r="B84">
            <v>7</v>
          </cell>
          <cell r="C84" t="str">
            <v>THE NATION, MUNICIPALITY</v>
          </cell>
        </row>
        <row r="85">
          <cell r="A85">
            <v>382</v>
          </cell>
          <cell r="B85">
            <v>7</v>
          </cell>
          <cell r="C85" t="str">
            <v>DUTTON-DUNWICH, MUNICIPALITY OF</v>
          </cell>
        </row>
        <row r="86">
          <cell r="A86">
            <v>389</v>
          </cell>
          <cell r="B86">
            <v>7</v>
          </cell>
          <cell r="C86" t="str">
            <v>GREATER NAPANEE, TOWNSHIP OF</v>
          </cell>
        </row>
        <row r="87">
          <cell r="A87">
            <v>394</v>
          </cell>
          <cell r="B87">
            <v>6</v>
          </cell>
          <cell r="C87" t="str">
            <v>WEST NIPISSING, MUNICIPALITY OF</v>
          </cell>
        </row>
        <row r="88">
          <cell r="A88">
            <v>404</v>
          </cell>
          <cell r="B88">
            <v>8</v>
          </cell>
          <cell r="C88" t="str">
            <v>SEGUIN, TOWNSHIP OF</v>
          </cell>
        </row>
        <row r="89">
          <cell r="A89">
            <v>413</v>
          </cell>
          <cell r="B89">
            <v>8</v>
          </cell>
          <cell r="C89" t="str">
            <v>MCKELLAR, TOWNSHIP OF</v>
          </cell>
        </row>
        <row r="90">
          <cell r="A90">
            <v>414</v>
          </cell>
          <cell r="B90">
            <v>6</v>
          </cell>
          <cell r="C90" t="str">
            <v>KIRKLAND LAKE, TOWN OF</v>
          </cell>
        </row>
        <row r="91">
          <cell r="A91">
            <v>416</v>
          </cell>
          <cell r="B91">
            <v>9</v>
          </cell>
          <cell r="C91" t="str">
            <v>BRUDENELL, LYNDOCH AND RAGLAN, TOWNSHIP OF</v>
          </cell>
        </row>
        <row r="92">
          <cell r="A92">
            <v>420</v>
          </cell>
          <cell r="B92">
            <v>9</v>
          </cell>
          <cell r="C92" t="str">
            <v>NORTHERN BRUCE PENINSULA, MUNICIPALITY OF</v>
          </cell>
        </row>
        <row r="93">
          <cell r="A93">
            <v>426</v>
          </cell>
          <cell r="B93">
            <v>6</v>
          </cell>
          <cell r="C93" t="str">
            <v>ELLIOT LAKE, CITY OF</v>
          </cell>
        </row>
        <row r="94">
          <cell r="A94">
            <v>427</v>
          </cell>
          <cell r="B94">
            <v>5</v>
          </cell>
          <cell r="C94" t="str">
            <v>AYLMER, TOWN OF</v>
          </cell>
        </row>
        <row r="95">
          <cell r="A95">
            <v>429</v>
          </cell>
          <cell r="B95">
            <v>4</v>
          </cell>
          <cell r="C95" t="str">
            <v>CHATHAM-KENT, MUNICIPALITY OF</v>
          </cell>
        </row>
        <row r="96">
          <cell r="A96">
            <v>430</v>
          </cell>
          <cell r="B96">
            <v>6</v>
          </cell>
          <cell r="C96" t="str">
            <v>TIMMINS, CITY OF</v>
          </cell>
        </row>
        <row r="97">
          <cell r="A97">
            <v>434</v>
          </cell>
          <cell r="B97">
            <v>7</v>
          </cell>
          <cell r="C97" t="str">
            <v>EDWARDSBURGH CARDINAL, TOWNSHIP OF</v>
          </cell>
        </row>
        <row r="98">
          <cell r="A98">
            <v>437</v>
          </cell>
          <cell r="B98">
            <v>7</v>
          </cell>
          <cell r="C98" t="str">
            <v>PLYMPTON-WYOMING, TOWN OF</v>
          </cell>
        </row>
        <row r="99">
          <cell r="A99">
            <v>441</v>
          </cell>
          <cell r="B99">
            <v>2</v>
          </cell>
          <cell r="C99" t="str">
            <v>OTTAWA, CITY OF</v>
          </cell>
        </row>
        <row r="100">
          <cell r="A100">
            <v>443</v>
          </cell>
          <cell r="B100">
            <v>6</v>
          </cell>
          <cell r="C100" t="str">
            <v>GAUTHIER, TOWNSHIP OF</v>
          </cell>
        </row>
        <row r="101">
          <cell r="A101">
            <v>502</v>
          </cell>
          <cell r="B101">
            <v>7</v>
          </cell>
          <cell r="C101" t="str">
            <v>SOUTH GLENGARRY, TOWNSHIP OF</v>
          </cell>
        </row>
        <row r="102">
          <cell r="A102">
            <v>503</v>
          </cell>
          <cell r="B102">
            <v>7</v>
          </cell>
          <cell r="C102" t="str">
            <v>MALAHIDE, TOWNSHIP OF</v>
          </cell>
        </row>
        <row r="103">
          <cell r="A103">
            <v>508</v>
          </cell>
          <cell r="B103">
            <v>9</v>
          </cell>
          <cell r="C103" t="str">
            <v>CARLOW MAYO, TOWNSHIP OF</v>
          </cell>
        </row>
        <row r="104">
          <cell r="A104">
            <v>510</v>
          </cell>
          <cell r="B104">
            <v>7</v>
          </cell>
          <cell r="C104" t="str">
            <v>SOUTH DUNDAS, TOWNSHIP OF</v>
          </cell>
        </row>
        <row r="105">
          <cell r="A105">
            <v>512</v>
          </cell>
          <cell r="B105">
            <v>9</v>
          </cell>
          <cell r="C105" t="str">
            <v>TAY VALLEY, TOWNSHIP OF</v>
          </cell>
        </row>
        <row r="106">
          <cell r="A106">
            <v>516</v>
          </cell>
          <cell r="B106">
            <v>9</v>
          </cell>
          <cell r="C106" t="str">
            <v>LANARK HIGHLANDS, TOWNSHIP OF</v>
          </cell>
        </row>
        <row r="107">
          <cell r="A107">
            <v>521</v>
          </cell>
          <cell r="B107">
            <v>9</v>
          </cell>
          <cell r="C107" t="str">
            <v>ADDINGTON HIGHLANDS, TOWNSHIP OF</v>
          </cell>
        </row>
        <row r="108">
          <cell r="A108">
            <v>522</v>
          </cell>
          <cell r="B108">
            <v>9</v>
          </cell>
          <cell r="C108" t="str">
            <v>ADMASTON/BROMLEY, TOWNSHIP OF</v>
          </cell>
        </row>
        <row r="109">
          <cell r="A109">
            <v>523</v>
          </cell>
          <cell r="B109">
            <v>9</v>
          </cell>
          <cell r="C109" t="str">
            <v>MINDEN HILLS, TOWNSHIP OF</v>
          </cell>
        </row>
        <row r="110">
          <cell r="A110">
            <v>524</v>
          </cell>
          <cell r="B110">
            <v>5</v>
          </cell>
          <cell r="C110" t="str">
            <v>Arnprior, Town of</v>
          </cell>
        </row>
        <row r="111">
          <cell r="A111">
            <v>527</v>
          </cell>
          <cell r="B111">
            <v>9</v>
          </cell>
          <cell r="C111" t="str">
            <v>GREATER MADAWASKA, TOWNSHIP OF</v>
          </cell>
        </row>
        <row r="112">
          <cell r="A112">
            <v>531</v>
          </cell>
          <cell r="B112">
            <v>7</v>
          </cell>
          <cell r="C112" t="str">
            <v>BRANT, COUNTY OF</v>
          </cell>
        </row>
        <row r="113">
          <cell r="A113">
            <v>537</v>
          </cell>
          <cell r="B113">
            <v>8</v>
          </cell>
          <cell r="C113" t="str">
            <v>CASEY, TOWNSHIP OF</v>
          </cell>
        </row>
        <row r="114">
          <cell r="A114">
            <v>543</v>
          </cell>
          <cell r="B114">
            <v>9</v>
          </cell>
          <cell r="C114" t="str">
            <v>ENNISKILLEN, TOWNSHIP OF</v>
          </cell>
        </row>
        <row r="115">
          <cell r="A115">
            <v>545</v>
          </cell>
          <cell r="B115">
            <v>8</v>
          </cell>
          <cell r="C115" t="str">
            <v>GILLIES, TOWNSHIP OF</v>
          </cell>
        </row>
        <row r="116">
          <cell r="A116">
            <v>547</v>
          </cell>
          <cell r="B116">
            <v>9</v>
          </cell>
          <cell r="C116" t="str">
            <v>BONNECHERE VALLEY, TOWNSHIP OF</v>
          </cell>
        </row>
        <row r="117">
          <cell r="A117">
            <v>550</v>
          </cell>
          <cell r="B117">
            <v>7</v>
          </cell>
          <cell r="C117" t="str">
            <v>HASTINGS HIGHLANDS, MUNICIPALITY OF</v>
          </cell>
        </row>
        <row r="118">
          <cell r="A118">
            <v>551</v>
          </cell>
          <cell r="B118">
            <v>7</v>
          </cell>
          <cell r="C118" t="str">
            <v>HORTON, TOWNSHIP OF</v>
          </cell>
        </row>
        <row r="119">
          <cell r="A119">
            <v>552</v>
          </cell>
          <cell r="B119">
            <v>9</v>
          </cell>
          <cell r="C119" t="str">
            <v>KILLALOE, HAGARTY, AND RICHARDS, TOWNSHIP OF</v>
          </cell>
        </row>
        <row r="120">
          <cell r="A120">
            <v>555</v>
          </cell>
          <cell r="B120">
            <v>7</v>
          </cell>
          <cell r="C120" t="str">
            <v>GREY HIGHLANDS, MUNICIPALITY OF</v>
          </cell>
        </row>
        <row r="121">
          <cell r="A121">
            <v>556</v>
          </cell>
          <cell r="B121">
            <v>7</v>
          </cell>
          <cell r="C121" t="str">
            <v>MCNAB-BRAESIDE, TOWNSHIP OF</v>
          </cell>
        </row>
        <row r="122">
          <cell r="A122">
            <v>558</v>
          </cell>
          <cell r="B122">
            <v>7</v>
          </cell>
          <cell r="C122" t="str">
            <v>SOUTHWEST MIDDLESEX, MUNICIPALITY OF</v>
          </cell>
        </row>
        <row r="123">
          <cell r="A123">
            <v>562</v>
          </cell>
          <cell r="B123">
            <v>6</v>
          </cell>
          <cell r="C123" t="str">
            <v>PRINCE, TOWNSHIP OF</v>
          </cell>
        </row>
        <row r="124">
          <cell r="A124">
            <v>565</v>
          </cell>
          <cell r="B124">
            <v>5</v>
          </cell>
          <cell r="C124" t="str">
            <v>RENFREW, TOWN OF</v>
          </cell>
        </row>
        <row r="125">
          <cell r="A125">
            <v>567</v>
          </cell>
          <cell r="B125">
            <v>9</v>
          </cell>
          <cell r="C125" t="str">
            <v>MADAWASKA VALLEY, TOWNSHIP OF</v>
          </cell>
        </row>
        <row r="126">
          <cell r="A126">
            <v>600</v>
          </cell>
          <cell r="B126">
            <v>7</v>
          </cell>
          <cell r="C126" t="str">
            <v>ALFRED AND PLANTAGENET, TOWNSHIP OF</v>
          </cell>
        </row>
        <row r="127">
          <cell r="A127">
            <v>601</v>
          </cell>
          <cell r="B127">
            <v>4</v>
          </cell>
          <cell r="C127" t="str">
            <v>KAWARTHA LAKES, CITY OF</v>
          </cell>
        </row>
        <row r="128">
          <cell r="A128">
            <v>602</v>
          </cell>
          <cell r="B128">
            <v>8</v>
          </cell>
          <cell r="C128" t="str">
            <v>CHIPPEWAS OF THE THAMES FIRST NATION</v>
          </cell>
        </row>
        <row r="129">
          <cell r="A129">
            <v>603</v>
          </cell>
          <cell r="B129">
            <v>6</v>
          </cell>
          <cell r="C129" t="str">
            <v>SABLES-SPANISH RIVERS, TOWNSHIP OF</v>
          </cell>
        </row>
        <row r="130">
          <cell r="A130">
            <v>604</v>
          </cell>
          <cell r="B130">
            <v>7</v>
          </cell>
          <cell r="C130" t="str">
            <v>WEST GREY, MUNICIPALITY OF</v>
          </cell>
        </row>
        <row r="131">
          <cell r="A131">
            <v>605</v>
          </cell>
          <cell r="B131">
            <v>8</v>
          </cell>
          <cell r="C131" t="str">
            <v>KERNS, TOWNSHIP OF</v>
          </cell>
        </row>
        <row r="132">
          <cell r="A132">
            <v>607</v>
          </cell>
          <cell r="B132">
            <v>8</v>
          </cell>
          <cell r="C132" t="str">
            <v>HUDSON, TOWNSHIP OF</v>
          </cell>
        </row>
        <row r="133">
          <cell r="A133">
            <v>610</v>
          </cell>
          <cell r="B133">
            <v>8</v>
          </cell>
          <cell r="C133" t="str">
            <v>NEEBING, MUNICIPALITY OF</v>
          </cell>
        </row>
        <row r="134">
          <cell r="A134">
            <v>611</v>
          </cell>
          <cell r="B134">
            <v>8</v>
          </cell>
          <cell r="C134" t="str">
            <v>CALVIN, MUNICIPALITY OF</v>
          </cell>
        </row>
        <row r="135">
          <cell r="A135">
            <v>612</v>
          </cell>
          <cell r="B135">
            <v>7</v>
          </cell>
          <cell r="C135" t="str">
            <v>SOUTHGATE, TOWNSHIP OF</v>
          </cell>
        </row>
        <row r="136">
          <cell r="A136">
            <v>613</v>
          </cell>
          <cell r="B136">
            <v>5</v>
          </cell>
          <cell r="C136" t="str">
            <v>MATTAWA, TOWN OF</v>
          </cell>
        </row>
        <row r="137">
          <cell r="A137">
            <v>616</v>
          </cell>
          <cell r="B137">
            <v>8</v>
          </cell>
          <cell r="C137" t="str">
            <v>PERRY, TOWNSHIP OF</v>
          </cell>
        </row>
        <row r="138">
          <cell r="A138">
            <v>618</v>
          </cell>
          <cell r="B138">
            <v>6</v>
          </cell>
          <cell r="C138" t="str">
            <v>BALDWIN, TOWNSHIP OF</v>
          </cell>
        </row>
        <row r="139">
          <cell r="A139">
            <v>620</v>
          </cell>
          <cell r="B139">
            <v>6</v>
          </cell>
          <cell r="C139" t="str">
            <v>BLIND RIVER, TOWN OF</v>
          </cell>
        </row>
        <row r="140">
          <cell r="A140">
            <v>622</v>
          </cell>
          <cell r="B140">
            <v>6</v>
          </cell>
          <cell r="C140" t="str">
            <v>CENTRAL MANITOULIN, TOWNSHIP OF</v>
          </cell>
        </row>
        <row r="141">
          <cell r="A141">
            <v>623</v>
          </cell>
          <cell r="B141">
            <v>6</v>
          </cell>
          <cell r="C141" t="str">
            <v>ESPANOLA, TOWN OF</v>
          </cell>
        </row>
        <row r="142">
          <cell r="A142">
            <v>626</v>
          </cell>
          <cell r="B142">
            <v>6</v>
          </cell>
          <cell r="C142" t="str">
            <v>NAIRN &amp; HYMAN, TOWNSHIP OF</v>
          </cell>
        </row>
        <row r="143">
          <cell r="A143">
            <v>627</v>
          </cell>
          <cell r="B143">
            <v>6</v>
          </cell>
          <cell r="C143" t="str">
            <v>NORTHEASTERN MANITOULIN &amp; ISLANDS, TOWN OF</v>
          </cell>
        </row>
        <row r="144">
          <cell r="A144">
            <v>629</v>
          </cell>
          <cell r="B144">
            <v>9</v>
          </cell>
          <cell r="C144" t="str">
            <v>CENTRAL FRONTENAC, TOWNSHIP OF</v>
          </cell>
        </row>
        <row r="145">
          <cell r="A145">
            <v>630</v>
          </cell>
          <cell r="B145">
            <v>9</v>
          </cell>
          <cell r="C145" t="str">
            <v>NORTH FRONTENAC, TOWNSHIP OF</v>
          </cell>
        </row>
        <row r="146">
          <cell r="A146">
            <v>634</v>
          </cell>
          <cell r="B146">
            <v>6</v>
          </cell>
          <cell r="C146" t="str">
            <v>Temiskaming Shores, City of</v>
          </cell>
        </row>
        <row r="147">
          <cell r="A147">
            <v>635</v>
          </cell>
          <cell r="B147">
            <v>7</v>
          </cell>
          <cell r="C147" t="str">
            <v>Burk's Falls, Village of</v>
          </cell>
        </row>
        <row r="148">
          <cell r="A148">
            <v>636</v>
          </cell>
          <cell r="B148">
            <v>6</v>
          </cell>
          <cell r="C148" t="str">
            <v>Goulais Local Service Board</v>
          </cell>
        </row>
        <row r="149">
          <cell r="A149">
            <v>637</v>
          </cell>
          <cell r="B149">
            <v>8</v>
          </cell>
          <cell r="C149" t="str">
            <v>Matachewan First Nation</v>
          </cell>
        </row>
        <row r="150">
          <cell r="A150">
            <v>638</v>
          </cell>
          <cell r="B150">
            <v>8</v>
          </cell>
          <cell r="C150" t="str">
            <v>Temagami First Nation</v>
          </cell>
        </row>
        <row r="151">
          <cell r="A151">
            <v>639</v>
          </cell>
          <cell r="B151">
            <v>8</v>
          </cell>
          <cell r="C151" t="str">
            <v>Moose Deer Point</v>
          </cell>
        </row>
        <row r="152">
          <cell r="A152">
            <v>692</v>
          </cell>
          <cell r="B152">
            <v>8</v>
          </cell>
          <cell r="C152" t="str">
            <v>NORTHEAST RECYCLING ASSOCIATION</v>
          </cell>
        </row>
        <row r="153">
          <cell r="A153">
            <v>693</v>
          </cell>
          <cell r="B153">
            <v>7</v>
          </cell>
          <cell r="C153" t="str">
            <v>AKWESASNE, MOHAWK COUNCIL OF</v>
          </cell>
        </row>
        <row r="154">
          <cell r="A154">
            <v>694</v>
          </cell>
          <cell r="B154">
            <v>6</v>
          </cell>
          <cell r="C154" t="str">
            <v>WAHNAPITAE FIRST NATION</v>
          </cell>
        </row>
        <row r="155">
          <cell r="A155">
            <v>695</v>
          </cell>
          <cell r="B155">
            <v>9</v>
          </cell>
          <cell r="C155" t="str">
            <v>CHIPPEWAS OF KETTLE AND STONY POINT FIRST NATIONS</v>
          </cell>
        </row>
        <row r="156">
          <cell r="A156">
            <v>696</v>
          </cell>
          <cell r="B156">
            <v>5</v>
          </cell>
          <cell r="C156" t="str">
            <v>PETROLIA, TOWN OF</v>
          </cell>
        </row>
        <row r="157">
          <cell r="A157">
            <v>697</v>
          </cell>
          <cell r="B157">
            <v>6</v>
          </cell>
          <cell r="C157" t="str">
            <v>SAULT NORTH WASTE MANAGEMENT COUNCIL</v>
          </cell>
        </row>
        <row r="158">
          <cell r="A158">
            <v>699</v>
          </cell>
          <cell r="B158">
            <v>6</v>
          </cell>
          <cell r="C158" t="str">
            <v>FORT WILLIAM, FIRST NATION</v>
          </cell>
        </row>
        <row r="159">
          <cell r="A159">
            <v>706</v>
          </cell>
          <cell r="B159">
            <v>8</v>
          </cell>
          <cell r="C159" t="str">
            <v>ARMSTRONG, TOWNSHIP OF</v>
          </cell>
        </row>
        <row r="160">
          <cell r="A160">
            <v>709</v>
          </cell>
          <cell r="B160">
            <v>8</v>
          </cell>
          <cell r="C160" t="str">
            <v>ASSIGINACK,  TOWNSHIP OF</v>
          </cell>
        </row>
        <row r="161">
          <cell r="A161">
            <v>710</v>
          </cell>
          <cell r="B161">
            <v>6</v>
          </cell>
          <cell r="C161" t="str">
            <v>ATIKOKAN, TOWNSHIP OF</v>
          </cell>
        </row>
        <row r="162">
          <cell r="A162">
            <v>711</v>
          </cell>
          <cell r="B162">
            <v>7</v>
          </cell>
          <cell r="C162" t="str">
            <v>BANCROFT, TOWN OF</v>
          </cell>
        </row>
        <row r="163">
          <cell r="A163">
            <v>712</v>
          </cell>
          <cell r="B163">
            <v>7</v>
          </cell>
          <cell r="C163" t="str">
            <v>BECKWITH, TOWNSHIP OF</v>
          </cell>
        </row>
        <row r="164">
          <cell r="A164">
            <v>714</v>
          </cell>
          <cell r="B164">
            <v>8</v>
          </cell>
          <cell r="C164" t="str">
            <v>BILLINGS, TOWNSHIP OF</v>
          </cell>
        </row>
        <row r="165">
          <cell r="A165">
            <v>715</v>
          </cell>
          <cell r="B165">
            <v>6</v>
          </cell>
          <cell r="C165" t="str">
            <v>BLACK RIVER-MATHESON,  TOWNSHIP OF</v>
          </cell>
        </row>
        <row r="166">
          <cell r="A166">
            <v>718</v>
          </cell>
          <cell r="B166">
            <v>7</v>
          </cell>
          <cell r="C166" t="str">
            <v>MISSISSAUGAS OF THE NEW CREDIT FIRST NATION</v>
          </cell>
        </row>
        <row r="167">
          <cell r="A167">
            <v>731</v>
          </cell>
          <cell r="B167">
            <v>5</v>
          </cell>
          <cell r="C167" t="str">
            <v>CARLETON PLACE, TOWN OF</v>
          </cell>
        </row>
        <row r="168">
          <cell r="A168">
            <v>732</v>
          </cell>
          <cell r="B168">
            <v>5</v>
          </cell>
          <cell r="C168" t="str">
            <v>CASSELMAN,  VILLAGE OF</v>
          </cell>
        </row>
        <row r="169">
          <cell r="A169">
            <v>736</v>
          </cell>
          <cell r="B169">
            <v>7</v>
          </cell>
          <cell r="C169" t="str">
            <v>LAURENTIAN HILLS, TOWN OF</v>
          </cell>
        </row>
        <row r="170">
          <cell r="A170">
            <v>743</v>
          </cell>
          <cell r="B170">
            <v>6</v>
          </cell>
          <cell r="C170" t="str">
            <v>COBALT, TOWN OF</v>
          </cell>
        </row>
        <row r="171">
          <cell r="A171">
            <v>747</v>
          </cell>
          <cell r="B171">
            <v>6</v>
          </cell>
          <cell r="C171" t="str">
            <v>COLEMAN,  TOWNSHIP OF</v>
          </cell>
        </row>
        <row r="172">
          <cell r="A172">
            <v>749</v>
          </cell>
          <cell r="B172">
            <v>8</v>
          </cell>
          <cell r="C172" t="str">
            <v>CONMEE,  TOWNSHIP OF</v>
          </cell>
        </row>
        <row r="173">
          <cell r="A173">
            <v>754</v>
          </cell>
          <cell r="B173">
            <v>5</v>
          </cell>
          <cell r="C173" t="str">
            <v>DESERONTO, TOWN OF</v>
          </cell>
        </row>
        <row r="174">
          <cell r="A174">
            <v>757</v>
          </cell>
          <cell r="B174">
            <v>7</v>
          </cell>
          <cell r="C174" t="str">
            <v>DRUMMOND-NORTH ELMSLEY, TOWNSHIP OF</v>
          </cell>
        </row>
        <row r="175">
          <cell r="A175">
            <v>758</v>
          </cell>
          <cell r="B175">
            <v>6</v>
          </cell>
          <cell r="C175" t="str">
            <v>DRYDEN, CITY OF</v>
          </cell>
        </row>
        <row r="176">
          <cell r="A176">
            <v>760</v>
          </cell>
          <cell r="B176">
            <v>4</v>
          </cell>
          <cell r="C176" t="str">
            <v>DUFFERIN, COUNTY OF</v>
          </cell>
        </row>
        <row r="177">
          <cell r="A177">
            <v>764</v>
          </cell>
          <cell r="B177">
            <v>8</v>
          </cell>
          <cell r="C177" t="str">
            <v>EMO, TOWNSHIP OF</v>
          </cell>
        </row>
        <row r="178">
          <cell r="A178">
            <v>765</v>
          </cell>
          <cell r="B178">
            <v>6</v>
          </cell>
          <cell r="C178" t="str">
            <v>ENGLEHART, TOWN OF</v>
          </cell>
        </row>
        <row r="179">
          <cell r="A179">
            <v>770</v>
          </cell>
          <cell r="B179">
            <v>6</v>
          </cell>
          <cell r="C179" t="str">
            <v>EVANTUREL, TOWNSHIP OF</v>
          </cell>
        </row>
        <row r="180">
          <cell r="A180">
            <v>771</v>
          </cell>
          <cell r="B180">
            <v>9</v>
          </cell>
          <cell r="C180" t="str">
            <v>FARADAY, TOWNSHIP OF</v>
          </cell>
        </row>
        <row r="181">
          <cell r="A181">
            <v>774</v>
          </cell>
          <cell r="B181">
            <v>6</v>
          </cell>
          <cell r="C181" t="str">
            <v>FORT FRANCES, TOWN OF</v>
          </cell>
        </row>
        <row r="182">
          <cell r="A182">
            <v>775</v>
          </cell>
          <cell r="B182">
            <v>8</v>
          </cell>
          <cell r="C182" t="str">
            <v>FRENCH RIVER, MUNICIPALITY OF</v>
          </cell>
        </row>
        <row r="183">
          <cell r="A183">
            <v>786</v>
          </cell>
          <cell r="B183">
            <v>7</v>
          </cell>
          <cell r="C183" t="str">
            <v>HALDIMAND, COUNTY OF</v>
          </cell>
        </row>
        <row r="184">
          <cell r="A184">
            <v>790</v>
          </cell>
          <cell r="B184">
            <v>8</v>
          </cell>
          <cell r="C184" t="str">
            <v>HARLEY, TOWNSHIP OF</v>
          </cell>
        </row>
        <row r="185">
          <cell r="A185">
            <v>794</v>
          </cell>
          <cell r="B185">
            <v>6</v>
          </cell>
          <cell r="C185" t="str">
            <v>HEAD, CLARA AND MARIA, TOWNSHIPS OF</v>
          </cell>
        </row>
        <row r="186">
          <cell r="A186">
            <v>795</v>
          </cell>
          <cell r="B186">
            <v>8</v>
          </cell>
          <cell r="C186" t="str">
            <v>HEARST</v>
          </cell>
        </row>
        <row r="187">
          <cell r="A187">
            <v>796</v>
          </cell>
          <cell r="B187">
            <v>8</v>
          </cell>
          <cell r="C187" t="str">
            <v>HILLIARD,  TOWNSHIP OF</v>
          </cell>
        </row>
        <row r="188">
          <cell r="A188">
            <v>797</v>
          </cell>
          <cell r="B188">
            <v>8</v>
          </cell>
          <cell r="C188" t="str">
            <v>HILTON BEACH,  VILLAGE OF</v>
          </cell>
        </row>
        <row r="189">
          <cell r="A189">
            <v>801</v>
          </cell>
          <cell r="B189">
            <v>8</v>
          </cell>
          <cell r="C189" t="str">
            <v>HURON SHORES,  MUNICIPALITY OF</v>
          </cell>
        </row>
        <row r="190">
          <cell r="A190">
            <v>806</v>
          </cell>
          <cell r="B190">
            <v>6</v>
          </cell>
          <cell r="C190" t="str">
            <v>JAMES, TOWNSHIP OF</v>
          </cell>
        </row>
        <row r="191">
          <cell r="A191">
            <v>807</v>
          </cell>
          <cell r="B191">
            <v>8</v>
          </cell>
          <cell r="C191" t="str">
            <v>JOHNSON,  TOWNSHIP OF</v>
          </cell>
        </row>
        <row r="192">
          <cell r="A192">
            <v>809</v>
          </cell>
          <cell r="B192">
            <v>8</v>
          </cell>
          <cell r="C192" t="str">
            <v>KAPUSKASING, TOWN OF</v>
          </cell>
        </row>
        <row r="193">
          <cell r="A193">
            <v>810</v>
          </cell>
          <cell r="B193">
            <v>8</v>
          </cell>
          <cell r="C193" t="str">
            <v>KEARNEY, TOWN OF</v>
          </cell>
        </row>
        <row r="194">
          <cell r="A194">
            <v>811</v>
          </cell>
          <cell r="B194">
            <v>6</v>
          </cell>
          <cell r="C194" t="str">
            <v>KENORA, CITY OF</v>
          </cell>
        </row>
        <row r="195">
          <cell r="A195">
            <v>812</v>
          </cell>
          <cell r="B195">
            <v>8</v>
          </cell>
          <cell r="C195" t="str">
            <v>KILLARNEY, MUNICIPALITY OF</v>
          </cell>
        </row>
        <row r="196">
          <cell r="A196">
            <v>818</v>
          </cell>
          <cell r="B196">
            <v>8</v>
          </cell>
          <cell r="C196" t="str">
            <v>LAIRD, TOWNSHIP OF</v>
          </cell>
        </row>
        <row r="197">
          <cell r="A197">
            <v>824</v>
          </cell>
          <cell r="B197">
            <v>6</v>
          </cell>
          <cell r="C197" t="str">
            <v>LARDER LAKE,  TOWNSHIP OF</v>
          </cell>
        </row>
        <row r="198">
          <cell r="A198">
            <v>826</v>
          </cell>
          <cell r="B198">
            <v>6</v>
          </cell>
          <cell r="C198" t="str">
            <v>LATCHFORD, TOWN OF</v>
          </cell>
        </row>
        <row r="199">
          <cell r="A199">
            <v>830</v>
          </cell>
          <cell r="B199">
            <v>9</v>
          </cell>
          <cell r="C199" t="str">
            <v>Limerick, Township of</v>
          </cell>
        </row>
        <row r="200">
          <cell r="A200">
            <v>833</v>
          </cell>
          <cell r="B200">
            <v>8</v>
          </cell>
          <cell r="C200" t="str">
            <v>MACDONALD, MEREDITH &amp; ABERDEEN ADDITIONAL, TOWNSHIP OF</v>
          </cell>
        </row>
        <row r="201">
          <cell r="A201">
            <v>834</v>
          </cell>
          <cell r="B201">
            <v>8</v>
          </cell>
          <cell r="C201" t="str">
            <v>MACHAR, TOWNSHIP OF</v>
          </cell>
        </row>
        <row r="202">
          <cell r="A202">
            <v>837</v>
          </cell>
          <cell r="B202">
            <v>8</v>
          </cell>
          <cell r="C202" t="str">
            <v>MAGNETAWAN, MUNICIPALITY OF</v>
          </cell>
        </row>
        <row r="203">
          <cell r="A203">
            <v>840</v>
          </cell>
          <cell r="B203">
            <v>6</v>
          </cell>
          <cell r="C203" t="str">
            <v>MARATHON,  TOWN OF</v>
          </cell>
        </row>
        <row r="204">
          <cell r="A204">
            <v>843</v>
          </cell>
          <cell r="B204">
            <v>6</v>
          </cell>
          <cell r="C204" t="str">
            <v xml:space="preserve">Matachewan, The Corporation of the Township of </v>
          </cell>
        </row>
        <row r="205">
          <cell r="A205">
            <v>845</v>
          </cell>
          <cell r="B205">
            <v>8</v>
          </cell>
          <cell r="C205" t="str">
            <v>MATTICE-VAL COTE</v>
          </cell>
        </row>
        <row r="206">
          <cell r="A206">
            <v>846</v>
          </cell>
          <cell r="B206">
            <v>6</v>
          </cell>
          <cell r="C206" t="str">
            <v>MCGARRY, TOWNSHIP OF</v>
          </cell>
        </row>
        <row r="207">
          <cell r="A207">
            <v>847</v>
          </cell>
          <cell r="B207">
            <v>8</v>
          </cell>
          <cell r="C207" t="str">
            <v>MCMURRICH/MONTEITH, TOWNSHIP OF</v>
          </cell>
        </row>
        <row r="208">
          <cell r="A208">
            <v>854</v>
          </cell>
          <cell r="B208">
            <v>7</v>
          </cell>
          <cell r="C208" t="str">
            <v>MISSISSIPPI MILLS, TOWN OF</v>
          </cell>
        </row>
        <row r="209">
          <cell r="A209">
            <v>855</v>
          </cell>
          <cell r="B209">
            <v>7</v>
          </cell>
          <cell r="C209" t="str">
            <v>MONTAGUE, TOWNSHIP OF</v>
          </cell>
        </row>
        <row r="210">
          <cell r="A210">
            <v>862</v>
          </cell>
          <cell r="B210">
            <v>7</v>
          </cell>
          <cell r="C210" t="str">
            <v>NEWBURY,  VILLAGE OF</v>
          </cell>
        </row>
        <row r="211">
          <cell r="A211">
            <v>866</v>
          </cell>
          <cell r="B211">
            <v>8</v>
          </cell>
          <cell r="C211" t="str">
            <v>NIPISSING, TOWNSHIP OF</v>
          </cell>
        </row>
        <row r="212">
          <cell r="A212">
            <v>871</v>
          </cell>
          <cell r="B212">
            <v>8</v>
          </cell>
          <cell r="C212" t="str">
            <v>OCONNOR,  TOWNSHIP OF</v>
          </cell>
        </row>
        <row r="213">
          <cell r="A213">
            <v>873</v>
          </cell>
          <cell r="B213">
            <v>8</v>
          </cell>
          <cell r="C213" t="str">
            <v>OLIVER PAIPOONGE,  MUNICIPALITY OF</v>
          </cell>
        </row>
        <row r="214">
          <cell r="A214">
            <v>878</v>
          </cell>
          <cell r="B214">
            <v>4</v>
          </cell>
          <cell r="C214" t="str">
            <v>OXFORD,  RESTRUCTURED COUNTY OF</v>
          </cell>
        </row>
        <row r="215">
          <cell r="A215">
            <v>885</v>
          </cell>
          <cell r="B215">
            <v>5</v>
          </cell>
          <cell r="C215" t="str">
            <v>PERTH, TOWN OF</v>
          </cell>
        </row>
        <row r="216">
          <cell r="A216">
            <v>888</v>
          </cell>
          <cell r="B216">
            <v>6</v>
          </cell>
          <cell r="C216" t="str">
            <v>TRI-NEIGHBOURS</v>
          </cell>
        </row>
        <row r="217">
          <cell r="A217">
            <v>889</v>
          </cell>
          <cell r="B217">
            <v>6</v>
          </cell>
          <cell r="C217" t="str">
            <v>PAPINEAU-CAMERON, TOWNSHIP OF</v>
          </cell>
        </row>
        <row r="218">
          <cell r="A218">
            <v>891</v>
          </cell>
          <cell r="B218">
            <v>6</v>
          </cell>
          <cell r="C218" t="str">
            <v>POWASSAN, MUNICIPALITY OF</v>
          </cell>
        </row>
        <row r="219">
          <cell r="A219">
            <v>895</v>
          </cell>
          <cell r="B219">
            <v>8</v>
          </cell>
          <cell r="C219" t="str">
            <v>RAINY RIVER, TOWN OF</v>
          </cell>
        </row>
        <row r="220">
          <cell r="A220">
            <v>897</v>
          </cell>
          <cell r="B220">
            <v>8</v>
          </cell>
          <cell r="C220" t="str">
            <v>RED LAKE, MUNICIPALITY OF</v>
          </cell>
        </row>
        <row r="221">
          <cell r="A221">
            <v>904</v>
          </cell>
          <cell r="B221">
            <v>6</v>
          </cell>
          <cell r="C221" t="str">
            <v>SPANISH, TOWN OF</v>
          </cell>
        </row>
        <row r="222">
          <cell r="A222">
            <v>905</v>
          </cell>
          <cell r="B222">
            <v>8</v>
          </cell>
          <cell r="C222" t="str">
            <v>SHUNIAH, MUNICIPALITY OF</v>
          </cell>
        </row>
        <row r="223">
          <cell r="A223">
            <v>906</v>
          </cell>
          <cell r="B223">
            <v>6</v>
          </cell>
          <cell r="C223" t="str">
            <v>SIOUX LOOKOUT, THE CORPORATION OF THE MUNICIPALITY OF</v>
          </cell>
        </row>
        <row r="224">
          <cell r="A224">
            <v>907</v>
          </cell>
          <cell r="B224">
            <v>8</v>
          </cell>
          <cell r="C224" t="str">
            <v>SIOUX NARROWS NESTOR FALLS, TOWNSHIP OF</v>
          </cell>
        </row>
        <row r="225">
          <cell r="A225">
            <v>909</v>
          </cell>
          <cell r="B225">
            <v>5</v>
          </cell>
          <cell r="C225" t="str">
            <v>SMITHS FALLS, TOWN OF</v>
          </cell>
        </row>
        <row r="226">
          <cell r="A226">
            <v>914</v>
          </cell>
          <cell r="B226">
            <v>8</v>
          </cell>
          <cell r="C226" t="str">
            <v>SOUTH RIVER, VILLAGE OF</v>
          </cell>
        </row>
        <row r="227">
          <cell r="A227">
            <v>917</v>
          </cell>
          <cell r="B227">
            <v>6</v>
          </cell>
          <cell r="C227" t="str">
            <v>ST. CHARLES, MUNICIPALITY OF</v>
          </cell>
        </row>
        <row r="228">
          <cell r="A228">
            <v>918</v>
          </cell>
          <cell r="B228">
            <v>8</v>
          </cell>
          <cell r="C228" t="str">
            <v>ST. JOSEPH, TOWNSHIP OF</v>
          </cell>
        </row>
        <row r="229">
          <cell r="A229">
            <v>922</v>
          </cell>
          <cell r="B229">
            <v>8</v>
          </cell>
          <cell r="C229" t="str">
            <v>STRONG, TOWNSHIP OF</v>
          </cell>
        </row>
        <row r="230">
          <cell r="A230">
            <v>923</v>
          </cell>
          <cell r="B230">
            <v>5</v>
          </cell>
          <cell r="C230" t="str">
            <v>SUNDRIDGE, VILLAGE OF</v>
          </cell>
        </row>
        <row r="231">
          <cell r="A231">
            <v>924</v>
          </cell>
          <cell r="B231">
            <v>8</v>
          </cell>
          <cell r="C231" t="str">
            <v>TARBUTT &amp; TARBUTT ADDITIONAL, TOWNSHIP OF</v>
          </cell>
        </row>
        <row r="232">
          <cell r="A232">
            <v>929</v>
          </cell>
          <cell r="B232">
            <v>8</v>
          </cell>
          <cell r="C232" t="str">
            <v>TERRACE BAY, TOWNSHIP OF</v>
          </cell>
        </row>
        <row r="233">
          <cell r="A233">
            <v>936</v>
          </cell>
          <cell r="B233">
            <v>9</v>
          </cell>
          <cell r="C233" t="str">
            <v>TUDOR &amp; CASHEL, TOWNSHIP OF</v>
          </cell>
        </row>
        <row r="234">
          <cell r="A234">
            <v>952</v>
          </cell>
          <cell r="B234">
            <v>9</v>
          </cell>
          <cell r="C234" t="str">
            <v>WOLLASTON, TOWNSHIP OF</v>
          </cell>
        </row>
        <row r="235">
          <cell r="A235">
            <v>955</v>
          </cell>
          <cell r="B235">
            <v>8</v>
          </cell>
          <cell r="C235" t="str">
            <v>BONFIELD, TOWNSHIP OF</v>
          </cell>
        </row>
        <row r="236">
          <cell r="A236">
            <v>957</v>
          </cell>
          <cell r="B236">
            <v>6</v>
          </cell>
          <cell r="C236" t="str">
            <v>CHISHOLM, TOWNSHIP OF</v>
          </cell>
        </row>
        <row r="237">
          <cell r="A237">
            <v>958</v>
          </cell>
          <cell r="B237">
            <v>7</v>
          </cell>
          <cell r="C237" t="str">
            <v>DEEP RIVER, TOWN OF</v>
          </cell>
        </row>
        <row r="238">
          <cell r="A238">
            <v>959</v>
          </cell>
          <cell r="B238">
            <v>6</v>
          </cell>
          <cell r="C238" t="str">
            <v>EAST FERRIS, MUNICIPALITY OF</v>
          </cell>
        </row>
        <row r="239">
          <cell r="A239">
            <v>967</v>
          </cell>
          <cell r="B239">
            <v>7</v>
          </cell>
          <cell r="C239" t="str">
            <v>MOHAWKS OF THE BAY OF QUINTE</v>
          </cell>
        </row>
        <row r="240">
          <cell r="A240">
            <v>969</v>
          </cell>
          <cell r="B240">
            <v>6</v>
          </cell>
          <cell r="C240" t="str">
            <v>RAINY RIVER FIRST NATIONS</v>
          </cell>
        </row>
        <row r="241">
          <cell r="A241">
            <v>970</v>
          </cell>
          <cell r="B241">
            <v>6</v>
          </cell>
          <cell r="C241" t="str">
            <v>CALLANDER, MUNICIPALITY OF</v>
          </cell>
        </row>
        <row r="242">
          <cell r="A242">
            <v>971</v>
          </cell>
          <cell r="B242">
            <v>7</v>
          </cell>
          <cell r="C242" t="str">
            <v>LOYALIST, TOWNSHIP OF</v>
          </cell>
        </row>
        <row r="243">
          <cell r="A243">
            <v>973</v>
          </cell>
          <cell r="B243">
            <v>8</v>
          </cell>
          <cell r="C243" t="str">
            <v>CHARLTON AND DACK, MUNICIPALITY OF</v>
          </cell>
        </row>
        <row r="244">
          <cell r="A244">
            <v>974</v>
          </cell>
          <cell r="B244">
            <v>8</v>
          </cell>
          <cell r="C244" t="str">
            <v>SERPENT RIVER FIRST NATIONS</v>
          </cell>
        </row>
        <row r="245">
          <cell r="A245">
            <v>975</v>
          </cell>
          <cell r="B245">
            <v>7</v>
          </cell>
          <cell r="C245" t="str">
            <v>ALGONQUINS OF PIKWAKANAGAN</v>
          </cell>
        </row>
        <row r="246">
          <cell r="A246">
            <v>976</v>
          </cell>
          <cell r="B246">
            <v>7</v>
          </cell>
          <cell r="C246" t="str">
            <v>CHIPPEWAS OF NAWASH FIRST NATION</v>
          </cell>
        </row>
        <row r="247">
          <cell r="A247">
            <v>977</v>
          </cell>
          <cell r="B247">
            <v>7</v>
          </cell>
          <cell r="C247" t="str">
            <v>ALDERVILLE FIRST NATION</v>
          </cell>
        </row>
        <row r="248">
          <cell r="A248">
            <v>978</v>
          </cell>
          <cell r="B248">
            <v>8</v>
          </cell>
          <cell r="C248" t="str">
            <v>SAGAMOK ANISHNAWBEK FIRST NATION</v>
          </cell>
        </row>
        <row r="249">
          <cell r="A249">
            <v>979</v>
          </cell>
          <cell r="B249">
            <v>7</v>
          </cell>
          <cell r="C249" t="str">
            <v>CHIPPEWAS OF GEORGINA ISLAND</v>
          </cell>
        </row>
        <row r="250">
          <cell r="A250">
            <v>980</v>
          </cell>
          <cell r="B250">
            <v>6</v>
          </cell>
          <cell r="C250" t="str">
            <v>ATIKAMEKSHENG ANISHNAWBEK FIRST NATION</v>
          </cell>
        </row>
        <row r="251">
          <cell r="A251">
            <v>981</v>
          </cell>
          <cell r="B251">
            <v>7</v>
          </cell>
          <cell r="C251" t="str">
            <v>CHIPPEWAS OF RAMA FIRST NATION</v>
          </cell>
        </row>
        <row r="252">
          <cell r="A252">
            <v>982</v>
          </cell>
          <cell r="B252">
            <v>9</v>
          </cell>
          <cell r="C252" t="str">
            <v>WALPOLE ISLAND FIRST NATION</v>
          </cell>
        </row>
        <row r="253">
          <cell r="A253">
            <v>983</v>
          </cell>
          <cell r="B253">
            <v>7</v>
          </cell>
          <cell r="C253" t="str">
            <v>CURVE LAKE FIRST NATION</v>
          </cell>
        </row>
        <row r="254">
          <cell r="A254">
            <v>985</v>
          </cell>
          <cell r="B254">
            <v>8</v>
          </cell>
          <cell r="C254" t="str">
            <v>WIKWEMIKONG UNCEDED INDIAN RESERVE</v>
          </cell>
        </row>
        <row r="255">
          <cell r="A255">
            <v>986</v>
          </cell>
          <cell r="B255">
            <v>6</v>
          </cell>
          <cell r="C255" t="str">
            <v>BATCHEWANA FIRST NATIONS OJIBWAYS</v>
          </cell>
        </row>
        <row r="256">
          <cell r="A256">
            <v>987</v>
          </cell>
          <cell r="B256">
            <v>9</v>
          </cell>
          <cell r="C256" t="str">
            <v>SIX NATIONS</v>
          </cell>
        </row>
        <row r="257">
          <cell r="A257">
            <v>988</v>
          </cell>
          <cell r="B257">
            <v>6</v>
          </cell>
          <cell r="C257" t="str">
            <v>NIPISSING FIRST NATION</v>
          </cell>
        </row>
        <row r="258">
          <cell r="A258">
            <v>989</v>
          </cell>
          <cell r="B258">
            <v>6</v>
          </cell>
          <cell r="C258" t="str">
            <v>COCHRANE, Corporation of the Town of</v>
          </cell>
        </row>
        <row r="259">
          <cell r="A259">
            <v>998</v>
          </cell>
          <cell r="B259">
            <v>9</v>
          </cell>
          <cell r="C259" t="str">
            <v>Beausoleil First Nation</v>
          </cell>
        </row>
        <row r="260">
          <cell r="A260">
            <v>982</v>
          </cell>
          <cell r="B260">
            <v>9</v>
          </cell>
          <cell r="C260" t="str">
            <v>WALPOLE ISLAND FIRST NATION</v>
          </cell>
        </row>
        <row r="261">
          <cell r="A261">
            <v>983</v>
          </cell>
          <cell r="B261">
            <v>7</v>
          </cell>
          <cell r="C261" t="str">
            <v>CURVE LAKE FIRST NATION</v>
          </cell>
        </row>
        <row r="262">
          <cell r="A262">
            <v>985</v>
          </cell>
          <cell r="B262">
            <v>8</v>
          </cell>
          <cell r="C262" t="str">
            <v>WIKWEMIKONG UNCEDED INDIAN RESERVE</v>
          </cell>
        </row>
        <row r="263">
          <cell r="A263">
            <v>986</v>
          </cell>
          <cell r="B263">
            <v>6</v>
          </cell>
          <cell r="C263" t="str">
            <v>BATCHEWANA FIRST NATIONS OJIBWAYS</v>
          </cell>
        </row>
        <row r="264">
          <cell r="A264">
            <v>987</v>
          </cell>
          <cell r="B264">
            <v>9</v>
          </cell>
          <cell r="C264" t="str">
            <v>SIX NATIONS</v>
          </cell>
        </row>
        <row r="265">
          <cell r="A265">
            <v>988</v>
          </cell>
          <cell r="B265">
            <v>6</v>
          </cell>
          <cell r="C265" t="str">
            <v>NIPISSING FIRST NATION</v>
          </cell>
        </row>
        <row r="266">
          <cell r="A266">
            <v>989</v>
          </cell>
          <cell r="B266">
            <v>6</v>
          </cell>
          <cell r="C266" t="str">
            <v>COCHRANE, Corporation of the Town of</v>
          </cell>
        </row>
        <row r="267">
          <cell r="A267">
            <v>990</v>
          </cell>
          <cell r="B267">
            <v>8</v>
          </cell>
          <cell r="C267" t="str">
            <v>Minaki Recycling Corporation</v>
          </cell>
        </row>
        <row r="268">
          <cell r="A268">
            <v>998</v>
          </cell>
          <cell r="B268">
            <v>9</v>
          </cell>
          <cell r="C268" t="str">
            <v>Beausoleil First Nation</v>
          </cell>
        </row>
        <row r="269">
          <cell r="A269">
            <v>999</v>
          </cell>
          <cell r="B269">
            <v>999</v>
          </cell>
          <cell r="C269" t="str">
            <v>Test User</v>
          </cell>
        </row>
        <row r="270">
          <cell r="A270">
            <v>5001</v>
          </cell>
          <cell r="B270">
            <v>5001</v>
          </cell>
          <cell r="C270" t="str">
            <v>RPRA</v>
          </cell>
        </row>
        <row r="271">
          <cell r="A271">
            <v>5002</v>
          </cell>
          <cell r="B271">
            <v>5002</v>
          </cell>
          <cell r="C271" t="str">
            <v>Training</v>
          </cell>
        </row>
        <row r="272">
          <cell r="A272">
            <v>5003</v>
          </cell>
          <cell r="B272">
            <v>5003</v>
          </cell>
          <cell r="C272" t="str">
            <v>TEST USER</v>
          </cell>
        </row>
      </sheetData>
      <sheetData sheetId="1"/>
      <sheetData sheetId="2"/>
      <sheetData sheetId="3"/>
      <sheetData sheetId="4"/>
      <sheetData sheetId="5">
        <row r="5">
          <cell r="B5">
            <v>1</v>
          </cell>
          <cell r="S5">
            <v>9766397.1899999995</v>
          </cell>
          <cell r="T5">
            <v>568925.55000000005</v>
          </cell>
        </row>
        <row r="6">
          <cell r="B6">
            <v>20</v>
          </cell>
          <cell r="S6">
            <v>72113420.859999999</v>
          </cell>
          <cell r="T6">
            <v>10663964.02</v>
          </cell>
        </row>
        <row r="7">
          <cell r="B7">
            <v>50</v>
          </cell>
          <cell r="S7">
            <v>10267643.390000001</v>
          </cell>
          <cell r="T7">
            <v>3253400.57</v>
          </cell>
        </row>
        <row r="8">
          <cell r="B8">
            <v>97</v>
          </cell>
          <cell r="S8">
            <v>29681294.399999999</v>
          </cell>
          <cell r="T8">
            <v>5193562.6999999993</v>
          </cell>
        </row>
        <row r="9">
          <cell r="B9">
            <v>172</v>
          </cell>
          <cell r="S9">
            <v>15497137.449999999</v>
          </cell>
          <cell r="T9">
            <v>3445193.7500000005</v>
          </cell>
        </row>
        <row r="10">
          <cell r="B10">
            <v>270</v>
          </cell>
          <cell r="S10">
            <v>36853205.850000001</v>
          </cell>
          <cell r="T10">
            <v>6800569.6699999999</v>
          </cell>
        </row>
        <row r="11">
          <cell r="B11">
            <v>6</v>
          </cell>
          <cell r="S11">
            <v>19454497.760000002</v>
          </cell>
          <cell r="T11">
            <v>4664058.9000000004</v>
          </cell>
        </row>
        <row r="12">
          <cell r="B12">
            <v>18</v>
          </cell>
          <cell r="S12">
            <v>8164283.8399999999</v>
          </cell>
          <cell r="T12">
            <v>3204604.9</v>
          </cell>
        </row>
        <row r="13">
          <cell r="B13">
            <v>53</v>
          </cell>
          <cell r="S13">
            <v>11201363.85</v>
          </cell>
          <cell r="T13">
            <v>3914991.95</v>
          </cell>
        </row>
        <row r="14">
          <cell r="B14">
            <v>335</v>
          </cell>
          <cell r="S14">
            <v>10253567.189999999</v>
          </cell>
          <cell r="T14">
            <v>3115651.2</v>
          </cell>
        </row>
        <row r="15">
          <cell r="B15">
            <v>357</v>
          </cell>
          <cell r="S15">
            <v>12842982.59</v>
          </cell>
          <cell r="T15">
            <v>4901152.2100000009</v>
          </cell>
        </row>
        <row r="16">
          <cell r="B16">
            <v>441</v>
          </cell>
          <cell r="S16">
            <v>19699847.25</v>
          </cell>
          <cell r="T16">
            <v>8176719.9399999995</v>
          </cell>
        </row>
        <row r="17">
          <cell r="B17">
            <v>14</v>
          </cell>
          <cell r="S17">
            <v>2597615.2599999998</v>
          </cell>
          <cell r="T17">
            <v>261823.18</v>
          </cell>
        </row>
        <row r="18">
          <cell r="B18">
            <v>36</v>
          </cell>
          <cell r="S18">
            <v>6197835.3200000003</v>
          </cell>
          <cell r="T18">
            <v>874483.81000000017</v>
          </cell>
        </row>
        <row r="19">
          <cell r="B19">
            <v>55</v>
          </cell>
          <cell r="S19">
            <v>1492885.07</v>
          </cell>
          <cell r="T19">
            <v>67559.319999999992</v>
          </cell>
        </row>
        <row r="20">
          <cell r="B20">
            <v>103</v>
          </cell>
          <cell r="S20">
            <v>1485991.22</v>
          </cell>
          <cell r="T20">
            <v>554001.79</v>
          </cell>
        </row>
        <row r="21">
          <cell r="B21">
            <v>123</v>
          </cell>
          <cell r="S21">
            <v>1284089.29</v>
          </cell>
          <cell r="T21">
            <v>0</v>
          </cell>
        </row>
        <row r="22">
          <cell r="B22">
            <v>179</v>
          </cell>
          <cell r="S22">
            <v>2468879.0699999998</v>
          </cell>
          <cell r="T22">
            <v>713319.58000000007</v>
          </cell>
        </row>
        <row r="23">
          <cell r="B23">
            <v>293</v>
          </cell>
          <cell r="S23">
            <v>2370064.7599999998</v>
          </cell>
          <cell r="T23">
            <v>992904.63</v>
          </cell>
        </row>
        <row r="24">
          <cell r="B24">
            <v>12</v>
          </cell>
          <cell r="S24">
            <v>2922626.6</v>
          </cell>
          <cell r="T24">
            <v>693708.37</v>
          </cell>
        </row>
        <row r="25">
          <cell r="B25">
            <v>21</v>
          </cell>
          <cell r="S25">
            <v>3018158.71</v>
          </cell>
          <cell r="T25">
            <v>630793.78</v>
          </cell>
        </row>
        <row r="26">
          <cell r="B26">
            <v>34</v>
          </cell>
          <cell r="S26">
            <v>2143525.2799999998</v>
          </cell>
          <cell r="T26">
            <v>564954.64</v>
          </cell>
        </row>
        <row r="27">
          <cell r="B27">
            <v>87</v>
          </cell>
          <cell r="S27">
            <v>5182853.97</v>
          </cell>
          <cell r="T27">
            <v>1110329.5500000003</v>
          </cell>
        </row>
        <row r="28">
          <cell r="B28">
            <v>88</v>
          </cell>
          <cell r="S28">
            <v>2125011.54</v>
          </cell>
          <cell r="T28">
            <v>560089.80000000005</v>
          </cell>
        </row>
        <row r="29">
          <cell r="B29">
            <v>89</v>
          </cell>
          <cell r="S29">
            <v>3750607.74</v>
          </cell>
          <cell r="T29">
            <v>559601.63</v>
          </cell>
        </row>
        <row r="30">
          <cell r="B30">
            <v>143</v>
          </cell>
          <cell r="S30">
            <v>956347.7</v>
          </cell>
          <cell r="T30">
            <v>393346.75</v>
          </cell>
        </row>
        <row r="31">
          <cell r="B31">
            <v>183</v>
          </cell>
          <cell r="S31">
            <v>6716202.5899999999</v>
          </cell>
          <cell r="T31">
            <v>412366.9599999999</v>
          </cell>
        </row>
        <row r="32">
          <cell r="B32">
            <v>186</v>
          </cell>
          <cell r="S32">
            <v>8005773.7000000002</v>
          </cell>
          <cell r="T32">
            <v>1431664.65</v>
          </cell>
        </row>
        <row r="33">
          <cell r="B33">
            <v>190</v>
          </cell>
          <cell r="S33">
            <v>2284236.41</v>
          </cell>
          <cell r="T33">
            <v>599429.44999999995</v>
          </cell>
        </row>
        <row r="34">
          <cell r="B34">
            <v>324</v>
          </cell>
          <cell r="S34">
            <v>4196501.4400000004</v>
          </cell>
          <cell r="T34">
            <v>1059029.5799999998</v>
          </cell>
        </row>
        <row r="35">
          <cell r="B35">
            <v>429</v>
          </cell>
          <cell r="S35">
            <v>1673741.25</v>
          </cell>
          <cell r="T35">
            <v>427615.25</v>
          </cell>
        </row>
        <row r="36">
          <cell r="B36">
            <v>601</v>
          </cell>
          <cell r="S36">
            <v>3078679.08</v>
          </cell>
          <cell r="T36">
            <v>303552.10000000003</v>
          </cell>
        </row>
        <row r="37">
          <cell r="B37">
            <v>760</v>
          </cell>
          <cell r="S37">
            <v>1442808.39</v>
          </cell>
          <cell r="T37">
            <v>717833.62</v>
          </cell>
        </row>
        <row r="38">
          <cell r="B38">
            <v>878</v>
          </cell>
          <cell r="S38">
            <v>2910917.69</v>
          </cell>
          <cell r="T38">
            <v>838992.06</v>
          </cell>
        </row>
        <row r="39">
          <cell r="B39">
            <v>8</v>
          </cell>
          <cell r="S39">
            <v>627029.24</v>
          </cell>
          <cell r="T39">
            <v>25077.3</v>
          </cell>
        </row>
        <row r="40">
          <cell r="B40">
            <v>41</v>
          </cell>
          <cell r="S40">
            <v>652189.06000000006</v>
          </cell>
          <cell r="T40">
            <v>215017.75000000003</v>
          </cell>
        </row>
        <row r="41">
          <cell r="B41">
            <v>56</v>
          </cell>
          <cell r="S41">
            <v>561942.06999999995</v>
          </cell>
          <cell r="T41">
            <v>2316.81</v>
          </cell>
        </row>
        <row r="42">
          <cell r="B42">
            <v>67</v>
          </cell>
          <cell r="S42">
            <v>218449.94</v>
          </cell>
          <cell r="T42">
            <v>0</v>
          </cell>
        </row>
        <row r="43">
          <cell r="B43">
            <v>157</v>
          </cell>
          <cell r="S43">
            <v>145211.09</v>
          </cell>
          <cell r="T43">
            <v>320</v>
          </cell>
        </row>
        <row r="44">
          <cell r="B44">
            <v>214</v>
          </cell>
          <cell r="S44">
            <v>1677840.57</v>
          </cell>
          <cell r="T44">
            <v>291173.04000000004</v>
          </cell>
        </row>
        <row r="45">
          <cell r="B45">
            <v>223</v>
          </cell>
          <cell r="S45">
            <v>207354.56</v>
          </cell>
          <cell r="T45">
            <v>1303.98</v>
          </cell>
        </row>
        <row r="46">
          <cell r="B46">
            <v>224</v>
          </cell>
          <cell r="S46">
            <v>73965.39</v>
          </cell>
          <cell r="T46">
            <v>245</v>
          </cell>
        </row>
        <row r="47">
          <cell r="B47">
            <v>233</v>
          </cell>
          <cell r="S47">
            <v>657892.93999999994</v>
          </cell>
          <cell r="T47">
            <v>285320.61</v>
          </cell>
        </row>
        <row r="48">
          <cell r="B48">
            <v>272</v>
          </cell>
          <cell r="S48">
            <v>79352.12</v>
          </cell>
          <cell r="T48">
            <v>0</v>
          </cell>
        </row>
        <row r="49">
          <cell r="B49">
            <v>427</v>
          </cell>
          <cell r="S49">
            <v>198493.19</v>
          </cell>
          <cell r="T49">
            <v>56867.6</v>
          </cell>
        </row>
        <row r="50">
          <cell r="B50">
            <v>524</v>
          </cell>
          <cell r="S50">
            <v>234790.57</v>
          </cell>
          <cell r="T50">
            <v>453.75</v>
          </cell>
        </row>
        <row r="51">
          <cell r="B51">
            <v>565</v>
          </cell>
          <cell r="S51">
            <v>165733.01</v>
          </cell>
          <cell r="T51">
            <v>710</v>
          </cell>
        </row>
        <row r="52">
          <cell r="B52">
            <v>696</v>
          </cell>
          <cell r="S52">
            <v>126909.24</v>
          </cell>
          <cell r="T52">
            <v>38.94</v>
          </cell>
        </row>
        <row r="53">
          <cell r="B53">
            <v>731</v>
          </cell>
          <cell r="S53">
            <v>225089.16</v>
          </cell>
          <cell r="T53">
            <v>35311</v>
          </cell>
        </row>
        <row r="54">
          <cell r="B54">
            <v>732</v>
          </cell>
          <cell r="S54">
            <v>69856.94</v>
          </cell>
          <cell r="T54">
            <v>0</v>
          </cell>
        </row>
        <row r="55">
          <cell r="B55">
            <v>754</v>
          </cell>
          <cell r="S55">
            <v>34950.230000000003</v>
          </cell>
          <cell r="T55">
            <v>0</v>
          </cell>
        </row>
        <row r="56">
          <cell r="B56">
            <v>885</v>
          </cell>
          <cell r="S56">
            <v>145965.66</v>
          </cell>
          <cell r="T56">
            <v>61071.180000000008</v>
          </cell>
        </row>
        <row r="57">
          <cell r="B57">
            <v>909</v>
          </cell>
          <cell r="S57">
            <v>238013.06</v>
          </cell>
          <cell r="T57">
            <v>67250.02</v>
          </cell>
        </row>
        <row r="58">
          <cell r="B58">
            <v>923</v>
          </cell>
          <cell r="S58">
            <v>30138.59</v>
          </cell>
          <cell r="T58">
            <v>156</v>
          </cell>
        </row>
        <row r="59">
          <cell r="B59">
            <v>394</v>
          </cell>
          <cell r="S59">
            <v>378356.65</v>
          </cell>
          <cell r="T59">
            <v>36610</v>
          </cell>
        </row>
        <row r="60">
          <cell r="B60">
            <v>414</v>
          </cell>
          <cell r="S60">
            <v>291185.07</v>
          </cell>
          <cell r="T60">
            <v>10663.29</v>
          </cell>
        </row>
        <row r="61">
          <cell r="B61">
            <v>426</v>
          </cell>
          <cell r="S61">
            <v>147683.84</v>
          </cell>
          <cell r="T61">
            <v>0</v>
          </cell>
        </row>
        <row r="62">
          <cell r="B62">
            <v>430</v>
          </cell>
          <cell r="S62">
            <v>1674152.86</v>
          </cell>
          <cell r="T62">
            <v>100</v>
          </cell>
        </row>
        <row r="63">
          <cell r="B63">
            <v>443</v>
          </cell>
          <cell r="S63">
            <v>15830.2</v>
          </cell>
          <cell r="T63">
            <v>0</v>
          </cell>
        </row>
        <row r="64">
          <cell r="B64">
            <v>562</v>
          </cell>
          <cell r="S64">
            <v>47597.599999999999</v>
          </cell>
          <cell r="T64">
            <v>0</v>
          </cell>
        </row>
        <row r="65">
          <cell r="B65">
            <v>603</v>
          </cell>
          <cell r="S65">
            <v>85628.45</v>
          </cell>
          <cell r="T65">
            <v>0</v>
          </cell>
        </row>
        <row r="66">
          <cell r="B66">
            <v>618</v>
          </cell>
          <cell r="S66">
            <v>16335.8</v>
          </cell>
          <cell r="T66">
            <v>0</v>
          </cell>
        </row>
        <row r="67">
          <cell r="B67">
            <v>620</v>
          </cell>
          <cell r="S67">
            <v>118610.13</v>
          </cell>
          <cell r="T67">
            <v>0</v>
          </cell>
        </row>
        <row r="68">
          <cell r="B68">
            <v>622</v>
          </cell>
          <cell r="S68">
            <v>80933.14</v>
          </cell>
          <cell r="T68">
            <v>715</v>
          </cell>
        </row>
        <row r="69">
          <cell r="B69">
            <v>623</v>
          </cell>
          <cell r="S69">
            <v>85871.33</v>
          </cell>
          <cell r="T69">
            <v>0</v>
          </cell>
        </row>
        <row r="70">
          <cell r="B70">
            <v>626</v>
          </cell>
          <cell r="S70">
            <v>17594.09</v>
          </cell>
          <cell r="T70">
            <v>0</v>
          </cell>
        </row>
        <row r="71">
          <cell r="B71">
            <v>627</v>
          </cell>
          <cell r="S71">
            <v>78681.460000000006</v>
          </cell>
          <cell r="T71">
            <v>0</v>
          </cell>
        </row>
        <row r="72">
          <cell r="B72">
            <v>634</v>
          </cell>
          <cell r="S72">
            <v>582665.36</v>
          </cell>
          <cell r="T72">
            <v>0</v>
          </cell>
        </row>
        <row r="73">
          <cell r="B73">
            <v>636</v>
          </cell>
          <cell r="S73">
            <v>74827.44</v>
          </cell>
          <cell r="T73">
            <v>76212</v>
          </cell>
        </row>
        <row r="74">
          <cell r="B74">
            <v>694</v>
          </cell>
          <cell r="S74">
            <v>60191.32</v>
          </cell>
          <cell r="T74">
            <v>0</v>
          </cell>
        </row>
        <row r="75">
          <cell r="B75">
            <v>710</v>
          </cell>
          <cell r="S75">
            <v>49597.59</v>
          </cell>
          <cell r="T75">
            <v>0</v>
          </cell>
        </row>
        <row r="76">
          <cell r="B76">
            <v>743</v>
          </cell>
          <cell r="S76">
            <v>136207.07999999999</v>
          </cell>
          <cell r="T76">
            <v>0</v>
          </cell>
        </row>
        <row r="77">
          <cell r="B77">
            <v>747</v>
          </cell>
          <cell r="S77">
            <v>58996.69</v>
          </cell>
          <cell r="T77">
            <v>0</v>
          </cell>
        </row>
        <row r="78">
          <cell r="B78">
            <v>758</v>
          </cell>
          <cell r="S78">
            <v>319509.06</v>
          </cell>
          <cell r="T78">
            <v>785.37</v>
          </cell>
        </row>
        <row r="79">
          <cell r="B79">
            <v>765</v>
          </cell>
          <cell r="S79">
            <v>86969.12</v>
          </cell>
          <cell r="T79">
            <v>0</v>
          </cell>
        </row>
        <row r="80">
          <cell r="B80">
            <v>770</v>
          </cell>
          <cell r="S80">
            <v>24774.6</v>
          </cell>
          <cell r="T80">
            <v>0</v>
          </cell>
        </row>
        <row r="81">
          <cell r="B81">
            <v>774</v>
          </cell>
          <cell r="S81">
            <v>290603.45</v>
          </cell>
          <cell r="T81">
            <v>0</v>
          </cell>
        </row>
        <row r="82">
          <cell r="B82">
            <v>794</v>
          </cell>
          <cell r="S82">
            <v>45369.11</v>
          </cell>
          <cell r="T82">
            <v>0</v>
          </cell>
        </row>
        <row r="83">
          <cell r="B83">
            <v>806</v>
          </cell>
          <cell r="S83">
            <v>37091.449999999997</v>
          </cell>
          <cell r="T83">
            <v>0</v>
          </cell>
        </row>
        <row r="84">
          <cell r="B84">
            <v>811</v>
          </cell>
          <cell r="S84">
            <v>505579.98</v>
          </cell>
          <cell r="T84">
            <v>3403.13</v>
          </cell>
        </row>
        <row r="85">
          <cell r="B85">
            <v>824</v>
          </cell>
          <cell r="S85">
            <v>54369.59</v>
          </cell>
          <cell r="T85">
            <v>0</v>
          </cell>
        </row>
        <row r="86">
          <cell r="B86">
            <v>826</v>
          </cell>
          <cell r="S86">
            <v>33872.559999999998</v>
          </cell>
          <cell r="T86">
            <v>0</v>
          </cell>
        </row>
        <row r="87">
          <cell r="B87">
            <v>840</v>
          </cell>
          <cell r="S87">
            <v>88518.53</v>
          </cell>
          <cell r="T87">
            <v>0</v>
          </cell>
        </row>
        <row r="88">
          <cell r="B88">
            <v>843</v>
          </cell>
          <cell r="S88">
            <v>32653.86</v>
          </cell>
          <cell r="T88">
            <v>0</v>
          </cell>
        </row>
        <row r="89">
          <cell r="B89">
            <v>846</v>
          </cell>
          <cell r="S89">
            <v>42522.03</v>
          </cell>
          <cell r="T89">
            <v>0</v>
          </cell>
        </row>
        <row r="90">
          <cell r="B90">
            <v>888</v>
          </cell>
          <cell r="S90">
            <v>48959.88</v>
          </cell>
          <cell r="T90">
            <v>0</v>
          </cell>
        </row>
        <row r="91">
          <cell r="B91">
            <v>889</v>
          </cell>
          <cell r="S91">
            <v>50376.82</v>
          </cell>
          <cell r="T91">
            <v>0</v>
          </cell>
        </row>
        <row r="92">
          <cell r="B92">
            <v>891</v>
          </cell>
          <cell r="S92">
            <v>78385.320000000007</v>
          </cell>
          <cell r="T92">
            <v>0</v>
          </cell>
        </row>
        <row r="93">
          <cell r="B93">
            <v>904</v>
          </cell>
          <cell r="S93">
            <v>14117.02</v>
          </cell>
          <cell r="T93">
            <v>0</v>
          </cell>
        </row>
        <row r="94">
          <cell r="B94">
            <v>906</v>
          </cell>
          <cell r="S94">
            <v>215485.97</v>
          </cell>
          <cell r="T94">
            <v>29.22</v>
          </cell>
        </row>
        <row r="95">
          <cell r="B95">
            <v>917</v>
          </cell>
          <cell r="S95">
            <v>54501.95</v>
          </cell>
          <cell r="T95">
            <v>0</v>
          </cell>
        </row>
        <row r="96">
          <cell r="B96">
            <v>957</v>
          </cell>
          <cell r="S96">
            <v>36421.629999999997</v>
          </cell>
          <cell r="T96">
            <v>0</v>
          </cell>
        </row>
        <row r="97">
          <cell r="B97">
            <v>959</v>
          </cell>
          <cell r="S97">
            <v>116655.66</v>
          </cell>
          <cell r="T97">
            <v>240.45</v>
          </cell>
        </row>
        <row r="98">
          <cell r="B98">
            <v>969</v>
          </cell>
          <cell r="S98">
            <v>66251.19</v>
          </cell>
          <cell r="T98">
            <v>0</v>
          </cell>
        </row>
        <row r="99">
          <cell r="B99">
            <v>970</v>
          </cell>
          <cell r="S99">
            <v>72830</v>
          </cell>
          <cell r="T99">
            <v>408</v>
          </cell>
        </row>
        <row r="100">
          <cell r="B100">
            <v>980</v>
          </cell>
          <cell r="S100">
            <v>37348.19</v>
          </cell>
          <cell r="T100">
            <v>0</v>
          </cell>
        </row>
        <row r="101">
          <cell r="B101">
            <v>986</v>
          </cell>
          <cell r="S101">
            <v>42773.26</v>
          </cell>
          <cell r="T101">
            <v>0</v>
          </cell>
        </row>
        <row r="102">
          <cell r="B102">
            <v>988</v>
          </cell>
          <cell r="S102">
            <v>80859.64</v>
          </cell>
          <cell r="T102">
            <v>155</v>
          </cell>
        </row>
        <row r="103">
          <cell r="B103">
            <v>989</v>
          </cell>
          <cell r="S103">
            <v>266398.28999999998</v>
          </cell>
          <cell r="T103">
            <v>36564.799999999996</v>
          </cell>
        </row>
        <row r="104">
          <cell r="B104">
            <v>39</v>
          </cell>
          <cell r="S104">
            <v>108160.35</v>
          </cell>
          <cell r="T104">
            <v>1756.13</v>
          </cell>
        </row>
        <row r="105">
          <cell r="B105">
            <v>59</v>
          </cell>
          <cell r="S105">
            <v>172265.9</v>
          </cell>
          <cell r="T105">
            <v>0</v>
          </cell>
        </row>
        <row r="106">
          <cell r="B106">
            <v>128</v>
          </cell>
          <cell r="S106">
            <v>96271.57</v>
          </cell>
          <cell r="T106">
            <v>119.44</v>
          </cell>
        </row>
        <row r="107">
          <cell r="B107">
            <v>152</v>
          </cell>
          <cell r="S107">
            <v>157814.06</v>
          </cell>
          <cell r="T107">
            <v>22795.199999999997</v>
          </cell>
        </row>
        <row r="108">
          <cell r="B108">
            <v>162</v>
          </cell>
          <cell r="S108">
            <v>386975.44</v>
          </cell>
          <cell r="T108">
            <v>24452.720000000001</v>
          </cell>
        </row>
        <row r="109">
          <cell r="B109">
            <v>166</v>
          </cell>
          <cell r="S109">
            <v>451775.31</v>
          </cell>
          <cell r="T109">
            <v>109930.31</v>
          </cell>
        </row>
        <row r="110">
          <cell r="B110">
            <v>192</v>
          </cell>
          <cell r="S110">
            <v>119649.47</v>
          </cell>
          <cell r="T110">
            <v>21552.310000000005</v>
          </cell>
        </row>
        <row r="111">
          <cell r="B111">
            <v>205</v>
          </cell>
          <cell r="S111">
            <v>424199.53</v>
          </cell>
          <cell r="T111">
            <v>18066.25</v>
          </cell>
        </row>
        <row r="112">
          <cell r="B112">
            <v>212</v>
          </cell>
          <cell r="S112">
            <v>245644.58</v>
          </cell>
          <cell r="T112">
            <v>630</v>
          </cell>
        </row>
        <row r="113">
          <cell r="B113">
            <v>216</v>
          </cell>
          <cell r="S113">
            <v>319371.06</v>
          </cell>
          <cell r="T113">
            <v>285</v>
          </cell>
        </row>
        <row r="114">
          <cell r="B114">
            <v>229</v>
          </cell>
          <cell r="S114">
            <v>449836.67</v>
          </cell>
          <cell r="T114">
            <v>104238</v>
          </cell>
        </row>
        <row r="115">
          <cell r="B115">
            <v>236</v>
          </cell>
          <cell r="S115">
            <v>616356.31999999995</v>
          </cell>
          <cell r="T115">
            <v>145860.79</v>
          </cell>
        </row>
        <row r="116">
          <cell r="B116">
            <v>238</v>
          </cell>
          <cell r="S116">
            <v>56188.56</v>
          </cell>
          <cell r="T116">
            <v>0</v>
          </cell>
        </row>
        <row r="117">
          <cell r="B117">
            <v>239</v>
          </cell>
          <cell r="S117">
            <v>1786444.75</v>
          </cell>
          <cell r="T117">
            <v>419175.63</v>
          </cell>
        </row>
        <row r="118">
          <cell r="B118">
            <v>249</v>
          </cell>
          <cell r="S118">
            <v>606310.29</v>
          </cell>
          <cell r="T118">
            <v>0</v>
          </cell>
        </row>
        <row r="119">
          <cell r="B119">
            <v>271</v>
          </cell>
          <cell r="S119">
            <v>936506.01</v>
          </cell>
          <cell r="T119">
            <v>90489.709999999992</v>
          </cell>
        </row>
        <row r="120">
          <cell r="B120">
            <v>275</v>
          </cell>
          <cell r="S120">
            <v>324500.11</v>
          </cell>
          <cell r="T120">
            <v>62912.880000000005</v>
          </cell>
        </row>
        <row r="121">
          <cell r="B121">
            <v>282</v>
          </cell>
          <cell r="S121">
            <v>55222.87</v>
          </cell>
          <cell r="T121">
            <v>0</v>
          </cell>
        </row>
        <row r="122">
          <cell r="B122">
            <v>287</v>
          </cell>
          <cell r="S122">
            <v>102363.95</v>
          </cell>
          <cell r="T122">
            <v>282</v>
          </cell>
        </row>
        <row r="123">
          <cell r="B123">
            <v>290</v>
          </cell>
          <cell r="S123">
            <v>135999.42000000001</v>
          </cell>
          <cell r="T123">
            <v>423.97</v>
          </cell>
        </row>
        <row r="124">
          <cell r="B124">
            <v>294</v>
          </cell>
          <cell r="S124">
            <v>632461</v>
          </cell>
          <cell r="T124">
            <v>637</v>
          </cell>
        </row>
        <row r="125">
          <cell r="B125">
            <v>296</v>
          </cell>
          <cell r="S125">
            <v>836673.68</v>
          </cell>
          <cell r="T125">
            <v>180195.59000000003</v>
          </cell>
        </row>
        <row r="126">
          <cell r="B126">
            <v>301</v>
          </cell>
          <cell r="S126">
            <v>227243.71</v>
          </cell>
          <cell r="T126">
            <v>424.62</v>
          </cell>
        </row>
        <row r="127">
          <cell r="B127">
            <v>321</v>
          </cell>
          <cell r="S127">
            <v>480503.47</v>
          </cell>
          <cell r="T127">
            <v>39100.69</v>
          </cell>
        </row>
        <row r="128">
          <cell r="B128">
            <v>325</v>
          </cell>
          <cell r="S128">
            <v>182309.94</v>
          </cell>
          <cell r="T128">
            <v>304</v>
          </cell>
        </row>
        <row r="129">
          <cell r="B129">
            <v>346</v>
          </cell>
          <cell r="S129">
            <v>123092.65</v>
          </cell>
          <cell r="T129">
            <v>27381.15</v>
          </cell>
        </row>
        <row r="130">
          <cell r="B130">
            <v>358</v>
          </cell>
          <cell r="S130">
            <v>241699.7</v>
          </cell>
          <cell r="T130">
            <v>48918.26</v>
          </cell>
        </row>
        <row r="131">
          <cell r="B131">
            <v>361</v>
          </cell>
          <cell r="S131">
            <v>911184.79</v>
          </cell>
          <cell r="T131">
            <v>7581.0599999999995</v>
          </cell>
        </row>
        <row r="132">
          <cell r="B132">
            <v>376</v>
          </cell>
          <cell r="S132">
            <v>281309.96000000002</v>
          </cell>
          <cell r="T132">
            <v>326</v>
          </cell>
        </row>
        <row r="133">
          <cell r="B133">
            <v>382</v>
          </cell>
          <cell r="S133">
            <v>98656.37</v>
          </cell>
          <cell r="T133">
            <v>22015.520000000004</v>
          </cell>
        </row>
        <row r="134">
          <cell r="B134">
            <v>389</v>
          </cell>
          <cell r="S134">
            <v>166030.71</v>
          </cell>
          <cell r="T134">
            <v>944.5</v>
          </cell>
        </row>
        <row r="135">
          <cell r="B135">
            <v>434</v>
          </cell>
          <cell r="S135">
            <v>130973.72</v>
          </cell>
          <cell r="T135">
            <v>0</v>
          </cell>
        </row>
        <row r="136">
          <cell r="B136">
            <v>437</v>
          </cell>
          <cell r="S136">
            <v>234070.56</v>
          </cell>
          <cell r="T136">
            <v>0</v>
          </cell>
        </row>
        <row r="137">
          <cell r="B137">
            <v>502</v>
          </cell>
          <cell r="S137">
            <v>321308.17</v>
          </cell>
          <cell r="T137">
            <v>0</v>
          </cell>
        </row>
        <row r="138">
          <cell r="B138">
            <v>503</v>
          </cell>
          <cell r="S138">
            <v>200464.15</v>
          </cell>
          <cell r="T138">
            <v>51599.19000000001</v>
          </cell>
        </row>
        <row r="139">
          <cell r="B139">
            <v>510</v>
          </cell>
          <cell r="S139">
            <v>225129.38</v>
          </cell>
          <cell r="T139">
            <v>1049</v>
          </cell>
        </row>
        <row r="140">
          <cell r="B140">
            <v>531</v>
          </cell>
          <cell r="S140">
            <v>619077.55000000005</v>
          </cell>
          <cell r="T140">
            <v>5174.5599999999995</v>
          </cell>
        </row>
        <row r="141">
          <cell r="B141">
            <v>550</v>
          </cell>
          <cell r="S141">
            <v>412541.65</v>
          </cell>
          <cell r="T141">
            <v>100</v>
          </cell>
        </row>
        <row r="142">
          <cell r="B142">
            <v>551</v>
          </cell>
          <cell r="S142">
            <v>85940.15</v>
          </cell>
          <cell r="T142">
            <v>201</v>
          </cell>
        </row>
        <row r="143">
          <cell r="B143">
            <v>555</v>
          </cell>
          <cell r="S143">
            <v>492787.09</v>
          </cell>
          <cell r="T143">
            <v>498</v>
          </cell>
        </row>
        <row r="144">
          <cell r="B144">
            <v>556</v>
          </cell>
          <cell r="S144">
            <v>144657.59</v>
          </cell>
          <cell r="T144">
            <v>350.51</v>
          </cell>
        </row>
        <row r="145">
          <cell r="B145">
            <v>558</v>
          </cell>
          <cell r="S145">
            <v>230639.34</v>
          </cell>
          <cell r="T145">
            <v>26698.63</v>
          </cell>
        </row>
        <row r="146">
          <cell r="B146">
            <v>600</v>
          </cell>
          <cell r="S146">
            <v>251152.74</v>
          </cell>
          <cell r="T146">
            <v>0</v>
          </cell>
        </row>
        <row r="147">
          <cell r="B147">
            <v>604</v>
          </cell>
          <cell r="S147">
            <v>238868.16</v>
          </cell>
          <cell r="T147">
            <v>30079.71</v>
          </cell>
        </row>
        <row r="148">
          <cell r="B148">
            <v>612</v>
          </cell>
          <cell r="S148">
            <v>278008.59999999998</v>
          </cell>
          <cell r="T148">
            <v>7776.44</v>
          </cell>
        </row>
        <row r="149">
          <cell r="B149">
            <v>635</v>
          </cell>
          <cell r="S149">
            <v>41866.43</v>
          </cell>
          <cell r="T149">
            <v>7688.1000000000013</v>
          </cell>
        </row>
        <row r="150">
          <cell r="B150">
            <v>711</v>
          </cell>
          <cell r="S150">
            <v>219303.41</v>
          </cell>
          <cell r="T150">
            <v>15317.63</v>
          </cell>
        </row>
        <row r="151">
          <cell r="B151">
            <v>712</v>
          </cell>
          <cell r="S151">
            <v>285648.96000000002</v>
          </cell>
          <cell r="T151">
            <v>0</v>
          </cell>
        </row>
        <row r="152">
          <cell r="B152">
            <v>718</v>
          </cell>
          <cell r="S152">
            <v>22733.55</v>
          </cell>
          <cell r="T152">
            <v>0</v>
          </cell>
        </row>
        <row r="153">
          <cell r="B153">
            <v>736</v>
          </cell>
          <cell r="S153">
            <v>55322.1</v>
          </cell>
          <cell r="T153">
            <v>161</v>
          </cell>
        </row>
        <row r="154">
          <cell r="B154">
            <v>757</v>
          </cell>
          <cell r="S154">
            <v>334652.7</v>
          </cell>
          <cell r="T154">
            <v>65666.5</v>
          </cell>
        </row>
        <row r="155">
          <cell r="B155">
            <v>786</v>
          </cell>
          <cell r="S155">
            <v>1566858.3</v>
          </cell>
          <cell r="T155">
            <v>287163.78999999998</v>
          </cell>
        </row>
        <row r="156">
          <cell r="B156">
            <v>854</v>
          </cell>
          <cell r="S156">
            <v>490740.21</v>
          </cell>
          <cell r="T156">
            <v>37547.699999999997</v>
          </cell>
        </row>
        <row r="157">
          <cell r="B157">
            <v>855</v>
          </cell>
          <cell r="S157">
            <v>140079.48000000001</v>
          </cell>
          <cell r="T157">
            <v>12090</v>
          </cell>
        </row>
        <row r="158">
          <cell r="B158">
            <v>862</v>
          </cell>
          <cell r="S158">
            <v>10884.05</v>
          </cell>
          <cell r="T158">
            <v>8152.2</v>
          </cell>
        </row>
        <row r="159">
          <cell r="B159">
            <v>958</v>
          </cell>
          <cell r="S159">
            <v>165631.01</v>
          </cell>
          <cell r="T159">
            <v>290.27999999999997</v>
          </cell>
        </row>
        <row r="160">
          <cell r="B160">
            <v>967</v>
          </cell>
          <cell r="S160">
            <v>79646.62</v>
          </cell>
          <cell r="T160">
            <v>0</v>
          </cell>
        </row>
        <row r="161">
          <cell r="B161">
            <v>971</v>
          </cell>
          <cell r="S161">
            <v>536513.62</v>
          </cell>
          <cell r="T161">
            <v>137200.55999999997</v>
          </cell>
        </row>
        <row r="162">
          <cell r="B162">
            <v>975</v>
          </cell>
          <cell r="S162">
            <v>55760.17</v>
          </cell>
          <cell r="T162">
            <v>0</v>
          </cell>
        </row>
        <row r="163">
          <cell r="B163">
            <v>976</v>
          </cell>
          <cell r="S163">
            <v>25941.279999999999</v>
          </cell>
          <cell r="T163">
            <v>0</v>
          </cell>
        </row>
        <row r="164">
          <cell r="B164">
            <v>977</v>
          </cell>
          <cell r="S164">
            <v>31893.51</v>
          </cell>
          <cell r="T164">
            <v>0</v>
          </cell>
        </row>
        <row r="165">
          <cell r="B165">
            <v>979</v>
          </cell>
          <cell r="S165">
            <v>116196.12</v>
          </cell>
          <cell r="T165">
            <v>0</v>
          </cell>
        </row>
        <row r="166">
          <cell r="B166">
            <v>983</v>
          </cell>
          <cell r="S166">
            <v>30825.599999999999</v>
          </cell>
          <cell r="T166">
            <v>250</v>
          </cell>
        </row>
        <row r="167">
          <cell r="B167">
            <v>188</v>
          </cell>
          <cell r="S167">
            <v>125246.14</v>
          </cell>
          <cell r="T167">
            <v>23903.22</v>
          </cell>
        </row>
        <row r="168">
          <cell r="B168">
            <v>232</v>
          </cell>
          <cell r="S168">
            <v>101873.03</v>
          </cell>
          <cell r="T168">
            <v>0</v>
          </cell>
        </row>
        <row r="169">
          <cell r="B169">
            <v>245</v>
          </cell>
          <cell r="S169">
            <v>620305.29</v>
          </cell>
          <cell r="T169">
            <v>0</v>
          </cell>
        </row>
        <row r="170">
          <cell r="B170">
            <v>372</v>
          </cell>
          <cell r="S170">
            <v>83312.27</v>
          </cell>
          <cell r="T170">
            <v>0</v>
          </cell>
        </row>
        <row r="171">
          <cell r="B171">
            <v>375</v>
          </cell>
          <cell r="S171">
            <v>245447.76</v>
          </cell>
          <cell r="T171">
            <v>0</v>
          </cell>
        </row>
        <row r="172">
          <cell r="B172">
            <v>404</v>
          </cell>
          <cell r="S172">
            <v>260768.05</v>
          </cell>
          <cell r="T172">
            <v>28484.19</v>
          </cell>
        </row>
        <row r="173">
          <cell r="B173">
            <v>413</v>
          </cell>
          <cell r="S173">
            <v>59936.91</v>
          </cell>
          <cell r="T173">
            <v>95</v>
          </cell>
        </row>
        <row r="174">
          <cell r="B174">
            <v>537</v>
          </cell>
          <cell r="S174">
            <v>7779.28</v>
          </cell>
          <cell r="T174">
            <v>0</v>
          </cell>
        </row>
        <row r="175">
          <cell r="B175">
            <v>545</v>
          </cell>
          <cell r="S175">
            <v>6792.3</v>
          </cell>
          <cell r="T175">
            <v>0</v>
          </cell>
        </row>
        <row r="176">
          <cell r="B176">
            <v>602</v>
          </cell>
          <cell r="S176">
            <v>28173.42</v>
          </cell>
          <cell r="T176">
            <v>0</v>
          </cell>
        </row>
        <row r="177">
          <cell r="B177">
            <v>605</v>
          </cell>
          <cell r="S177">
            <v>7392.31</v>
          </cell>
          <cell r="T177">
            <v>0</v>
          </cell>
        </row>
        <row r="178">
          <cell r="B178">
            <v>607</v>
          </cell>
          <cell r="S178">
            <v>11273.44</v>
          </cell>
          <cell r="T178">
            <v>0</v>
          </cell>
        </row>
        <row r="179">
          <cell r="B179">
            <v>610</v>
          </cell>
          <cell r="S179">
            <v>31778.68</v>
          </cell>
          <cell r="T179">
            <v>0</v>
          </cell>
        </row>
        <row r="180">
          <cell r="B180">
            <v>611</v>
          </cell>
          <cell r="S180">
            <v>31143.71</v>
          </cell>
          <cell r="T180">
            <v>0</v>
          </cell>
        </row>
        <row r="181">
          <cell r="B181">
            <v>616</v>
          </cell>
          <cell r="S181">
            <v>256312.37</v>
          </cell>
          <cell r="T181">
            <v>0</v>
          </cell>
        </row>
        <row r="182">
          <cell r="B182">
            <v>637</v>
          </cell>
          <cell r="S182">
            <v>7158.52</v>
          </cell>
          <cell r="T182">
            <v>0</v>
          </cell>
        </row>
        <row r="183">
          <cell r="B183">
            <v>638</v>
          </cell>
          <cell r="S183">
            <v>20375.98</v>
          </cell>
          <cell r="T183">
            <v>0</v>
          </cell>
        </row>
        <row r="184">
          <cell r="B184">
            <v>639</v>
          </cell>
          <cell r="S184">
            <v>17243.23</v>
          </cell>
          <cell r="T184">
            <v>0</v>
          </cell>
        </row>
        <row r="185">
          <cell r="B185">
            <v>706</v>
          </cell>
          <cell r="S185">
            <v>61219.35</v>
          </cell>
          <cell r="T185">
            <v>0</v>
          </cell>
        </row>
        <row r="186">
          <cell r="B186">
            <v>709</v>
          </cell>
          <cell r="S186">
            <v>45634.17</v>
          </cell>
          <cell r="T186">
            <v>0</v>
          </cell>
        </row>
        <row r="187">
          <cell r="B187">
            <v>714</v>
          </cell>
          <cell r="S187">
            <v>49120.9</v>
          </cell>
          <cell r="T187">
            <v>0</v>
          </cell>
        </row>
        <row r="188">
          <cell r="B188">
            <v>749</v>
          </cell>
          <cell r="S188">
            <v>4850.01</v>
          </cell>
          <cell r="T188">
            <v>0</v>
          </cell>
        </row>
        <row r="189">
          <cell r="B189">
            <v>764</v>
          </cell>
          <cell r="S189">
            <v>12986.28</v>
          </cell>
          <cell r="T189">
            <v>0</v>
          </cell>
        </row>
        <row r="190">
          <cell r="B190">
            <v>775</v>
          </cell>
          <cell r="S190">
            <v>62319.01</v>
          </cell>
          <cell r="T190">
            <v>0</v>
          </cell>
        </row>
        <row r="191">
          <cell r="B191">
            <v>790</v>
          </cell>
          <cell r="S191">
            <v>7906.08</v>
          </cell>
          <cell r="T191">
            <v>0</v>
          </cell>
        </row>
        <row r="192">
          <cell r="B192">
            <v>795</v>
          </cell>
          <cell r="S192">
            <v>328034.84000000003</v>
          </cell>
          <cell r="T192">
            <v>121984.66</v>
          </cell>
        </row>
        <row r="193">
          <cell r="B193">
            <v>796</v>
          </cell>
          <cell r="S193">
            <v>19423.14</v>
          </cell>
          <cell r="T193">
            <v>0</v>
          </cell>
        </row>
        <row r="194">
          <cell r="B194">
            <v>797</v>
          </cell>
          <cell r="S194">
            <v>39509.410000000003</v>
          </cell>
          <cell r="T194">
            <v>1800</v>
          </cell>
        </row>
        <row r="195">
          <cell r="B195">
            <v>801</v>
          </cell>
          <cell r="S195">
            <v>102578.78</v>
          </cell>
          <cell r="T195">
            <v>0</v>
          </cell>
        </row>
        <row r="196">
          <cell r="B196">
            <v>809</v>
          </cell>
          <cell r="S196">
            <v>497452.38</v>
          </cell>
          <cell r="T196">
            <v>0</v>
          </cell>
        </row>
        <row r="197">
          <cell r="B197">
            <v>810</v>
          </cell>
          <cell r="S197">
            <v>133935.18</v>
          </cell>
          <cell r="T197">
            <v>0</v>
          </cell>
        </row>
        <row r="198">
          <cell r="B198">
            <v>812</v>
          </cell>
          <cell r="S198">
            <v>75414.47</v>
          </cell>
          <cell r="T198">
            <v>196</v>
          </cell>
        </row>
        <row r="199">
          <cell r="B199">
            <v>818</v>
          </cell>
          <cell r="S199">
            <v>16701.97</v>
          </cell>
          <cell r="T199">
            <v>0</v>
          </cell>
        </row>
        <row r="200">
          <cell r="B200">
            <v>833</v>
          </cell>
          <cell r="S200">
            <v>37369.64</v>
          </cell>
          <cell r="T200">
            <v>0</v>
          </cell>
        </row>
        <row r="201">
          <cell r="B201">
            <v>834</v>
          </cell>
          <cell r="S201">
            <v>64791.31</v>
          </cell>
          <cell r="T201">
            <v>5551.2800000000007</v>
          </cell>
        </row>
        <row r="202">
          <cell r="B202">
            <v>837</v>
          </cell>
          <cell r="S202">
            <v>133882.48000000001</v>
          </cell>
          <cell r="T202">
            <v>0</v>
          </cell>
        </row>
        <row r="203">
          <cell r="B203">
            <v>845</v>
          </cell>
          <cell r="S203">
            <v>9336.9500000000007</v>
          </cell>
          <cell r="T203">
            <v>0</v>
          </cell>
        </row>
        <row r="204">
          <cell r="B204">
            <v>847</v>
          </cell>
          <cell r="S204">
            <v>114871.03</v>
          </cell>
          <cell r="T204">
            <v>0</v>
          </cell>
        </row>
        <row r="205">
          <cell r="B205">
            <v>866</v>
          </cell>
          <cell r="S205">
            <v>63164.800000000003</v>
          </cell>
          <cell r="T205">
            <v>0</v>
          </cell>
        </row>
        <row r="206">
          <cell r="B206">
            <v>871</v>
          </cell>
          <cell r="S206">
            <v>11872.16</v>
          </cell>
          <cell r="T206">
            <v>0</v>
          </cell>
        </row>
        <row r="207">
          <cell r="B207">
            <v>873</v>
          </cell>
          <cell r="S207">
            <v>68071.05</v>
          </cell>
          <cell r="T207">
            <v>0</v>
          </cell>
        </row>
        <row r="208">
          <cell r="B208">
            <v>895</v>
          </cell>
          <cell r="S208">
            <v>4417.1099999999997</v>
          </cell>
          <cell r="T208">
            <v>0</v>
          </cell>
        </row>
        <row r="209">
          <cell r="B209">
            <v>897</v>
          </cell>
          <cell r="S209">
            <v>296933.44</v>
          </cell>
          <cell r="T209">
            <v>119</v>
          </cell>
        </row>
        <row r="210">
          <cell r="B210">
            <v>905</v>
          </cell>
          <cell r="S210">
            <v>57092.91</v>
          </cell>
          <cell r="T210">
            <v>0</v>
          </cell>
        </row>
        <row r="211">
          <cell r="B211">
            <v>907</v>
          </cell>
          <cell r="S211">
            <v>19453.25</v>
          </cell>
          <cell r="T211">
            <v>0</v>
          </cell>
        </row>
        <row r="212">
          <cell r="B212">
            <v>918</v>
          </cell>
          <cell r="S212">
            <v>58594.77</v>
          </cell>
          <cell r="T212">
            <v>0</v>
          </cell>
        </row>
        <row r="213">
          <cell r="B213">
            <v>922</v>
          </cell>
          <cell r="S213">
            <v>138545.48000000001</v>
          </cell>
          <cell r="T213">
            <v>12389.89</v>
          </cell>
        </row>
        <row r="214">
          <cell r="B214">
            <v>924</v>
          </cell>
          <cell r="S214">
            <v>59433.15</v>
          </cell>
          <cell r="T214">
            <v>0</v>
          </cell>
        </row>
        <row r="215">
          <cell r="B215">
            <v>929</v>
          </cell>
          <cell r="S215">
            <v>48337.61</v>
          </cell>
          <cell r="T215">
            <v>0</v>
          </cell>
        </row>
        <row r="216">
          <cell r="B216">
            <v>955</v>
          </cell>
          <cell r="S216">
            <v>22678.11</v>
          </cell>
          <cell r="T216">
            <v>0</v>
          </cell>
        </row>
        <row r="217">
          <cell r="B217">
            <v>973</v>
          </cell>
          <cell r="S217">
            <v>10497.69</v>
          </cell>
          <cell r="T217">
            <v>0</v>
          </cell>
        </row>
        <row r="218">
          <cell r="B218">
            <v>974</v>
          </cell>
          <cell r="S218">
            <v>14226.72</v>
          </cell>
          <cell r="T218">
            <v>0</v>
          </cell>
        </row>
        <row r="219">
          <cell r="B219">
            <v>978</v>
          </cell>
          <cell r="S219">
            <v>31329.48</v>
          </cell>
          <cell r="T219">
            <v>0</v>
          </cell>
        </row>
        <row r="220">
          <cell r="B220">
            <v>985</v>
          </cell>
          <cell r="S220">
            <v>97273.34</v>
          </cell>
          <cell r="T220">
            <v>0</v>
          </cell>
        </row>
        <row r="221">
          <cell r="B221">
            <v>100</v>
          </cell>
          <cell r="S221">
            <v>30401.27</v>
          </cell>
          <cell r="T221">
            <v>0</v>
          </cell>
        </row>
        <row r="222">
          <cell r="B222">
            <v>159</v>
          </cell>
          <cell r="S222">
            <v>185850.32</v>
          </cell>
          <cell r="T222">
            <v>0</v>
          </cell>
        </row>
        <row r="223">
          <cell r="B223">
            <v>173</v>
          </cell>
          <cell r="S223">
            <v>163416.66</v>
          </cell>
          <cell r="T223">
            <v>8.85</v>
          </cell>
        </row>
        <row r="224">
          <cell r="B224">
            <v>204</v>
          </cell>
          <cell r="S224">
            <v>440563.7</v>
          </cell>
          <cell r="T224">
            <v>14024.64</v>
          </cell>
        </row>
        <row r="225">
          <cell r="B225">
            <v>218</v>
          </cell>
          <cell r="S225">
            <v>189204.88</v>
          </cell>
          <cell r="T225">
            <v>110</v>
          </cell>
        </row>
        <row r="226">
          <cell r="B226">
            <v>230</v>
          </cell>
          <cell r="S226">
            <v>74126.899999999994</v>
          </cell>
          <cell r="T226">
            <v>2183.36</v>
          </cell>
        </row>
        <row r="227">
          <cell r="B227">
            <v>277</v>
          </cell>
          <cell r="S227">
            <v>80836.320000000007</v>
          </cell>
          <cell r="T227">
            <v>0</v>
          </cell>
        </row>
        <row r="228">
          <cell r="B228">
            <v>279</v>
          </cell>
          <cell r="S228">
            <v>170142.93</v>
          </cell>
          <cell r="T228">
            <v>671.56</v>
          </cell>
        </row>
        <row r="229">
          <cell r="B229">
            <v>331</v>
          </cell>
          <cell r="S229">
            <v>154031.09</v>
          </cell>
          <cell r="T229">
            <v>1052.98</v>
          </cell>
        </row>
        <row r="230">
          <cell r="B230">
            <v>369</v>
          </cell>
          <cell r="S230">
            <v>450151.28</v>
          </cell>
          <cell r="T230">
            <v>0</v>
          </cell>
        </row>
        <row r="231">
          <cell r="B231">
            <v>416</v>
          </cell>
          <cell r="S231">
            <v>53379.53</v>
          </cell>
          <cell r="T231">
            <v>735</v>
          </cell>
        </row>
        <row r="232">
          <cell r="B232">
            <v>420</v>
          </cell>
          <cell r="S232">
            <v>181392.42</v>
          </cell>
          <cell r="T232">
            <v>158.49</v>
          </cell>
        </row>
        <row r="233">
          <cell r="B233">
            <v>508</v>
          </cell>
          <cell r="S233">
            <v>70511.86</v>
          </cell>
          <cell r="T233">
            <v>0</v>
          </cell>
        </row>
        <row r="234">
          <cell r="B234">
            <v>512</v>
          </cell>
          <cell r="S234">
            <v>292037.07</v>
          </cell>
          <cell r="T234">
            <v>6673.84</v>
          </cell>
        </row>
        <row r="235">
          <cell r="B235">
            <v>516</v>
          </cell>
          <cell r="S235">
            <v>167497.34</v>
          </cell>
          <cell r="T235">
            <v>180.64</v>
          </cell>
        </row>
        <row r="236">
          <cell r="B236">
            <v>521</v>
          </cell>
          <cell r="S236">
            <v>373633.01</v>
          </cell>
          <cell r="T236">
            <v>8.85</v>
          </cell>
        </row>
        <row r="237">
          <cell r="B237">
            <v>522</v>
          </cell>
          <cell r="S237">
            <v>93639.74</v>
          </cell>
          <cell r="T237">
            <v>36</v>
          </cell>
        </row>
        <row r="238">
          <cell r="B238">
            <v>523</v>
          </cell>
          <cell r="S238">
            <v>285802.86</v>
          </cell>
          <cell r="T238">
            <v>321.60000000000002</v>
          </cell>
        </row>
        <row r="239">
          <cell r="B239">
            <v>527</v>
          </cell>
          <cell r="S239">
            <v>119863.42</v>
          </cell>
          <cell r="T239">
            <v>135</v>
          </cell>
        </row>
        <row r="240">
          <cell r="B240">
            <v>543</v>
          </cell>
          <cell r="S240">
            <v>42102.49</v>
          </cell>
          <cell r="T240">
            <v>0</v>
          </cell>
        </row>
        <row r="241">
          <cell r="B241">
            <v>547</v>
          </cell>
          <cell r="S241">
            <v>122807.2</v>
          </cell>
          <cell r="T241">
            <v>0</v>
          </cell>
        </row>
        <row r="242">
          <cell r="B242">
            <v>552</v>
          </cell>
          <cell r="S242">
            <v>108827.49</v>
          </cell>
          <cell r="T242">
            <v>0</v>
          </cell>
        </row>
        <row r="243">
          <cell r="B243">
            <v>567</v>
          </cell>
          <cell r="S243">
            <v>195195.07</v>
          </cell>
          <cell r="T243">
            <v>152</v>
          </cell>
        </row>
        <row r="244">
          <cell r="B244">
            <v>629</v>
          </cell>
          <cell r="S244">
            <v>183277.62</v>
          </cell>
          <cell r="T244">
            <v>561.61</v>
          </cell>
        </row>
        <row r="245">
          <cell r="B245">
            <v>630</v>
          </cell>
          <cell r="S245">
            <v>233180.61</v>
          </cell>
          <cell r="T245">
            <v>2518.79</v>
          </cell>
        </row>
        <row r="246">
          <cell r="B246">
            <v>695</v>
          </cell>
          <cell r="S246">
            <v>40518.69</v>
          </cell>
          <cell r="T246">
            <v>0</v>
          </cell>
        </row>
        <row r="247">
          <cell r="B247">
            <v>771</v>
          </cell>
          <cell r="S247">
            <v>63559.46</v>
          </cell>
          <cell r="T247">
            <v>0</v>
          </cell>
        </row>
        <row r="248">
          <cell r="B248">
            <v>830</v>
          </cell>
          <cell r="S248">
            <v>25322.05</v>
          </cell>
          <cell r="T248">
            <v>0</v>
          </cell>
        </row>
        <row r="249">
          <cell r="B249">
            <v>936</v>
          </cell>
          <cell r="S249">
            <v>69869.86</v>
          </cell>
          <cell r="T249">
            <v>0</v>
          </cell>
        </row>
        <row r="250">
          <cell r="B250">
            <v>952</v>
          </cell>
          <cell r="S250">
            <v>81300.5</v>
          </cell>
          <cell r="T250">
            <v>3878.1</v>
          </cell>
        </row>
        <row r="251">
          <cell r="B251">
            <v>982</v>
          </cell>
          <cell r="S251">
            <v>107892.54</v>
          </cell>
          <cell r="T251">
            <v>0</v>
          </cell>
        </row>
        <row r="252">
          <cell r="B252">
            <v>987</v>
          </cell>
          <cell r="S252">
            <v>88557.58</v>
          </cell>
          <cell r="T252">
            <v>0</v>
          </cell>
        </row>
        <row r="253">
          <cell r="B253">
            <v>998</v>
          </cell>
          <cell r="S253">
            <v>219857.96</v>
          </cell>
          <cell r="T253">
            <v>0</v>
          </cell>
        </row>
        <row r="254">
          <cell r="B254"/>
          <cell r="S254"/>
          <cell r="T254"/>
        </row>
        <row r="255">
          <cell r="B255"/>
          <cell r="S255"/>
          <cell r="T255"/>
        </row>
      </sheetData>
      <sheetData sheetId="6">
        <row r="5">
          <cell r="B5">
            <v>1</v>
          </cell>
          <cell r="N5">
            <v>38728.502695461008</v>
          </cell>
        </row>
        <row r="6">
          <cell r="B6">
            <v>20</v>
          </cell>
          <cell r="N6">
            <v>95138.34</v>
          </cell>
        </row>
        <row r="7">
          <cell r="B7">
            <v>50</v>
          </cell>
          <cell r="N7">
            <v>21832.32</v>
          </cell>
        </row>
        <row r="8">
          <cell r="B8">
            <v>97</v>
          </cell>
          <cell r="N8">
            <v>65818.306144817994</v>
          </cell>
        </row>
        <row r="9">
          <cell r="B9">
            <v>172</v>
          </cell>
          <cell r="N9">
            <v>34341.100000000006</v>
          </cell>
        </row>
        <row r="10">
          <cell r="B10">
            <v>270</v>
          </cell>
          <cell r="N10">
            <v>81774.8</v>
          </cell>
        </row>
        <row r="11">
          <cell r="B11">
            <v>6</v>
          </cell>
          <cell r="N11">
            <v>43278</v>
          </cell>
        </row>
        <row r="12">
          <cell r="B12">
            <v>18</v>
          </cell>
          <cell r="N12">
            <v>23157.74</v>
          </cell>
        </row>
        <row r="13">
          <cell r="B13">
            <v>53</v>
          </cell>
          <cell r="N13">
            <v>36449.64</v>
          </cell>
        </row>
        <row r="14">
          <cell r="B14">
            <v>335</v>
          </cell>
          <cell r="N14">
            <v>24830.720000000001</v>
          </cell>
        </row>
        <row r="15">
          <cell r="B15">
            <v>357</v>
          </cell>
          <cell r="N15">
            <v>35854.92</v>
          </cell>
        </row>
        <row r="16">
          <cell r="B16">
            <v>441</v>
          </cell>
          <cell r="N16">
            <v>56329.880000000012</v>
          </cell>
        </row>
        <row r="17">
          <cell r="B17">
            <v>14</v>
          </cell>
          <cell r="N17">
            <v>11321.630000000001</v>
          </cell>
        </row>
        <row r="18">
          <cell r="B18">
            <v>36</v>
          </cell>
          <cell r="N18">
            <v>8138.780484742425</v>
          </cell>
        </row>
        <row r="19">
          <cell r="B19">
            <v>55</v>
          </cell>
          <cell r="N19">
            <v>3445.1599999999994</v>
          </cell>
        </row>
        <row r="20">
          <cell r="B20">
            <v>103</v>
          </cell>
          <cell r="N20">
            <v>4118.84</v>
          </cell>
        </row>
        <row r="21">
          <cell r="B21">
            <v>123</v>
          </cell>
          <cell r="N21">
            <v>6660.5800000000008</v>
          </cell>
        </row>
        <row r="22">
          <cell r="B22">
            <v>179</v>
          </cell>
          <cell r="N22">
            <v>6074.0999999999995</v>
          </cell>
        </row>
        <row r="23">
          <cell r="B23">
            <v>293</v>
          </cell>
          <cell r="N23">
            <v>7960.05</v>
          </cell>
        </row>
        <row r="24">
          <cell r="B24">
            <v>12</v>
          </cell>
          <cell r="N24">
            <v>5092.2999999999993</v>
          </cell>
        </row>
        <row r="25">
          <cell r="B25">
            <v>21</v>
          </cell>
          <cell r="N25">
            <v>5179.17</v>
          </cell>
        </row>
        <row r="26">
          <cell r="B26">
            <v>34</v>
          </cell>
          <cell r="N26">
            <v>4762.82</v>
          </cell>
        </row>
        <row r="27">
          <cell r="B27">
            <v>87</v>
          </cell>
          <cell r="N27">
            <v>10810.4</v>
          </cell>
        </row>
        <row r="28">
          <cell r="B28">
            <v>88</v>
          </cell>
          <cell r="N28">
            <v>4759.3799999999992</v>
          </cell>
        </row>
        <row r="29">
          <cell r="B29">
            <v>89</v>
          </cell>
          <cell r="N29">
            <v>5636.98</v>
          </cell>
        </row>
        <row r="30">
          <cell r="B30">
            <v>143</v>
          </cell>
          <cell r="N30">
            <v>2834.8</v>
          </cell>
        </row>
        <row r="31">
          <cell r="B31">
            <v>183</v>
          </cell>
          <cell r="N31">
            <v>11774.169999999998</v>
          </cell>
        </row>
        <row r="32">
          <cell r="B32">
            <v>186</v>
          </cell>
          <cell r="N32">
            <v>11101.34</v>
          </cell>
        </row>
        <row r="33">
          <cell r="B33">
            <v>190</v>
          </cell>
          <cell r="N33">
            <v>3309.0599999999995</v>
          </cell>
        </row>
        <row r="34">
          <cell r="B34">
            <v>324</v>
          </cell>
          <cell r="N34">
            <v>7987.3900000000021</v>
          </cell>
        </row>
        <row r="35">
          <cell r="B35">
            <v>429</v>
          </cell>
          <cell r="N35">
            <v>4357.0309999999999</v>
          </cell>
        </row>
        <row r="36">
          <cell r="B36">
            <v>601</v>
          </cell>
          <cell r="N36">
            <v>5915.7199999999993</v>
          </cell>
        </row>
        <row r="37">
          <cell r="B37">
            <v>760</v>
          </cell>
          <cell r="N37">
            <v>5286.9399999999987</v>
          </cell>
        </row>
        <row r="38">
          <cell r="B38">
            <v>878</v>
          </cell>
          <cell r="N38">
            <v>7663.16</v>
          </cell>
        </row>
        <row r="39">
          <cell r="B39">
            <v>8</v>
          </cell>
          <cell r="N39">
            <v>2105.2199999999998</v>
          </cell>
        </row>
        <row r="40">
          <cell r="B40">
            <v>41</v>
          </cell>
          <cell r="N40">
            <v>1688.06</v>
          </cell>
        </row>
        <row r="41">
          <cell r="B41">
            <v>56</v>
          </cell>
          <cell r="N41">
            <v>3016.58</v>
          </cell>
        </row>
        <row r="42">
          <cell r="B42">
            <v>67</v>
          </cell>
          <cell r="N42">
            <v>1474.6758017491509</v>
          </cell>
        </row>
        <row r="43">
          <cell r="B43">
            <v>157</v>
          </cell>
          <cell r="N43">
            <v>446.65493195328992</v>
          </cell>
        </row>
        <row r="44">
          <cell r="B44">
            <v>214</v>
          </cell>
          <cell r="N44">
            <v>2922.96</v>
          </cell>
        </row>
        <row r="45">
          <cell r="B45">
            <v>223</v>
          </cell>
          <cell r="N45">
            <v>298.2</v>
          </cell>
        </row>
        <row r="46">
          <cell r="B46">
            <v>224</v>
          </cell>
          <cell r="N46">
            <v>257.07384904737762</v>
          </cell>
        </row>
        <row r="47">
          <cell r="B47">
            <v>233</v>
          </cell>
          <cell r="N47">
            <v>2096.4900000000002</v>
          </cell>
        </row>
        <row r="48">
          <cell r="B48">
            <v>272</v>
          </cell>
          <cell r="N48">
            <v>365.3662530466043</v>
          </cell>
        </row>
        <row r="49">
          <cell r="B49">
            <v>427</v>
          </cell>
          <cell r="N49">
            <v>444.9199999999999</v>
          </cell>
        </row>
        <row r="50">
          <cell r="B50">
            <v>524</v>
          </cell>
          <cell r="N50">
            <v>503.24541510407607</v>
          </cell>
        </row>
        <row r="51">
          <cell r="B51">
            <v>565</v>
          </cell>
          <cell r="N51">
            <v>471.64773139908056</v>
          </cell>
        </row>
        <row r="52">
          <cell r="B52">
            <v>696</v>
          </cell>
          <cell r="N52">
            <v>295.10104095842627</v>
          </cell>
        </row>
        <row r="53">
          <cell r="B53">
            <v>731</v>
          </cell>
          <cell r="N53">
            <v>859.8900000000001</v>
          </cell>
        </row>
        <row r="54">
          <cell r="B54">
            <v>732</v>
          </cell>
          <cell r="N54">
            <v>215.10540422039867</v>
          </cell>
        </row>
        <row r="55">
          <cell r="B55">
            <v>754</v>
          </cell>
          <cell r="N55">
            <v>114.00956480658041</v>
          </cell>
        </row>
        <row r="56">
          <cell r="B56">
            <v>885</v>
          </cell>
          <cell r="N56">
            <v>442.95</v>
          </cell>
        </row>
        <row r="57">
          <cell r="B57">
            <v>909</v>
          </cell>
          <cell r="N57">
            <v>496.92000000000007</v>
          </cell>
        </row>
        <row r="58">
          <cell r="B58">
            <v>923</v>
          </cell>
          <cell r="N58">
            <v>49.064782259954448</v>
          </cell>
        </row>
        <row r="59">
          <cell r="B59">
            <v>394</v>
          </cell>
          <cell r="N59">
            <v>634.74</v>
          </cell>
        </row>
        <row r="60">
          <cell r="B60">
            <v>414</v>
          </cell>
          <cell r="N60">
            <v>248.32677336420244</v>
          </cell>
        </row>
        <row r="61">
          <cell r="B61">
            <v>426</v>
          </cell>
          <cell r="N61">
            <v>398.46987658571351</v>
          </cell>
        </row>
        <row r="62">
          <cell r="B62">
            <v>430</v>
          </cell>
          <cell r="N62">
            <v>2885.2977142676095</v>
          </cell>
        </row>
        <row r="63">
          <cell r="B63">
            <v>443</v>
          </cell>
          <cell r="N63">
            <v>11.627319147048576</v>
          </cell>
        </row>
        <row r="64">
          <cell r="B64">
            <v>562</v>
          </cell>
          <cell r="N64">
            <v>55.566474597654711</v>
          </cell>
        </row>
        <row r="65">
          <cell r="B65">
            <v>603</v>
          </cell>
          <cell r="N65">
            <v>109.56634963052151</v>
          </cell>
        </row>
        <row r="66">
          <cell r="B66">
            <v>618</v>
          </cell>
          <cell r="N66">
            <v>22.913731248399976</v>
          </cell>
        </row>
        <row r="67">
          <cell r="B67">
            <v>620</v>
          </cell>
          <cell r="N67">
            <v>247.11841445539267</v>
          </cell>
        </row>
        <row r="68">
          <cell r="B68">
            <v>622</v>
          </cell>
          <cell r="N68">
            <v>117.76088798616892</v>
          </cell>
        </row>
        <row r="69">
          <cell r="B69">
            <v>623</v>
          </cell>
          <cell r="N69">
            <v>238.88534218865161</v>
          </cell>
        </row>
        <row r="70">
          <cell r="B70">
            <v>626</v>
          </cell>
          <cell r="N70">
            <v>22.444815850951411</v>
          </cell>
        </row>
        <row r="71">
          <cell r="B71">
            <v>627</v>
          </cell>
          <cell r="N71">
            <v>172.58791907246243</v>
          </cell>
        </row>
        <row r="72">
          <cell r="B72">
            <v>634</v>
          </cell>
          <cell r="N72">
            <v>648.63374679368712</v>
          </cell>
        </row>
        <row r="73">
          <cell r="B73">
            <v>636</v>
          </cell>
          <cell r="N73">
            <v>72.113777565310741</v>
          </cell>
        </row>
        <row r="74">
          <cell r="B74">
            <v>694</v>
          </cell>
          <cell r="N74">
            <v>10.25564638073009</v>
          </cell>
        </row>
        <row r="75">
          <cell r="B75">
            <v>710</v>
          </cell>
          <cell r="N75">
            <v>73.989999999999995</v>
          </cell>
        </row>
        <row r="76">
          <cell r="B76">
            <v>743</v>
          </cell>
          <cell r="N76">
            <v>82.770881637323171</v>
          </cell>
        </row>
        <row r="77">
          <cell r="B77">
            <v>747</v>
          </cell>
          <cell r="N77">
            <v>36.5</v>
          </cell>
        </row>
        <row r="78">
          <cell r="B78">
            <v>758</v>
          </cell>
          <cell r="N78">
            <v>306.60873748050523</v>
          </cell>
        </row>
        <row r="79">
          <cell r="B79">
            <v>765</v>
          </cell>
          <cell r="N79">
            <v>69.141877232449346</v>
          </cell>
        </row>
        <row r="80">
          <cell r="B80">
            <v>770</v>
          </cell>
          <cell r="N80">
            <v>25.798612785118063</v>
          </cell>
        </row>
        <row r="81">
          <cell r="B81">
            <v>774</v>
          </cell>
          <cell r="N81">
            <v>457.94097362750716</v>
          </cell>
        </row>
        <row r="82">
          <cell r="B82">
            <v>794</v>
          </cell>
          <cell r="N82">
            <v>19.568200239680415</v>
          </cell>
        </row>
        <row r="83">
          <cell r="B83">
            <v>806</v>
          </cell>
          <cell r="N83">
            <v>23.326411869078932</v>
          </cell>
        </row>
        <row r="84">
          <cell r="B84">
            <v>811</v>
          </cell>
          <cell r="N84">
            <v>746.28568297723302</v>
          </cell>
        </row>
        <row r="85">
          <cell r="B85">
            <v>824</v>
          </cell>
          <cell r="N85">
            <v>35.809199999999997</v>
          </cell>
        </row>
        <row r="86">
          <cell r="B86">
            <v>826</v>
          </cell>
          <cell r="N86">
            <v>41.71</v>
          </cell>
        </row>
        <row r="87">
          <cell r="B87">
            <v>840</v>
          </cell>
          <cell r="N87">
            <v>161.72</v>
          </cell>
        </row>
        <row r="88">
          <cell r="B88">
            <v>843</v>
          </cell>
          <cell r="N88">
            <v>19.13961999514169</v>
          </cell>
        </row>
        <row r="89">
          <cell r="B89">
            <v>846</v>
          </cell>
          <cell r="N89">
            <v>24.91</v>
          </cell>
        </row>
        <row r="90">
          <cell r="B90">
            <v>888</v>
          </cell>
          <cell r="N90">
            <v>110.31234724977445</v>
          </cell>
        </row>
        <row r="91">
          <cell r="B91">
            <v>889</v>
          </cell>
          <cell r="N91">
            <v>36.972175568059775</v>
          </cell>
        </row>
        <row r="92">
          <cell r="B92">
            <v>891</v>
          </cell>
          <cell r="N92">
            <v>291.67983388429468</v>
          </cell>
        </row>
        <row r="93">
          <cell r="B93">
            <v>904</v>
          </cell>
          <cell r="N93">
            <v>26.962939668155855</v>
          </cell>
        </row>
        <row r="94">
          <cell r="B94">
            <v>906</v>
          </cell>
          <cell r="N94">
            <v>185.1</v>
          </cell>
        </row>
        <row r="95">
          <cell r="B95">
            <v>917</v>
          </cell>
          <cell r="N95">
            <v>98.170300891747573</v>
          </cell>
        </row>
        <row r="96">
          <cell r="B96">
            <v>957</v>
          </cell>
          <cell r="N96">
            <v>104.75750331076839</v>
          </cell>
        </row>
        <row r="97">
          <cell r="B97">
            <v>959</v>
          </cell>
          <cell r="N97">
            <v>326.68938879207468</v>
          </cell>
        </row>
        <row r="98">
          <cell r="B98">
            <v>969</v>
          </cell>
          <cell r="N98">
            <v>21.452324077887976</v>
          </cell>
        </row>
        <row r="99">
          <cell r="B99">
            <v>970</v>
          </cell>
          <cell r="N99">
            <v>167.59129758245945</v>
          </cell>
        </row>
        <row r="100">
          <cell r="B100">
            <v>980</v>
          </cell>
          <cell r="N100">
            <v>38.773680173491201</v>
          </cell>
        </row>
        <row r="101">
          <cell r="B101">
            <v>986</v>
          </cell>
          <cell r="N101">
            <v>8.1183888146059324</v>
          </cell>
        </row>
        <row r="102">
          <cell r="B102">
            <v>988</v>
          </cell>
          <cell r="N102">
            <v>144.72352333946131</v>
          </cell>
        </row>
        <row r="103">
          <cell r="B103">
            <v>989</v>
          </cell>
          <cell r="N103">
            <v>456.51183625078789</v>
          </cell>
        </row>
        <row r="104">
          <cell r="B104">
            <v>39</v>
          </cell>
          <cell r="N104">
            <v>383.36</v>
          </cell>
        </row>
        <row r="105">
          <cell r="B105">
            <v>59</v>
          </cell>
          <cell r="N105">
            <v>233.31196774077719</v>
          </cell>
        </row>
        <row r="106">
          <cell r="B106">
            <v>128</v>
          </cell>
          <cell r="N106">
            <v>144.8151497882408</v>
          </cell>
        </row>
        <row r="107">
          <cell r="B107">
            <v>152</v>
          </cell>
          <cell r="N107">
            <v>355.34</v>
          </cell>
        </row>
        <row r="108">
          <cell r="B108">
            <v>162</v>
          </cell>
          <cell r="N108">
            <v>789.80000000000007</v>
          </cell>
        </row>
        <row r="109">
          <cell r="B109">
            <v>166</v>
          </cell>
          <cell r="N109">
            <v>860.3599999999999</v>
          </cell>
        </row>
        <row r="110">
          <cell r="B110">
            <v>192</v>
          </cell>
          <cell r="N110">
            <v>166.06</v>
          </cell>
        </row>
        <row r="111">
          <cell r="B111">
            <v>205</v>
          </cell>
          <cell r="N111">
            <v>611.51978389570877</v>
          </cell>
        </row>
        <row r="112">
          <cell r="B112">
            <v>212</v>
          </cell>
          <cell r="N112">
            <v>456.16891805920824</v>
          </cell>
        </row>
        <row r="113">
          <cell r="B113">
            <v>216</v>
          </cell>
          <cell r="N113">
            <v>764.6477139740557</v>
          </cell>
        </row>
        <row r="114">
          <cell r="B114">
            <v>229</v>
          </cell>
          <cell r="N114">
            <v>816</v>
          </cell>
        </row>
        <row r="115">
          <cell r="B115">
            <v>236</v>
          </cell>
          <cell r="N115">
            <v>1084.1000000000001</v>
          </cell>
        </row>
        <row r="116">
          <cell r="B116">
            <v>238</v>
          </cell>
          <cell r="N116">
            <v>67.316412345260062</v>
          </cell>
        </row>
        <row r="117">
          <cell r="B117">
            <v>239</v>
          </cell>
          <cell r="N117">
            <v>3252.7579008551165</v>
          </cell>
        </row>
        <row r="118">
          <cell r="B118">
            <v>249</v>
          </cell>
          <cell r="N118">
            <v>1154.9883434484898</v>
          </cell>
        </row>
        <row r="119">
          <cell r="B119">
            <v>271</v>
          </cell>
          <cell r="N119">
            <v>1048.2</v>
          </cell>
        </row>
        <row r="120">
          <cell r="B120">
            <v>275</v>
          </cell>
          <cell r="N120">
            <v>710.94999999999993</v>
          </cell>
        </row>
        <row r="121">
          <cell r="B121">
            <v>282</v>
          </cell>
          <cell r="N121">
            <v>145.34946417977184</v>
          </cell>
        </row>
        <row r="122">
          <cell r="B122">
            <v>287</v>
          </cell>
          <cell r="N122">
            <v>147.07202997933462</v>
          </cell>
        </row>
        <row r="123">
          <cell r="B123">
            <v>290</v>
          </cell>
          <cell r="N123">
            <v>335.89235607307199</v>
          </cell>
        </row>
        <row r="124">
          <cell r="B124">
            <v>294</v>
          </cell>
          <cell r="N124">
            <v>1221.8972650148394</v>
          </cell>
        </row>
        <row r="125">
          <cell r="B125">
            <v>296</v>
          </cell>
          <cell r="N125">
            <v>869.4000000000002</v>
          </cell>
        </row>
        <row r="126">
          <cell r="B126">
            <v>301</v>
          </cell>
          <cell r="N126">
            <v>630.73820209822964</v>
          </cell>
        </row>
        <row r="127">
          <cell r="B127">
            <v>321</v>
          </cell>
          <cell r="N127">
            <v>435.74</v>
          </cell>
        </row>
        <row r="128">
          <cell r="B128">
            <v>325</v>
          </cell>
          <cell r="N128">
            <v>394.42999008461817</v>
          </cell>
        </row>
        <row r="129">
          <cell r="B129">
            <v>346</v>
          </cell>
          <cell r="N129">
            <v>262.16879519273215</v>
          </cell>
        </row>
        <row r="130">
          <cell r="B130">
            <v>358</v>
          </cell>
          <cell r="N130">
            <v>379.12</v>
          </cell>
        </row>
        <row r="131">
          <cell r="B131">
            <v>361</v>
          </cell>
          <cell r="N131">
            <v>1540.865013619775</v>
          </cell>
        </row>
        <row r="132">
          <cell r="B132">
            <v>376</v>
          </cell>
          <cell r="N132">
            <v>685.89220705089633</v>
          </cell>
        </row>
        <row r="133">
          <cell r="B133">
            <v>382</v>
          </cell>
          <cell r="N133">
            <v>185.27</v>
          </cell>
        </row>
        <row r="134">
          <cell r="B134">
            <v>389</v>
          </cell>
          <cell r="N134">
            <v>971.31315779571287</v>
          </cell>
        </row>
        <row r="135">
          <cell r="B135">
            <v>434</v>
          </cell>
          <cell r="N135">
            <v>314.12901317026297</v>
          </cell>
        </row>
        <row r="136">
          <cell r="B136">
            <v>437</v>
          </cell>
          <cell r="N136">
            <v>381.25325546155779</v>
          </cell>
        </row>
        <row r="137">
          <cell r="B137">
            <v>502</v>
          </cell>
          <cell r="N137">
            <v>668.15033574141978</v>
          </cell>
        </row>
        <row r="138">
          <cell r="B138">
            <v>503</v>
          </cell>
          <cell r="N138">
            <v>362.80000000000007</v>
          </cell>
        </row>
        <row r="139">
          <cell r="B139">
            <v>510</v>
          </cell>
          <cell r="N139">
            <v>488.33931602748999</v>
          </cell>
        </row>
        <row r="140">
          <cell r="B140">
            <v>531</v>
          </cell>
          <cell r="N140">
            <v>2134.37</v>
          </cell>
        </row>
        <row r="141">
          <cell r="B141">
            <v>550</v>
          </cell>
          <cell r="N141">
            <v>257.69</v>
          </cell>
        </row>
        <row r="142">
          <cell r="B142">
            <v>551</v>
          </cell>
          <cell r="N142">
            <v>172.97</v>
          </cell>
        </row>
        <row r="143">
          <cell r="B143">
            <v>555</v>
          </cell>
          <cell r="N143">
            <v>603.33664613851852</v>
          </cell>
        </row>
        <row r="144">
          <cell r="B144">
            <v>556</v>
          </cell>
          <cell r="N144">
            <v>391.24677594424628</v>
          </cell>
        </row>
        <row r="145">
          <cell r="B145">
            <v>558</v>
          </cell>
          <cell r="N145">
            <v>347.54359974511453</v>
          </cell>
        </row>
        <row r="146">
          <cell r="B146">
            <v>600</v>
          </cell>
          <cell r="N146">
            <v>804.36</v>
          </cell>
        </row>
        <row r="147">
          <cell r="B147">
            <v>604</v>
          </cell>
          <cell r="N147">
            <v>727.41720759868917</v>
          </cell>
        </row>
        <row r="148">
          <cell r="B148">
            <v>612</v>
          </cell>
          <cell r="N148">
            <v>488.86576888424196</v>
          </cell>
        </row>
        <row r="149">
          <cell r="B149">
            <v>635</v>
          </cell>
          <cell r="N149">
            <v>48.589999999999996</v>
          </cell>
        </row>
        <row r="150">
          <cell r="B150">
            <v>711</v>
          </cell>
          <cell r="N150">
            <v>420.12</v>
          </cell>
        </row>
        <row r="151">
          <cell r="B151">
            <v>712</v>
          </cell>
          <cell r="N151">
            <v>743.30000000000007</v>
          </cell>
        </row>
        <row r="152">
          <cell r="B152">
            <v>718</v>
          </cell>
          <cell r="N152">
            <v>29.977429817390671</v>
          </cell>
        </row>
        <row r="153">
          <cell r="B153">
            <v>736</v>
          </cell>
          <cell r="N153">
            <v>138.56449994605035</v>
          </cell>
        </row>
        <row r="154">
          <cell r="B154">
            <v>757</v>
          </cell>
          <cell r="N154">
            <v>535.91999999999996</v>
          </cell>
        </row>
        <row r="155">
          <cell r="B155">
            <v>786</v>
          </cell>
          <cell r="N155">
            <v>3145.58</v>
          </cell>
        </row>
        <row r="156">
          <cell r="B156">
            <v>854</v>
          </cell>
          <cell r="N156">
            <v>839.93</v>
          </cell>
        </row>
        <row r="157">
          <cell r="B157">
            <v>855</v>
          </cell>
          <cell r="N157">
            <v>208.08754355551341</v>
          </cell>
        </row>
        <row r="158">
          <cell r="B158">
            <v>862</v>
          </cell>
          <cell r="N158">
            <v>13.057490298183062</v>
          </cell>
        </row>
        <row r="159">
          <cell r="B159">
            <v>958</v>
          </cell>
          <cell r="N159">
            <v>510.68493823667342</v>
          </cell>
        </row>
        <row r="160">
          <cell r="B160">
            <v>967</v>
          </cell>
          <cell r="N160">
            <v>180.72179769743559</v>
          </cell>
        </row>
        <row r="161">
          <cell r="B161">
            <v>971</v>
          </cell>
          <cell r="N161">
            <v>976</v>
          </cell>
        </row>
        <row r="162">
          <cell r="B162">
            <v>975</v>
          </cell>
          <cell r="N162">
            <v>19.270619314376521</v>
          </cell>
        </row>
        <row r="163">
          <cell r="B163">
            <v>976</v>
          </cell>
          <cell r="N163">
            <v>29.487564416476946</v>
          </cell>
        </row>
        <row r="164">
          <cell r="B164">
            <v>977</v>
          </cell>
          <cell r="N164">
            <v>40.759415747987155</v>
          </cell>
        </row>
        <row r="165">
          <cell r="B165">
            <v>979</v>
          </cell>
          <cell r="N165">
            <v>68.082908668012507</v>
          </cell>
        </row>
        <row r="166">
          <cell r="B166">
            <v>983</v>
          </cell>
          <cell r="N166">
            <v>86.136151469782178</v>
          </cell>
        </row>
        <row r="167">
          <cell r="B167">
            <v>188</v>
          </cell>
          <cell r="N167">
            <v>187.63</v>
          </cell>
        </row>
        <row r="168">
          <cell r="B168">
            <v>232</v>
          </cell>
          <cell r="N168">
            <v>97.381103404750618</v>
          </cell>
        </row>
        <row r="169">
          <cell r="B169">
            <v>245</v>
          </cell>
          <cell r="N169">
            <v>182.45317762647645</v>
          </cell>
        </row>
        <row r="170">
          <cell r="B170">
            <v>372</v>
          </cell>
          <cell r="N170">
            <v>120.44</v>
          </cell>
        </row>
        <row r="171">
          <cell r="B171">
            <v>375</v>
          </cell>
          <cell r="N171">
            <v>165.84</v>
          </cell>
        </row>
        <row r="172">
          <cell r="B172">
            <v>404</v>
          </cell>
          <cell r="N172">
            <v>471.43130890795055</v>
          </cell>
        </row>
        <row r="173">
          <cell r="B173">
            <v>413</v>
          </cell>
          <cell r="N173">
            <v>73.969999999999985</v>
          </cell>
        </row>
        <row r="174">
          <cell r="B174">
            <v>537</v>
          </cell>
          <cell r="N174">
            <v>21.43637439455869</v>
          </cell>
        </row>
        <row r="175">
          <cell r="B175">
            <v>545</v>
          </cell>
          <cell r="N175">
            <v>14.770835019629734</v>
          </cell>
        </row>
        <row r="176">
          <cell r="B176">
            <v>602</v>
          </cell>
          <cell r="N176">
            <v>19.642035020014156</v>
          </cell>
        </row>
        <row r="177">
          <cell r="B177">
            <v>605</v>
          </cell>
          <cell r="N177">
            <v>10.431092897352221</v>
          </cell>
        </row>
        <row r="178">
          <cell r="B178">
            <v>607</v>
          </cell>
          <cell r="N178">
            <v>15.646639346028332</v>
          </cell>
        </row>
        <row r="179">
          <cell r="B179">
            <v>610</v>
          </cell>
          <cell r="N179">
            <v>73.259013247540878</v>
          </cell>
        </row>
        <row r="180">
          <cell r="B180">
            <v>611</v>
          </cell>
          <cell r="N180">
            <v>19.550165032086241</v>
          </cell>
        </row>
        <row r="181">
          <cell r="B181">
            <v>616</v>
          </cell>
          <cell r="N181">
            <v>186.85</v>
          </cell>
        </row>
        <row r="182">
          <cell r="B182">
            <v>637</v>
          </cell>
          <cell r="N182">
            <v>2.2728298744230755</v>
          </cell>
        </row>
        <row r="183">
          <cell r="B183">
            <v>638</v>
          </cell>
          <cell r="N183">
            <v>10.470967105675433</v>
          </cell>
        </row>
        <row r="184">
          <cell r="B184">
            <v>639</v>
          </cell>
          <cell r="N184">
            <v>21.173204619625494</v>
          </cell>
        </row>
        <row r="185">
          <cell r="B185">
            <v>706</v>
          </cell>
          <cell r="N185">
            <v>61.701349959338025</v>
          </cell>
        </row>
        <row r="186">
          <cell r="B186">
            <v>709</v>
          </cell>
          <cell r="N186">
            <v>74.93628755379919</v>
          </cell>
        </row>
        <row r="187">
          <cell r="B187">
            <v>714</v>
          </cell>
          <cell r="N187">
            <v>57.802840339332469</v>
          </cell>
        </row>
        <row r="188">
          <cell r="B188">
            <v>749</v>
          </cell>
          <cell r="N188">
            <v>22.43579824715432</v>
          </cell>
        </row>
        <row r="189">
          <cell r="B189">
            <v>764</v>
          </cell>
          <cell r="N189">
            <v>34.6</v>
          </cell>
        </row>
        <row r="190">
          <cell r="B190">
            <v>775</v>
          </cell>
          <cell r="N190">
            <v>125.81110210139802</v>
          </cell>
        </row>
        <row r="191">
          <cell r="B191">
            <v>790</v>
          </cell>
          <cell r="N191">
            <v>21.43637439455869</v>
          </cell>
        </row>
        <row r="192">
          <cell r="B192">
            <v>795</v>
          </cell>
          <cell r="N192">
            <v>330.20629396618199</v>
          </cell>
        </row>
        <row r="193">
          <cell r="B193">
            <v>796</v>
          </cell>
          <cell r="N193">
            <v>23.924524993927111</v>
          </cell>
        </row>
        <row r="194">
          <cell r="B194">
            <v>797</v>
          </cell>
          <cell r="N194">
            <v>27.819307714015707</v>
          </cell>
        </row>
        <row r="195">
          <cell r="B195">
            <v>801</v>
          </cell>
          <cell r="N195">
            <v>143.33481235470978</v>
          </cell>
        </row>
        <row r="196">
          <cell r="B196">
            <v>809</v>
          </cell>
          <cell r="N196">
            <v>477.2783239455166</v>
          </cell>
        </row>
        <row r="197">
          <cell r="B197">
            <v>810</v>
          </cell>
          <cell r="N197">
            <v>129.91</v>
          </cell>
        </row>
        <row r="198">
          <cell r="B198">
            <v>812</v>
          </cell>
          <cell r="N198">
            <v>52.402684578365019</v>
          </cell>
        </row>
        <row r="199">
          <cell r="B199">
            <v>818</v>
          </cell>
          <cell r="N199">
            <v>39.084698998412264</v>
          </cell>
        </row>
        <row r="200">
          <cell r="B200">
            <v>833</v>
          </cell>
          <cell r="N200">
            <v>68.497718442678561</v>
          </cell>
        </row>
        <row r="201">
          <cell r="B201">
            <v>834</v>
          </cell>
          <cell r="N201">
            <v>93.830000000000013</v>
          </cell>
        </row>
        <row r="202">
          <cell r="B202">
            <v>837</v>
          </cell>
          <cell r="N202">
            <v>191.19000000000003</v>
          </cell>
        </row>
        <row r="203">
          <cell r="B203">
            <v>845</v>
          </cell>
          <cell r="N203">
            <v>5.5265652735971607</v>
          </cell>
        </row>
        <row r="204">
          <cell r="B204">
            <v>847</v>
          </cell>
          <cell r="N204">
            <v>70.589802523602913</v>
          </cell>
        </row>
        <row r="205">
          <cell r="B205">
            <v>866</v>
          </cell>
          <cell r="N205">
            <v>160.53138279575614</v>
          </cell>
        </row>
        <row r="206">
          <cell r="B206">
            <v>871</v>
          </cell>
          <cell r="N206">
            <v>16.078387570207461</v>
          </cell>
        </row>
        <row r="207">
          <cell r="B207">
            <v>873</v>
          </cell>
          <cell r="N207">
            <v>159.24</v>
          </cell>
        </row>
        <row r="208">
          <cell r="B208">
            <v>895</v>
          </cell>
          <cell r="N208">
            <v>9.8090552475101163</v>
          </cell>
        </row>
        <row r="209">
          <cell r="B209">
            <v>897</v>
          </cell>
          <cell r="N209">
            <v>75.298454997553264</v>
          </cell>
        </row>
        <row r="210">
          <cell r="B210">
            <v>905</v>
          </cell>
          <cell r="N210">
            <v>92.836231091018377</v>
          </cell>
        </row>
        <row r="211">
          <cell r="B211">
            <v>907</v>
          </cell>
          <cell r="N211">
            <v>17.277728875220131</v>
          </cell>
        </row>
        <row r="212">
          <cell r="B212">
            <v>918</v>
          </cell>
          <cell r="N212">
            <v>63.790529260598753</v>
          </cell>
        </row>
        <row r="213">
          <cell r="B213">
            <v>922</v>
          </cell>
          <cell r="N213">
            <v>137.07</v>
          </cell>
        </row>
        <row r="214">
          <cell r="B214">
            <v>924</v>
          </cell>
          <cell r="N214">
            <v>101.88088769949739</v>
          </cell>
        </row>
        <row r="215">
          <cell r="B215">
            <v>929</v>
          </cell>
          <cell r="N215">
            <v>63.123226579614247</v>
          </cell>
        </row>
        <row r="216">
          <cell r="B216">
            <v>955</v>
          </cell>
          <cell r="N216">
            <v>40.67169248967609</v>
          </cell>
        </row>
        <row r="217">
          <cell r="B217">
            <v>973</v>
          </cell>
          <cell r="N217">
            <v>7.5601498980809678</v>
          </cell>
        </row>
        <row r="218">
          <cell r="B218">
            <v>974</v>
          </cell>
          <cell r="N218">
            <v>15.839999999999998</v>
          </cell>
        </row>
        <row r="219">
          <cell r="B219">
            <v>978</v>
          </cell>
          <cell r="N219">
            <v>0</v>
          </cell>
        </row>
        <row r="220">
          <cell r="B220">
            <v>985</v>
          </cell>
          <cell r="N220">
            <v>44.348575474077556</v>
          </cell>
        </row>
        <row r="221">
          <cell r="B221">
            <v>100</v>
          </cell>
          <cell r="N221">
            <v>31.644171725300925</v>
          </cell>
        </row>
        <row r="222">
          <cell r="B222">
            <v>159</v>
          </cell>
          <cell r="N222">
            <v>836.31061134951221</v>
          </cell>
        </row>
        <row r="223">
          <cell r="B223">
            <v>173</v>
          </cell>
          <cell r="N223">
            <v>331.48</v>
          </cell>
        </row>
        <row r="224">
          <cell r="B224">
            <v>204</v>
          </cell>
          <cell r="N224">
            <v>581.54937871071559</v>
          </cell>
        </row>
        <row r="225">
          <cell r="B225">
            <v>218</v>
          </cell>
          <cell r="N225">
            <v>290.41193028521099</v>
          </cell>
        </row>
        <row r="226">
          <cell r="B226">
            <v>230</v>
          </cell>
          <cell r="N226">
            <v>138.87109847515134</v>
          </cell>
        </row>
        <row r="227">
          <cell r="B227">
            <v>277</v>
          </cell>
          <cell r="N227">
            <v>116.68788323704716</v>
          </cell>
        </row>
        <row r="228">
          <cell r="B228">
            <v>279</v>
          </cell>
          <cell r="N228">
            <v>433.73772503612372</v>
          </cell>
        </row>
        <row r="229">
          <cell r="B229">
            <v>331</v>
          </cell>
          <cell r="N229">
            <v>394.99809912383472</v>
          </cell>
        </row>
        <row r="230">
          <cell r="B230">
            <v>369</v>
          </cell>
          <cell r="N230">
            <v>361.24999999999994</v>
          </cell>
        </row>
        <row r="231">
          <cell r="B231">
            <v>416</v>
          </cell>
          <cell r="N231">
            <v>77.118547672694447</v>
          </cell>
        </row>
        <row r="232">
          <cell r="B232">
            <v>420</v>
          </cell>
          <cell r="N232">
            <v>439.19048015518462</v>
          </cell>
        </row>
        <row r="233">
          <cell r="B233">
            <v>508</v>
          </cell>
          <cell r="N233">
            <v>97.534402669301102</v>
          </cell>
        </row>
        <row r="234">
          <cell r="B234">
            <v>512</v>
          </cell>
          <cell r="N234">
            <v>240.71591575946039</v>
          </cell>
        </row>
        <row r="235">
          <cell r="B235">
            <v>516</v>
          </cell>
          <cell r="N235">
            <v>342.01065921214706</v>
          </cell>
        </row>
        <row r="236">
          <cell r="B236">
            <v>521</v>
          </cell>
          <cell r="N236">
            <v>150.54889539237996</v>
          </cell>
        </row>
        <row r="237">
          <cell r="B237">
            <v>522</v>
          </cell>
          <cell r="N237">
            <v>107.92268224354619</v>
          </cell>
        </row>
        <row r="238">
          <cell r="B238">
            <v>523</v>
          </cell>
          <cell r="N238">
            <v>909.72292386160336</v>
          </cell>
        </row>
        <row r="239">
          <cell r="B239">
            <v>527</v>
          </cell>
          <cell r="N239">
            <v>178.04356936970052</v>
          </cell>
        </row>
        <row r="240">
          <cell r="B240">
            <v>543</v>
          </cell>
          <cell r="N240">
            <v>64.881659320046367</v>
          </cell>
        </row>
        <row r="241">
          <cell r="B241">
            <v>547</v>
          </cell>
          <cell r="N241">
            <v>231.39171343327169</v>
          </cell>
        </row>
        <row r="242">
          <cell r="B242">
            <v>552</v>
          </cell>
          <cell r="N242">
            <v>114.55</v>
          </cell>
        </row>
        <row r="243">
          <cell r="B243">
            <v>567</v>
          </cell>
          <cell r="N243">
            <v>343.68793351840543</v>
          </cell>
        </row>
        <row r="244">
          <cell r="B244">
            <v>629</v>
          </cell>
          <cell r="N244">
            <v>258.73</v>
          </cell>
        </row>
        <row r="245">
          <cell r="B245">
            <v>630</v>
          </cell>
          <cell r="N245">
            <v>179.48000000000002</v>
          </cell>
        </row>
        <row r="246">
          <cell r="B246">
            <v>695</v>
          </cell>
          <cell r="N246">
            <v>29.69831035912819</v>
          </cell>
        </row>
        <row r="247">
          <cell r="B247">
            <v>771</v>
          </cell>
          <cell r="N247">
            <v>176.36629506344221</v>
          </cell>
        </row>
        <row r="248">
          <cell r="B248">
            <v>830</v>
          </cell>
          <cell r="N248">
            <v>22.210358152227126</v>
          </cell>
        </row>
        <row r="249">
          <cell r="B249">
            <v>936</v>
          </cell>
          <cell r="N249">
            <v>43.383691867789167</v>
          </cell>
        </row>
        <row r="250">
          <cell r="B250">
            <v>952</v>
          </cell>
          <cell r="N250">
            <v>65.756366888363871</v>
          </cell>
        </row>
        <row r="251">
          <cell r="B251">
            <v>982</v>
          </cell>
          <cell r="N251">
            <v>97.412690933606555</v>
          </cell>
        </row>
        <row r="252">
          <cell r="B252">
            <v>987</v>
          </cell>
          <cell r="N252">
            <v>253.77541145224947</v>
          </cell>
        </row>
        <row r="253">
          <cell r="B253">
            <v>998</v>
          </cell>
          <cell r="N253">
            <v>43.600114358919271</v>
          </cell>
        </row>
        <row r="254">
          <cell r="B254"/>
        </row>
        <row r="255">
          <cell r="B2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Funding"/>
      <sheetName val="Cost Bands for 2020 MFAM"/>
      <sheetName val="2018 Data Lockdown"/>
      <sheetName val="2018 Best Practice Scores"/>
      <sheetName val="Revised 2019 MFAM(2017 PYAs)"/>
      <sheetName val="Revised 2019 MFAM Cost Bands"/>
      <sheetName val="2017 Lockdown Update"/>
      <sheetName val="Revised 2018 MFAM(2016 PYAs)"/>
      <sheetName val="Revised 2018 MFAM Cost Bands"/>
      <sheetName val="2016 Lockdown Update"/>
    </sheetNames>
    <sheetDataSet>
      <sheetData sheetId="0">
        <row r="23">
          <cell r="AD23">
            <v>216218.16000000015</v>
          </cell>
        </row>
        <row r="26">
          <cell r="B26">
            <v>1</v>
          </cell>
          <cell r="S26">
            <v>4941681.0543130776</v>
          </cell>
        </row>
        <row r="27">
          <cell r="B27">
            <v>20</v>
          </cell>
          <cell r="S27">
            <v>22480314.530982662</v>
          </cell>
        </row>
        <row r="28">
          <cell r="B28">
            <v>50</v>
          </cell>
          <cell r="S28">
            <v>3273346.3131831107</v>
          </cell>
        </row>
        <row r="29">
          <cell r="B29">
            <v>97</v>
          </cell>
          <cell r="S29">
            <v>10837754.557979662</v>
          </cell>
        </row>
        <row r="30">
          <cell r="B30">
            <v>172</v>
          </cell>
          <cell r="S30">
            <v>5445073.0887139011</v>
          </cell>
        </row>
        <row r="31">
          <cell r="B31">
            <v>270</v>
          </cell>
          <cell r="S31">
            <v>13359773.982291199</v>
          </cell>
        </row>
        <row r="32">
          <cell r="B32">
            <v>6</v>
          </cell>
          <cell r="S32">
            <v>6405076.3357704822</v>
          </cell>
        </row>
        <row r="33">
          <cell r="B33">
            <v>18</v>
          </cell>
          <cell r="S33">
            <v>2718590.6069434336</v>
          </cell>
        </row>
        <row r="34">
          <cell r="B34">
            <v>53</v>
          </cell>
          <cell r="S34">
            <v>4178532.5545701347</v>
          </cell>
        </row>
        <row r="35">
          <cell r="B35">
            <v>335</v>
          </cell>
          <cell r="S35">
            <v>3478753.6197124831</v>
          </cell>
        </row>
        <row r="36">
          <cell r="B36">
            <v>357</v>
          </cell>
          <cell r="S36">
            <v>4357337.5908135688</v>
          </cell>
        </row>
        <row r="37">
          <cell r="B37">
            <v>441</v>
          </cell>
          <cell r="S37">
            <v>6502110.6610608073</v>
          </cell>
        </row>
        <row r="38">
          <cell r="B38">
            <v>14</v>
          </cell>
          <cell r="S38">
            <v>1320604.928925063</v>
          </cell>
        </row>
        <row r="39">
          <cell r="B39">
            <v>36</v>
          </cell>
          <cell r="S39">
            <v>1682478.3161635017</v>
          </cell>
        </row>
        <row r="40">
          <cell r="B40">
            <v>55</v>
          </cell>
          <cell r="S40">
            <v>573143.50872795307</v>
          </cell>
        </row>
        <row r="41">
          <cell r="B41">
            <v>103</v>
          </cell>
          <cell r="S41">
            <v>483953.7380064021</v>
          </cell>
        </row>
        <row r="42">
          <cell r="B42">
            <v>123</v>
          </cell>
          <cell r="S42">
            <v>740063.14669575333</v>
          </cell>
        </row>
        <row r="43">
          <cell r="B43">
            <v>179</v>
          </cell>
          <cell r="S43">
            <v>848906.12957771111</v>
          </cell>
        </row>
        <row r="44">
          <cell r="B44">
            <v>293</v>
          </cell>
          <cell r="S44">
            <v>857536.42050748761</v>
          </cell>
        </row>
        <row r="45">
          <cell r="B45">
            <v>12</v>
          </cell>
          <cell r="S45">
            <v>921616.45694195793</v>
          </cell>
        </row>
        <row r="46">
          <cell r="B46">
            <v>21</v>
          </cell>
          <cell r="S46">
            <v>967186.06012469775</v>
          </cell>
        </row>
        <row r="47">
          <cell r="B47">
            <v>34</v>
          </cell>
          <cell r="S47">
            <v>727852.43607593118</v>
          </cell>
        </row>
        <row r="48">
          <cell r="B48">
            <v>87</v>
          </cell>
          <cell r="S48">
            <v>1783908.7991875955</v>
          </cell>
        </row>
        <row r="49">
          <cell r="B49">
            <v>88</v>
          </cell>
          <cell r="S49">
            <v>732601.27991797519</v>
          </cell>
        </row>
        <row r="50">
          <cell r="B50">
            <v>89</v>
          </cell>
          <cell r="S50">
            <v>1221080.2605518012</v>
          </cell>
        </row>
        <row r="51">
          <cell r="B51">
            <v>143</v>
          </cell>
          <cell r="S51">
            <v>321594.07403544139</v>
          </cell>
        </row>
        <row r="52">
          <cell r="B52">
            <v>183</v>
          </cell>
          <cell r="S52">
            <v>2458001.9199764691</v>
          </cell>
        </row>
        <row r="53">
          <cell r="B53">
            <v>186</v>
          </cell>
          <cell r="S53">
            <v>2470139.8791398383</v>
          </cell>
        </row>
        <row r="54">
          <cell r="B54">
            <v>190</v>
          </cell>
          <cell r="S54">
            <v>629902.50373498432</v>
          </cell>
        </row>
        <row r="55">
          <cell r="B55">
            <v>324</v>
          </cell>
          <cell r="S55">
            <v>1355055.6360613119</v>
          </cell>
        </row>
        <row r="56">
          <cell r="B56">
            <v>429</v>
          </cell>
          <cell r="S56">
            <v>598129.86934252782</v>
          </cell>
        </row>
        <row r="57">
          <cell r="B57">
            <v>601</v>
          </cell>
          <cell r="S57">
            <v>1125846.4670921497</v>
          </cell>
        </row>
        <row r="58">
          <cell r="B58">
            <v>760</v>
          </cell>
          <cell r="S58">
            <v>516597.03176593798</v>
          </cell>
        </row>
        <row r="59">
          <cell r="B59">
            <v>878</v>
          </cell>
          <cell r="S59">
            <v>1039808.2130378825</v>
          </cell>
        </row>
        <row r="60">
          <cell r="B60">
            <v>8</v>
          </cell>
          <cell r="S60">
            <v>283351.75074889354</v>
          </cell>
        </row>
        <row r="61">
          <cell r="B61">
            <v>41</v>
          </cell>
          <cell r="S61">
            <v>206047.0678407446</v>
          </cell>
        </row>
        <row r="62">
          <cell r="B62">
            <v>56</v>
          </cell>
          <cell r="S62">
            <v>334625.35057571071</v>
          </cell>
        </row>
        <row r="63">
          <cell r="B63">
            <v>67</v>
          </cell>
          <cell r="S63">
            <v>144641.84622393522</v>
          </cell>
        </row>
        <row r="64">
          <cell r="B64">
            <v>157</v>
          </cell>
          <cell r="S64">
            <v>65136.685557303601</v>
          </cell>
        </row>
        <row r="65">
          <cell r="B65">
            <v>214</v>
          </cell>
          <cell r="S65">
            <v>536623.55322199606</v>
          </cell>
        </row>
        <row r="66">
          <cell r="B66">
            <v>223</v>
          </cell>
          <cell r="S66">
            <v>52825.441028051078</v>
          </cell>
        </row>
        <row r="67">
          <cell r="B67">
            <v>224</v>
          </cell>
          <cell r="S67">
            <v>34099.268897082882</v>
          </cell>
        </row>
        <row r="68">
          <cell r="B68">
            <v>233</v>
          </cell>
          <cell r="S68">
            <v>221264.41561523429</v>
          </cell>
        </row>
        <row r="69">
          <cell r="B69">
            <v>272</v>
          </cell>
          <cell r="S69">
            <v>41462.570343591447</v>
          </cell>
        </row>
        <row r="70">
          <cell r="B70">
            <v>427</v>
          </cell>
          <cell r="S70">
            <v>64553.96327162956</v>
          </cell>
        </row>
        <row r="71">
          <cell r="B71">
            <v>524</v>
          </cell>
          <cell r="S71">
            <v>92355.156373547303</v>
          </cell>
        </row>
        <row r="72">
          <cell r="B72">
            <v>565</v>
          </cell>
          <cell r="S72">
            <v>71101.229275004967</v>
          </cell>
        </row>
        <row r="73">
          <cell r="B73">
            <v>696</v>
          </cell>
          <cell r="S73">
            <v>49261.136579212056</v>
          </cell>
        </row>
        <row r="74">
          <cell r="B74">
            <v>731</v>
          </cell>
          <cell r="S74">
            <v>102501.71212919508</v>
          </cell>
        </row>
        <row r="75">
          <cell r="B75">
            <v>732</v>
          </cell>
          <cell r="S75">
            <v>30556.356067631656</v>
          </cell>
        </row>
        <row r="76">
          <cell r="B76">
            <v>754</v>
          </cell>
          <cell r="S76">
            <v>15096.984643654363</v>
          </cell>
        </row>
        <row r="77">
          <cell r="B77">
            <v>885</v>
          </cell>
          <cell r="S77">
            <v>48295.871263655332</v>
          </cell>
        </row>
        <row r="78">
          <cell r="B78">
            <v>909</v>
          </cell>
          <cell r="S78">
            <v>75797.356195711924</v>
          </cell>
        </row>
        <row r="79">
          <cell r="B79">
            <v>923</v>
          </cell>
          <cell r="S79">
            <v>8596.7090536381711</v>
          </cell>
        </row>
        <row r="80">
          <cell r="B80">
            <v>394</v>
          </cell>
          <cell r="S80">
            <v>132475.84587369469</v>
          </cell>
        </row>
        <row r="81">
          <cell r="B81">
            <v>414</v>
          </cell>
          <cell r="S81">
            <v>88312.465118726555</v>
          </cell>
        </row>
        <row r="82">
          <cell r="B82">
            <v>426</v>
          </cell>
          <cell r="S82">
            <v>51652.014872251479</v>
          </cell>
        </row>
        <row r="83">
          <cell r="B83">
            <v>430</v>
          </cell>
          <cell r="S83">
            <v>624805.19972570334</v>
          </cell>
        </row>
        <row r="84">
          <cell r="B84">
            <v>443</v>
          </cell>
          <cell r="S84">
            <v>4502.2773812483192</v>
          </cell>
        </row>
        <row r="85">
          <cell r="B85">
            <v>562</v>
          </cell>
          <cell r="S85">
            <v>15593.515048897016</v>
          </cell>
        </row>
        <row r="86">
          <cell r="B86">
            <v>603</v>
          </cell>
          <cell r="S86">
            <v>27903.02928088827</v>
          </cell>
        </row>
        <row r="87">
          <cell r="B87">
            <v>618</v>
          </cell>
          <cell r="S87">
            <v>5384.2121988407962</v>
          </cell>
        </row>
        <row r="88">
          <cell r="B88">
            <v>620</v>
          </cell>
          <cell r="S88">
            <v>45628.836862146818</v>
          </cell>
        </row>
        <row r="89">
          <cell r="B89">
            <v>622</v>
          </cell>
          <cell r="S89">
            <v>27252.438493917773</v>
          </cell>
        </row>
        <row r="90">
          <cell r="B90">
            <v>623</v>
          </cell>
          <cell r="S90">
            <v>35988.457474283125</v>
          </cell>
        </row>
        <row r="91">
          <cell r="B91">
            <v>626</v>
          </cell>
          <cell r="S91">
            <v>5576.5389863442433</v>
          </cell>
        </row>
        <row r="92">
          <cell r="B92">
            <v>627</v>
          </cell>
          <cell r="S92">
            <v>29668.13080228561</v>
          </cell>
        </row>
        <row r="93">
          <cell r="B93">
            <v>634</v>
          </cell>
          <cell r="S93">
            <v>202156.10960381705</v>
          </cell>
        </row>
        <row r="94">
          <cell r="B94">
            <v>636</v>
          </cell>
          <cell r="S94">
            <v>3730.0117044625481</v>
          </cell>
        </row>
        <row r="95">
          <cell r="B95">
            <v>694</v>
          </cell>
          <cell r="S95">
            <v>4371.3372763782863</v>
          </cell>
        </row>
        <row r="96">
          <cell r="B96">
            <v>706</v>
          </cell>
          <cell r="S96">
            <v>19070.70317625616</v>
          </cell>
        </row>
        <row r="97">
          <cell r="B97">
            <v>710</v>
          </cell>
          <cell r="S97">
            <v>16189.632970767432</v>
          </cell>
        </row>
        <row r="98">
          <cell r="B98">
            <v>743</v>
          </cell>
          <cell r="S98">
            <v>34236.600752476144</v>
          </cell>
        </row>
        <row r="99">
          <cell r="B99">
            <v>747</v>
          </cell>
          <cell r="S99">
            <v>13961.129155700608</v>
          </cell>
        </row>
        <row r="100">
          <cell r="B100">
            <v>758</v>
          </cell>
          <cell r="S100">
            <v>105994.46880464542</v>
          </cell>
        </row>
        <row r="101">
          <cell r="B101">
            <v>765</v>
          </cell>
          <cell r="S101">
            <v>25684.688897177282</v>
          </cell>
        </row>
        <row r="102">
          <cell r="B102">
            <v>770</v>
          </cell>
          <cell r="S102">
            <v>7729.6530672174222</v>
          </cell>
        </row>
        <row r="103">
          <cell r="B103">
            <v>774</v>
          </cell>
          <cell r="S103">
            <v>108101.73360956532</v>
          </cell>
        </row>
        <row r="104">
          <cell r="B104">
            <v>794</v>
          </cell>
          <cell r="S104">
            <v>8005.9746483823446</v>
          </cell>
        </row>
        <row r="105">
          <cell r="B105">
            <v>806</v>
          </cell>
          <cell r="S105">
            <v>8757.2215656162571</v>
          </cell>
        </row>
        <row r="106">
          <cell r="B106">
            <v>809</v>
          </cell>
          <cell r="S106">
            <v>161879.20302645591</v>
          </cell>
        </row>
        <row r="107">
          <cell r="B107">
            <v>811</v>
          </cell>
          <cell r="S107">
            <v>178810.73384859384</v>
          </cell>
        </row>
        <row r="108">
          <cell r="B108">
            <v>824</v>
          </cell>
          <cell r="S108">
            <v>13612.440495222354</v>
          </cell>
        </row>
        <row r="109">
          <cell r="B109">
            <v>826</v>
          </cell>
          <cell r="S109">
            <v>11464.479429887228</v>
          </cell>
        </row>
        <row r="110">
          <cell r="B110">
            <v>840</v>
          </cell>
          <cell r="S110">
            <v>32568.171175282241</v>
          </cell>
        </row>
        <row r="111">
          <cell r="B111">
            <v>843</v>
          </cell>
          <cell r="S111">
            <v>7140.2405688291201</v>
          </cell>
        </row>
        <row r="112">
          <cell r="B112">
            <v>846</v>
          </cell>
          <cell r="S112">
            <v>9381.0911399043453</v>
          </cell>
        </row>
        <row r="113">
          <cell r="B113">
            <v>888</v>
          </cell>
          <cell r="S113">
            <v>19237.060082448515</v>
          </cell>
        </row>
        <row r="114">
          <cell r="B114">
            <v>889</v>
          </cell>
          <cell r="S114">
            <v>14738.166420961134</v>
          </cell>
        </row>
        <row r="115">
          <cell r="B115">
            <v>891</v>
          </cell>
          <cell r="S115">
            <v>37188.537491063573</v>
          </cell>
        </row>
        <row r="116">
          <cell r="B116">
            <v>897</v>
          </cell>
          <cell r="S116">
            <v>29958.230539414995</v>
          </cell>
        </row>
        <row r="117">
          <cell r="B117">
            <v>904</v>
          </cell>
          <cell r="S117">
            <v>4898.8897170545806</v>
          </cell>
        </row>
        <row r="118">
          <cell r="B118">
            <v>906</v>
          </cell>
          <cell r="S118">
            <v>70845.851241392345</v>
          </cell>
        </row>
        <row r="119">
          <cell r="B119">
            <v>917</v>
          </cell>
          <cell r="S119">
            <v>19589.570418288749</v>
          </cell>
        </row>
        <row r="120">
          <cell r="B120">
            <v>957</v>
          </cell>
          <cell r="S120">
            <v>15638.288920026536</v>
          </cell>
        </row>
        <row r="121">
          <cell r="B121">
            <v>959</v>
          </cell>
          <cell r="S121">
            <v>51709.840577511139</v>
          </cell>
        </row>
        <row r="122">
          <cell r="B122">
            <v>969</v>
          </cell>
          <cell r="S122">
            <v>8433.3226775648454</v>
          </cell>
        </row>
        <row r="123">
          <cell r="B123">
            <v>970</v>
          </cell>
          <cell r="S123">
            <v>28202.707797179723</v>
          </cell>
        </row>
        <row r="124">
          <cell r="B124">
            <v>978</v>
          </cell>
          <cell r="S124">
            <v>0</v>
          </cell>
        </row>
        <row r="125">
          <cell r="B125">
            <v>980</v>
          </cell>
          <cell r="S125">
            <v>11880.764389847089</v>
          </cell>
        </row>
        <row r="126">
          <cell r="B126">
            <v>986</v>
          </cell>
          <cell r="S126">
            <v>3050.0604981121974</v>
          </cell>
        </row>
        <row r="127">
          <cell r="B127">
            <v>988</v>
          </cell>
          <cell r="S127">
            <v>31127.957455069005</v>
          </cell>
        </row>
        <row r="128">
          <cell r="B128">
            <v>989</v>
          </cell>
          <cell r="S128">
            <v>89887.725529939198</v>
          </cell>
        </row>
        <row r="129">
          <cell r="B129">
            <v>39</v>
          </cell>
          <cell r="S129">
            <v>50688.680486421144</v>
          </cell>
        </row>
        <row r="130">
          <cell r="B130">
            <v>59</v>
          </cell>
          <cell r="S130">
            <v>53844.803396462718</v>
          </cell>
        </row>
        <row r="131">
          <cell r="B131">
            <v>100</v>
          </cell>
          <cell r="S131">
            <v>7154.1992840450184</v>
          </cell>
        </row>
        <row r="132">
          <cell r="B132">
            <v>128</v>
          </cell>
          <cell r="S132">
            <v>31199.416745975523</v>
          </cell>
        </row>
        <row r="133">
          <cell r="B133">
            <v>152</v>
          </cell>
          <cell r="S133">
            <v>53847.11480670415</v>
          </cell>
        </row>
        <row r="134">
          <cell r="B134">
            <v>162</v>
          </cell>
          <cell r="S134">
            <v>148755.33152604068</v>
          </cell>
        </row>
        <row r="135">
          <cell r="B135">
            <v>166</v>
          </cell>
          <cell r="S135">
            <v>147174.66325264427</v>
          </cell>
        </row>
        <row r="136">
          <cell r="B136">
            <v>192</v>
          </cell>
          <cell r="S136">
            <v>35968.88629178665</v>
          </cell>
        </row>
        <row r="137">
          <cell r="B137">
            <v>205</v>
          </cell>
          <cell r="S137">
            <v>143843.49185461472</v>
          </cell>
        </row>
        <row r="138">
          <cell r="B138">
            <v>212</v>
          </cell>
          <cell r="S138">
            <v>87210.290296894455</v>
          </cell>
        </row>
        <row r="139">
          <cell r="B139">
            <v>216</v>
          </cell>
          <cell r="S139">
            <v>130932.40943658368</v>
          </cell>
        </row>
        <row r="140">
          <cell r="B140">
            <v>218</v>
          </cell>
          <cell r="S140">
            <v>65954.854827941803</v>
          </cell>
        </row>
        <row r="141">
          <cell r="B141">
            <v>229</v>
          </cell>
          <cell r="S141">
            <v>142235.83111278314</v>
          </cell>
        </row>
        <row r="142">
          <cell r="B142">
            <v>236</v>
          </cell>
          <cell r="S142">
            <v>192124.4998536823</v>
          </cell>
        </row>
        <row r="143">
          <cell r="B143">
            <v>238</v>
          </cell>
          <cell r="S143">
            <v>16430.056783574335</v>
          </cell>
        </row>
        <row r="144">
          <cell r="B144">
            <v>239</v>
          </cell>
          <cell r="S144">
            <v>577565.90254230192</v>
          </cell>
        </row>
        <row r="145">
          <cell r="B145">
            <v>249</v>
          </cell>
          <cell r="S145">
            <v>234825.94761029346</v>
          </cell>
        </row>
        <row r="146">
          <cell r="B146">
            <v>271</v>
          </cell>
          <cell r="S146">
            <v>264048.75639186322</v>
          </cell>
        </row>
        <row r="147">
          <cell r="B147">
            <v>275</v>
          </cell>
          <cell r="S147">
            <v>111140.04306785561</v>
          </cell>
        </row>
        <row r="148">
          <cell r="B148">
            <v>282</v>
          </cell>
          <cell r="S148">
            <v>22092.673576182508</v>
          </cell>
        </row>
        <row r="149">
          <cell r="B149">
            <v>287</v>
          </cell>
          <cell r="S149">
            <v>33449.779997451478</v>
          </cell>
        </row>
        <row r="150">
          <cell r="B150">
            <v>290</v>
          </cell>
          <cell r="S150">
            <v>57725.991380618834</v>
          </cell>
        </row>
        <row r="151">
          <cell r="B151">
            <v>294</v>
          </cell>
          <cell r="S151">
            <v>248486.73985195518</v>
          </cell>
        </row>
        <row r="152">
          <cell r="B152">
            <v>296</v>
          </cell>
          <cell r="S152">
            <v>219789.11392463662</v>
          </cell>
        </row>
        <row r="153">
          <cell r="B153">
            <v>301</v>
          </cell>
          <cell r="S153">
            <v>94976.214620169354</v>
          </cell>
        </row>
        <row r="154">
          <cell r="B154">
            <v>321</v>
          </cell>
          <cell r="S154">
            <v>109363.86238516118</v>
          </cell>
        </row>
        <row r="155">
          <cell r="B155">
            <v>325</v>
          </cell>
          <cell r="S155">
            <v>65197.64040988648</v>
          </cell>
        </row>
        <row r="156">
          <cell r="B156">
            <v>346</v>
          </cell>
          <cell r="S156">
            <v>40364.687528515198</v>
          </cell>
        </row>
        <row r="157">
          <cell r="B157">
            <v>358</v>
          </cell>
          <cell r="S157">
            <v>76421.015596682962</v>
          </cell>
        </row>
        <row r="158">
          <cell r="B158">
            <v>361</v>
          </cell>
          <cell r="S158">
            <v>319468.93206341349</v>
          </cell>
        </row>
        <row r="159">
          <cell r="B159">
            <v>376</v>
          </cell>
          <cell r="S159">
            <v>114404.66745428568</v>
          </cell>
        </row>
        <row r="160">
          <cell r="B160">
            <v>382</v>
          </cell>
          <cell r="S160">
            <v>31585.770402452414</v>
          </cell>
        </row>
        <row r="161">
          <cell r="B161">
            <v>389</v>
          </cell>
          <cell r="S161">
            <v>99755.247147763643</v>
          </cell>
        </row>
        <row r="162">
          <cell r="B162">
            <v>420</v>
          </cell>
          <cell r="S162">
            <v>73926.586578640534</v>
          </cell>
        </row>
        <row r="163">
          <cell r="B163">
            <v>434</v>
          </cell>
          <cell r="S163">
            <v>51345.864092234784</v>
          </cell>
        </row>
        <row r="164">
          <cell r="B164">
            <v>437</v>
          </cell>
          <cell r="S164">
            <v>81475.747349474113</v>
          </cell>
        </row>
        <row r="165">
          <cell r="B165">
            <v>502</v>
          </cell>
          <cell r="S165">
            <v>120447.99274378917</v>
          </cell>
        </row>
        <row r="166">
          <cell r="B166">
            <v>503</v>
          </cell>
          <cell r="S166">
            <v>62561.295182994196</v>
          </cell>
        </row>
        <row r="167">
          <cell r="B167">
            <v>510</v>
          </cell>
          <cell r="S167">
            <v>88109.827016026349</v>
          </cell>
        </row>
        <row r="168">
          <cell r="B168">
            <v>531</v>
          </cell>
          <cell r="S168">
            <v>297995.71520201332</v>
          </cell>
        </row>
        <row r="169">
          <cell r="B169">
            <v>550</v>
          </cell>
          <cell r="S169">
            <v>66629.133479465963</v>
          </cell>
        </row>
        <row r="170">
          <cell r="B170">
            <v>551</v>
          </cell>
          <cell r="S170">
            <v>33116.650857175518</v>
          </cell>
        </row>
        <row r="171">
          <cell r="B171">
            <v>555</v>
          </cell>
          <cell r="S171">
            <v>154157.0580249812</v>
          </cell>
        </row>
        <row r="172">
          <cell r="B172">
            <v>556</v>
          </cell>
          <cell r="S172">
            <v>63365.048067884949</v>
          </cell>
        </row>
        <row r="173">
          <cell r="B173">
            <v>558</v>
          </cell>
          <cell r="S173">
            <v>72895.285703199028</v>
          </cell>
        </row>
        <row r="174">
          <cell r="B174">
            <v>600</v>
          </cell>
          <cell r="S174">
            <v>117295.26127961944</v>
          </cell>
        </row>
        <row r="175">
          <cell r="B175">
            <v>604</v>
          </cell>
          <cell r="S175">
            <v>98611.264755285491</v>
          </cell>
        </row>
        <row r="176">
          <cell r="B176">
            <v>612</v>
          </cell>
          <cell r="S176">
            <v>104720.66212138144</v>
          </cell>
        </row>
        <row r="177">
          <cell r="B177">
            <v>635</v>
          </cell>
          <cell r="S177">
            <v>11946.359744475221</v>
          </cell>
        </row>
        <row r="178">
          <cell r="B178">
            <v>711</v>
          </cell>
          <cell r="S178">
            <v>80841.086412134857</v>
          </cell>
        </row>
        <row r="179">
          <cell r="B179">
            <v>712</v>
          </cell>
          <cell r="S179">
            <v>123643.99007725436</v>
          </cell>
        </row>
        <row r="180">
          <cell r="B180">
            <v>718</v>
          </cell>
          <cell r="S180">
            <v>6939.3254395059785</v>
          </cell>
        </row>
        <row r="181">
          <cell r="B181">
            <v>736</v>
          </cell>
          <cell r="S181">
            <v>22286.522997137239</v>
          </cell>
        </row>
        <row r="182">
          <cell r="B182">
            <v>757</v>
          </cell>
          <cell r="S182">
            <v>105229.56891511349</v>
          </cell>
        </row>
        <row r="183">
          <cell r="B183">
            <v>786</v>
          </cell>
          <cell r="S183">
            <v>546347.77672255819</v>
          </cell>
        </row>
        <row r="184">
          <cell r="B184">
            <v>854</v>
          </cell>
          <cell r="S184">
            <v>175186.34041899326</v>
          </cell>
        </row>
        <row r="185">
          <cell r="B185">
            <v>855</v>
          </cell>
          <cell r="S185">
            <v>46499.268429709664</v>
          </cell>
        </row>
        <row r="186">
          <cell r="B186">
            <v>862</v>
          </cell>
          <cell r="S186">
            <v>1434.4863548119063</v>
          </cell>
        </row>
        <row r="187">
          <cell r="B187">
            <v>958</v>
          </cell>
          <cell r="S187">
            <v>76381.185083149539</v>
          </cell>
        </row>
        <row r="188">
          <cell r="B188">
            <v>967</v>
          </cell>
          <cell r="S188">
            <v>30588.605233991217</v>
          </cell>
        </row>
        <row r="189">
          <cell r="B189">
            <v>971</v>
          </cell>
          <cell r="S189">
            <v>162900.08707813147</v>
          </cell>
        </row>
        <row r="190">
          <cell r="B190">
            <v>975</v>
          </cell>
          <cell r="S190">
            <v>4546.9574608851344</v>
          </cell>
        </row>
        <row r="191">
          <cell r="B191">
            <v>976</v>
          </cell>
          <cell r="S191">
            <v>7128.5066730094013</v>
          </cell>
        </row>
        <row r="192">
          <cell r="B192">
            <v>977</v>
          </cell>
          <cell r="S192">
            <v>9922.4887094049936</v>
          </cell>
        </row>
        <row r="193">
          <cell r="B193">
            <v>979</v>
          </cell>
          <cell r="S193">
            <v>17940.50002402698</v>
          </cell>
        </row>
        <row r="194">
          <cell r="B194">
            <v>983</v>
          </cell>
          <cell r="S194">
            <v>12748.057882966292</v>
          </cell>
        </row>
        <row r="195">
          <cell r="B195">
            <v>188</v>
          </cell>
          <cell r="S195">
            <v>45141.166503343193</v>
          </cell>
        </row>
        <row r="196">
          <cell r="B196">
            <v>232</v>
          </cell>
          <cell r="S196">
            <v>31106.012861361993</v>
          </cell>
        </row>
        <row r="197">
          <cell r="B197">
            <v>245</v>
          </cell>
          <cell r="S197">
            <v>95814.429057713176</v>
          </cell>
        </row>
        <row r="198">
          <cell r="B198">
            <v>372</v>
          </cell>
          <cell r="S198">
            <v>28119.706766796731</v>
          </cell>
        </row>
        <row r="199">
          <cell r="B199">
            <v>375</v>
          </cell>
          <cell r="S199">
            <v>73349.226682058506</v>
          </cell>
        </row>
        <row r="200">
          <cell r="B200">
            <v>404</v>
          </cell>
          <cell r="S200">
            <v>86388.288388314191</v>
          </cell>
        </row>
        <row r="201">
          <cell r="B201">
            <v>413</v>
          </cell>
          <cell r="S201">
            <v>19951.372490657635</v>
          </cell>
        </row>
        <row r="202">
          <cell r="B202">
            <v>537</v>
          </cell>
          <cell r="S202">
            <v>3280.7254905185996</v>
          </cell>
        </row>
        <row r="203">
          <cell r="B203">
            <v>545</v>
          </cell>
          <cell r="S203">
            <v>2666.7781274478916</v>
          </cell>
        </row>
        <row r="204">
          <cell r="B204">
            <v>602</v>
          </cell>
          <cell r="S204">
            <v>5052.6437223440062</v>
          </cell>
        </row>
        <row r="205">
          <cell r="B205">
            <v>605</v>
          </cell>
          <cell r="S205">
            <v>2459.8724077570209</v>
          </cell>
        </row>
        <row r="206">
          <cell r="B206">
            <v>607</v>
          </cell>
          <cell r="S206">
            <v>3705.6307124318323</v>
          </cell>
        </row>
        <row r="207">
          <cell r="B207">
            <v>610</v>
          </cell>
          <cell r="S207">
            <v>12066.362356745711</v>
          </cell>
        </row>
        <row r="208">
          <cell r="B208">
            <v>611</v>
          </cell>
          <cell r="S208">
            <v>9463.3423166646135</v>
          </cell>
        </row>
        <row r="209">
          <cell r="B209">
            <v>616</v>
          </cell>
          <cell r="S209">
            <v>77650.502388528956</v>
          </cell>
        </row>
        <row r="210">
          <cell r="B210">
            <v>637</v>
          </cell>
          <cell r="S210">
            <v>1086.0924021110336</v>
          </cell>
        </row>
        <row r="211">
          <cell r="B211">
            <v>638</v>
          </cell>
          <cell r="S211">
            <v>5406.2079976761415</v>
          </cell>
        </row>
        <row r="212">
          <cell r="B212">
            <v>639</v>
          </cell>
          <cell r="S212">
            <v>5985.1238115189308</v>
          </cell>
        </row>
        <row r="213">
          <cell r="B213">
            <v>709</v>
          </cell>
          <cell r="S213">
            <v>16079.785600522575</v>
          </cell>
        </row>
        <row r="214">
          <cell r="B214">
            <v>714</v>
          </cell>
          <cell r="S214">
            <v>15993.359465207373</v>
          </cell>
        </row>
        <row r="215">
          <cell r="B215">
            <v>749</v>
          </cell>
          <cell r="S215">
            <v>2504.3455315618921</v>
          </cell>
        </row>
        <row r="216">
          <cell r="B216">
            <v>764</v>
          </cell>
          <cell r="S216">
            <v>5194.3998034750048</v>
          </cell>
        </row>
        <row r="217">
          <cell r="B217">
            <v>775</v>
          </cell>
          <cell r="S217">
            <v>24438.019180061958</v>
          </cell>
        </row>
        <row r="218">
          <cell r="B218">
            <v>790</v>
          </cell>
          <cell r="S218">
            <v>3183.3753759634837</v>
          </cell>
        </row>
        <row r="219">
          <cell r="B219">
            <v>795</v>
          </cell>
          <cell r="S219">
            <v>75927.836817350573</v>
          </cell>
        </row>
        <row r="220">
          <cell r="B220">
            <v>796</v>
          </cell>
          <cell r="S220">
            <v>6268.1302363207024</v>
          </cell>
        </row>
        <row r="221">
          <cell r="B221">
            <v>797</v>
          </cell>
          <cell r="S221">
            <v>10702.121850015819</v>
          </cell>
        </row>
        <row r="222">
          <cell r="B222">
            <v>801</v>
          </cell>
          <cell r="S222">
            <v>36245.225186020311</v>
          </cell>
        </row>
        <row r="223">
          <cell r="B223">
            <v>810</v>
          </cell>
          <cell r="S223">
            <v>43958.374759324281</v>
          </cell>
        </row>
        <row r="224">
          <cell r="B224">
            <v>812</v>
          </cell>
          <cell r="S224">
            <v>23331.696375243941</v>
          </cell>
        </row>
        <row r="225">
          <cell r="B225">
            <v>818</v>
          </cell>
          <cell r="S225">
            <v>6344.3482963844654</v>
          </cell>
        </row>
        <row r="226">
          <cell r="B226">
            <v>833</v>
          </cell>
          <cell r="S226">
            <v>17127.362085022323</v>
          </cell>
        </row>
        <row r="227">
          <cell r="B227">
            <v>834</v>
          </cell>
          <cell r="S227">
            <v>21716.548411014406</v>
          </cell>
        </row>
        <row r="228">
          <cell r="B228">
            <v>837</v>
          </cell>
          <cell r="S228">
            <v>47172.300592330619</v>
          </cell>
        </row>
        <row r="229">
          <cell r="B229">
            <v>845</v>
          </cell>
          <cell r="S229">
            <v>2623.682937524391</v>
          </cell>
        </row>
        <row r="230">
          <cell r="B230">
            <v>847</v>
          </cell>
          <cell r="S230">
            <v>33242.514603286385</v>
          </cell>
        </row>
        <row r="231">
          <cell r="B231">
            <v>866</v>
          </cell>
          <cell r="S231">
            <v>26661.179407052012</v>
          </cell>
        </row>
        <row r="232">
          <cell r="B232">
            <v>871</v>
          </cell>
          <cell r="S232">
            <v>3848.6102604372259</v>
          </cell>
        </row>
        <row r="233">
          <cell r="B233">
            <v>873</v>
          </cell>
          <cell r="S233">
            <v>26998.472487383002</v>
          </cell>
        </row>
        <row r="234">
          <cell r="B234">
            <v>895</v>
          </cell>
          <cell r="S234">
            <v>1631.6669042167639</v>
          </cell>
        </row>
        <row r="235">
          <cell r="B235">
            <v>905</v>
          </cell>
          <cell r="S235">
            <v>19435.441913004903</v>
          </cell>
        </row>
        <row r="236">
          <cell r="B236">
            <v>907</v>
          </cell>
          <cell r="S236">
            <v>5723.7449824580099</v>
          </cell>
        </row>
        <row r="237">
          <cell r="B237">
            <v>918</v>
          </cell>
          <cell r="S237">
            <v>18939.745468132602</v>
          </cell>
        </row>
        <row r="238">
          <cell r="B238">
            <v>922</v>
          </cell>
          <cell r="S238">
            <v>40573.701338576378</v>
          </cell>
        </row>
        <row r="239">
          <cell r="B239">
            <v>924</v>
          </cell>
          <cell r="S239">
            <v>20782.363797550395</v>
          </cell>
        </row>
        <row r="240">
          <cell r="B240">
            <v>929</v>
          </cell>
          <cell r="S240">
            <v>16043.067987434661</v>
          </cell>
        </row>
        <row r="241">
          <cell r="B241">
            <v>955</v>
          </cell>
          <cell r="S241">
            <v>7829.6495539617144</v>
          </cell>
        </row>
        <row r="242">
          <cell r="B242">
            <v>973</v>
          </cell>
          <cell r="S242">
            <v>2950.1339188882603</v>
          </cell>
        </row>
        <row r="243">
          <cell r="B243">
            <v>974</v>
          </cell>
          <cell r="S243">
            <v>4479.0687086123107</v>
          </cell>
        </row>
        <row r="244">
          <cell r="B244">
            <v>985</v>
          </cell>
          <cell r="S244">
            <v>21660.938951188615</v>
          </cell>
        </row>
        <row r="245">
          <cell r="B245">
            <v>159</v>
          </cell>
          <cell r="S245">
            <v>100102.41203720622</v>
          </cell>
        </row>
        <row r="246">
          <cell r="B246">
            <v>173</v>
          </cell>
          <cell r="S246">
            <v>65843.085660791519</v>
          </cell>
        </row>
        <row r="247">
          <cell r="B247">
            <v>204</v>
          </cell>
          <cell r="S247">
            <v>168181.00328972714</v>
          </cell>
        </row>
        <row r="248">
          <cell r="B248">
            <v>230</v>
          </cell>
          <cell r="S248">
            <v>25953.540657117726</v>
          </cell>
        </row>
        <row r="249">
          <cell r="B249">
            <v>277</v>
          </cell>
          <cell r="S249">
            <v>27319.915270257741</v>
          </cell>
        </row>
        <row r="250">
          <cell r="B250">
            <v>279</v>
          </cell>
          <cell r="S250">
            <v>68132.852823755282</v>
          </cell>
        </row>
        <row r="251">
          <cell r="B251">
            <v>331</v>
          </cell>
          <cell r="S251">
            <v>62780.528317697172</v>
          </cell>
        </row>
        <row r="252">
          <cell r="B252">
            <v>369</v>
          </cell>
          <cell r="S252">
            <v>142674.97144525114</v>
          </cell>
        </row>
        <row r="253">
          <cell r="B253">
            <v>416</v>
          </cell>
          <cell r="S253">
            <v>18923.136679639327</v>
          </cell>
        </row>
        <row r="254">
          <cell r="B254">
            <v>508</v>
          </cell>
          <cell r="S254">
            <v>24441.846143779432</v>
          </cell>
        </row>
        <row r="255">
          <cell r="B255">
            <v>512</v>
          </cell>
          <cell r="S255">
            <v>90139.191211949204</v>
          </cell>
        </row>
        <row r="256">
          <cell r="B256">
            <v>516</v>
          </cell>
          <cell r="S256">
            <v>63259.1070878971</v>
          </cell>
        </row>
        <row r="257">
          <cell r="B257">
            <v>521</v>
          </cell>
          <cell r="S257">
            <v>59714.507901291785</v>
          </cell>
        </row>
        <row r="258">
          <cell r="B258">
            <v>522</v>
          </cell>
          <cell r="S258">
            <v>31788.218199456638</v>
          </cell>
        </row>
        <row r="259">
          <cell r="B259">
            <v>523</v>
          </cell>
          <cell r="S259">
            <v>128395.01349582839</v>
          </cell>
        </row>
        <row r="260">
          <cell r="B260">
            <v>527</v>
          </cell>
          <cell r="S260">
            <v>44013.498057743367</v>
          </cell>
        </row>
        <row r="261">
          <cell r="B261">
            <v>543</v>
          </cell>
          <cell r="S261">
            <v>13704.024293743118</v>
          </cell>
        </row>
        <row r="262">
          <cell r="B262">
            <v>547</v>
          </cell>
          <cell r="S262">
            <v>47185.474522727207</v>
          </cell>
        </row>
        <row r="263">
          <cell r="B263">
            <v>552</v>
          </cell>
          <cell r="S263">
            <v>35131.67207300516</v>
          </cell>
        </row>
        <row r="264">
          <cell r="B264">
            <v>567</v>
          </cell>
          <cell r="S264">
            <v>73968.458385453967</v>
          </cell>
        </row>
        <row r="265">
          <cell r="B265">
            <v>629</v>
          </cell>
          <cell r="S265">
            <v>64313.909041617946</v>
          </cell>
        </row>
        <row r="266">
          <cell r="B266">
            <v>630</v>
          </cell>
          <cell r="S266">
            <v>72746.331989537852</v>
          </cell>
        </row>
        <row r="267">
          <cell r="B267">
            <v>695</v>
          </cell>
          <cell r="S267">
            <v>10641.19498272121</v>
          </cell>
        </row>
        <row r="268">
          <cell r="B268">
            <v>771</v>
          </cell>
          <cell r="S268">
            <v>26454.988676717483</v>
          </cell>
        </row>
        <row r="269">
          <cell r="B269">
            <v>830</v>
          </cell>
          <cell r="S269">
            <v>7420.4091933966019</v>
          </cell>
        </row>
        <row r="270">
          <cell r="B270">
            <v>936</v>
          </cell>
          <cell r="S270">
            <v>16960.265926936532</v>
          </cell>
        </row>
        <row r="271">
          <cell r="B271">
            <v>952</v>
          </cell>
          <cell r="S271">
            <v>24607.072008871935</v>
          </cell>
        </row>
        <row r="272">
          <cell r="B272">
            <v>982</v>
          </cell>
          <cell r="S272">
            <v>31034.359414899922</v>
          </cell>
        </row>
        <row r="273">
          <cell r="B273">
            <v>987</v>
          </cell>
          <cell r="S273">
            <v>37688.761450452999</v>
          </cell>
        </row>
        <row r="274">
          <cell r="B274">
            <v>998</v>
          </cell>
          <cell r="S274">
            <v>35823.728065049007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Program List"/>
      <sheetName val="Submission List"/>
      <sheetName val="2017 Programs"/>
      <sheetName val="2014 Summary"/>
      <sheetName val="2017 Summary"/>
      <sheetName val="Gross Costs"/>
      <sheetName val="Tonnes"/>
      <sheetName val="2014 Tonnes"/>
      <sheetName val="2014 Program Streams"/>
      <sheetName val="Material Analysis"/>
      <sheetName val="M&amp;R"/>
      <sheetName val="2014 M&amp;R"/>
      <sheetName val="Other Revenue"/>
      <sheetName val="2014 Other Revenue"/>
      <sheetName val="2014 Programs"/>
    </sheetNames>
    <sheetDataSet>
      <sheetData sheetId="0">
        <row r="2">
          <cell r="A2">
            <v>1</v>
          </cell>
          <cell r="B2">
            <v>1</v>
          </cell>
          <cell r="C2" t="str">
            <v>HALTON, REGIONAL MUNICIPALITY OF</v>
          </cell>
        </row>
        <row r="3">
          <cell r="A3">
            <v>6</v>
          </cell>
          <cell r="B3">
            <v>2</v>
          </cell>
          <cell r="C3" t="str">
            <v>DURHAM, REGIONAL MUNICIPALITY OF</v>
          </cell>
        </row>
        <row r="4">
          <cell r="A4">
            <v>8</v>
          </cell>
          <cell r="B4">
            <v>5</v>
          </cell>
          <cell r="C4" t="str">
            <v>STRATFORD, CITY OF</v>
          </cell>
        </row>
        <row r="5">
          <cell r="A5">
            <v>12</v>
          </cell>
          <cell r="B5">
            <v>4</v>
          </cell>
          <cell r="C5" t="str">
            <v>NORTHUMBERLAND, COUNTY OF</v>
          </cell>
        </row>
        <row r="6">
          <cell r="A6">
            <v>14</v>
          </cell>
          <cell r="B6">
            <v>3</v>
          </cell>
          <cell r="C6" t="str">
            <v>BARRIE, CITY OF</v>
          </cell>
        </row>
        <row r="7">
          <cell r="A7">
            <v>18</v>
          </cell>
          <cell r="B7">
            <v>2</v>
          </cell>
          <cell r="C7" t="str">
            <v>ESSEX-WINDSOR SOLID WASTE AUTHORITY</v>
          </cell>
        </row>
        <row r="8">
          <cell r="A8">
            <v>20</v>
          </cell>
          <cell r="B8">
            <v>1</v>
          </cell>
          <cell r="C8" t="str">
            <v>TORONTO, CITY OF</v>
          </cell>
        </row>
        <row r="9">
          <cell r="A9">
            <v>21</v>
          </cell>
          <cell r="B9">
            <v>4</v>
          </cell>
          <cell r="C9" t="str">
            <v>WELLINGTON, COUNTY OF</v>
          </cell>
        </row>
        <row r="10">
          <cell r="A10">
            <v>34</v>
          </cell>
          <cell r="B10">
            <v>4</v>
          </cell>
          <cell r="C10" t="str">
            <v>NORFOLK, COUNTY OF</v>
          </cell>
        </row>
        <row r="11">
          <cell r="A11">
            <v>36</v>
          </cell>
          <cell r="B11">
            <v>3</v>
          </cell>
          <cell r="C11" t="str">
            <v>GUELPH, CITY OF</v>
          </cell>
        </row>
        <row r="12">
          <cell r="A12">
            <v>39</v>
          </cell>
          <cell r="B12">
            <v>7</v>
          </cell>
          <cell r="C12" t="str">
            <v>NORTH HURON, TOWNSHIP OF</v>
          </cell>
        </row>
        <row r="13">
          <cell r="A13">
            <v>41</v>
          </cell>
          <cell r="B13">
            <v>5</v>
          </cell>
          <cell r="C13" t="str">
            <v>OWEN SOUND, CITY OF</v>
          </cell>
        </row>
        <row r="14">
          <cell r="A14">
            <v>50</v>
          </cell>
          <cell r="B14">
            <v>1</v>
          </cell>
          <cell r="C14" t="str">
            <v>LONDON, CITY OF</v>
          </cell>
        </row>
        <row r="15">
          <cell r="A15">
            <v>53</v>
          </cell>
          <cell r="B15">
            <v>2</v>
          </cell>
          <cell r="C15" t="str">
            <v>WATERLOO, REGIONAL MUNICIPALITY OF</v>
          </cell>
        </row>
        <row r="16">
          <cell r="A16">
            <v>55</v>
          </cell>
          <cell r="B16">
            <v>3</v>
          </cell>
          <cell r="C16" t="str">
            <v>SAULT STE. MARIE, CITY OF</v>
          </cell>
        </row>
        <row r="17">
          <cell r="A17">
            <v>56</v>
          </cell>
          <cell r="B17">
            <v>5</v>
          </cell>
          <cell r="C17" t="str">
            <v>ORILLIA, CITY OF</v>
          </cell>
        </row>
        <row r="18">
          <cell r="A18">
            <v>59</v>
          </cell>
          <cell r="B18">
            <v>7</v>
          </cell>
          <cell r="C18" t="str">
            <v>ASHFIELD-COLBORNE-WAWANOSH, TOWNSHIP OF</v>
          </cell>
        </row>
        <row r="19">
          <cell r="A19">
            <v>67</v>
          </cell>
          <cell r="B19">
            <v>5</v>
          </cell>
          <cell r="C19" t="str">
            <v>BROCKVILLE, CITY OF</v>
          </cell>
        </row>
        <row r="20">
          <cell r="A20">
            <v>75</v>
          </cell>
          <cell r="B20">
            <v>5</v>
          </cell>
          <cell r="C20" t="str">
            <v>ORANGEVILLE, TOWN OF</v>
          </cell>
        </row>
        <row r="21">
          <cell r="A21">
            <v>87</v>
          </cell>
          <cell r="B21">
            <v>4</v>
          </cell>
          <cell r="C21" t="str">
            <v>QUINTE WASTE SOLUTIONS</v>
          </cell>
        </row>
        <row r="22">
          <cell r="A22">
            <v>88</v>
          </cell>
          <cell r="B22">
            <v>4</v>
          </cell>
          <cell r="C22" t="str">
            <v>PETERBOROUGH, COUNTY OF</v>
          </cell>
        </row>
        <row r="23">
          <cell r="A23">
            <v>89</v>
          </cell>
          <cell r="B23">
            <v>4</v>
          </cell>
          <cell r="C23" t="str">
            <v>MUSKOKA , DISTRICT MUNICIPALITY OF</v>
          </cell>
        </row>
        <row r="24">
          <cell r="A24">
            <v>97</v>
          </cell>
          <cell r="B24">
            <v>1</v>
          </cell>
          <cell r="C24" t="str">
            <v>YORK, REGIONAL MUNICIPALITY OF</v>
          </cell>
        </row>
        <row r="25">
          <cell r="A25">
            <v>100</v>
          </cell>
          <cell r="B25">
            <v>9</v>
          </cell>
          <cell r="C25" t="str">
            <v>ONEIDA NATION OF THE THAMES</v>
          </cell>
        </row>
        <row r="26">
          <cell r="A26">
            <v>103</v>
          </cell>
          <cell r="B26">
            <v>3</v>
          </cell>
          <cell r="C26" t="str">
            <v>SARNIA, CITY OF</v>
          </cell>
        </row>
        <row r="27">
          <cell r="A27">
            <v>123</v>
          </cell>
          <cell r="B27">
            <v>3</v>
          </cell>
          <cell r="C27" t="str">
            <v>THUNDER BAY, CITY OF</v>
          </cell>
        </row>
        <row r="28">
          <cell r="A28">
            <v>128</v>
          </cell>
          <cell r="B28">
            <v>7</v>
          </cell>
          <cell r="C28" t="str">
            <v>HOWICK, TOWNSHIP OF</v>
          </cell>
        </row>
        <row r="29">
          <cell r="A29">
            <v>143</v>
          </cell>
          <cell r="B29">
            <v>4</v>
          </cell>
          <cell r="C29" t="str">
            <v>NORTH BAY, CITY OF</v>
          </cell>
        </row>
        <row r="30">
          <cell r="A30">
            <v>152</v>
          </cell>
          <cell r="B30">
            <v>7</v>
          </cell>
          <cell r="C30" t="str">
            <v>CHATSWORTH, TOWNSHIP OF</v>
          </cell>
        </row>
        <row r="31">
          <cell r="A31">
            <v>157</v>
          </cell>
          <cell r="B31">
            <v>5</v>
          </cell>
          <cell r="C31" t="str">
            <v>HANOVER, TOWN OF</v>
          </cell>
        </row>
        <row r="32">
          <cell r="A32">
            <v>159</v>
          </cell>
          <cell r="B32">
            <v>9</v>
          </cell>
          <cell r="C32" t="str">
            <v>DYSART ET AL, TOWNSHIP OF</v>
          </cell>
        </row>
        <row r="33">
          <cell r="A33">
            <v>162</v>
          </cell>
          <cell r="B33">
            <v>7</v>
          </cell>
          <cell r="C33" t="str">
            <v>THE BLUE MOUNTAINS, TOWN OF</v>
          </cell>
        </row>
        <row r="34">
          <cell r="A34">
            <v>166</v>
          </cell>
          <cell r="B34">
            <v>7</v>
          </cell>
          <cell r="C34" t="str">
            <v>THAMES CENTRE, MUNICIPALITY OF</v>
          </cell>
        </row>
        <row r="35">
          <cell r="A35">
            <v>172</v>
          </cell>
          <cell r="B35">
            <v>1</v>
          </cell>
          <cell r="C35" t="str">
            <v>HAMILTON, CITY OF</v>
          </cell>
        </row>
        <row r="36">
          <cell r="A36">
            <v>173</v>
          </cell>
          <cell r="B36">
            <v>9</v>
          </cell>
          <cell r="C36" t="str">
            <v>ALGONQUIN HIGHLANDS,TOWNSHIP OF</v>
          </cell>
        </row>
        <row r="37">
          <cell r="A37">
            <v>179</v>
          </cell>
          <cell r="B37">
            <v>3</v>
          </cell>
          <cell r="C37" t="str">
            <v>BRANTFORD, CITY OF</v>
          </cell>
        </row>
        <row r="38">
          <cell r="A38">
            <v>182</v>
          </cell>
          <cell r="B38">
            <v>5</v>
          </cell>
          <cell r="C38" t="str">
            <v>SHELBURNE, TOWN OF</v>
          </cell>
        </row>
        <row r="39">
          <cell r="A39">
            <v>183</v>
          </cell>
          <cell r="B39">
            <v>4</v>
          </cell>
          <cell r="C39" t="str">
            <v>GREATER SUDBURY, CITY OF</v>
          </cell>
        </row>
        <row r="40">
          <cell r="A40">
            <v>186</v>
          </cell>
          <cell r="B40">
            <v>4</v>
          </cell>
          <cell r="C40" t="str">
            <v>BLUEWATER RECYCLING ASSOCIATION</v>
          </cell>
        </row>
        <row r="41">
          <cell r="A41">
            <v>187</v>
          </cell>
          <cell r="B41" t="str">
            <v>NULL</v>
          </cell>
          <cell r="C41" t="str">
            <v>ALMAGUIN RECYCLING INITIATIVE</v>
          </cell>
        </row>
        <row r="42">
          <cell r="A42">
            <v>188</v>
          </cell>
          <cell r="B42">
            <v>8</v>
          </cell>
          <cell r="C42" t="str">
            <v>ARMOUR, TOWNSHIP OF</v>
          </cell>
        </row>
        <row r="43">
          <cell r="A43">
            <v>190</v>
          </cell>
          <cell r="B43">
            <v>4</v>
          </cell>
          <cell r="C43" t="str">
            <v>BRUCE AREA SOLID WASTE RECYCLING</v>
          </cell>
        </row>
        <row r="44">
          <cell r="A44">
            <v>192</v>
          </cell>
          <cell r="B44">
            <v>7</v>
          </cell>
          <cell r="C44" t="str">
            <v>WEST ELGIN, MUNICIPALITY OF</v>
          </cell>
        </row>
        <row r="45">
          <cell r="A45">
            <v>194</v>
          </cell>
          <cell r="B45">
            <v>7</v>
          </cell>
          <cell r="C45" t="str">
            <v>AMARANTH, TOWNSHIP OF</v>
          </cell>
        </row>
        <row r="46">
          <cell r="A46">
            <v>200</v>
          </cell>
          <cell r="B46" t="str">
            <v>NULL</v>
          </cell>
          <cell r="C46" t="str">
            <v>MORRIS-TURNBURRY, MUNICIPALITY OF</v>
          </cell>
        </row>
        <row r="47">
          <cell r="A47">
            <v>201</v>
          </cell>
          <cell r="B47">
            <v>7</v>
          </cell>
          <cell r="C47" t="str">
            <v>MONO, TOWN OF</v>
          </cell>
        </row>
        <row r="48">
          <cell r="A48">
            <v>204</v>
          </cell>
          <cell r="B48">
            <v>9</v>
          </cell>
          <cell r="C48" t="str">
            <v>LEEDS AND THE THOUSAND ISLANDS, TOWNSHIP OF</v>
          </cell>
        </row>
        <row r="49">
          <cell r="A49">
            <v>205</v>
          </cell>
          <cell r="B49">
            <v>7</v>
          </cell>
          <cell r="C49" t="str">
            <v>RIDEAU LAKES, TOWNSHIP OF</v>
          </cell>
        </row>
        <row r="50">
          <cell r="A50">
            <v>206</v>
          </cell>
          <cell r="B50">
            <v>9</v>
          </cell>
          <cell r="C50" t="str">
            <v>MELANCTHON, TOWNSHIP OF</v>
          </cell>
        </row>
        <row r="51">
          <cell r="A51">
            <v>212</v>
          </cell>
          <cell r="B51">
            <v>7</v>
          </cell>
          <cell r="C51" t="str">
            <v>GEORGIAN BLUFFS, TOWNSHIP OF</v>
          </cell>
        </row>
        <row r="52">
          <cell r="A52">
            <v>214</v>
          </cell>
          <cell r="B52">
            <v>5</v>
          </cell>
          <cell r="C52" t="str">
            <v>CORNWALL, CITY OF</v>
          </cell>
        </row>
        <row r="53">
          <cell r="A53">
            <v>216</v>
          </cell>
          <cell r="B53">
            <v>7</v>
          </cell>
          <cell r="C53" t="str">
            <v>MEAFORD, MUNICIPALITY OF</v>
          </cell>
        </row>
        <row r="54">
          <cell r="A54">
            <v>218</v>
          </cell>
          <cell r="B54">
            <v>9</v>
          </cell>
          <cell r="C54" t="str">
            <v>ELIZABETHTOWN-KITLEY, TOWNSHIP OF</v>
          </cell>
        </row>
        <row r="55">
          <cell r="A55">
            <v>223</v>
          </cell>
          <cell r="B55">
            <v>5</v>
          </cell>
          <cell r="C55" t="str">
            <v>PARRY SOUND, TOWN OF</v>
          </cell>
        </row>
        <row r="56">
          <cell r="A56">
            <v>224</v>
          </cell>
          <cell r="B56">
            <v>5</v>
          </cell>
          <cell r="C56" t="str">
            <v>PRESCOTT,TOWN OF</v>
          </cell>
        </row>
        <row r="57">
          <cell r="A57">
            <v>229</v>
          </cell>
          <cell r="B57">
            <v>7</v>
          </cell>
          <cell r="C57" t="str">
            <v>CENTRAL ELGIN, MUNICIPALITY OF</v>
          </cell>
        </row>
        <row r="58">
          <cell r="A58">
            <v>230</v>
          </cell>
          <cell r="B58">
            <v>9</v>
          </cell>
          <cell r="C58" t="str">
            <v>FRONT OF YONGE, TOWNSHIP OF</v>
          </cell>
        </row>
        <row r="59">
          <cell r="A59">
            <v>232</v>
          </cell>
          <cell r="B59">
            <v>8</v>
          </cell>
          <cell r="C59" t="str">
            <v>WHITESTONE, MUNICIPALITY OF</v>
          </cell>
        </row>
        <row r="60">
          <cell r="A60">
            <v>233</v>
          </cell>
          <cell r="B60">
            <v>5</v>
          </cell>
          <cell r="C60" t="str">
            <v>ST. THOMAS, CITY OF</v>
          </cell>
        </row>
        <row r="61">
          <cell r="A61">
            <v>235</v>
          </cell>
          <cell r="B61">
            <v>7</v>
          </cell>
          <cell r="C61" t="str">
            <v>GRAND VALLEY, TOWN OF</v>
          </cell>
        </row>
        <row r="62">
          <cell r="A62">
            <v>236</v>
          </cell>
          <cell r="B62">
            <v>7</v>
          </cell>
          <cell r="C62" t="str">
            <v>NORTH GRENVILLE, MUNICIPALITY OF</v>
          </cell>
        </row>
        <row r="63">
          <cell r="A63">
            <v>239</v>
          </cell>
          <cell r="B63">
            <v>7</v>
          </cell>
          <cell r="C63" t="str">
            <v>OTTAWA VALLEY WASTE RECOVERY CENTRE</v>
          </cell>
        </row>
        <row r="64">
          <cell r="A64">
            <v>245</v>
          </cell>
          <cell r="B64">
            <v>8</v>
          </cell>
          <cell r="C64" t="str">
            <v>THE ARCHIPELAGO, TOWNSHIP OF</v>
          </cell>
        </row>
        <row r="65">
          <cell r="A65">
            <v>249</v>
          </cell>
          <cell r="B65">
            <v>7</v>
          </cell>
          <cell r="C65" t="str">
            <v>HAWKESBURY JOINT RECYCLING</v>
          </cell>
        </row>
        <row r="66">
          <cell r="A66">
            <v>270</v>
          </cell>
          <cell r="B66">
            <v>1</v>
          </cell>
          <cell r="C66" t="str">
            <v>PEEL, REGIONAL MUNICIPALITY OF</v>
          </cell>
        </row>
        <row r="67">
          <cell r="A67">
            <v>271</v>
          </cell>
          <cell r="B67">
            <v>7</v>
          </cell>
          <cell r="C67" t="str">
            <v>NORTH GLENGARRY, TOWNSHIP OF</v>
          </cell>
        </row>
        <row r="68">
          <cell r="A68">
            <v>272</v>
          </cell>
          <cell r="B68">
            <v>5</v>
          </cell>
          <cell r="C68" t="str">
            <v>GANANOQUE, TOWN OF</v>
          </cell>
        </row>
        <row r="69">
          <cell r="A69">
            <v>275</v>
          </cell>
          <cell r="B69">
            <v>7</v>
          </cell>
          <cell r="C69" t="str">
            <v>ST. CLAIR, TOWNSHIP OF</v>
          </cell>
        </row>
        <row r="70">
          <cell r="A70">
            <v>277</v>
          </cell>
          <cell r="B70">
            <v>9</v>
          </cell>
          <cell r="C70" t="str">
            <v>FRONTENAC ISLANDS, TOWNSHIP OF</v>
          </cell>
        </row>
        <row r="71">
          <cell r="A71">
            <v>279</v>
          </cell>
          <cell r="B71">
            <v>9</v>
          </cell>
          <cell r="C71" t="str">
            <v>AUGUSTA, TOWNSHIP OF</v>
          </cell>
        </row>
        <row r="72">
          <cell r="A72">
            <v>280</v>
          </cell>
          <cell r="B72">
            <v>7</v>
          </cell>
          <cell r="C72" t="str">
            <v>EAST GARAFRAXA, TOWNSHIP OF</v>
          </cell>
        </row>
        <row r="73">
          <cell r="A73">
            <v>282</v>
          </cell>
          <cell r="B73">
            <v>7</v>
          </cell>
          <cell r="C73" t="str">
            <v>ATHENS, TOWNSHIP OF</v>
          </cell>
        </row>
        <row r="74">
          <cell r="A74">
            <v>285</v>
          </cell>
          <cell r="B74">
            <v>7</v>
          </cell>
          <cell r="C74" t="str">
            <v>MULMUR, TOWNSHIP OF</v>
          </cell>
        </row>
        <row r="75">
          <cell r="A75">
            <v>287</v>
          </cell>
          <cell r="B75">
            <v>7</v>
          </cell>
          <cell r="C75" t="str">
            <v>MERRICKVILLE-WOLFORD, VILLAGE OF</v>
          </cell>
        </row>
        <row r="76">
          <cell r="A76">
            <v>290</v>
          </cell>
          <cell r="B76">
            <v>7</v>
          </cell>
          <cell r="C76" t="str">
            <v>NORTH STORMONT, TOWNSHIP OF</v>
          </cell>
        </row>
        <row r="77">
          <cell r="A77">
            <v>293</v>
          </cell>
          <cell r="B77">
            <v>3</v>
          </cell>
          <cell r="C77" t="str">
            <v>PETERBOROUGH, CITY OF</v>
          </cell>
        </row>
        <row r="78">
          <cell r="A78">
            <v>294</v>
          </cell>
          <cell r="B78">
            <v>7</v>
          </cell>
          <cell r="C78" t="str">
            <v>RUSSELL, TOWNSHIP OF</v>
          </cell>
        </row>
        <row r="79">
          <cell r="A79">
            <v>296</v>
          </cell>
          <cell r="B79">
            <v>7</v>
          </cell>
          <cell r="C79" t="str">
            <v>SOUTH FRONTENAC, TOWNSHIP OF</v>
          </cell>
        </row>
        <row r="80">
          <cell r="A80">
            <v>301</v>
          </cell>
          <cell r="B80">
            <v>7</v>
          </cell>
          <cell r="C80" t="str">
            <v>SOUTH STORMONT, TOWNSHIP OF</v>
          </cell>
        </row>
        <row r="81">
          <cell r="A81">
            <v>321</v>
          </cell>
          <cell r="B81">
            <v>7</v>
          </cell>
          <cell r="C81" t="str">
            <v>NORTH DUNDAS, TOWNSHIP OF</v>
          </cell>
        </row>
        <row r="82">
          <cell r="A82">
            <v>324</v>
          </cell>
          <cell r="B82">
            <v>4</v>
          </cell>
          <cell r="C82" t="str">
            <v>KINGSTON, CITY OF</v>
          </cell>
        </row>
        <row r="83">
          <cell r="A83">
            <v>325</v>
          </cell>
          <cell r="B83">
            <v>7</v>
          </cell>
          <cell r="C83" t="str">
            <v>WHITEWATER REGION, TOWNSHIP OF</v>
          </cell>
        </row>
        <row r="84">
          <cell r="A84">
            <v>331</v>
          </cell>
          <cell r="B84">
            <v>9</v>
          </cell>
          <cell r="C84" t="str">
            <v>STONE MILLS, TOWNSHIP OF</v>
          </cell>
        </row>
        <row r="85">
          <cell r="A85">
            <v>335</v>
          </cell>
          <cell r="B85">
            <v>2</v>
          </cell>
          <cell r="C85" t="str">
            <v>SIMCOE, COUNTY OF</v>
          </cell>
        </row>
        <row r="86">
          <cell r="A86">
            <v>338</v>
          </cell>
          <cell r="B86">
            <v>8</v>
          </cell>
          <cell r="C86" t="str">
            <v>COCHRANE TEMISKAMING WASTE MANAGEMENT BOARD</v>
          </cell>
        </row>
        <row r="87">
          <cell r="A87">
            <v>346</v>
          </cell>
          <cell r="B87">
            <v>7</v>
          </cell>
          <cell r="C87" t="str">
            <v>SOUTHWOLD, TOWNSHIP OF</v>
          </cell>
        </row>
        <row r="88">
          <cell r="A88">
            <v>357</v>
          </cell>
          <cell r="B88">
            <v>2</v>
          </cell>
          <cell r="C88" t="str">
            <v>NIAGARA, REGIONAL MUNICIPALITY OF</v>
          </cell>
        </row>
        <row r="89">
          <cell r="A89">
            <v>358</v>
          </cell>
          <cell r="B89">
            <v>7</v>
          </cell>
          <cell r="C89" t="str">
            <v>BAYHAM, MUNICIPALITY OF</v>
          </cell>
        </row>
        <row r="90">
          <cell r="A90">
            <v>361</v>
          </cell>
          <cell r="B90">
            <v>7</v>
          </cell>
          <cell r="C90" t="str">
            <v>CLARENCE-ROCKLAND, CITY OF</v>
          </cell>
        </row>
        <row r="91">
          <cell r="A91">
            <v>369</v>
          </cell>
          <cell r="B91">
            <v>9</v>
          </cell>
          <cell r="C91" t="str">
            <v>HIGHLANDS EAST, MUNICIPALITY OF</v>
          </cell>
        </row>
        <row r="92">
          <cell r="A92">
            <v>372</v>
          </cell>
          <cell r="B92">
            <v>8</v>
          </cell>
          <cell r="C92" t="str">
            <v>CARLING, TOWNSHIP OF</v>
          </cell>
        </row>
        <row r="93">
          <cell r="A93">
            <v>375</v>
          </cell>
          <cell r="B93">
            <v>8</v>
          </cell>
          <cell r="C93" t="str">
            <v>MCDOUGALL, MUNICIPALITY OF</v>
          </cell>
        </row>
        <row r="94">
          <cell r="A94">
            <v>376</v>
          </cell>
          <cell r="B94">
            <v>7</v>
          </cell>
          <cell r="C94" t="str">
            <v>THE NATION, MUNICIPALITY</v>
          </cell>
        </row>
        <row r="95">
          <cell r="A95">
            <v>382</v>
          </cell>
          <cell r="B95">
            <v>7</v>
          </cell>
          <cell r="C95" t="str">
            <v>DUTTON-DUNWICH, MUNICIPALITY OF</v>
          </cell>
        </row>
        <row r="96">
          <cell r="A96">
            <v>389</v>
          </cell>
          <cell r="B96">
            <v>7</v>
          </cell>
          <cell r="C96" t="str">
            <v>GREATER NAPANEE, TOWNSHIP OF</v>
          </cell>
        </row>
        <row r="97">
          <cell r="A97">
            <v>394</v>
          </cell>
          <cell r="B97">
            <v>6</v>
          </cell>
          <cell r="C97" t="str">
            <v>WEST NIPISSING, MUNICIPALITY OF</v>
          </cell>
        </row>
        <row r="98">
          <cell r="A98">
            <v>404</v>
          </cell>
          <cell r="B98">
            <v>8</v>
          </cell>
          <cell r="C98" t="str">
            <v>SEGUIN, TOWNSHIP OF</v>
          </cell>
        </row>
        <row r="99">
          <cell r="A99">
            <v>413</v>
          </cell>
          <cell r="B99">
            <v>8</v>
          </cell>
          <cell r="C99" t="str">
            <v>MCKELLAR, TOWNSHIP OF</v>
          </cell>
        </row>
        <row r="100">
          <cell r="A100">
            <v>414</v>
          </cell>
          <cell r="B100">
            <v>6</v>
          </cell>
          <cell r="C100" t="str">
            <v>KIRKLAND LAKE, TOWN OF</v>
          </cell>
        </row>
        <row r="101">
          <cell r="A101">
            <v>416</v>
          </cell>
          <cell r="B101">
            <v>9</v>
          </cell>
          <cell r="C101" t="str">
            <v>BRUDENELL, LYNDOCH AND RAGLAN, TOWNSHIP OF</v>
          </cell>
        </row>
        <row r="102">
          <cell r="A102">
            <v>420</v>
          </cell>
          <cell r="B102">
            <v>9</v>
          </cell>
          <cell r="C102" t="str">
            <v>NORTHERN BRUCE PENINSULA, MUNICIPALITY OF</v>
          </cell>
        </row>
        <row r="103">
          <cell r="A103">
            <v>426</v>
          </cell>
          <cell r="B103">
            <v>6</v>
          </cell>
          <cell r="C103" t="str">
            <v>ELLIOT LAKE, CITY OF</v>
          </cell>
        </row>
        <row r="104">
          <cell r="A104">
            <v>427</v>
          </cell>
          <cell r="B104">
            <v>5</v>
          </cell>
          <cell r="C104" t="str">
            <v>AYLMER, TOWN OF</v>
          </cell>
        </row>
        <row r="105">
          <cell r="A105">
            <v>429</v>
          </cell>
          <cell r="B105">
            <v>4</v>
          </cell>
          <cell r="C105" t="str">
            <v>CHATHAM-KENT, MUNICIPALITY OF</v>
          </cell>
        </row>
        <row r="106">
          <cell r="A106">
            <v>430</v>
          </cell>
          <cell r="B106">
            <v>6</v>
          </cell>
          <cell r="C106" t="str">
            <v>TIMMINS, CITY OF</v>
          </cell>
        </row>
        <row r="107">
          <cell r="A107">
            <v>434</v>
          </cell>
          <cell r="B107">
            <v>7</v>
          </cell>
          <cell r="C107" t="str">
            <v>EDWARDSBURGH CARDINAL, TOWNSHIP OF</v>
          </cell>
        </row>
        <row r="108">
          <cell r="A108">
            <v>437</v>
          </cell>
          <cell r="B108">
            <v>7</v>
          </cell>
          <cell r="C108" t="str">
            <v>PLYMPTON-WYOMING, TOWN OF</v>
          </cell>
        </row>
        <row r="109">
          <cell r="A109">
            <v>441</v>
          </cell>
          <cell r="B109">
            <v>2</v>
          </cell>
          <cell r="C109" t="str">
            <v>OTTAWA, CITY OF</v>
          </cell>
        </row>
        <row r="110">
          <cell r="A110">
            <v>443</v>
          </cell>
          <cell r="B110">
            <v>6</v>
          </cell>
          <cell r="C110" t="str">
            <v>GAUTHIER, TOWNSHIP OF</v>
          </cell>
        </row>
        <row r="111">
          <cell r="A111">
            <v>502</v>
          </cell>
          <cell r="B111">
            <v>7</v>
          </cell>
          <cell r="C111" t="str">
            <v>SOUTH GLENGARRY, TOWNSHIP OF</v>
          </cell>
        </row>
        <row r="112">
          <cell r="A112">
            <v>503</v>
          </cell>
          <cell r="B112">
            <v>7</v>
          </cell>
          <cell r="C112" t="str">
            <v>MALAHIDE, TOWNSHIP OF</v>
          </cell>
        </row>
        <row r="113">
          <cell r="A113">
            <v>508</v>
          </cell>
          <cell r="B113">
            <v>9</v>
          </cell>
          <cell r="C113" t="str">
            <v>CARLOW MAYO, TOWNSHIP OF</v>
          </cell>
        </row>
        <row r="114">
          <cell r="A114">
            <v>510</v>
          </cell>
          <cell r="B114">
            <v>7</v>
          </cell>
          <cell r="C114" t="str">
            <v>SOUTH DUNDAS, TOWNSHIP OF</v>
          </cell>
        </row>
        <row r="115">
          <cell r="A115">
            <v>512</v>
          </cell>
          <cell r="B115">
            <v>9</v>
          </cell>
          <cell r="C115" t="str">
            <v>TAY VALLEY, TOWNSHIP OF</v>
          </cell>
        </row>
        <row r="116">
          <cell r="A116">
            <v>516</v>
          </cell>
          <cell r="B116">
            <v>9</v>
          </cell>
          <cell r="C116" t="str">
            <v>LANARK HIGHLANDS, TOWNSHIP OF</v>
          </cell>
        </row>
        <row r="117">
          <cell r="A117">
            <v>521</v>
          </cell>
          <cell r="B117">
            <v>9</v>
          </cell>
          <cell r="C117" t="str">
            <v>ADDINGTON HIGHLANDS, TOWNSHIP OF</v>
          </cell>
        </row>
        <row r="118">
          <cell r="A118">
            <v>522</v>
          </cell>
          <cell r="B118">
            <v>9</v>
          </cell>
          <cell r="C118" t="str">
            <v>ADMASTON/BROMLEY, TOWNSHIP OF</v>
          </cell>
        </row>
        <row r="119">
          <cell r="A119">
            <v>523</v>
          </cell>
          <cell r="B119">
            <v>9</v>
          </cell>
          <cell r="C119" t="str">
            <v>MINDEN HILLS, TOWNSHIP OF</v>
          </cell>
        </row>
        <row r="120">
          <cell r="A120">
            <v>524</v>
          </cell>
          <cell r="B120">
            <v>5</v>
          </cell>
          <cell r="C120" t="str">
            <v>Arnprior, Town of</v>
          </cell>
        </row>
        <row r="121">
          <cell r="A121">
            <v>527</v>
          </cell>
          <cell r="B121">
            <v>9</v>
          </cell>
          <cell r="C121" t="str">
            <v>GREATER MADAWASKA, TOWNSHIP OF</v>
          </cell>
        </row>
        <row r="122">
          <cell r="A122">
            <v>531</v>
          </cell>
          <cell r="B122">
            <v>7</v>
          </cell>
          <cell r="C122" t="str">
            <v>BRANT, COUNTY OF</v>
          </cell>
        </row>
        <row r="123">
          <cell r="A123">
            <v>533</v>
          </cell>
          <cell r="B123" t="str">
            <v>NULL</v>
          </cell>
          <cell r="C123" t="str">
            <v>HURON EAST, MUNICIPALITY OF</v>
          </cell>
        </row>
        <row r="124">
          <cell r="A124">
            <v>537</v>
          </cell>
          <cell r="B124">
            <v>8</v>
          </cell>
          <cell r="C124" t="str">
            <v>CASEY, TOWNSHIP OF</v>
          </cell>
        </row>
        <row r="125">
          <cell r="A125">
            <v>543</v>
          </cell>
          <cell r="B125">
            <v>9</v>
          </cell>
          <cell r="C125" t="str">
            <v>ENNISKILLEN, TOWNSHIP OF</v>
          </cell>
        </row>
        <row r="126">
          <cell r="A126">
            <v>545</v>
          </cell>
          <cell r="B126">
            <v>8</v>
          </cell>
          <cell r="C126" t="str">
            <v>GILLIES, TOWNSHIP OF</v>
          </cell>
        </row>
        <row r="127">
          <cell r="A127">
            <v>547</v>
          </cell>
          <cell r="B127">
            <v>9</v>
          </cell>
          <cell r="C127" t="str">
            <v>BONNECHERE VALLEY, TOWNSHIP OF</v>
          </cell>
        </row>
        <row r="128">
          <cell r="A128">
            <v>550</v>
          </cell>
          <cell r="B128">
            <v>7</v>
          </cell>
          <cell r="C128" t="str">
            <v>HASTINGS HIGHLANDS, MUNICIPALITY OF</v>
          </cell>
        </row>
        <row r="129">
          <cell r="A129">
            <v>551</v>
          </cell>
          <cell r="B129">
            <v>7</v>
          </cell>
          <cell r="C129" t="str">
            <v>HORTON, TOWNSHIP OF</v>
          </cell>
        </row>
        <row r="130">
          <cell r="A130">
            <v>552</v>
          </cell>
          <cell r="B130">
            <v>9</v>
          </cell>
          <cell r="C130" t="str">
            <v>KILLALOE, HAGARTY, AND RICHARDS, TOWNSHIP OF</v>
          </cell>
        </row>
        <row r="131">
          <cell r="A131">
            <v>555</v>
          </cell>
          <cell r="B131">
            <v>7</v>
          </cell>
          <cell r="C131" t="str">
            <v>GREY HIGHLANDS, MUNICIPALITY OF</v>
          </cell>
        </row>
        <row r="132">
          <cell r="A132">
            <v>556</v>
          </cell>
          <cell r="B132">
            <v>7</v>
          </cell>
          <cell r="C132" t="str">
            <v>MCNAB-BRAESIDE, TOWNSHIP OF</v>
          </cell>
        </row>
        <row r="133">
          <cell r="A133">
            <v>558</v>
          </cell>
          <cell r="B133">
            <v>7</v>
          </cell>
          <cell r="C133" t="str">
            <v>SOUTHWEST MIDDLESEX, MUNICIPALITY OF</v>
          </cell>
        </row>
        <row r="134">
          <cell r="A134">
            <v>562</v>
          </cell>
          <cell r="B134">
            <v>6</v>
          </cell>
          <cell r="C134" t="str">
            <v>PRINCE, TOWNSHIP OF</v>
          </cell>
        </row>
        <row r="135">
          <cell r="A135">
            <v>565</v>
          </cell>
          <cell r="B135">
            <v>5</v>
          </cell>
          <cell r="C135" t="str">
            <v>RENFREW, TOWN OF</v>
          </cell>
        </row>
        <row r="136">
          <cell r="A136">
            <v>567</v>
          </cell>
          <cell r="B136">
            <v>9</v>
          </cell>
          <cell r="C136" t="str">
            <v>MADAWASKA VALLEY, TOWNSHIP OF</v>
          </cell>
        </row>
        <row r="137">
          <cell r="A137">
            <v>600</v>
          </cell>
          <cell r="B137">
            <v>7</v>
          </cell>
          <cell r="C137" t="str">
            <v>ALFRED AND PLANTAGENET, TOWNSHIP OF</v>
          </cell>
        </row>
        <row r="138">
          <cell r="A138">
            <v>601</v>
          </cell>
          <cell r="B138">
            <v>4</v>
          </cell>
          <cell r="C138" t="str">
            <v>KAWARTHA LAKES, CITY OF</v>
          </cell>
        </row>
        <row r="139">
          <cell r="A139">
            <v>602</v>
          </cell>
          <cell r="B139">
            <v>8</v>
          </cell>
          <cell r="C139" t="str">
            <v>CHIPPEWAS OF THE THAMES FIRST NATION</v>
          </cell>
        </row>
        <row r="140">
          <cell r="A140">
            <v>603</v>
          </cell>
          <cell r="B140">
            <v>6</v>
          </cell>
          <cell r="C140" t="str">
            <v>SABLES-SPANISH RIVERS, TOWNSHIP OF</v>
          </cell>
        </row>
        <row r="141">
          <cell r="A141">
            <v>604</v>
          </cell>
          <cell r="B141">
            <v>7</v>
          </cell>
          <cell r="C141" t="str">
            <v>WEST GREY, MUNICIPALITY OF</v>
          </cell>
        </row>
        <row r="142">
          <cell r="A142">
            <v>605</v>
          </cell>
          <cell r="B142">
            <v>8</v>
          </cell>
          <cell r="C142" t="str">
            <v>KERNS, TOWNSHIP OF</v>
          </cell>
        </row>
        <row r="143">
          <cell r="A143">
            <v>607</v>
          </cell>
          <cell r="B143">
            <v>8</v>
          </cell>
          <cell r="C143" t="str">
            <v>HUDSON, TOWNSHIP OF</v>
          </cell>
        </row>
        <row r="144">
          <cell r="A144">
            <v>610</v>
          </cell>
          <cell r="B144">
            <v>8</v>
          </cell>
          <cell r="C144" t="str">
            <v>NEEBING, MUNICIPALITY OF</v>
          </cell>
        </row>
        <row r="145">
          <cell r="A145">
            <v>611</v>
          </cell>
          <cell r="B145">
            <v>8</v>
          </cell>
          <cell r="C145" t="str">
            <v>CALVIN, MUNICIPALITY OF</v>
          </cell>
        </row>
        <row r="146">
          <cell r="A146">
            <v>612</v>
          </cell>
          <cell r="B146">
            <v>7</v>
          </cell>
          <cell r="C146" t="str">
            <v>SOUTHGATE, TOWNSHIP OF</v>
          </cell>
        </row>
        <row r="147">
          <cell r="A147">
            <v>613</v>
          </cell>
          <cell r="B147">
            <v>5</v>
          </cell>
          <cell r="C147" t="str">
            <v>MATTAWA, TOWN OF</v>
          </cell>
        </row>
        <row r="148">
          <cell r="A148">
            <v>616</v>
          </cell>
          <cell r="B148">
            <v>8</v>
          </cell>
          <cell r="C148" t="str">
            <v>PERRY, TOWNSHIP OF</v>
          </cell>
        </row>
        <row r="149">
          <cell r="A149">
            <v>618</v>
          </cell>
          <cell r="B149">
            <v>6</v>
          </cell>
          <cell r="C149" t="str">
            <v>BALDWIN, TOWNSHIP OF</v>
          </cell>
        </row>
        <row r="150">
          <cell r="A150">
            <v>620</v>
          </cell>
          <cell r="B150">
            <v>6</v>
          </cell>
          <cell r="C150" t="str">
            <v>BLIND RIVER, TOWN OF</v>
          </cell>
        </row>
        <row r="151">
          <cell r="A151">
            <v>622</v>
          </cell>
          <cell r="B151">
            <v>6</v>
          </cell>
          <cell r="C151" t="str">
            <v>CENTRAL MANITOULIN, TOWNSHIP OF</v>
          </cell>
        </row>
        <row r="152">
          <cell r="A152">
            <v>623</v>
          </cell>
          <cell r="B152">
            <v>6</v>
          </cell>
          <cell r="C152" t="str">
            <v>ESPANOLA, TOWN OF</v>
          </cell>
        </row>
        <row r="153">
          <cell r="A153">
            <v>626</v>
          </cell>
          <cell r="B153">
            <v>6</v>
          </cell>
          <cell r="C153" t="str">
            <v>NAIRN &amp; HYMAN, TOWNSHIP OF</v>
          </cell>
        </row>
        <row r="154">
          <cell r="A154">
            <v>627</v>
          </cell>
          <cell r="B154">
            <v>6</v>
          </cell>
          <cell r="C154" t="str">
            <v>NORTHEASTERN MANITOULIN &amp; ISLANDS, TOWN OF</v>
          </cell>
        </row>
        <row r="155">
          <cell r="A155">
            <v>629</v>
          </cell>
          <cell r="B155">
            <v>9</v>
          </cell>
          <cell r="C155" t="str">
            <v>CENTRAL FRONTENAC, TOWNSHIP OF</v>
          </cell>
        </row>
        <row r="156">
          <cell r="A156">
            <v>630</v>
          </cell>
          <cell r="B156">
            <v>9</v>
          </cell>
          <cell r="C156" t="str">
            <v>NORTH FRONTENAC, TOWNSHIP OF</v>
          </cell>
        </row>
        <row r="157">
          <cell r="A157">
            <v>631</v>
          </cell>
          <cell r="B157" t="str">
            <v>NULL</v>
          </cell>
          <cell r="C157" t="str">
            <v>WEST PERTH, MUNICIPALITY OF</v>
          </cell>
        </row>
        <row r="158">
          <cell r="A158">
            <v>634</v>
          </cell>
          <cell r="B158">
            <v>6</v>
          </cell>
          <cell r="C158" t="str">
            <v>Temiskaming Shores, City of</v>
          </cell>
        </row>
        <row r="159">
          <cell r="A159">
            <v>692</v>
          </cell>
          <cell r="B159">
            <v>8</v>
          </cell>
          <cell r="C159" t="str">
            <v>NORTHEAST RECYCLING ASSOCIATION</v>
          </cell>
        </row>
        <row r="160">
          <cell r="A160">
            <v>693</v>
          </cell>
          <cell r="B160">
            <v>7</v>
          </cell>
          <cell r="C160" t="str">
            <v>AKWESASNE, MOHAWK COUNCIL OF</v>
          </cell>
        </row>
        <row r="161">
          <cell r="A161">
            <v>694</v>
          </cell>
          <cell r="B161">
            <v>6</v>
          </cell>
          <cell r="C161" t="str">
            <v>WAHNAPITAE FIRST NATION</v>
          </cell>
        </row>
        <row r="162">
          <cell r="A162">
            <v>695</v>
          </cell>
          <cell r="B162">
            <v>9</v>
          </cell>
          <cell r="C162" t="str">
            <v>CHIPPEWAS OF KETTLE AND STONY POINT FIRST NATIONS</v>
          </cell>
        </row>
        <row r="163">
          <cell r="A163">
            <v>696</v>
          </cell>
          <cell r="B163">
            <v>5</v>
          </cell>
          <cell r="C163" t="str">
            <v>PETROLIA, TOWN OF</v>
          </cell>
        </row>
        <row r="164">
          <cell r="A164">
            <v>697</v>
          </cell>
          <cell r="B164">
            <v>6</v>
          </cell>
          <cell r="C164" t="str">
            <v>SAULT NORTH WASTE MANAGEMENT COUNCIL</v>
          </cell>
        </row>
        <row r="165">
          <cell r="A165">
            <v>698</v>
          </cell>
          <cell r="B165" t="str">
            <v>NULL</v>
          </cell>
          <cell r="C165" t="str">
            <v>NORTH SHORE, TOWNSHIP OF THE</v>
          </cell>
        </row>
        <row r="166">
          <cell r="A166">
            <v>706</v>
          </cell>
          <cell r="B166">
            <v>8</v>
          </cell>
          <cell r="C166" t="str">
            <v>ARMSTRONG, TOWNSHIP OF</v>
          </cell>
        </row>
        <row r="167">
          <cell r="A167">
            <v>709</v>
          </cell>
          <cell r="B167">
            <v>8</v>
          </cell>
          <cell r="C167" t="str">
            <v>ASSIGINACK,  TOWNSHIP OF</v>
          </cell>
        </row>
        <row r="168">
          <cell r="A168">
            <v>710</v>
          </cell>
          <cell r="B168">
            <v>6</v>
          </cell>
          <cell r="C168" t="str">
            <v>ATIKOKAN, TOWNSHIP OF</v>
          </cell>
        </row>
        <row r="169">
          <cell r="A169">
            <v>711</v>
          </cell>
          <cell r="B169">
            <v>7</v>
          </cell>
          <cell r="C169" t="str">
            <v>BANCROFT, TOWN OF</v>
          </cell>
        </row>
        <row r="170">
          <cell r="A170">
            <v>712</v>
          </cell>
          <cell r="B170">
            <v>7</v>
          </cell>
          <cell r="C170" t="str">
            <v>BECKWITH, TOWNSHIP OF</v>
          </cell>
        </row>
        <row r="171">
          <cell r="A171">
            <v>714</v>
          </cell>
          <cell r="B171">
            <v>8</v>
          </cell>
          <cell r="C171" t="str">
            <v>BILLINGS, TOWNSHIP OF</v>
          </cell>
        </row>
        <row r="172">
          <cell r="A172">
            <v>715</v>
          </cell>
          <cell r="B172">
            <v>6</v>
          </cell>
          <cell r="C172" t="str">
            <v>BLACK RIVER-MATHESON,  TOWNSHIP OF</v>
          </cell>
        </row>
        <row r="173">
          <cell r="A173">
            <v>718</v>
          </cell>
          <cell r="B173">
            <v>7</v>
          </cell>
          <cell r="C173" t="str">
            <v>MISSISSAUGAS OF THE NEW CREDIT FIRST NATION</v>
          </cell>
        </row>
        <row r="174">
          <cell r="A174">
            <v>725</v>
          </cell>
          <cell r="B174" t="str">
            <v>NULL</v>
          </cell>
          <cell r="C174" t="str">
            <v>BRUCE, COUNTY OF</v>
          </cell>
        </row>
        <row r="175">
          <cell r="A175">
            <v>731</v>
          </cell>
          <cell r="B175">
            <v>5</v>
          </cell>
          <cell r="C175" t="str">
            <v>CARLETON PLACE, TOWN OF</v>
          </cell>
        </row>
        <row r="176">
          <cell r="A176">
            <v>732</v>
          </cell>
          <cell r="B176">
            <v>5</v>
          </cell>
          <cell r="C176" t="str">
            <v>CASSELMAN,  VILLAGE OF</v>
          </cell>
        </row>
        <row r="177">
          <cell r="A177">
            <v>736</v>
          </cell>
          <cell r="B177">
            <v>7</v>
          </cell>
          <cell r="C177" t="str">
            <v>LAURENTIAN HILLS, TOWN OF</v>
          </cell>
        </row>
        <row r="178">
          <cell r="A178">
            <v>743</v>
          </cell>
          <cell r="B178">
            <v>6</v>
          </cell>
          <cell r="C178" t="str">
            <v>COBALT, TOWN OF</v>
          </cell>
        </row>
        <row r="179">
          <cell r="A179">
            <v>747</v>
          </cell>
          <cell r="B179">
            <v>6</v>
          </cell>
          <cell r="C179" t="str">
            <v>COLEMAN,  TOWNSHIP OF</v>
          </cell>
        </row>
        <row r="180">
          <cell r="A180">
            <v>749</v>
          </cell>
          <cell r="B180">
            <v>8</v>
          </cell>
          <cell r="C180" t="str">
            <v>CONMEE,  TOWNSHIP OF</v>
          </cell>
        </row>
        <row r="181">
          <cell r="A181">
            <v>754</v>
          </cell>
          <cell r="B181">
            <v>5</v>
          </cell>
          <cell r="C181" t="str">
            <v>DESERONTO, TOWN OF</v>
          </cell>
        </row>
        <row r="182">
          <cell r="A182">
            <v>757</v>
          </cell>
          <cell r="B182">
            <v>7</v>
          </cell>
          <cell r="C182" t="str">
            <v>DRUMMOND-NORTH ELMSLEY, TOWNSHIP OF</v>
          </cell>
        </row>
        <row r="183">
          <cell r="A183">
            <v>758</v>
          </cell>
          <cell r="B183">
            <v>6</v>
          </cell>
          <cell r="C183" t="str">
            <v>DRYDEN, CITY OF</v>
          </cell>
        </row>
        <row r="184">
          <cell r="A184">
            <v>760</v>
          </cell>
          <cell r="B184">
            <v>4</v>
          </cell>
          <cell r="C184" t="str">
            <v>DUFFERIN, COUNTY OF</v>
          </cell>
        </row>
        <row r="185">
          <cell r="A185">
            <v>764</v>
          </cell>
          <cell r="B185">
            <v>8</v>
          </cell>
          <cell r="C185" t="str">
            <v>EMO, TOWNSHIP OF</v>
          </cell>
        </row>
        <row r="186">
          <cell r="A186">
            <v>765</v>
          </cell>
          <cell r="B186">
            <v>6</v>
          </cell>
          <cell r="C186" t="str">
            <v>ENGLEHART, TOWN OF</v>
          </cell>
        </row>
        <row r="187">
          <cell r="A187">
            <v>770</v>
          </cell>
          <cell r="B187">
            <v>6</v>
          </cell>
          <cell r="C187" t="str">
            <v>EVANTUREL, TOWNSHIP OF</v>
          </cell>
        </row>
        <row r="188">
          <cell r="A188">
            <v>771</v>
          </cell>
          <cell r="B188">
            <v>9</v>
          </cell>
          <cell r="C188" t="str">
            <v>FARADAY, TOWNSHIP OF</v>
          </cell>
        </row>
        <row r="189">
          <cell r="A189">
            <v>774</v>
          </cell>
          <cell r="B189">
            <v>6</v>
          </cell>
          <cell r="C189" t="str">
            <v>FORT FRANCES, TOWN OF</v>
          </cell>
        </row>
        <row r="190">
          <cell r="A190">
            <v>775</v>
          </cell>
          <cell r="B190">
            <v>8</v>
          </cell>
          <cell r="C190" t="str">
            <v>FRENCH RIVER, MUNICIPALITY OF</v>
          </cell>
        </row>
        <row r="191">
          <cell r="A191">
            <v>786</v>
          </cell>
          <cell r="B191">
            <v>7</v>
          </cell>
          <cell r="C191" t="str">
            <v>HALDIMAND, COUNTY OF</v>
          </cell>
        </row>
        <row r="192">
          <cell r="A192">
            <v>790</v>
          </cell>
          <cell r="B192">
            <v>8</v>
          </cell>
          <cell r="C192" t="str">
            <v>HARLEY, TOWNSHIP OF</v>
          </cell>
        </row>
        <row r="193">
          <cell r="A193">
            <v>794</v>
          </cell>
          <cell r="B193">
            <v>6</v>
          </cell>
          <cell r="C193" t="str">
            <v>HEAD, CLARA AND MARIA, TOWNSHIPS OF</v>
          </cell>
        </row>
        <row r="194">
          <cell r="A194">
            <v>795</v>
          </cell>
          <cell r="B194">
            <v>8</v>
          </cell>
          <cell r="C194" t="str">
            <v>HEARST, TOWN OF</v>
          </cell>
        </row>
        <row r="195">
          <cell r="A195">
            <v>796</v>
          </cell>
          <cell r="B195">
            <v>8</v>
          </cell>
          <cell r="C195" t="str">
            <v>HILLIARD,  TOWNSHIP OF</v>
          </cell>
        </row>
        <row r="196">
          <cell r="A196">
            <v>797</v>
          </cell>
          <cell r="B196">
            <v>8</v>
          </cell>
          <cell r="C196" t="str">
            <v>HILTON BEACH,  VILLAGE OF</v>
          </cell>
        </row>
        <row r="197">
          <cell r="A197">
            <v>801</v>
          </cell>
          <cell r="B197">
            <v>8</v>
          </cell>
          <cell r="C197" t="str">
            <v>HURON SHORES,  MUNICIPALITY OF</v>
          </cell>
        </row>
        <row r="198">
          <cell r="A198">
            <v>806</v>
          </cell>
          <cell r="B198">
            <v>6</v>
          </cell>
          <cell r="C198" t="str">
            <v>JAMES, TOWNSHIP OF</v>
          </cell>
        </row>
        <row r="199">
          <cell r="A199">
            <v>807</v>
          </cell>
          <cell r="B199">
            <v>8</v>
          </cell>
          <cell r="C199" t="str">
            <v>JOHNSON,  TOWNSHIP OF</v>
          </cell>
        </row>
        <row r="200">
          <cell r="A200">
            <v>810</v>
          </cell>
          <cell r="B200">
            <v>8</v>
          </cell>
          <cell r="C200" t="str">
            <v>KEARNEY, TOWN OF</v>
          </cell>
        </row>
        <row r="201">
          <cell r="A201">
            <v>811</v>
          </cell>
          <cell r="B201">
            <v>6</v>
          </cell>
          <cell r="C201" t="str">
            <v>KENORA, CITY OF</v>
          </cell>
        </row>
        <row r="202">
          <cell r="A202">
            <v>812</v>
          </cell>
          <cell r="B202">
            <v>8</v>
          </cell>
          <cell r="C202" t="str">
            <v>KILLARNEY, MUNICIPALITY OF</v>
          </cell>
        </row>
        <row r="203">
          <cell r="A203">
            <v>818</v>
          </cell>
          <cell r="B203">
            <v>8</v>
          </cell>
          <cell r="C203" t="str">
            <v>LAIRD, TOWNSHIP OF</v>
          </cell>
        </row>
        <row r="204">
          <cell r="A204">
            <v>824</v>
          </cell>
          <cell r="B204">
            <v>6</v>
          </cell>
          <cell r="C204" t="str">
            <v>LARDER LAKE,  TOWNSHIP OF</v>
          </cell>
        </row>
        <row r="205">
          <cell r="A205">
            <v>826</v>
          </cell>
          <cell r="B205">
            <v>6</v>
          </cell>
          <cell r="C205" t="str">
            <v>LATCHFORD, TOWN OF</v>
          </cell>
        </row>
        <row r="206">
          <cell r="A206">
            <v>830</v>
          </cell>
          <cell r="B206">
            <v>9</v>
          </cell>
          <cell r="C206" t="str">
            <v>Limerick, Township of</v>
          </cell>
        </row>
        <row r="207">
          <cell r="A207">
            <v>833</v>
          </cell>
          <cell r="B207">
            <v>8</v>
          </cell>
          <cell r="C207" t="str">
            <v>MACDONALD, MEREDITH &amp; ABERDEEN ADDITIONAL, TOWNSHIP OF</v>
          </cell>
        </row>
        <row r="208">
          <cell r="A208">
            <v>834</v>
          </cell>
          <cell r="B208">
            <v>8</v>
          </cell>
          <cell r="C208" t="str">
            <v>MACHAR, TOWNSHIP OF</v>
          </cell>
        </row>
        <row r="209">
          <cell r="A209">
            <v>837</v>
          </cell>
          <cell r="B209">
            <v>8</v>
          </cell>
          <cell r="C209" t="str">
            <v>MAGNETAWAN, MUNICIPALITY OF</v>
          </cell>
        </row>
        <row r="210">
          <cell r="A210">
            <v>840</v>
          </cell>
          <cell r="B210">
            <v>6</v>
          </cell>
          <cell r="C210" t="str">
            <v>MARATHON,  TOWN OF</v>
          </cell>
        </row>
        <row r="211">
          <cell r="A211">
            <v>843</v>
          </cell>
          <cell r="B211">
            <v>6</v>
          </cell>
          <cell r="C211" t="str">
            <v xml:space="preserve">Matachewan, The Corporation of the Township of </v>
          </cell>
        </row>
        <row r="212">
          <cell r="A212">
            <v>845</v>
          </cell>
          <cell r="B212">
            <v>8</v>
          </cell>
          <cell r="C212" t="str">
            <v>MATTICE-VAL CÔTÉ,  TOWNSHIP OF</v>
          </cell>
        </row>
        <row r="213">
          <cell r="A213">
            <v>846</v>
          </cell>
          <cell r="B213">
            <v>6</v>
          </cell>
          <cell r="C213" t="str">
            <v>MCGARRY, TOWNSHIP OF</v>
          </cell>
        </row>
        <row r="214">
          <cell r="A214">
            <v>847</v>
          </cell>
          <cell r="B214">
            <v>8</v>
          </cell>
          <cell r="C214" t="str">
            <v>MCMURRICH/MONTEITH, TOWNSHIP OF</v>
          </cell>
        </row>
        <row r="215">
          <cell r="A215">
            <v>854</v>
          </cell>
          <cell r="B215">
            <v>7</v>
          </cell>
          <cell r="C215" t="str">
            <v>MISSISSIPPI MILLS, TOWN OF</v>
          </cell>
        </row>
        <row r="216">
          <cell r="A216">
            <v>855</v>
          </cell>
          <cell r="B216">
            <v>7</v>
          </cell>
          <cell r="C216" t="str">
            <v>MONTAGUE, TOWNSHIP OF</v>
          </cell>
        </row>
        <row r="217">
          <cell r="A217">
            <v>862</v>
          </cell>
          <cell r="B217">
            <v>7</v>
          </cell>
          <cell r="C217" t="str">
            <v>NEWBURY,  VILLAGE OF</v>
          </cell>
        </row>
        <row r="218">
          <cell r="A218">
            <v>866</v>
          </cell>
          <cell r="B218">
            <v>8</v>
          </cell>
          <cell r="C218" t="str">
            <v>NIPISSING, TOWNSHIP OF</v>
          </cell>
        </row>
        <row r="219">
          <cell r="A219">
            <v>869</v>
          </cell>
          <cell r="B219" t="str">
            <v>NULL</v>
          </cell>
          <cell r="C219" t="str">
            <v>NORTH PERTH, MUNICIPALITY OF</v>
          </cell>
        </row>
        <row r="220">
          <cell r="A220">
            <v>871</v>
          </cell>
          <cell r="B220">
            <v>8</v>
          </cell>
          <cell r="C220" t="str">
            <v>OCONNOR,  TOWNSHIP OF</v>
          </cell>
        </row>
        <row r="221">
          <cell r="A221">
            <v>873</v>
          </cell>
          <cell r="B221">
            <v>8</v>
          </cell>
          <cell r="C221" t="str">
            <v>OLIVER PAIPOONGE,  MUNICIPALITY OF</v>
          </cell>
        </row>
        <row r="222">
          <cell r="A222">
            <v>878</v>
          </cell>
          <cell r="B222">
            <v>4</v>
          </cell>
          <cell r="C222" t="str">
            <v>OXFORD,  RESTRUCTURED COUNTY OF</v>
          </cell>
        </row>
        <row r="223">
          <cell r="A223">
            <v>885</v>
          </cell>
          <cell r="B223">
            <v>5</v>
          </cell>
          <cell r="C223" t="str">
            <v>PERTH, TOWN OF</v>
          </cell>
        </row>
        <row r="224">
          <cell r="A224">
            <v>888</v>
          </cell>
          <cell r="B224">
            <v>6</v>
          </cell>
          <cell r="C224" t="str">
            <v>TRI-NEIGHBOURS</v>
          </cell>
        </row>
        <row r="225">
          <cell r="A225">
            <v>889</v>
          </cell>
          <cell r="B225">
            <v>6</v>
          </cell>
          <cell r="C225" t="str">
            <v>PAPINEAU-CAMERON, TOWNSHIP OF</v>
          </cell>
        </row>
        <row r="226">
          <cell r="A226">
            <v>891</v>
          </cell>
          <cell r="B226">
            <v>6</v>
          </cell>
          <cell r="C226" t="str">
            <v>POWASSAN, MUNICIPALITY OF</v>
          </cell>
        </row>
        <row r="227">
          <cell r="A227">
            <v>895</v>
          </cell>
          <cell r="B227">
            <v>8</v>
          </cell>
          <cell r="C227" t="str">
            <v>RAINY RIVER, TOWN OF</v>
          </cell>
        </row>
        <row r="228">
          <cell r="A228">
            <v>897</v>
          </cell>
          <cell r="B228">
            <v>8</v>
          </cell>
          <cell r="C228" t="str">
            <v>RED LAKE, MUNICIPALITY OF</v>
          </cell>
        </row>
        <row r="229">
          <cell r="A229">
            <v>904</v>
          </cell>
          <cell r="B229">
            <v>6</v>
          </cell>
          <cell r="C229" t="str">
            <v>SPANISH, TOWN OF</v>
          </cell>
        </row>
        <row r="230">
          <cell r="A230">
            <v>905</v>
          </cell>
          <cell r="B230">
            <v>8</v>
          </cell>
          <cell r="C230" t="str">
            <v>SHUNIAH, MUNICIPALITY OF</v>
          </cell>
        </row>
        <row r="231">
          <cell r="A231">
            <v>906</v>
          </cell>
          <cell r="B231">
            <v>6</v>
          </cell>
          <cell r="C231" t="str">
            <v xml:space="preserve">SIOUX LOOKOUT, THE CORPORATION OF THE MUNICIPALITY OF </v>
          </cell>
        </row>
        <row r="232">
          <cell r="A232">
            <v>907</v>
          </cell>
          <cell r="B232">
            <v>8</v>
          </cell>
          <cell r="C232" t="str">
            <v>SIOUX NARROWS NESTOR FALLS, TOWNSHIP OF</v>
          </cell>
        </row>
        <row r="233">
          <cell r="A233">
            <v>909</v>
          </cell>
          <cell r="B233">
            <v>5</v>
          </cell>
          <cell r="C233" t="str">
            <v>SMITHS FALLS, TOWN OF</v>
          </cell>
        </row>
        <row r="234">
          <cell r="A234">
            <v>917</v>
          </cell>
          <cell r="B234">
            <v>6</v>
          </cell>
          <cell r="C234" t="str">
            <v>ST. CHARLES, MUNICIPALITY OF</v>
          </cell>
        </row>
        <row r="235">
          <cell r="A235">
            <v>918</v>
          </cell>
          <cell r="B235">
            <v>8</v>
          </cell>
          <cell r="C235" t="str">
            <v>ST. JOSEPH, TOWNSHIP OF</v>
          </cell>
        </row>
        <row r="236">
          <cell r="A236">
            <v>919</v>
          </cell>
          <cell r="B236" t="str">
            <v>NULL</v>
          </cell>
          <cell r="C236" t="str">
            <v>ST. MARY'S, SEPARATED TOWN OF</v>
          </cell>
        </row>
        <row r="237">
          <cell r="A237">
            <v>922</v>
          </cell>
          <cell r="B237">
            <v>8</v>
          </cell>
          <cell r="C237" t="str">
            <v>STRONG, TOWNSHIP OF</v>
          </cell>
        </row>
        <row r="238">
          <cell r="A238">
            <v>923</v>
          </cell>
          <cell r="B238">
            <v>5</v>
          </cell>
          <cell r="C238" t="str">
            <v>SUNDRIDGE, VILLAGE OF</v>
          </cell>
        </row>
        <row r="239">
          <cell r="A239">
            <v>924</v>
          </cell>
          <cell r="B239">
            <v>8</v>
          </cell>
          <cell r="C239" t="str">
            <v>TARBUTT &amp; TARBUTT ADDITIONAL, TOWNSHIP OF</v>
          </cell>
        </row>
        <row r="240">
          <cell r="A240">
            <v>929</v>
          </cell>
          <cell r="B240">
            <v>8</v>
          </cell>
          <cell r="C240" t="str">
            <v>TERRACE BAY, TOWNSHIP OF</v>
          </cell>
        </row>
        <row r="241">
          <cell r="A241">
            <v>936</v>
          </cell>
          <cell r="B241">
            <v>9</v>
          </cell>
          <cell r="C241" t="str">
            <v>TUDOR &amp; CASHEL, TOWNSHIP OF</v>
          </cell>
        </row>
        <row r="242">
          <cell r="A242">
            <v>952</v>
          </cell>
          <cell r="B242">
            <v>9</v>
          </cell>
          <cell r="C242" t="str">
            <v>WOLLASTON, TOWNSHIP OF</v>
          </cell>
        </row>
        <row r="243">
          <cell r="A243">
            <v>955</v>
          </cell>
          <cell r="B243">
            <v>8</v>
          </cell>
          <cell r="C243" t="str">
            <v>BONFIELD, TOWNSHIP OF</v>
          </cell>
        </row>
        <row r="244">
          <cell r="A244">
            <v>957</v>
          </cell>
          <cell r="B244">
            <v>6</v>
          </cell>
          <cell r="C244" t="str">
            <v>CHISHOLM, TOWNSHIP OF</v>
          </cell>
        </row>
        <row r="245">
          <cell r="A245">
            <v>958</v>
          </cell>
          <cell r="B245">
            <v>7</v>
          </cell>
          <cell r="C245" t="str">
            <v>DEEP RIVER, TOWN OF</v>
          </cell>
        </row>
        <row r="246">
          <cell r="A246">
            <v>959</v>
          </cell>
          <cell r="B246">
            <v>6</v>
          </cell>
          <cell r="C246" t="str">
            <v>EAST FERRIS, MUNICIPALITY OF</v>
          </cell>
        </row>
        <row r="247">
          <cell r="A247">
            <v>967</v>
          </cell>
          <cell r="B247">
            <v>7</v>
          </cell>
          <cell r="C247" t="str">
            <v>MOHAWKS OF THE BAY OF QUINTE</v>
          </cell>
        </row>
        <row r="248">
          <cell r="A248">
            <v>969</v>
          </cell>
          <cell r="B248">
            <v>6</v>
          </cell>
          <cell r="C248" t="str">
            <v>RAINY RIVER FIRST NATIONS</v>
          </cell>
        </row>
        <row r="249">
          <cell r="A249">
            <v>970</v>
          </cell>
          <cell r="B249">
            <v>6</v>
          </cell>
          <cell r="C249" t="str">
            <v>CALLANDER, MUNICIPALITY OF</v>
          </cell>
        </row>
        <row r="250">
          <cell r="A250">
            <v>971</v>
          </cell>
          <cell r="B250">
            <v>7</v>
          </cell>
          <cell r="C250" t="str">
            <v>LOYALIST, TOWNSHIP OF</v>
          </cell>
        </row>
        <row r="251">
          <cell r="A251">
            <v>973</v>
          </cell>
          <cell r="B251">
            <v>8</v>
          </cell>
          <cell r="C251" t="str">
            <v>CHARLTON AND DACK, MUNICIPALITY OF</v>
          </cell>
        </row>
        <row r="252">
          <cell r="A252">
            <v>974</v>
          </cell>
          <cell r="B252">
            <v>8</v>
          </cell>
          <cell r="C252" t="str">
            <v>SERPENT RIVER FIRST NATIONS</v>
          </cell>
        </row>
        <row r="253">
          <cell r="A253">
            <v>975</v>
          </cell>
          <cell r="B253">
            <v>7</v>
          </cell>
          <cell r="C253" t="str">
            <v>ALGONQUINS OF PIKWAKANAGAN</v>
          </cell>
        </row>
        <row r="254">
          <cell r="A254">
            <v>976</v>
          </cell>
          <cell r="B254">
            <v>7</v>
          </cell>
          <cell r="C254" t="str">
            <v>CHIPPEWAS OF NAWASH FIRST NATION</v>
          </cell>
        </row>
        <row r="255">
          <cell r="A255">
            <v>977</v>
          </cell>
          <cell r="B255">
            <v>7</v>
          </cell>
          <cell r="C255" t="str">
            <v>ALDERVILLE FIRST NATION</v>
          </cell>
        </row>
        <row r="256">
          <cell r="A256">
            <v>978</v>
          </cell>
          <cell r="B256">
            <v>8</v>
          </cell>
          <cell r="C256" t="str">
            <v>SAGAMOK ANISHNAWBEK FIRST NATION</v>
          </cell>
        </row>
        <row r="257">
          <cell r="A257">
            <v>979</v>
          </cell>
          <cell r="B257">
            <v>7</v>
          </cell>
          <cell r="C257" t="str">
            <v>CHIPPEWAS OF GEORGINA ISLAND</v>
          </cell>
        </row>
        <row r="258">
          <cell r="A258">
            <v>980</v>
          </cell>
          <cell r="B258">
            <v>6</v>
          </cell>
          <cell r="C258" t="str">
            <v>ATIKAMEKSHENG ANISHNAWBEK FIRST NATION</v>
          </cell>
        </row>
        <row r="259">
          <cell r="A259">
            <v>981</v>
          </cell>
          <cell r="B259">
            <v>7</v>
          </cell>
          <cell r="C259" t="str">
            <v>CHIPPEWAS OF RAMA FIRST NATION</v>
          </cell>
        </row>
        <row r="260">
          <cell r="A260">
            <v>982</v>
          </cell>
          <cell r="B260">
            <v>9</v>
          </cell>
          <cell r="C260" t="str">
            <v>WALPOLE ISLAND FIRST NATION</v>
          </cell>
        </row>
        <row r="261">
          <cell r="A261">
            <v>983</v>
          </cell>
          <cell r="B261">
            <v>7</v>
          </cell>
          <cell r="C261" t="str">
            <v>CURVE LAKE FIRST NATION</v>
          </cell>
        </row>
        <row r="262">
          <cell r="A262">
            <v>985</v>
          </cell>
          <cell r="B262">
            <v>8</v>
          </cell>
          <cell r="C262" t="str">
            <v>WIKWEMIKONG UNCEDED INDIAN RESERVE</v>
          </cell>
        </row>
        <row r="263">
          <cell r="A263">
            <v>986</v>
          </cell>
          <cell r="B263">
            <v>6</v>
          </cell>
          <cell r="C263" t="str">
            <v>BATCHEWANA FIRST NATIONS OJIBWAYS</v>
          </cell>
        </row>
        <row r="264">
          <cell r="A264">
            <v>987</v>
          </cell>
          <cell r="B264">
            <v>9</v>
          </cell>
          <cell r="C264" t="str">
            <v>SIX NATIONS</v>
          </cell>
        </row>
        <row r="265">
          <cell r="A265">
            <v>988</v>
          </cell>
          <cell r="B265">
            <v>6</v>
          </cell>
          <cell r="C265" t="str">
            <v>NIPISSING FIRST NATION</v>
          </cell>
        </row>
        <row r="266">
          <cell r="A266">
            <v>989</v>
          </cell>
          <cell r="B266">
            <v>6</v>
          </cell>
          <cell r="C266" t="str">
            <v>COCHRANE, Corporation of the Town of</v>
          </cell>
        </row>
        <row r="267">
          <cell r="A267">
            <v>990</v>
          </cell>
          <cell r="B267">
            <v>8</v>
          </cell>
          <cell r="C267" t="str">
            <v>Minaki Recycling Corporation</v>
          </cell>
        </row>
        <row r="268">
          <cell r="A268">
            <v>998</v>
          </cell>
          <cell r="B268">
            <v>9</v>
          </cell>
          <cell r="C268" t="str">
            <v>Beausoleil First Nation</v>
          </cell>
        </row>
        <row r="269">
          <cell r="A269">
            <v>999</v>
          </cell>
          <cell r="B269">
            <v>999</v>
          </cell>
          <cell r="C269" t="str">
            <v>Test User</v>
          </cell>
        </row>
        <row r="270">
          <cell r="A270">
            <v>5001</v>
          </cell>
          <cell r="B270">
            <v>5001</v>
          </cell>
          <cell r="C270" t="str">
            <v>RPRA</v>
          </cell>
        </row>
        <row r="271">
          <cell r="A271">
            <v>5002</v>
          </cell>
          <cell r="B271">
            <v>5002</v>
          </cell>
          <cell r="C271" t="str">
            <v>Training</v>
          </cell>
        </row>
        <row r="272">
          <cell r="A272">
            <v>5003</v>
          </cell>
          <cell r="B272">
            <v>5003</v>
          </cell>
          <cell r="C272" t="str">
            <v>TEST USER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39997558519241921"/>
  </sheetPr>
  <dimension ref="B1:AH278"/>
  <sheetViews>
    <sheetView tabSelected="1" zoomScaleNormal="100" zoomScaleSheetLayoutView="50" workbookViewId="0">
      <selection activeCell="I16" sqref="I16"/>
    </sheetView>
  </sheetViews>
  <sheetFormatPr defaultRowHeight="14.3" x14ac:dyDescent="0.25"/>
  <cols>
    <col min="1" max="1" width="5.75" customWidth="1"/>
    <col min="2" max="2" width="11.5" style="1" customWidth="1"/>
    <col min="3" max="3" width="13.875" style="1" customWidth="1"/>
    <col min="4" max="4" width="47.125" customWidth="1"/>
    <col min="5" max="5" width="16.25" customWidth="1"/>
    <col min="6" max="16" width="14.75" customWidth="1"/>
    <col min="17" max="17" width="17.5" customWidth="1"/>
    <col min="18" max="18" width="20.75" customWidth="1"/>
    <col min="19" max="19" width="22.875" customWidth="1"/>
    <col min="20" max="20" width="5.75" style="29" customWidth="1"/>
    <col min="21" max="24" width="14.75" style="29" customWidth="1"/>
    <col min="25" max="25" width="5.75" style="29" customWidth="1"/>
    <col min="26" max="29" width="14" customWidth="1"/>
    <col min="30" max="30" width="5.75" customWidth="1"/>
    <col min="31" max="31" width="12.75" style="18" customWidth="1"/>
    <col min="32" max="34" width="12.75" customWidth="1"/>
    <col min="35" max="35" width="8.75" customWidth="1"/>
    <col min="36" max="37" width="12.75" customWidth="1"/>
    <col min="38" max="38" width="4.75" customWidth="1"/>
    <col min="39" max="42" width="12.75" customWidth="1"/>
  </cols>
  <sheetData>
    <row r="1" spans="2:34" ht="58.6" customHeight="1" thickBot="1" x14ac:dyDescent="0.3">
      <c r="D1" s="43"/>
      <c r="AD1" s="44"/>
    </row>
    <row r="2" spans="2:34" ht="43.5" thickBot="1" x14ac:dyDescent="0.3">
      <c r="B2" s="212" t="s">
        <v>325</v>
      </c>
      <c r="C2" s="213"/>
      <c r="D2" s="213"/>
      <c r="E2" s="213"/>
      <c r="F2" s="213"/>
      <c r="G2" s="214"/>
      <c r="H2" s="45"/>
      <c r="I2" s="207">
        <v>0.9</v>
      </c>
      <c r="J2" s="118" t="s">
        <v>23</v>
      </c>
      <c r="K2" s="118" t="s">
        <v>24</v>
      </c>
      <c r="L2" s="118" t="s">
        <v>25</v>
      </c>
      <c r="O2" s="44"/>
      <c r="P2" s="215" t="s">
        <v>334</v>
      </c>
      <c r="Q2" s="216"/>
      <c r="AD2" s="44"/>
    </row>
    <row r="3" spans="2:34" ht="14.95" thickBot="1" x14ac:dyDescent="0.3">
      <c r="B3" s="23"/>
      <c r="H3" s="45"/>
      <c r="I3" s="47">
        <v>1</v>
      </c>
      <c r="J3" s="162">
        <f t="shared" ref="J3:J11" si="0">SUMPRODUCT(--($C$26:$C$300=$I3),$E$26:$E$300)</f>
        <v>310613.81000000006</v>
      </c>
      <c r="K3" s="48">
        <f>INDEX('Cost Bands for 2021 MFAM'!$M$6:$M$300,MATCH('2021 Funding'!I3,'Cost Bands for 2021 MFAM'!$C$6:$C$300,0))</f>
        <v>502.5554745939981</v>
      </c>
      <c r="L3" s="101">
        <f>INDEX('Cost Bands for 2021 MFAM'!$R$6:$R$300,MATCH('2021 Funding'!I3,'Cost Bands for 2021 MFAM'!$C$6:$C$300,0))</f>
        <v>639.41871364503879</v>
      </c>
      <c r="O3" s="136"/>
      <c r="P3" s="49" t="s">
        <v>26</v>
      </c>
      <c r="Q3" s="50">
        <f>Z24</f>
        <v>149262269.82999992</v>
      </c>
      <c r="AD3" s="44"/>
    </row>
    <row r="4" spans="2:34" x14ac:dyDescent="0.25">
      <c r="D4" s="51" t="s">
        <v>378</v>
      </c>
      <c r="E4" s="52"/>
      <c r="F4" s="52"/>
      <c r="G4" s="53"/>
      <c r="H4" s="45"/>
      <c r="I4" s="54">
        <v>2</v>
      </c>
      <c r="J4" s="154">
        <f t="shared" si="0"/>
        <v>211941.69639999999</v>
      </c>
      <c r="K4" s="55">
        <f>INDEX('Cost Bands for 2021 MFAM'!$M$6:$M$300,MATCH('2021 Funding'!I4,'Cost Bands for 2021 MFAM'!$C$6:$C$300,0))</f>
        <v>313.58206945068127</v>
      </c>
      <c r="L4" s="119">
        <f>INDEX('Cost Bands for 2021 MFAM'!$R$6:$R$300,MATCH('2021 Funding'!I4,'Cost Bands for 2021 MFAM'!$C$6:$C$300,0))</f>
        <v>444.22536104399393</v>
      </c>
      <c r="O4" s="136"/>
      <c r="P4" s="49" t="s">
        <v>27</v>
      </c>
      <c r="Q4" s="50">
        <f>-E9</f>
        <v>0</v>
      </c>
      <c r="AD4" s="44"/>
    </row>
    <row r="5" spans="2:34" x14ac:dyDescent="0.25">
      <c r="D5" s="56"/>
      <c r="E5" s="57"/>
      <c r="F5" s="57"/>
      <c r="G5" s="58"/>
      <c r="H5" s="59"/>
      <c r="I5" s="54">
        <v>3</v>
      </c>
      <c r="J5" s="154">
        <f t="shared" si="0"/>
        <v>43042.520000000004</v>
      </c>
      <c r="K5" s="55">
        <f>INDEX('Cost Bands for 2021 MFAM'!$M$6:$M$300,MATCH('2021 Funding'!I5,'Cost Bands for 2021 MFAM'!$C$6:$C$300,0))</f>
        <v>424.36992931640611</v>
      </c>
      <c r="L5" s="119">
        <f>INDEX('Cost Bands for 2021 MFAM'!$R$6:$R$300,MATCH('2021 Funding'!I5,'Cost Bands for 2021 MFAM'!$C$6:$C$300,0))</f>
        <v>794.87198920540311</v>
      </c>
      <c r="O5" s="136"/>
      <c r="P5" s="49" t="s">
        <v>28</v>
      </c>
      <c r="Q5" s="61">
        <f>AC24</f>
        <v>149262269.82999992</v>
      </c>
      <c r="AD5" s="44"/>
    </row>
    <row r="6" spans="2:34" x14ac:dyDescent="0.25">
      <c r="D6" s="62" t="s">
        <v>29</v>
      </c>
      <c r="E6" s="164">
        <v>152132760.55000001</v>
      </c>
      <c r="F6" s="44"/>
      <c r="G6" s="50"/>
      <c r="H6" s="59"/>
      <c r="I6" s="54">
        <v>4</v>
      </c>
      <c r="J6" s="154">
        <f t="shared" si="0"/>
        <v>90942.645199999999</v>
      </c>
      <c r="K6" s="55">
        <f>INDEX('Cost Bands for 2021 MFAM'!$M$6:$M$300,MATCH('2021 Funding'!I6,'Cost Bands for 2021 MFAM'!$C$6:$C$300,0))</f>
        <v>488.10881751216084</v>
      </c>
      <c r="L6" s="119">
        <f>INDEX('Cost Bands for 2021 MFAM'!$R$6:$R$300,MATCH('2021 Funding'!I6,'Cost Bands for 2021 MFAM'!$C$6:$C$300,0))</f>
        <v>707.40175827118958</v>
      </c>
      <c r="O6" s="136"/>
      <c r="P6" s="49" t="s">
        <v>30</v>
      </c>
      <c r="Q6" s="50">
        <f>-E8</f>
        <v>2870490.72</v>
      </c>
      <c r="AD6" s="44"/>
    </row>
    <row r="7" spans="2:34" ht="14.95" thickBot="1" x14ac:dyDescent="0.3">
      <c r="D7" s="62"/>
      <c r="E7" s="44"/>
      <c r="F7" s="44"/>
      <c r="G7" s="50"/>
      <c r="H7" s="59"/>
      <c r="I7" s="54">
        <v>5</v>
      </c>
      <c r="J7" s="154">
        <f t="shared" si="0"/>
        <v>17415.991254561795</v>
      </c>
      <c r="K7" s="55">
        <f>INDEX('Cost Bands for 2021 MFAM'!$M$6:$M$300,MATCH('2021 Funding'!I7,'Cost Bands for 2021 MFAM'!$C$6:$C$300,0))</f>
        <v>347.94958790604153</v>
      </c>
      <c r="L7" s="119">
        <f>INDEX('Cost Bands for 2021 MFAM'!$R$6:$R$300,MATCH('2021 Funding'!I7,'Cost Bands for 2021 MFAM'!$C$6:$C$300,0))</f>
        <v>539.27138314903584</v>
      </c>
      <c r="O7" s="136"/>
      <c r="P7" s="49" t="s">
        <v>31</v>
      </c>
      <c r="Q7" s="50">
        <f>AB24</f>
        <v>0</v>
      </c>
      <c r="AD7" s="44"/>
    </row>
    <row r="8" spans="2:34" ht="14.95" thickTop="1" x14ac:dyDescent="0.25">
      <c r="D8" s="62" t="s">
        <v>32</v>
      </c>
      <c r="E8" s="208">
        <v>-2870490.72</v>
      </c>
      <c r="F8" s="63"/>
      <c r="G8" s="50"/>
      <c r="H8" s="59"/>
      <c r="I8" s="54">
        <v>6</v>
      </c>
      <c r="J8" s="154">
        <f t="shared" si="0"/>
        <v>9650.9844176707775</v>
      </c>
      <c r="K8" s="55">
        <f>INDEX('Cost Bands for 2021 MFAM'!$M$6:$M$300,MATCH('2021 Funding'!I8,'Cost Bands for 2021 MFAM'!$C$6:$C$300,0))</f>
        <v>815.46704246978834</v>
      </c>
      <c r="L8" s="119">
        <f>INDEX('Cost Bands for 2021 MFAM'!$R$6:$R$300,MATCH('2021 Funding'!I8,'Cost Bands for 2021 MFAM'!$C$6:$C$300,0))</f>
        <v>1522.4622318178901</v>
      </c>
      <c r="O8" s="136"/>
      <c r="P8" s="49" t="s">
        <v>33</v>
      </c>
      <c r="Q8" s="64">
        <f>Q3+Q6+Q7</f>
        <v>152132760.54999992</v>
      </c>
      <c r="AD8" s="44"/>
    </row>
    <row r="9" spans="2:34" ht="14.95" thickBot="1" x14ac:dyDescent="0.3">
      <c r="D9" s="65" t="s">
        <v>34</v>
      </c>
      <c r="E9" s="63">
        <v>0</v>
      </c>
      <c r="F9" s="20"/>
      <c r="G9" s="66"/>
      <c r="H9" s="59"/>
      <c r="I9" s="54">
        <v>7</v>
      </c>
      <c r="J9" s="154">
        <f t="shared" si="0"/>
        <v>35637.460967239618</v>
      </c>
      <c r="K9" s="55">
        <f>INDEX('Cost Bands for 2021 MFAM'!$M$6:$M$300,MATCH('2021 Funding'!I9,'Cost Bands for 2021 MFAM'!$C$6:$C$300,0))</f>
        <v>543.72843951517063</v>
      </c>
      <c r="L9" s="119">
        <f>INDEX('Cost Bands for 2021 MFAM'!$R$6:$R$300,MATCH('2021 Funding'!I9,'Cost Bands for 2021 MFAM'!$C$6:$C$300,0))</f>
        <v>791.19656515655265</v>
      </c>
      <c r="O9" s="136"/>
      <c r="P9" s="67" t="s">
        <v>35</v>
      </c>
      <c r="Q9" s="68">
        <f>-E9-AB24</f>
        <v>0</v>
      </c>
      <c r="AD9" s="44"/>
    </row>
    <row r="10" spans="2:34" ht="14.95" thickBot="1" x14ac:dyDescent="0.3">
      <c r="D10" s="62" t="s">
        <v>379</v>
      </c>
      <c r="E10" s="147">
        <f>E6+E8+E9</f>
        <v>149262269.83000001</v>
      </c>
      <c r="F10" s="44"/>
      <c r="G10" s="50"/>
      <c r="H10" s="59"/>
      <c r="I10" s="54">
        <v>8</v>
      </c>
      <c r="J10" s="154">
        <f t="shared" si="0"/>
        <v>3904.4528088087177</v>
      </c>
      <c r="K10" s="55">
        <f>INDEX('Cost Bands for 2021 MFAM'!$M$6:$M$300,MATCH('2021 Funding'!I10,'Cost Bands for 2021 MFAM'!$C$6:$C$300,0))</f>
        <v>1033.3547868468199</v>
      </c>
      <c r="L10" s="119">
        <f>INDEX('Cost Bands for 2021 MFAM'!$R$6:$R$300,MATCH('2021 Funding'!I10,'Cost Bands for 2021 MFAM'!$C$6:$C$300,0))</f>
        <v>1830.7313099347227</v>
      </c>
      <c r="O10" s="137"/>
      <c r="P10" s="70"/>
      <c r="Q10" s="76">
        <f>Q8+Q9</f>
        <v>152132760.54999992</v>
      </c>
      <c r="R10" s="70"/>
      <c r="AD10" s="44"/>
    </row>
    <row r="11" spans="2:34" ht="15.65" thickTop="1" thickBot="1" x14ac:dyDescent="0.3">
      <c r="D11" s="62" t="s">
        <v>36</v>
      </c>
      <c r="E11" s="44">
        <f>E10-E9</f>
        <v>149262269.83000001</v>
      </c>
      <c r="F11" s="71"/>
      <c r="G11" s="50"/>
      <c r="H11" s="59"/>
      <c r="I11" s="72">
        <v>9</v>
      </c>
      <c r="J11" s="163">
        <f t="shared" si="0"/>
        <v>6756.9261997956401</v>
      </c>
      <c r="K11" s="74">
        <f>INDEX('Cost Bands for 2021 MFAM'!$M$6:$M$300,MATCH('2021 Funding'!I11,'Cost Bands for 2021 MFAM'!$C$6:$C$300,0))</f>
        <v>828.94936312452319</v>
      </c>
      <c r="L11" s="120">
        <f>INDEX('Cost Bands for 2021 MFAM'!$R$6:$R$300,MATCH('2021 Funding'!I11,'Cost Bands for 2021 MFAM'!$C$6:$C$300,0))</f>
        <v>1693.3856735583604</v>
      </c>
      <c r="O11" s="137"/>
      <c r="P11" s="70"/>
      <c r="Q11" s="70"/>
      <c r="R11" s="70"/>
      <c r="AD11" s="44"/>
    </row>
    <row r="12" spans="2:34" x14ac:dyDescent="0.25">
      <c r="D12" s="49"/>
      <c r="E12" s="44"/>
      <c r="F12" s="20"/>
      <c r="G12" s="66"/>
      <c r="H12" s="60"/>
      <c r="I12" s="60"/>
      <c r="J12" s="60"/>
      <c r="K12" s="45"/>
      <c r="L12" s="45"/>
      <c r="O12" s="70"/>
      <c r="P12" s="70"/>
      <c r="Q12" s="75"/>
      <c r="R12" s="70"/>
      <c r="Z12" s="44"/>
      <c r="AA12" s="44"/>
      <c r="AB12" s="44"/>
      <c r="AC12" s="44"/>
      <c r="AD12" s="44"/>
      <c r="AE12" s="44"/>
      <c r="AF12" s="44"/>
      <c r="AG12" s="44"/>
      <c r="AH12" s="44"/>
    </row>
    <row r="13" spans="2:34" x14ac:dyDescent="0.25">
      <c r="D13" s="56" t="s">
        <v>377</v>
      </c>
      <c r="E13" s="148"/>
      <c r="F13" s="57"/>
      <c r="G13" s="58"/>
      <c r="H13" s="59"/>
      <c r="I13" s="60"/>
      <c r="J13" s="76"/>
      <c r="K13" s="45"/>
      <c r="L13" s="102"/>
      <c r="M13" s="45"/>
      <c r="O13" s="70"/>
      <c r="P13" s="70"/>
      <c r="Q13" s="70"/>
      <c r="R13" s="70"/>
      <c r="AD13" s="44"/>
    </row>
    <row r="14" spans="2:34" x14ac:dyDescent="0.25">
      <c r="D14" s="62" t="s">
        <v>50</v>
      </c>
      <c r="E14" s="44">
        <f>$E$11*G14</f>
        <v>74631134.915000007</v>
      </c>
      <c r="F14" s="17"/>
      <c r="G14" s="77">
        <v>0.5</v>
      </c>
      <c r="H14" s="45"/>
      <c r="I14" s="45"/>
      <c r="J14" s="45"/>
      <c r="K14" s="45"/>
      <c r="O14" s="70"/>
      <c r="P14" s="70"/>
      <c r="Q14" s="70"/>
      <c r="R14" s="70"/>
      <c r="AD14" s="44"/>
    </row>
    <row r="15" spans="2:34" x14ac:dyDescent="0.25">
      <c r="D15" s="62" t="s">
        <v>49</v>
      </c>
      <c r="E15" s="44">
        <f>$E$11*G15</f>
        <v>52241794.440499999</v>
      </c>
      <c r="F15" s="78">
        <f>E15/E19</f>
        <v>71.573270484913991</v>
      </c>
      <c r="G15" s="77">
        <v>0.35</v>
      </c>
      <c r="H15" s="45"/>
      <c r="I15" s="45"/>
      <c r="J15" s="45"/>
      <c r="K15" s="45"/>
      <c r="L15" s="144" t="s">
        <v>61</v>
      </c>
      <c r="Z15" s="25"/>
      <c r="AA15" s="25"/>
      <c r="AB15" s="25"/>
      <c r="AC15" s="25"/>
      <c r="AD15" s="44"/>
    </row>
    <row r="16" spans="2:34" x14ac:dyDescent="0.25">
      <c r="D16" s="62" t="s">
        <v>48</v>
      </c>
      <c r="E16" s="149">
        <f>$E$11*G16</f>
        <v>22389340.4745</v>
      </c>
      <c r="F16" s="17"/>
      <c r="G16" s="77">
        <v>0.15</v>
      </c>
      <c r="H16" s="45"/>
      <c r="I16" s="45"/>
      <c r="J16" s="45"/>
      <c r="K16" s="45"/>
      <c r="L16" s="80"/>
      <c r="Z16" s="25"/>
      <c r="AA16" s="25"/>
      <c r="AB16" s="25"/>
      <c r="AC16" s="25"/>
    </row>
    <row r="17" spans="2:34" ht="14.95" thickBot="1" x14ac:dyDescent="0.3">
      <c r="D17" s="62" t="s">
        <v>380</v>
      </c>
      <c r="E17" s="150">
        <f>E14+E15+E16</f>
        <v>149262269.83000001</v>
      </c>
      <c r="F17" s="17"/>
      <c r="G17" s="82"/>
      <c r="H17" s="45"/>
      <c r="I17" s="45"/>
      <c r="J17" s="45"/>
      <c r="K17" s="45"/>
      <c r="M17" s="15">
        <v>0.5</v>
      </c>
      <c r="N17" s="15">
        <v>0.35</v>
      </c>
      <c r="O17" s="15">
        <v>0.15</v>
      </c>
      <c r="P17" s="15"/>
      <c r="Z17" s="25"/>
      <c r="AA17" s="25"/>
      <c r="AB17" s="25"/>
      <c r="AC17" s="25"/>
    </row>
    <row r="18" spans="2:34" ht="15.65" thickTop="1" thickBot="1" x14ac:dyDescent="0.3">
      <c r="D18" s="49"/>
      <c r="E18" s="17"/>
      <c r="F18" s="17"/>
      <c r="G18" s="82"/>
      <c r="H18" s="44"/>
      <c r="L18" s="45"/>
      <c r="M18" s="219" t="str">
        <f>"Model Funding Distribution Basis:   "&amp;TEXT(M17,"#,##0%")&amp;" Adjusted Net Costs, "&amp;TEXT(N17,"#,##0%")&amp;" Recovered Tonnage, "&amp;TEXT(O17,"#,##0%")&amp;" BP"</f>
        <v>Model Funding Distribution Basis:   50% Adjusted Net Costs, 35% Recovered Tonnage, 15% BP</v>
      </c>
      <c r="N18" s="220"/>
      <c r="O18" s="220"/>
      <c r="P18" s="220"/>
      <c r="Q18" s="220"/>
      <c r="R18" s="220"/>
      <c r="S18" s="221"/>
      <c r="T18" s="83"/>
      <c r="U18" s="83"/>
      <c r="V18" s="83"/>
      <c r="W18" s="83"/>
      <c r="X18" s="83"/>
      <c r="Y18" s="83"/>
      <c r="Z18" s="25"/>
      <c r="AA18" s="25"/>
      <c r="AB18" s="25"/>
      <c r="AC18" s="25"/>
    </row>
    <row r="19" spans="2:34" ht="14.95" thickBot="1" x14ac:dyDescent="0.3">
      <c r="D19" s="84" t="s">
        <v>37</v>
      </c>
      <c r="E19" s="163">
        <f>E24</f>
        <v>729906.48724807648</v>
      </c>
      <c r="F19" s="73"/>
      <c r="G19" s="85"/>
      <c r="H19" s="44"/>
      <c r="L19" s="45"/>
      <c r="M19" s="124"/>
      <c r="N19" s="125"/>
      <c r="O19" s="125"/>
      <c r="P19" s="125"/>
      <c r="Q19" s="125"/>
      <c r="R19" s="126">
        <f>75%</f>
        <v>0.75</v>
      </c>
      <c r="S19" s="131">
        <f>SUMPRODUCT(--(R$26:R$300&lt;R$19-0.5%),Q$26:Q$300)</f>
        <v>149095223.00704873</v>
      </c>
      <c r="T19" s="86"/>
      <c r="U19" s="86"/>
      <c r="V19" s="86"/>
      <c r="W19" s="86"/>
      <c r="X19" s="86"/>
      <c r="Y19" s="86"/>
      <c r="Z19" s="25"/>
      <c r="AA19" s="25"/>
      <c r="AB19" s="25"/>
      <c r="AC19" s="25"/>
    </row>
    <row r="20" spans="2:34" x14ac:dyDescent="0.25">
      <c r="H20" s="44"/>
      <c r="M20" s="128"/>
      <c r="N20" s="127"/>
      <c r="O20" s="127"/>
      <c r="P20" s="127"/>
      <c r="Q20" s="127"/>
      <c r="R20" s="129"/>
      <c r="S20" s="131"/>
      <c r="T20" s="87"/>
      <c r="U20" s="138"/>
      <c r="V20" s="138"/>
      <c r="W20" s="138"/>
      <c r="X20" s="138"/>
      <c r="Y20" s="87"/>
      <c r="Z20" s="25"/>
      <c r="AA20" s="25"/>
      <c r="AB20" s="25"/>
      <c r="AC20" s="25"/>
    </row>
    <row r="21" spans="2:34" x14ac:dyDescent="0.25">
      <c r="H21" s="44"/>
      <c r="M21" s="128"/>
      <c r="N21" s="127"/>
      <c r="O21" s="127"/>
      <c r="P21" s="127"/>
      <c r="Q21" s="127"/>
      <c r="R21" s="127"/>
      <c r="S21" s="131"/>
      <c r="T21" s="86"/>
      <c r="U21" s="139"/>
      <c r="V21" s="139"/>
      <c r="W21" s="139"/>
      <c r="X21" s="139"/>
      <c r="Y21" s="86"/>
      <c r="Z21" s="25"/>
      <c r="AA21" s="25"/>
      <c r="AB21" s="25"/>
      <c r="AC21" s="25"/>
    </row>
    <row r="22" spans="2:34" x14ac:dyDescent="0.25">
      <c r="H22" s="44"/>
      <c r="I22" s="89"/>
      <c r="M22" s="128"/>
      <c r="N22" s="127"/>
      <c r="O22" s="130"/>
      <c r="P22" s="130"/>
      <c r="Q22" s="130"/>
      <c r="R22" s="127" cm="1">
        <f t="array" ref="R22">SUMPRODUCT(--($R$26:$R$300&lt;R19),Q26:Q300)</f>
        <v>149095223.00704873</v>
      </c>
      <c r="S22" s="131">
        <f>SUMPRODUCT(--(R$26:R$300&gt;R$19),Q$26:Q$300)-SUMPRODUCT(--(R$26:R$300&gt;R$19),$K$26:$K$300)*R$19</f>
        <v>6008.9454512330703</v>
      </c>
      <c r="T22" s="86"/>
      <c r="U22" s="140"/>
      <c r="W22" s="97">
        <f>U23+V23</f>
        <v>99.409431057958273</v>
      </c>
      <c r="X22" s="97"/>
      <c r="Y22" s="86"/>
      <c r="Z22" s="25"/>
      <c r="AA22" s="25"/>
      <c r="AB22" s="25"/>
      <c r="AC22" s="25"/>
    </row>
    <row r="23" spans="2:34" ht="14.95" thickBot="1" x14ac:dyDescent="0.3">
      <c r="D23" s="19"/>
      <c r="E23" s="20"/>
      <c r="F23" s="20"/>
      <c r="G23" s="20"/>
      <c r="H23" s="17"/>
      <c r="I23" s="89"/>
      <c r="K23" s="88">
        <v>244990724.68231803</v>
      </c>
      <c r="M23" s="128"/>
      <c r="N23" s="127"/>
      <c r="O23" s="127">
        <f>E16-O24</f>
        <v>3920818.7861016616</v>
      </c>
      <c r="P23" s="130"/>
      <c r="Q23" s="130"/>
      <c r="R23" s="127" cm="1">
        <f t="array" ref="R23">SUMPRODUCT(--($R$26:$R$300&gt;$R$19),$Q$26:$Q$300)-$R$19*SUMPRODUCT(--($R$26:$R$300&gt;$R$19),$K$26:$K$300)</f>
        <v>6008.9454512330703</v>
      </c>
      <c r="S23" s="131">
        <f>SUM(S26:S300)</f>
        <v>149262269.83000007</v>
      </c>
      <c r="T23" s="86"/>
      <c r="U23" s="97">
        <f>SUM(U26:U300)</f>
        <v>-570.68272895643167</v>
      </c>
      <c r="V23" s="97">
        <f>SUM(V26:V300)</f>
        <v>670.09216001438995</v>
      </c>
      <c r="W23" s="97">
        <f>SUM(W26:W300)</f>
        <v>-99.409431057958201</v>
      </c>
      <c r="X23" s="97">
        <f>SUM(X26:X300)</f>
        <v>4.3655745685100555E-11</v>
      </c>
      <c r="Y23" s="86"/>
      <c r="Z23" s="25"/>
      <c r="AA23" s="25"/>
      <c r="AB23" s="89">
        <f>-AB24</f>
        <v>0</v>
      </c>
      <c r="AC23" s="25"/>
    </row>
    <row r="24" spans="2:34" ht="14.95" thickBot="1" x14ac:dyDescent="0.3">
      <c r="E24" s="154">
        <f>SUM(E26:E300)</f>
        <v>729906.48724807648</v>
      </c>
      <c r="F24" s="17">
        <f>SUM(F26:F300)</f>
        <v>383550745.09000021</v>
      </c>
      <c r="G24" s="17">
        <f>SUM(G26:G300)</f>
        <v>55390218.039999977</v>
      </c>
      <c r="H24" s="17">
        <f>SUM(H26:H300)</f>
        <v>328160527.05000001</v>
      </c>
      <c r="I24" s="17"/>
      <c r="J24" t="s">
        <v>12</v>
      </c>
      <c r="K24" s="17">
        <f>SUM(K26:K300)</f>
        <v>322656034.40255457</v>
      </c>
      <c r="L24" s="90"/>
      <c r="M24" s="91">
        <f>SUM(M26:M300)</f>
        <v>74631134.914999947</v>
      </c>
      <c r="N24" s="92">
        <f>SUM(N26:N300)</f>
        <v>52241794.440499991</v>
      </c>
      <c r="O24" s="92">
        <f>IFERROR(SUM(O26:O300),0)</f>
        <v>18468521.688398339</v>
      </c>
      <c r="P24" s="92">
        <f>SUM(P26:P300)</f>
        <v>3920818.786101664</v>
      </c>
      <c r="Q24" s="92">
        <f>SUM(Q26:Q300)</f>
        <v>149262269.82999998</v>
      </c>
      <c r="R24" s="217" t="str">
        <f xml:space="preserve"> "Limit: "&amp;TEXT(R19,"#,##0.0%")&amp;" of Filtered Net Cost"</f>
        <v>Limit: 75.0% of Filtered Net Cost</v>
      </c>
      <c r="S24" s="218"/>
      <c r="T24" s="83"/>
      <c r="U24" s="209" t="s">
        <v>53</v>
      </c>
      <c r="V24" s="210"/>
      <c r="W24" s="210"/>
      <c r="X24" s="211"/>
      <c r="Y24" s="83"/>
      <c r="Z24" s="44">
        <f>SUM(Z26:Z300)</f>
        <v>149262269.82999992</v>
      </c>
      <c r="AA24" s="93">
        <v>0.1</v>
      </c>
      <c r="AB24" s="44">
        <f>SUM(AB26:AB300)</f>
        <v>0</v>
      </c>
      <c r="AC24" s="44">
        <f>SUM(AC26:AC300)</f>
        <v>149262269.82999992</v>
      </c>
      <c r="AE24" s="44">
        <f>SUM(AE26:AE300)</f>
        <v>37315567.457499981</v>
      </c>
      <c r="AF24" s="44">
        <f>SUM(AF26:AF300)</f>
        <v>37315567.457499981</v>
      </c>
      <c r="AG24" s="44">
        <f>SUM(AG26:AG300)</f>
        <v>37315567.457499981</v>
      </c>
      <c r="AH24" s="44">
        <f>SUM(AH26:AH300)</f>
        <v>37315567.457499981</v>
      </c>
    </row>
    <row r="25" spans="2:34" ht="43.5" thickBot="1" x14ac:dyDescent="0.3">
      <c r="B25" s="105" t="s">
        <v>11</v>
      </c>
      <c r="C25" s="105" t="s">
        <v>10</v>
      </c>
      <c r="D25" s="105" t="s">
        <v>9</v>
      </c>
      <c r="E25" s="134" t="s">
        <v>340</v>
      </c>
      <c r="F25" s="134" t="s">
        <v>341</v>
      </c>
      <c r="G25" s="134" t="s">
        <v>342</v>
      </c>
      <c r="H25" s="106" t="s">
        <v>343</v>
      </c>
      <c r="I25" s="106" t="s">
        <v>8</v>
      </c>
      <c r="J25" s="106" t="s">
        <v>1</v>
      </c>
      <c r="K25" s="106" t="str">
        <f>"Adjusted Net Cost"&amp;CHAR(10)&amp;TEXT(SUM(K26:K300),"$#,##0")</f>
        <v>Adjusted Net Cost
$322,656,034</v>
      </c>
      <c r="L25" s="134" t="s">
        <v>38</v>
      </c>
      <c r="M25" s="106" t="s">
        <v>39</v>
      </c>
      <c r="N25" s="106" t="s">
        <v>40</v>
      </c>
      <c r="O25" s="107" t="s">
        <v>41</v>
      </c>
      <c r="P25" s="106" t="s">
        <v>42</v>
      </c>
      <c r="Q25" s="106" t="str">
        <f>"Subtotal Funding Net of CIF"&amp;CHAR(10)&amp;TEXT(SUM(Q26:Q300),"$#,##0")</f>
        <v>Subtotal Funding Net of CIF
$149,262,270</v>
      </c>
      <c r="R25" s="107" t="s">
        <v>43</v>
      </c>
      <c r="S25" s="106" t="str">
        <f>"Total Payment"&amp;CHAR(10)&amp;TEXT(SUM($S$26:$S$300),"$#,##0;(-$#,##0)")</f>
        <v>Total Payment
$149,262,270</v>
      </c>
      <c r="T25" s="94"/>
      <c r="U25" s="106" t="s">
        <v>333</v>
      </c>
      <c r="V25" s="106" t="s">
        <v>332</v>
      </c>
      <c r="W25" s="106" t="s">
        <v>51</v>
      </c>
      <c r="X25" s="106" t="s">
        <v>52</v>
      </c>
      <c r="Y25" s="94"/>
      <c r="Z25" s="106" t="str">
        <f>"Final Payment"&amp;CHAR(10)&amp;TEXT(SUM(Z26:Z265),"$#,##0")</f>
        <v>Final Payment
$148,590,976</v>
      </c>
      <c r="AA25" s="106" t="s">
        <v>44</v>
      </c>
      <c r="AB25" s="106" t="s">
        <v>45</v>
      </c>
      <c r="AC25" s="106" t="s">
        <v>46</v>
      </c>
      <c r="AE25" s="106" t="s">
        <v>328</v>
      </c>
      <c r="AF25" s="106" t="s">
        <v>329</v>
      </c>
      <c r="AG25" s="106" t="s">
        <v>330</v>
      </c>
      <c r="AH25" s="106" t="s">
        <v>331</v>
      </c>
    </row>
    <row r="26" spans="2:34" x14ac:dyDescent="0.25">
      <c r="B26">
        <v>1</v>
      </c>
      <c r="C26" s="28">
        <v>1</v>
      </c>
      <c r="D26" s="35" t="s">
        <v>62</v>
      </c>
      <c r="E26" s="154">
        <f>INDEX('2019 Data Lockdown'!H$5:H$257,MATCH(B26,'2019 Data Lockdown'!B$5:B$257,0))</f>
        <v>28377.279999999999</v>
      </c>
      <c r="F26" s="5">
        <f>INDEX('2019 Data Lockdown'!E$5:E$257,MATCH(B26,'2019 Data Lockdown'!B$5:B$257,0))</f>
        <v>9839514.6300000008</v>
      </c>
      <c r="G26" s="5">
        <f>INDEX('2019 Data Lockdown'!F$5:F$257,MATCH(B26,'2019 Data Lockdown'!B$5:B$257,0))</f>
        <v>303786.2</v>
      </c>
      <c r="H26" s="5">
        <f t="shared" ref="H26:H89" si="1">F26-G26</f>
        <v>9535728.4300000016</v>
      </c>
      <c r="I26" s="95">
        <f t="shared" ref="I26:I89" si="2">IFERROR(H26/E26,"n.a.")</f>
        <v>336.03391269353517</v>
      </c>
      <c r="J26" s="6">
        <f t="shared" ref="J26:J89" si="3">MIN(I26,INDEX($L$3:$L$11,MATCH(C26,$I$3:$I$11,0)))</f>
        <v>336.03391269353517</v>
      </c>
      <c r="K26" s="5">
        <f t="shared" ref="K26:K89" si="4">E26*J26</f>
        <v>9535728.4300000016</v>
      </c>
      <c r="L26" s="135">
        <f>INDEX('2019 Best Practice Scores'!L$4:L$256,MATCH(B26,'2019 Best Practice Scores'!A$4:A$256,0))</f>
        <v>0.95833333333333348</v>
      </c>
      <c r="M26" s="97">
        <f t="shared" ref="M26:M89" si="5">$E$14*(K26/$K$24)</f>
        <v>2205637.4562771753</v>
      </c>
      <c r="N26" s="97">
        <f t="shared" ref="N26:N89" si="6">$E$15*(E26/$E$24)</f>
        <v>2031054.7370661399</v>
      </c>
      <c r="O26" s="97">
        <f t="shared" ref="O26:O89" si="7">IFERROR(L26*$E$16*(K26/$K$24),0)</f>
        <v>634120.7686796881</v>
      </c>
      <c r="P26" s="97">
        <f t="shared" ref="P26:P89" si="8">($O$23+$E$9)*(K26/$K$24)</f>
        <v>115875.29499250455</v>
      </c>
      <c r="Q26" s="97">
        <f t="shared" ref="Q26:Q89" si="9">M26+N26+O26+P26</f>
        <v>4986688.2570155077</v>
      </c>
      <c r="R26" s="104">
        <f t="shared" ref="R26:R89" si="10">IFERROR((Q26/K26),0)</f>
        <v>0.52294780557372766</v>
      </c>
      <c r="S26" s="166">
        <f t="shared" ref="S26:S89" si="11">IF(R26&gt;$R$19,$R$19*K26,Q26+($R$23*Q26/$R$22))</f>
        <v>4986889.2341971658</v>
      </c>
      <c r="T26" s="97"/>
      <c r="U26" s="97">
        <f>IFERROR(INDEX('Revised 2020 MFAM(2018 PYAs)'!AD$26:AD$300,MATCH(B26,'Revised 2020 MFAM(2018 PYAs)'!B$26:B$300,0)),0)</f>
        <v>-4211.1036105146632</v>
      </c>
      <c r="V26" s="97">
        <f>IFERROR(INDEX('Revised 2019 MFAM(2017 PYAs)'!AF$26:AF$300,MATCH(B26,'Revised 2019 MFAM(2017 PYAs)'!B$26:B$300,0)),0)</f>
        <v>802.39953197911382</v>
      </c>
      <c r="W26" s="97">
        <f t="shared" ref="W26:W89" si="12">-$W$22*(S26/$E$17)</f>
        <v>-3.3212936000853892</v>
      </c>
      <c r="X26" s="97">
        <f t="shared" ref="X26:X89" si="13">SUM(U26:W26)</f>
        <v>-3412.0253721356348</v>
      </c>
      <c r="Y26" s="97"/>
      <c r="Z26" s="98">
        <f t="shared" ref="Z26:Z89" si="14">S26+X26</f>
        <v>4983477.2088250304</v>
      </c>
      <c r="AA26" s="99">
        <v>0</v>
      </c>
      <c r="AB26" s="100">
        <f t="shared" ref="AB26:AB89" si="15">-$AA$24*AA26*Z26</f>
        <v>0</v>
      </c>
      <c r="AC26" s="97">
        <f t="shared" ref="AC26:AC89" si="16">Z26+AB26</f>
        <v>4983477.2088250304</v>
      </c>
      <c r="AD26" s="103"/>
      <c r="AE26" s="97">
        <f t="shared" ref="AE26:AH45" si="17">$AC26/4</f>
        <v>1245869.3022062576</v>
      </c>
      <c r="AF26" s="97">
        <f t="shared" si="17"/>
        <v>1245869.3022062576</v>
      </c>
      <c r="AG26" s="97">
        <f t="shared" si="17"/>
        <v>1245869.3022062576</v>
      </c>
      <c r="AH26" s="97">
        <f t="shared" si="17"/>
        <v>1245869.3022062576</v>
      </c>
    </row>
    <row r="27" spans="2:34" x14ac:dyDescent="0.25">
      <c r="B27">
        <v>20</v>
      </c>
      <c r="C27" s="28">
        <v>1</v>
      </c>
      <c r="D27" s="35" t="s">
        <v>63</v>
      </c>
      <c r="E27" s="154">
        <f>INDEX('2019 Data Lockdown'!H$5:H$257,MATCH(B27,'2019 Data Lockdown'!B$5:B$257,0))</f>
        <v>99784.55</v>
      </c>
      <c r="F27" s="5">
        <f>INDEX('2019 Data Lockdown'!E$5:E$257,MATCH(B27,'2019 Data Lockdown'!B$5:B$257,0))</f>
        <v>71101496.409999996</v>
      </c>
      <c r="G27" s="5">
        <f>INDEX('2019 Data Lockdown'!F$5:F$257,MATCH(B27,'2019 Data Lockdown'!B$5:B$257,0))</f>
        <v>8915663.2400000002</v>
      </c>
      <c r="H27" s="5">
        <f t="shared" si="1"/>
        <v>62185833.169999994</v>
      </c>
      <c r="I27" s="95">
        <f t="shared" si="2"/>
        <v>623.20101829391422</v>
      </c>
      <c r="J27" s="6">
        <f t="shared" si="3"/>
        <v>623.20101829391422</v>
      </c>
      <c r="K27" s="5">
        <f t="shared" si="4"/>
        <v>62185833.170000002</v>
      </c>
      <c r="L27" s="135">
        <f>INDEX('2019 Best Practice Scores'!L$4:L$256,MATCH(B27,'2019 Best Practice Scores'!A$4:A$256,0))</f>
        <v>0.83333333333333326</v>
      </c>
      <c r="M27" s="97">
        <f t="shared" si="5"/>
        <v>14383736.271058591</v>
      </c>
      <c r="N27" s="97">
        <f t="shared" si="6"/>
        <v>7141906.5873654243</v>
      </c>
      <c r="O27" s="97">
        <f t="shared" si="7"/>
        <v>3595934.0677646468</v>
      </c>
      <c r="P27" s="97">
        <f t="shared" si="8"/>
        <v>755663.48347951262</v>
      </c>
      <c r="Q27" s="97">
        <f t="shared" si="9"/>
        <v>25877240.409668174</v>
      </c>
      <c r="R27" s="104">
        <f t="shared" si="10"/>
        <v>0.41612758228914426</v>
      </c>
      <c r="S27" s="166">
        <f t="shared" si="11"/>
        <v>25878283.333263673</v>
      </c>
      <c r="T27" s="97"/>
      <c r="U27" s="97">
        <f>IFERROR(INDEX('Revised 2020 MFAM(2018 PYAs)'!AD$26:AD$300,MATCH(B27,'Revised 2020 MFAM(2018 PYAs)'!B$26:B$300,0)),0)</f>
        <v>84749.399621862918</v>
      </c>
      <c r="V27" s="97">
        <f>IFERROR(INDEX('Revised 2019 MFAM(2017 PYAs)'!AF$26:AF$300,MATCH(B27,'Revised 2019 MFAM(2017 PYAs)'!B$26:B$300,0)),0)</f>
        <v>3121.8538925610483</v>
      </c>
      <c r="W27" s="97">
        <f t="shared" si="12"/>
        <v>-17.235068352145166</v>
      </c>
      <c r="X27" s="97">
        <f t="shared" si="13"/>
        <v>87854.018446071816</v>
      </c>
      <c r="Y27" s="97"/>
      <c r="Z27" s="98">
        <f t="shared" si="14"/>
        <v>25966137.351709746</v>
      </c>
      <c r="AA27" s="99">
        <v>0</v>
      </c>
      <c r="AB27" s="100">
        <f t="shared" si="15"/>
        <v>0</v>
      </c>
      <c r="AC27" s="97">
        <f t="shared" si="16"/>
        <v>25966137.351709746</v>
      </c>
      <c r="AD27" s="103"/>
      <c r="AE27" s="97">
        <f t="shared" si="17"/>
        <v>6491534.3379274365</v>
      </c>
      <c r="AF27" s="97">
        <f t="shared" si="17"/>
        <v>6491534.3379274365</v>
      </c>
      <c r="AG27" s="97">
        <f t="shared" si="17"/>
        <v>6491534.3379274365</v>
      </c>
      <c r="AH27" s="97">
        <f t="shared" si="17"/>
        <v>6491534.3379274365</v>
      </c>
    </row>
    <row r="28" spans="2:34" x14ac:dyDescent="0.25">
      <c r="B28">
        <v>50</v>
      </c>
      <c r="C28" s="28">
        <v>1</v>
      </c>
      <c r="D28" s="35" t="s">
        <v>64</v>
      </c>
      <c r="E28" s="154">
        <f>INDEX('2019 Data Lockdown'!H$5:H$257,MATCH(B28,'2019 Data Lockdown'!B$5:B$257,0))</f>
        <v>21706.59</v>
      </c>
      <c r="F28" s="5">
        <f>INDEX('2019 Data Lockdown'!E$5:E$257,MATCH(B28,'2019 Data Lockdown'!B$5:B$257,0))</f>
        <v>10769002.390000001</v>
      </c>
      <c r="G28" s="5">
        <f>INDEX('2019 Data Lockdown'!F$5:F$257,MATCH(B28,'2019 Data Lockdown'!B$5:B$257,0))</f>
        <v>1985825.52</v>
      </c>
      <c r="H28" s="5">
        <f t="shared" si="1"/>
        <v>8783176.870000001</v>
      </c>
      <c r="I28" s="95">
        <f t="shared" si="2"/>
        <v>404.63181319590046</v>
      </c>
      <c r="J28" s="6">
        <f t="shared" si="3"/>
        <v>404.63181319590046</v>
      </c>
      <c r="K28" s="5">
        <f t="shared" si="4"/>
        <v>8783176.870000001</v>
      </c>
      <c r="L28" s="135">
        <f>INDEX('2019 Best Practice Scores'!L$4:L$256,MATCH(B28,'2019 Best Practice Scores'!A$4:A$256,0))</f>
        <v>0.95833333333333348</v>
      </c>
      <c r="M28" s="97">
        <f t="shared" si="5"/>
        <v>2031570.428183778</v>
      </c>
      <c r="N28" s="97">
        <f t="shared" si="6"/>
        <v>1553611.6373751292</v>
      </c>
      <c r="O28" s="97">
        <f t="shared" si="7"/>
        <v>584076.49810283619</v>
      </c>
      <c r="P28" s="97">
        <f t="shared" si="8"/>
        <v>106730.51547700094</v>
      </c>
      <c r="Q28" s="97">
        <f t="shared" si="9"/>
        <v>4275989.0791387446</v>
      </c>
      <c r="R28" s="104">
        <f t="shared" si="10"/>
        <v>0.48683854856024822</v>
      </c>
      <c r="S28" s="166">
        <f t="shared" si="11"/>
        <v>4276161.4131988734</v>
      </c>
      <c r="T28" s="97"/>
      <c r="U28" s="97">
        <f>IFERROR(INDEX('Revised 2020 MFAM(2018 PYAs)'!AD$26:AD$300,MATCH(B28,'Revised 2020 MFAM(2018 PYAs)'!B$26:B$300,0)),0)</f>
        <v>-1089.0634631286375</v>
      </c>
      <c r="V28" s="97">
        <f>IFERROR(INDEX('Revised 2019 MFAM(2017 PYAs)'!AF$26:AF$300,MATCH(B28,'Revised 2019 MFAM(2017 PYAs)'!B$26:B$300,0)),0)</f>
        <v>474.09687966061756</v>
      </c>
      <c r="W28" s="97">
        <f t="shared" si="12"/>
        <v>-2.8479452555709188</v>
      </c>
      <c r="X28" s="97">
        <f t="shared" si="13"/>
        <v>-617.81452872359091</v>
      </c>
      <c r="Y28" s="97"/>
      <c r="Z28" s="98">
        <f t="shared" si="14"/>
        <v>4275543.5986701502</v>
      </c>
      <c r="AA28" s="99">
        <v>0</v>
      </c>
      <c r="AB28" s="100">
        <f t="shared" si="15"/>
        <v>0</v>
      </c>
      <c r="AC28" s="97">
        <f t="shared" si="16"/>
        <v>4275543.5986701502</v>
      </c>
      <c r="AD28" s="103"/>
      <c r="AE28" s="97">
        <f t="shared" si="17"/>
        <v>1068885.8996675375</v>
      </c>
      <c r="AF28" s="97">
        <f t="shared" si="17"/>
        <v>1068885.8996675375</v>
      </c>
      <c r="AG28" s="97">
        <f t="shared" si="17"/>
        <v>1068885.8996675375</v>
      </c>
      <c r="AH28" s="97">
        <f t="shared" si="17"/>
        <v>1068885.8996675375</v>
      </c>
    </row>
    <row r="29" spans="2:34" x14ac:dyDescent="0.25">
      <c r="B29">
        <v>97</v>
      </c>
      <c r="C29" s="28">
        <v>1</v>
      </c>
      <c r="D29" s="35" t="s">
        <v>65</v>
      </c>
      <c r="E29" s="154">
        <f>INDEX('2019 Data Lockdown'!H$5:H$257,MATCH(B29,'2019 Data Lockdown'!B$5:B$257,0))</f>
        <v>53554.62000000001</v>
      </c>
      <c r="F29" s="5">
        <f>INDEX('2019 Data Lockdown'!E$5:E$257,MATCH(B29,'2019 Data Lockdown'!B$5:B$257,0))</f>
        <v>29964286.199999999</v>
      </c>
      <c r="G29" s="5">
        <f>INDEX('2019 Data Lockdown'!F$5:F$257,MATCH(B29,'2019 Data Lockdown'!B$5:B$257,0))</f>
        <v>4815316.72</v>
      </c>
      <c r="H29" s="5">
        <f t="shared" si="1"/>
        <v>25148969.48</v>
      </c>
      <c r="I29" s="95">
        <f t="shared" si="2"/>
        <v>469.59477034847777</v>
      </c>
      <c r="J29" s="6">
        <f t="shared" si="3"/>
        <v>469.59477034847777</v>
      </c>
      <c r="K29" s="5">
        <f t="shared" si="4"/>
        <v>25148969.48</v>
      </c>
      <c r="L29" s="135">
        <f>INDEX('2019 Best Practice Scores'!L$4:L$256,MATCH(B29,'2019 Best Practice Scores'!A$4:A$256,0))</f>
        <v>0.91666666666666674</v>
      </c>
      <c r="M29" s="97">
        <f t="shared" si="5"/>
        <v>5817018.5402248828</v>
      </c>
      <c r="N29" s="97">
        <f t="shared" si="6"/>
        <v>3833079.3029767848</v>
      </c>
      <c r="O29" s="97">
        <f t="shared" si="7"/>
        <v>1599680.0985618429</v>
      </c>
      <c r="P29" s="97">
        <f t="shared" si="8"/>
        <v>305602.68978344777</v>
      </c>
      <c r="Q29" s="97">
        <f t="shared" si="9"/>
        <v>11555380.631546957</v>
      </c>
      <c r="R29" s="104">
        <f t="shared" si="10"/>
        <v>0.45947730147497706</v>
      </c>
      <c r="S29" s="166">
        <f t="shared" si="11"/>
        <v>11555846.345004993</v>
      </c>
      <c r="T29" s="97"/>
      <c r="U29" s="97">
        <f>IFERROR(INDEX('Revised 2020 MFAM(2018 PYAs)'!AD$26:AD$300,MATCH(B29,'Revised 2020 MFAM(2018 PYAs)'!B$26:B$300,0)),0)</f>
        <v>-1801.696661606431</v>
      </c>
      <c r="V29" s="97">
        <f>IFERROR(INDEX('Revised 2019 MFAM(2017 PYAs)'!AF$26:AF$300,MATCH(B29,'Revised 2019 MFAM(2017 PYAs)'!B$26:B$300,0)),0)</f>
        <v>4319.314036924392</v>
      </c>
      <c r="W29" s="97">
        <f t="shared" si="12"/>
        <v>-7.6962524545452489</v>
      </c>
      <c r="X29" s="97">
        <f t="shared" si="13"/>
        <v>2509.9211228634158</v>
      </c>
      <c r="Y29" s="97"/>
      <c r="Z29" s="98">
        <f t="shared" si="14"/>
        <v>11558356.266127856</v>
      </c>
      <c r="AA29" s="99">
        <v>0</v>
      </c>
      <c r="AB29" s="100">
        <f t="shared" si="15"/>
        <v>0</v>
      </c>
      <c r="AC29" s="97">
        <f t="shared" si="16"/>
        <v>11558356.266127856</v>
      </c>
      <c r="AD29" s="103"/>
      <c r="AE29" s="97">
        <f t="shared" si="17"/>
        <v>2889589.0665319641</v>
      </c>
      <c r="AF29" s="97">
        <f t="shared" si="17"/>
        <v>2889589.0665319641</v>
      </c>
      <c r="AG29" s="97">
        <f t="shared" si="17"/>
        <v>2889589.0665319641</v>
      </c>
      <c r="AH29" s="97">
        <f t="shared" si="17"/>
        <v>2889589.0665319641</v>
      </c>
    </row>
    <row r="30" spans="2:34" x14ac:dyDescent="0.25">
      <c r="B30">
        <v>172</v>
      </c>
      <c r="C30" s="28">
        <v>1</v>
      </c>
      <c r="D30" s="35" t="s">
        <v>66</v>
      </c>
      <c r="E30" s="154">
        <f>INDEX('2019 Data Lockdown'!H$5:H$257,MATCH(B30,'2019 Data Lockdown'!B$5:B$257,0))</f>
        <v>33148.810000000005</v>
      </c>
      <c r="F30" s="5">
        <f>INDEX('2019 Data Lockdown'!E$5:E$257,MATCH(B30,'2019 Data Lockdown'!B$5:B$257,0))</f>
        <v>15527274.060000001</v>
      </c>
      <c r="G30" s="5">
        <f>INDEX('2019 Data Lockdown'!F$5:F$257,MATCH(B30,'2019 Data Lockdown'!B$5:B$257,0))</f>
        <v>2705559.01</v>
      </c>
      <c r="H30" s="5">
        <f t="shared" si="1"/>
        <v>12821715.050000001</v>
      </c>
      <c r="I30" s="95">
        <f t="shared" si="2"/>
        <v>386.79261940323045</v>
      </c>
      <c r="J30" s="6">
        <f t="shared" si="3"/>
        <v>386.79261940323045</v>
      </c>
      <c r="K30" s="5">
        <f t="shared" si="4"/>
        <v>12821715.050000001</v>
      </c>
      <c r="L30" s="135">
        <f>INDEX('2019 Best Practice Scores'!L$4:L$256,MATCH(B30,'2019 Best Practice Scores'!A$4:A$256,0))</f>
        <v>0.95833333333333348</v>
      </c>
      <c r="M30" s="97">
        <f t="shared" si="5"/>
        <v>2965694.2493267688</v>
      </c>
      <c r="N30" s="97">
        <f t="shared" si="6"/>
        <v>2372568.7443830217</v>
      </c>
      <c r="O30" s="97">
        <f t="shared" si="7"/>
        <v>852637.09668144619</v>
      </c>
      <c r="P30" s="97">
        <f t="shared" si="8"/>
        <v>155805.61303050711</v>
      </c>
      <c r="Q30" s="97">
        <f t="shared" si="9"/>
        <v>6346705.7034217436</v>
      </c>
      <c r="R30" s="104">
        <f t="shared" si="10"/>
        <v>0.49499662710268572</v>
      </c>
      <c r="S30" s="166">
        <f t="shared" si="11"/>
        <v>6346961.4930278603</v>
      </c>
      <c r="T30" s="97"/>
      <c r="U30" s="97">
        <f>IFERROR(INDEX('Revised 2020 MFAM(2018 PYAs)'!AD$26:AD$300,MATCH(B30,'Revised 2020 MFAM(2018 PYAs)'!B$26:B$300,0)),0)</f>
        <v>-1919.2608887264505</v>
      </c>
      <c r="V30" s="97">
        <f>IFERROR(INDEX('Revised 2019 MFAM(2017 PYAs)'!AF$26:AF$300,MATCH(B30,'Revised 2019 MFAM(2017 PYAs)'!B$26:B$300,0)),0)</f>
        <v>746.77753208391368</v>
      </c>
      <c r="W30" s="97">
        <f t="shared" si="12"/>
        <v>-4.2271086436463641</v>
      </c>
      <c r="X30" s="97">
        <f t="shared" si="13"/>
        <v>-1176.7104652861831</v>
      </c>
      <c r="Y30" s="97"/>
      <c r="Z30" s="98">
        <f t="shared" si="14"/>
        <v>6345784.7825625744</v>
      </c>
      <c r="AA30" s="99">
        <v>0</v>
      </c>
      <c r="AB30" s="100">
        <f t="shared" si="15"/>
        <v>0</v>
      </c>
      <c r="AC30" s="97">
        <f t="shared" si="16"/>
        <v>6345784.7825625744</v>
      </c>
      <c r="AD30" s="103"/>
      <c r="AE30" s="97">
        <f t="shared" si="17"/>
        <v>1586446.1956406436</v>
      </c>
      <c r="AF30" s="97">
        <f t="shared" si="17"/>
        <v>1586446.1956406436</v>
      </c>
      <c r="AG30" s="97">
        <f t="shared" si="17"/>
        <v>1586446.1956406436</v>
      </c>
      <c r="AH30" s="97">
        <f t="shared" si="17"/>
        <v>1586446.1956406436</v>
      </c>
    </row>
    <row r="31" spans="2:34" x14ac:dyDescent="0.25">
      <c r="B31">
        <v>270</v>
      </c>
      <c r="C31" s="28">
        <v>1</v>
      </c>
      <c r="D31" s="35" t="s">
        <v>67</v>
      </c>
      <c r="E31" s="154">
        <f>INDEX('2019 Data Lockdown'!H$5:H$257,MATCH(B31,'2019 Data Lockdown'!B$5:B$257,0))</f>
        <v>74041.960000000006</v>
      </c>
      <c r="F31" s="5">
        <f>INDEX('2019 Data Lockdown'!E$5:E$257,MATCH(B31,'2019 Data Lockdown'!B$5:B$257,0))</f>
        <v>40222621.619999997</v>
      </c>
      <c r="G31" s="5">
        <f>INDEX('2019 Data Lockdown'!F$5:F$257,MATCH(B31,'2019 Data Lockdown'!B$5:B$257,0))</f>
        <v>2597373.92</v>
      </c>
      <c r="H31" s="5">
        <f t="shared" si="1"/>
        <v>37625247.699999996</v>
      </c>
      <c r="I31" s="95">
        <f t="shared" si="2"/>
        <v>508.16115213589688</v>
      </c>
      <c r="J31" s="6">
        <f t="shared" si="3"/>
        <v>508.16115213589688</v>
      </c>
      <c r="K31" s="5">
        <f t="shared" si="4"/>
        <v>37625247.699999996</v>
      </c>
      <c r="L31" s="135">
        <f>INDEX('2019 Best Practice Scores'!L$4:L$256,MATCH(B31,'2019 Best Practice Scores'!A$4:A$256,0))</f>
        <v>0.875</v>
      </c>
      <c r="M31" s="97">
        <f t="shared" si="5"/>
        <v>8702812.4005442783</v>
      </c>
      <c r="N31" s="97">
        <f t="shared" si="6"/>
        <v>5299425.2303131828</v>
      </c>
      <c r="O31" s="97">
        <f t="shared" si="7"/>
        <v>2284488.2551428732</v>
      </c>
      <c r="P31" s="97">
        <f t="shared" si="8"/>
        <v>457210.65867262252</v>
      </c>
      <c r="Q31" s="97">
        <f t="shared" si="9"/>
        <v>16743936.544672957</v>
      </c>
      <c r="R31" s="104">
        <f t="shared" si="10"/>
        <v>0.44501863956294857</v>
      </c>
      <c r="S31" s="166">
        <f t="shared" si="11"/>
        <v>16744611.371131556</v>
      </c>
      <c r="T31" s="97"/>
      <c r="U31" s="97">
        <f>IFERROR(INDEX('Revised 2020 MFAM(2018 PYAs)'!AD$26:AD$300,MATCH(B31,'Revised 2020 MFAM(2018 PYAs)'!B$26:B$300,0)),0)</f>
        <v>-4844.270175954327</v>
      </c>
      <c r="V31" s="97">
        <f>IFERROR(INDEX('Revised 2019 MFAM(2017 PYAs)'!AF$26:AF$300,MATCH(B31,'Revised 2019 MFAM(2017 PYAs)'!B$26:B$300,0)),0)</f>
        <v>1868.7434710990638</v>
      </c>
      <c r="W31" s="97">
        <f t="shared" si="12"/>
        <v>-11.151996359070822</v>
      </c>
      <c r="X31" s="97">
        <f t="shared" si="13"/>
        <v>-2986.6787012143341</v>
      </c>
      <c r="Y31" s="97"/>
      <c r="Z31" s="98">
        <f t="shared" si="14"/>
        <v>16741624.692430342</v>
      </c>
      <c r="AA31" s="99">
        <v>0</v>
      </c>
      <c r="AB31" s="100">
        <f t="shared" si="15"/>
        <v>0</v>
      </c>
      <c r="AC31" s="97">
        <f t="shared" si="16"/>
        <v>16741624.692430342</v>
      </c>
      <c r="AD31" s="103"/>
      <c r="AE31" s="97">
        <f t="shared" si="17"/>
        <v>4185406.1731075854</v>
      </c>
      <c r="AF31" s="97">
        <f t="shared" si="17"/>
        <v>4185406.1731075854</v>
      </c>
      <c r="AG31" s="97">
        <f t="shared" si="17"/>
        <v>4185406.1731075854</v>
      </c>
      <c r="AH31" s="97">
        <f t="shared" si="17"/>
        <v>4185406.1731075854</v>
      </c>
    </row>
    <row r="32" spans="2:34" x14ac:dyDescent="0.25">
      <c r="B32">
        <v>6</v>
      </c>
      <c r="C32" s="28">
        <v>2</v>
      </c>
      <c r="D32" s="35" t="s">
        <v>68</v>
      </c>
      <c r="E32" s="154">
        <f>INDEX('2019 Data Lockdown'!H$5:H$257,MATCH(B32,'2019 Data Lockdown'!B$5:B$257,0))</f>
        <v>41206.969999999987</v>
      </c>
      <c r="F32" s="5">
        <f>INDEX('2019 Data Lockdown'!E$5:E$257,MATCH(B32,'2019 Data Lockdown'!B$5:B$257,0))</f>
        <v>19734526.949999999</v>
      </c>
      <c r="G32" s="5">
        <f>INDEX('2019 Data Lockdown'!F$5:F$257,MATCH(B32,'2019 Data Lockdown'!B$5:B$257,0))</f>
        <v>3742083.3</v>
      </c>
      <c r="H32" s="5">
        <f t="shared" si="1"/>
        <v>15992443.649999999</v>
      </c>
      <c r="I32" s="95">
        <f t="shared" si="2"/>
        <v>388.10045121007448</v>
      </c>
      <c r="J32" s="6">
        <f t="shared" si="3"/>
        <v>388.10045121007448</v>
      </c>
      <c r="K32" s="5">
        <f t="shared" si="4"/>
        <v>15992443.649999999</v>
      </c>
      <c r="L32" s="135">
        <f>INDEX('2019 Best Practice Scores'!L$4:L$256,MATCH(B32,'2019 Best Practice Scores'!A$4:A$256,0))</f>
        <v>0.80733333333333346</v>
      </c>
      <c r="M32" s="97">
        <f t="shared" si="5"/>
        <v>3699091.5786642279</v>
      </c>
      <c r="N32" s="97">
        <f t="shared" si="6"/>
        <v>2949317.6096737352</v>
      </c>
      <c r="O32" s="97">
        <f t="shared" si="7"/>
        <v>895919.98035247612</v>
      </c>
      <c r="P32" s="97">
        <f t="shared" si="8"/>
        <v>194335.35038232585</v>
      </c>
      <c r="Q32" s="97">
        <f t="shared" si="9"/>
        <v>7738664.5190727655</v>
      </c>
      <c r="R32" s="104">
        <f t="shared" si="10"/>
        <v>0.48389506247050407</v>
      </c>
      <c r="S32" s="166">
        <f t="shared" si="11"/>
        <v>7738976.4084279211</v>
      </c>
      <c r="T32" s="97"/>
      <c r="U32" s="97">
        <f>IFERROR(INDEX('Revised 2020 MFAM(2018 PYAs)'!AD$26:AD$300,MATCH(B32,'Revised 2020 MFAM(2018 PYAs)'!B$26:B$300,0)),0)</f>
        <v>-1991.1110288463533</v>
      </c>
      <c r="V32" s="97">
        <f>IFERROR(INDEX('Revised 2019 MFAM(2017 PYAs)'!AF$26:AF$300,MATCH(B32,'Revised 2019 MFAM(2017 PYAs)'!B$26:B$300,0)),0)</f>
        <v>910.75051277596503</v>
      </c>
      <c r="W32" s="97">
        <f t="shared" si="12"/>
        <v>-5.1541976589863898</v>
      </c>
      <c r="X32" s="97">
        <f t="shared" si="13"/>
        <v>-1085.5147137293745</v>
      </c>
      <c r="Y32" s="97"/>
      <c r="Z32" s="98">
        <f t="shared" si="14"/>
        <v>7737890.8937141914</v>
      </c>
      <c r="AA32" s="99">
        <v>0</v>
      </c>
      <c r="AB32" s="100">
        <f t="shared" si="15"/>
        <v>0</v>
      </c>
      <c r="AC32" s="97">
        <f t="shared" si="16"/>
        <v>7737890.8937141914</v>
      </c>
      <c r="AD32" s="103"/>
      <c r="AE32" s="97">
        <f t="shared" si="17"/>
        <v>1934472.7234285478</v>
      </c>
      <c r="AF32" s="97">
        <f t="shared" si="17"/>
        <v>1934472.7234285478</v>
      </c>
      <c r="AG32" s="97">
        <f t="shared" si="17"/>
        <v>1934472.7234285478</v>
      </c>
      <c r="AH32" s="97">
        <f t="shared" si="17"/>
        <v>1934472.7234285478</v>
      </c>
    </row>
    <row r="33" spans="2:34" x14ac:dyDescent="0.25">
      <c r="B33">
        <v>18</v>
      </c>
      <c r="C33" s="28">
        <v>2</v>
      </c>
      <c r="D33" s="35" t="s">
        <v>69</v>
      </c>
      <c r="E33" s="154">
        <f>INDEX('2019 Data Lockdown'!H$5:H$257,MATCH(B33,'2019 Data Lockdown'!B$5:B$257,0))</f>
        <v>19941.120000000003</v>
      </c>
      <c r="F33" s="5">
        <f>INDEX('2019 Data Lockdown'!E$5:E$257,MATCH(B33,'2019 Data Lockdown'!B$5:B$257,0))</f>
        <v>8788831.7100000009</v>
      </c>
      <c r="G33" s="5">
        <f>INDEX('2019 Data Lockdown'!F$5:F$257,MATCH(B33,'2019 Data Lockdown'!B$5:B$257,0))</f>
        <v>2133782.5100000002</v>
      </c>
      <c r="H33" s="5">
        <f t="shared" si="1"/>
        <v>6655049.2000000011</v>
      </c>
      <c r="I33" s="95">
        <f t="shared" si="2"/>
        <v>333.73497576866293</v>
      </c>
      <c r="J33" s="6">
        <f t="shared" si="3"/>
        <v>333.73497576866293</v>
      </c>
      <c r="K33" s="5">
        <f t="shared" si="4"/>
        <v>6655049.2000000011</v>
      </c>
      <c r="L33" s="135">
        <f>INDEX('2019 Best Practice Scores'!L$4:L$256,MATCH(B33,'2019 Best Practice Scores'!A$4:A$256,0))</f>
        <v>0.61805555555555558</v>
      </c>
      <c r="M33" s="97">
        <f t="shared" si="5"/>
        <v>1539329.2601231777</v>
      </c>
      <c r="N33" s="97">
        <f t="shared" si="6"/>
        <v>1427251.1755321282</v>
      </c>
      <c r="O33" s="97">
        <f t="shared" si="7"/>
        <v>285417.30031450588</v>
      </c>
      <c r="P33" s="97">
        <f t="shared" si="8"/>
        <v>80870.150078260078</v>
      </c>
      <c r="Q33" s="97">
        <f t="shared" si="9"/>
        <v>3332867.886048072</v>
      </c>
      <c r="R33" s="104">
        <f t="shared" si="10"/>
        <v>0.50080289204294259</v>
      </c>
      <c r="S33" s="166">
        <f t="shared" si="11"/>
        <v>3333002.2097434895</v>
      </c>
      <c r="T33" s="97"/>
      <c r="U33" s="97">
        <f>IFERROR(INDEX('Revised 2020 MFAM(2018 PYAs)'!AD$26:AD$300,MATCH(B33,'Revised 2020 MFAM(2018 PYAs)'!B$26:B$300,0)),0)</f>
        <v>1851.5390376774594</v>
      </c>
      <c r="V33" s="97">
        <f>IFERROR(INDEX('Revised 2019 MFAM(2017 PYAs)'!AF$26:AF$300,MATCH(B33,'Revised 2019 MFAM(2017 PYAs)'!B$26:B$300,0)),0)</f>
        <v>400.9222514461726</v>
      </c>
      <c r="W33" s="97">
        <f t="shared" si="12"/>
        <v>-2.2197964278774762</v>
      </c>
      <c r="X33" s="97">
        <f t="shared" si="13"/>
        <v>2250.2414926957545</v>
      </c>
      <c r="Y33" s="97"/>
      <c r="Z33" s="98">
        <f t="shared" si="14"/>
        <v>3335252.4512361852</v>
      </c>
      <c r="AA33" s="99">
        <v>0</v>
      </c>
      <c r="AB33" s="100">
        <f t="shared" si="15"/>
        <v>0</v>
      </c>
      <c r="AC33" s="97">
        <f t="shared" si="16"/>
        <v>3335252.4512361852</v>
      </c>
      <c r="AD33" s="103"/>
      <c r="AE33" s="97">
        <f t="shared" si="17"/>
        <v>833813.11280904629</v>
      </c>
      <c r="AF33" s="97">
        <f t="shared" si="17"/>
        <v>833813.11280904629</v>
      </c>
      <c r="AG33" s="97">
        <f t="shared" si="17"/>
        <v>833813.11280904629</v>
      </c>
      <c r="AH33" s="97">
        <f t="shared" si="17"/>
        <v>833813.11280904629</v>
      </c>
    </row>
    <row r="34" spans="2:34" x14ac:dyDescent="0.25">
      <c r="B34">
        <v>53</v>
      </c>
      <c r="C34" s="28">
        <v>2</v>
      </c>
      <c r="D34" s="35" t="s">
        <v>70</v>
      </c>
      <c r="E34" s="154">
        <f>INDEX('2019 Data Lockdown'!H$5:H$257,MATCH(B34,'2019 Data Lockdown'!B$5:B$257,0))</f>
        <v>34960.206400000003</v>
      </c>
      <c r="F34" s="5">
        <f>INDEX('2019 Data Lockdown'!E$5:E$257,MATCH(B34,'2019 Data Lockdown'!B$5:B$257,0))</f>
        <v>10395927.890000001</v>
      </c>
      <c r="G34" s="5">
        <f>INDEX('2019 Data Lockdown'!F$5:F$257,MATCH(B34,'2019 Data Lockdown'!B$5:B$257,0))</f>
        <v>2947532.46</v>
      </c>
      <c r="H34" s="5">
        <f t="shared" si="1"/>
        <v>7448395.4300000006</v>
      </c>
      <c r="I34" s="95">
        <f t="shared" si="2"/>
        <v>213.05353134299574</v>
      </c>
      <c r="J34" s="6">
        <f t="shared" si="3"/>
        <v>213.05353134299574</v>
      </c>
      <c r="K34" s="5">
        <f t="shared" si="4"/>
        <v>7448395.4300000006</v>
      </c>
      <c r="L34" s="135">
        <f>INDEX('2019 Best Practice Scores'!L$4:L$256,MATCH(B34,'2019 Best Practice Scores'!A$4:A$256,0))</f>
        <v>0.91666666666666674</v>
      </c>
      <c r="M34" s="97">
        <f t="shared" si="5"/>
        <v>1722832.1957960518</v>
      </c>
      <c r="N34" s="97">
        <f t="shared" si="6"/>
        <v>2502216.3088756213</v>
      </c>
      <c r="O34" s="97">
        <f t="shared" si="7"/>
        <v>473778.85384391423</v>
      </c>
      <c r="P34" s="97">
        <f t="shared" si="8"/>
        <v>90510.654116024642</v>
      </c>
      <c r="Q34" s="97">
        <f t="shared" si="9"/>
        <v>4789338.0126316119</v>
      </c>
      <c r="R34" s="104">
        <f t="shared" si="10"/>
        <v>0.64300265173107374</v>
      </c>
      <c r="S34" s="166">
        <f t="shared" si="11"/>
        <v>4789531.0360584194</v>
      </c>
      <c r="T34" s="97"/>
      <c r="U34" s="97">
        <f>IFERROR(INDEX('Revised 2020 MFAM(2018 PYAs)'!AD$26:AD$300,MATCH(B34,'Revised 2020 MFAM(2018 PYAs)'!B$26:B$300,0)),0)</f>
        <v>-922.80844432814047</v>
      </c>
      <c r="V34" s="97">
        <f>IFERROR(INDEX('Revised 2019 MFAM(2017 PYAs)'!AF$26:AF$300,MATCH(B34,'Revised 2019 MFAM(2017 PYAs)'!B$26:B$300,0)),0)</f>
        <v>656.56166225951165</v>
      </c>
      <c r="W34" s="97">
        <f t="shared" si="12"/>
        <v>-3.1898520360924141</v>
      </c>
      <c r="X34" s="97">
        <f t="shared" si="13"/>
        <v>-269.43663410472124</v>
      </c>
      <c r="Y34" s="97"/>
      <c r="Z34" s="98">
        <f t="shared" si="14"/>
        <v>4789261.5994243147</v>
      </c>
      <c r="AA34" s="99">
        <v>0</v>
      </c>
      <c r="AB34" s="100">
        <f t="shared" si="15"/>
        <v>0</v>
      </c>
      <c r="AC34" s="97">
        <f t="shared" si="16"/>
        <v>4789261.5994243147</v>
      </c>
      <c r="AD34" s="103"/>
      <c r="AE34" s="97">
        <f t="shared" si="17"/>
        <v>1197315.3998560787</v>
      </c>
      <c r="AF34" s="97">
        <f t="shared" si="17"/>
        <v>1197315.3998560787</v>
      </c>
      <c r="AG34" s="97">
        <f t="shared" si="17"/>
        <v>1197315.3998560787</v>
      </c>
      <c r="AH34" s="97">
        <f t="shared" si="17"/>
        <v>1197315.3998560787</v>
      </c>
    </row>
    <row r="35" spans="2:34" x14ac:dyDescent="0.25">
      <c r="B35">
        <v>335</v>
      </c>
      <c r="C35" s="28">
        <v>2</v>
      </c>
      <c r="D35" s="35" t="s">
        <v>71</v>
      </c>
      <c r="E35" s="154">
        <f>INDEX('2019 Data Lockdown'!H$5:H$257,MATCH(B35,'2019 Data Lockdown'!B$5:B$257,0))</f>
        <v>25689.83</v>
      </c>
      <c r="F35" s="5">
        <f>INDEX('2019 Data Lockdown'!E$5:E$257,MATCH(B35,'2019 Data Lockdown'!B$5:B$257,0))</f>
        <v>14903554.119999999</v>
      </c>
      <c r="G35" s="5">
        <f>INDEX('2019 Data Lockdown'!F$5:F$257,MATCH(B35,'2019 Data Lockdown'!B$5:B$257,0))</f>
        <v>1961104.7</v>
      </c>
      <c r="H35" s="5">
        <f t="shared" si="1"/>
        <v>12942449.42</v>
      </c>
      <c r="I35" s="95">
        <f t="shared" si="2"/>
        <v>503.79661601497554</v>
      </c>
      <c r="J35" s="6">
        <f t="shared" si="3"/>
        <v>444.22536104399393</v>
      </c>
      <c r="K35" s="5">
        <f t="shared" si="4"/>
        <v>11412074.006908827</v>
      </c>
      <c r="L35" s="135">
        <f>INDEX('2019 Best Practice Scores'!L$4:L$256,MATCH(B35,'2019 Best Practice Scores'!A$4:A$256,0))</f>
        <v>0.875</v>
      </c>
      <c r="M35" s="97">
        <f t="shared" si="5"/>
        <v>2639640.8064910942</v>
      </c>
      <c r="N35" s="97">
        <f t="shared" si="6"/>
        <v>1838705.1513014582</v>
      </c>
      <c r="O35" s="97">
        <f t="shared" si="7"/>
        <v>692905.71170391212</v>
      </c>
      <c r="P35" s="97">
        <f t="shared" si="8"/>
        <v>138676.08035759188</v>
      </c>
      <c r="Q35" s="97">
        <f t="shared" si="9"/>
        <v>5309927.7498540562</v>
      </c>
      <c r="R35" s="104">
        <f t="shared" si="10"/>
        <v>0.46529033606331732</v>
      </c>
      <c r="S35" s="166">
        <f t="shared" si="11"/>
        <v>5310141.7544717453</v>
      </c>
      <c r="T35" s="97"/>
      <c r="U35" s="97">
        <f>IFERROR(INDEX('Revised 2020 MFAM(2018 PYAs)'!AD$26:AD$300,MATCH(B35,'Revised 2020 MFAM(2018 PYAs)'!B$26:B$300,0)),0)</f>
        <v>-1068.6930752880871</v>
      </c>
      <c r="V35" s="97">
        <f>IFERROR(INDEX('Revised 2019 MFAM(2017 PYAs)'!AF$26:AF$300,MATCH(B35,'Revised 2019 MFAM(2017 PYAs)'!B$26:B$300,0)),0)</f>
        <v>475.88454477814957</v>
      </c>
      <c r="W35" s="97">
        <f t="shared" si="12"/>
        <v>-3.536581423090801</v>
      </c>
      <c r="X35" s="97">
        <f t="shared" si="13"/>
        <v>-596.34511193302831</v>
      </c>
      <c r="Y35" s="97"/>
      <c r="Z35" s="98">
        <f t="shared" si="14"/>
        <v>5309545.4093598127</v>
      </c>
      <c r="AA35" s="99">
        <v>0</v>
      </c>
      <c r="AB35" s="100">
        <f t="shared" si="15"/>
        <v>0</v>
      </c>
      <c r="AC35" s="97">
        <f t="shared" si="16"/>
        <v>5309545.4093598127</v>
      </c>
      <c r="AD35" s="103"/>
      <c r="AE35" s="97">
        <f t="shared" si="17"/>
        <v>1327386.3523399532</v>
      </c>
      <c r="AF35" s="97">
        <f t="shared" si="17"/>
        <v>1327386.3523399532</v>
      </c>
      <c r="AG35" s="97">
        <f t="shared" si="17"/>
        <v>1327386.3523399532</v>
      </c>
      <c r="AH35" s="97">
        <f t="shared" si="17"/>
        <v>1327386.3523399532</v>
      </c>
    </row>
    <row r="36" spans="2:34" x14ac:dyDescent="0.25">
      <c r="B36">
        <v>357</v>
      </c>
      <c r="C36" s="28">
        <v>2</v>
      </c>
      <c r="D36" s="35" t="s">
        <v>72</v>
      </c>
      <c r="E36" s="154">
        <f>INDEX('2019 Data Lockdown'!H$5:H$257,MATCH(B36,'2019 Data Lockdown'!B$5:B$257,0))</f>
        <v>34912.030000000006</v>
      </c>
      <c r="F36" s="5">
        <f>INDEX('2019 Data Lockdown'!E$5:E$257,MATCH(B36,'2019 Data Lockdown'!B$5:B$257,0))</f>
        <v>13658152.119999999</v>
      </c>
      <c r="G36" s="5">
        <f>INDEX('2019 Data Lockdown'!F$5:F$257,MATCH(B36,'2019 Data Lockdown'!B$5:B$257,0))</f>
        <v>3498711.4300000006</v>
      </c>
      <c r="H36" s="5">
        <f t="shared" si="1"/>
        <v>10159440.689999998</v>
      </c>
      <c r="I36" s="95">
        <f t="shared" si="2"/>
        <v>291.00114459113365</v>
      </c>
      <c r="J36" s="6">
        <f t="shared" si="3"/>
        <v>291.00114459113365</v>
      </c>
      <c r="K36" s="5">
        <f t="shared" si="4"/>
        <v>10159440.689999998</v>
      </c>
      <c r="L36" s="135">
        <f>INDEX('2019 Best Practice Scores'!L$4:L$256,MATCH(B36,'2019 Best Practice Scores'!A$4:A$256,0))</f>
        <v>0.95833333333333348</v>
      </c>
      <c r="M36" s="97">
        <f t="shared" si="5"/>
        <v>2349903.6371666496</v>
      </c>
      <c r="N36" s="97">
        <f t="shared" si="6"/>
        <v>2498768.1663674321</v>
      </c>
      <c r="O36" s="97">
        <f t="shared" si="7"/>
        <v>675597.2956854119</v>
      </c>
      <c r="P36" s="97">
        <f t="shared" si="8"/>
        <v>123454.45820467893</v>
      </c>
      <c r="Q36" s="97">
        <f t="shared" si="9"/>
        <v>5647723.5574241728</v>
      </c>
      <c r="R36" s="104">
        <f t="shared" si="10"/>
        <v>0.55590890579077479</v>
      </c>
      <c r="S36" s="166">
        <f t="shared" si="11"/>
        <v>5647951.1761372052</v>
      </c>
      <c r="T36" s="97"/>
      <c r="U36" s="97">
        <f>IFERROR(INDEX('Revised 2020 MFAM(2018 PYAs)'!AD$26:AD$300,MATCH(B36,'Revised 2020 MFAM(2018 PYAs)'!B$26:B$300,0)),0)</f>
        <v>-1078.5777542069554</v>
      </c>
      <c r="V36" s="97">
        <f>IFERROR(INDEX('Revised 2019 MFAM(2017 PYAs)'!AF$26:AF$300,MATCH(B36,'Revised 2019 MFAM(2017 PYAs)'!B$26:B$300,0)),0)</f>
        <v>626.74529091315344</v>
      </c>
      <c r="W36" s="97">
        <f t="shared" si="12"/>
        <v>-3.7615642164787642</v>
      </c>
      <c r="X36" s="97">
        <f t="shared" si="13"/>
        <v>-455.59402751028074</v>
      </c>
      <c r="Y36" s="97"/>
      <c r="Z36" s="98">
        <f t="shared" si="14"/>
        <v>5647495.5821096953</v>
      </c>
      <c r="AA36" s="99">
        <v>0</v>
      </c>
      <c r="AB36" s="100">
        <f t="shared" si="15"/>
        <v>0</v>
      </c>
      <c r="AC36" s="97">
        <f t="shared" si="16"/>
        <v>5647495.5821096953</v>
      </c>
      <c r="AD36" s="103"/>
      <c r="AE36" s="97">
        <f t="shared" si="17"/>
        <v>1411873.8955274238</v>
      </c>
      <c r="AF36" s="97">
        <f t="shared" si="17"/>
        <v>1411873.8955274238</v>
      </c>
      <c r="AG36" s="97">
        <f t="shared" si="17"/>
        <v>1411873.8955274238</v>
      </c>
      <c r="AH36" s="97">
        <f t="shared" si="17"/>
        <v>1411873.8955274238</v>
      </c>
    </row>
    <row r="37" spans="2:34" x14ac:dyDescent="0.25">
      <c r="B37">
        <v>441</v>
      </c>
      <c r="C37" s="28">
        <v>2</v>
      </c>
      <c r="D37" s="35" t="s">
        <v>73</v>
      </c>
      <c r="E37" s="154">
        <f>INDEX('2019 Data Lockdown'!H$5:H$257,MATCH(B37,'2019 Data Lockdown'!B$5:B$257,0))</f>
        <v>55231.539999999986</v>
      </c>
      <c r="F37" s="5">
        <f>INDEX('2019 Data Lockdown'!E$5:E$257,MATCH(B37,'2019 Data Lockdown'!B$5:B$257,0))</f>
        <v>19919415.420000002</v>
      </c>
      <c r="G37" s="5">
        <f>INDEX('2019 Data Lockdown'!F$5:F$257,MATCH(B37,'2019 Data Lockdown'!B$5:B$257,0))</f>
        <v>6656078.0499999989</v>
      </c>
      <c r="H37" s="5">
        <f t="shared" si="1"/>
        <v>13263337.370000003</v>
      </c>
      <c r="I37" s="95">
        <f t="shared" si="2"/>
        <v>240.14064011251554</v>
      </c>
      <c r="J37" s="6">
        <f t="shared" si="3"/>
        <v>240.14064011251554</v>
      </c>
      <c r="K37" s="5">
        <f t="shared" si="4"/>
        <v>13263337.370000003</v>
      </c>
      <c r="L37" s="135">
        <f>INDEX('2019 Best Practice Scores'!L$4:L$256,MATCH(B37,'2019 Best Practice Scores'!A$4:A$256,0))</f>
        <v>0.84722222222222232</v>
      </c>
      <c r="M37" s="97">
        <f t="shared" si="5"/>
        <v>3067842.5789137962</v>
      </c>
      <c r="N37" s="97">
        <f t="shared" si="6"/>
        <v>3953101.9517183453</v>
      </c>
      <c r="O37" s="97">
        <f t="shared" si="7"/>
        <v>779743.32214058982</v>
      </c>
      <c r="P37" s="97">
        <f t="shared" si="8"/>
        <v>161172.07422756476</v>
      </c>
      <c r="Q37" s="97">
        <f t="shared" si="9"/>
        <v>7961859.9270002963</v>
      </c>
      <c r="R37" s="104">
        <f t="shared" si="10"/>
        <v>0.60029083969537111</v>
      </c>
      <c r="S37" s="166">
        <f t="shared" si="11"/>
        <v>7962180.8117411137</v>
      </c>
      <c r="T37" s="97"/>
      <c r="U37" s="97">
        <f>IFERROR(INDEX('Revised 2020 MFAM(2018 PYAs)'!AD$26:AD$300,MATCH(B37,'Revised 2020 MFAM(2018 PYAs)'!B$26:B$300,0)),0)</f>
        <v>-1291.1973655372858</v>
      </c>
      <c r="V37" s="97">
        <f>IFERROR(INDEX('Revised 2019 MFAM(2017 PYAs)'!AF$26:AF$300,MATCH(B37,'Revised 2019 MFAM(2017 PYAs)'!B$26:B$300,0)),0)</f>
        <v>3.2925000004470348</v>
      </c>
      <c r="W37" s="97">
        <f t="shared" si="12"/>
        <v>-5.3028529271145439</v>
      </c>
      <c r="X37" s="97">
        <f t="shared" si="13"/>
        <v>-1293.2077184639534</v>
      </c>
      <c r="Y37" s="97"/>
      <c r="Z37" s="98">
        <f t="shared" si="14"/>
        <v>7960887.60402265</v>
      </c>
      <c r="AA37" s="99">
        <v>0</v>
      </c>
      <c r="AB37" s="100">
        <f t="shared" si="15"/>
        <v>0</v>
      </c>
      <c r="AC37" s="97">
        <f t="shared" si="16"/>
        <v>7960887.60402265</v>
      </c>
      <c r="AD37" s="103"/>
      <c r="AE37" s="97">
        <f t="shared" si="17"/>
        <v>1990221.9010056625</v>
      </c>
      <c r="AF37" s="97">
        <f t="shared" si="17"/>
        <v>1990221.9010056625</v>
      </c>
      <c r="AG37" s="97">
        <f t="shared" si="17"/>
        <v>1990221.9010056625</v>
      </c>
      <c r="AH37" s="97">
        <f t="shared" si="17"/>
        <v>1990221.9010056625</v>
      </c>
    </row>
    <row r="38" spans="2:34" x14ac:dyDescent="0.25">
      <c r="B38">
        <v>14</v>
      </c>
      <c r="C38" s="28">
        <v>3</v>
      </c>
      <c r="D38" s="35" t="s">
        <v>74</v>
      </c>
      <c r="E38" s="154">
        <f>INDEX('2019 Data Lockdown'!H$5:H$257,MATCH(B38,'2019 Data Lockdown'!B$5:B$257,0))</f>
        <v>11108.29</v>
      </c>
      <c r="F38" s="5">
        <f>INDEX('2019 Data Lockdown'!E$5:E$257,MATCH(B38,'2019 Data Lockdown'!B$5:B$257,0))</f>
        <v>2679551.4300000002</v>
      </c>
      <c r="G38" s="5">
        <f>INDEX('2019 Data Lockdown'!F$5:F$257,MATCH(B38,'2019 Data Lockdown'!B$5:B$257,0))</f>
        <v>129351.95</v>
      </c>
      <c r="H38" s="5">
        <f t="shared" si="1"/>
        <v>2550199.48</v>
      </c>
      <c r="I38" s="95">
        <f t="shared" si="2"/>
        <v>229.57624260799815</v>
      </c>
      <c r="J38" s="6">
        <f t="shared" si="3"/>
        <v>229.57624260799815</v>
      </c>
      <c r="K38" s="5">
        <f t="shared" si="4"/>
        <v>2550199.48</v>
      </c>
      <c r="L38" s="135">
        <f>INDEX('2019 Best Practice Scores'!L$4:L$256,MATCH(B38,'2019 Best Practice Scores'!A$4:A$256,0))</f>
        <v>0.91666666666666674</v>
      </c>
      <c r="M38" s="97">
        <f t="shared" si="5"/>
        <v>589867.41656469088</v>
      </c>
      <c r="N38" s="97">
        <f t="shared" si="6"/>
        <v>795056.64479486516</v>
      </c>
      <c r="O38" s="97">
        <f t="shared" si="7"/>
        <v>162213.53955528999</v>
      </c>
      <c r="P38" s="97">
        <f t="shared" si="8"/>
        <v>30989.254696584485</v>
      </c>
      <c r="Q38" s="97">
        <f t="shared" si="9"/>
        <v>1578126.8556114305</v>
      </c>
      <c r="R38" s="104">
        <f t="shared" si="10"/>
        <v>0.61882486761836786</v>
      </c>
      <c r="S38" s="166">
        <f t="shared" si="11"/>
        <v>1578190.458441885</v>
      </c>
      <c r="T38" s="97"/>
      <c r="U38" s="97">
        <f>IFERROR(INDEX('Revised 2020 MFAM(2018 PYAs)'!AD$26:AD$300,MATCH(B38,'Revised 2020 MFAM(2018 PYAs)'!B$26:B$300,0)),0)</f>
        <v>-5082.7524240289349</v>
      </c>
      <c r="V38" s="97">
        <f>IFERROR(INDEX('Revised 2019 MFAM(2017 PYAs)'!AF$26:AF$300,MATCH(B38,'Revised 2019 MFAM(2017 PYAs)'!B$26:B$300,0)),0)</f>
        <v>-2872.4387519047596</v>
      </c>
      <c r="W38" s="97">
        <f t="shared" si="12"/>
        <v>-1.0510828741482372</v>
      </c>
      <c r="X38" s="97">
        <f t="shared" si="13"/>
        <v>-7956.2422588078425</v>
      </c>
      <c r="Y38" s="97"/>
      <c r="Z38" s="98">
        <f t="shared" si="14"/>
        <v>1570234.2161830771</v>
      </c>
      <c r="AA38" s="99">
        <v>0</v>
      </c>
      <c r="AB38" s="100">
        <f t="shared" si="15"/>
        <v>0</v>
      </c>
      <c r="AC38" s="97">
        <f t="shared" si="16"/>
        <v>1570234.2161830771</v>
      </c>
      <c r="AD38" s="103"/>
      <c r="AE38" s="97">
        <f t="shared" si="17"/>
        <v>392558.55404576927</v>
      </c>
      <c r="AF38" s="97">
        <f t="shared" si="17"/>
        <v>392558.55404576927</v>
      </c>
      <c r="AG38" s="97">
        <f t="shared" si="17"/>
        <v>392558.55404576927</v>
      </c>
      <c r="AH38" s="97">
        <f t="shared" si="17"/>
        <v>392558.55404576927</v>
      </c>
    </row>
    <row r="39" spans="2:34" x14ac:dyDescent="0.25">
      <c r="B39">
        <v>36</v>
      </c>
      <c r="C39" s="28">
        <v>3</v>
      </c>
      <c r="D39" s="35" t="s">
        <v>75</v>
      </c>
      <c r="E39" s="154">
        <f>INDEX('2019 Data Lockdown'!H$5:H$257,MATCH(B39,'2019 Data Lockdown'!B$5:B$257,0))</f>
        <v>5586.8</v>
      </c>
      <c r="F39" s="5">
        <f>INDEX('2019 Data Lockdown'!E$5:E$257,MATCH(B39,'2019 Data Lockdown'!B$5:B$257,0))</f>
        <v>6633340.9699999997</v>
      </c>
      <c r="G39" s="5">
        <f>INDEX('2019 Data Lockdown'!F$5:F$257,MATCH(B39,'2019 Data Lockdown'!B$5:B$257,0))</f>
        <v>622957</v>
      </c>
      <c r="H39" s="5">
        <f t="shared" si="1"/>
        <v>6010383.9699999997</v>
      </c>
      <c r="I39" s="95">
        <f t="shared" si="2"/>
        <v>1075.8187101739813</v>
      </c>
      <c r="J39" s="6">
        <f t="shared" si="3"/>
        <v>794.87198920540311</v>
      </c>
      <c r="K39" s="5">
        <f t="shared" si="4"/>
        <v>4440790.8292927463</v>
      </c>
      <c r="L39" s="135">
        <f>INDEX('2019 Best Practice Scores'!L$4:L$256,MATCH(B39,'2019 Best Practice Scores'!A$4:A$256,0))</f>
        <v>0.68402777777777768</v>
      </c>
      <c r="M39" s="97">
        <f t="shared" si="5"/>
        <v>1027165.8489943239</v>
      </c>
      <c r="N39" s="97">
        <f t="shared" si="6"/>
        <v>399865.5475451175</v>
      </c>
      <c r="O39" s="97">
        <f t="shared" si="7"/>
        <v>210782.99192904349</v>
      </c>
      <c r="P39" s="97">
        <f t="shared" si="8"/>
        <v>53963.15038979207</v>
      </c>
      <c r="Q39" s="97">
        <f t="shared" si="9"/>
        <v>1691777.538858277</v>
      </c>
      <c r="R39" s="104">
        <f t="shared" si="10"/>
        <v>0.38096312208600797</v>
      </c>
      <c r="S39" s="166">
        <f t="shared" si="11"/>
        <v>1691845.7221222448</v>
      </c>
      <c r="T39" s="97"/>
      <c r="U39" s="97">
        <f>IFERROR(INDEX('Revised 2020 MFAM(2018 PYAs)'!AD$26:AD$300,MATCH(B39,'Revised 2020 MFAM(2018 PYAs)'!B$26:B$300,0)),0)</f>
        <v>-1112.1670467881486</v>
      </c>
      <c r="V39" s="97">
        <f>IFERROR(INDEX('Revised 2019 MFAM(2017 PYAs)'!AF$26:AF$300,MATCH(B39,'Revised 2019 MFAM(2017 PYAs)'!B$26:B$300,0)),0)</f>
        <v>59.564245000015944</v>
      </c>
      <c r="W39" s="97">
        <f t="shared" si="12"/>
        <v>-1.12677785796481</v>
      </c>
      <c r="X39" s="97">
        <f t="shared" si="13"/>
        <v>-1053.7295796460974</v>
      </c>
      <c r="Y39" s="97"/>
      <c r="Z39" s="98">
        <f t="shared" si="14"/>
        <v>1690791.9925425986</v>
      </c>
      <c r="AA39" s="99">
        <v>0</v>
      </c>
      <c r="AB39" s="100">
        <f t="shared" si="15"/>
        <v>0</v>
      </c>
      <c r="AC39" s="97">
        <f t="shared" si="16"/>
        <v>1690791.9925425986</v>
      </c>
      <c r="AD39" s="103"/>
      <c r="AE39" s="97">
        <f t="shared" si="17"/>
        <v>422697.99813564966</v>
      </c>
      <c r="AF39" s="97">
        <f t="shared" si="17"/>
        <v>422697.99813564966</v>
      </c>
      <c r="AG39" s="97">
        <f t="shared" si="17"/>
        <v>422697.99813564966</v>
      </c>
      <c r="AH39" s="97">
        <f t="shared" si="17"/>
        <v>422697.99813564966</v>
      </c>
    </row>
    <row r="40" spans="2:34" x14ac:dyDescent="0.25">
      <c r="B40">
        <v>55</v>
      </c>
      <c r="C40" s="28">
        <v>3</v>
      </c>
      <c r="D40" s="35" t="s">
        <v>76</v>
      </c>
      <c r="E40" s="154">
        <f>INDEX('2019 Data Lockdown'!H$5:H$257,MATCH(B40,'2019 Data Lockdown'!B$5:B$257,0))</f>
        <v>3486.1699999999992</v>
      </c>
      <c r="F40" s="5">
        <f>INDEX('2019 Data Lockdown'!E$5:E$257,MATCH(B40,'2019 Data Lockdown'!B$5:B$257,0))</f>
        <v>1496659.65</v>
      </c>
      <c r="G40" s="5">
        <f>INDEX('2019 Data Lockdown'!F$5:F$257,MATCH(B40,'2019 Data Lockdown'!B$5:B$257,0))</f>
        <v>60217.409999999996</v>
      </c>
      <c r="H40" s="5">
        <f t="shared" si="1"/>
        <v>1436442.24</v>
      </c>
      <c r="I40" s="95">
        <f t="shared" si="2"/>
        <v>412.04021605372094</v>
      </c>
      <c r="J40" s="6">
        <f t="shared" si="3"/>
        <v>412.04021605372094</v>
      </c>
      <c r="K40" s="5">
        <f t="shared" si="4"/>
        <v>1436442.24</v>
      </c>
      <c r="L40" s="135">
        <f>INDEX('2019 Best Practice Scores'!L$4:L$256,MATCH(B40,'2019 Best Practice Scores'!A$4:A$256,0))</f>
        <v>0.46296296296296297</v>
      </c>
      <c r="M40" s="97">
        <f t="shared" si="5"/>
        <v>332252.62564683665</v>
      </c>
      <c r="N40" s="97">
        <f t="shared" si="6"/>
        <v>249516.58836639253</v>
      </c>
      <c r="O40" s="97">
        <f t="shared" si="7"/>
        <v>46146.198006505088</v>
      </c>
      <c r="P40" s="97">
        <f t="shared" si="8"/>
        <v>17455.21273194375</v>
      </c>
      <c r="Q40" s="97">
        <f t="shared" si="9"/>
        <v>645370.62475167797</v>
      </c>
      <c r="R40" s="104">
        <f t="shared" si="10"/>
        <v>0.44928407615726895</v>
      </c>
      <c r="S40" s="166">
        <f t="shared" si="11"/>
        <v>645396.63495376054</v>
      </c>
      <c r="T40" s="97"/>
      <c r="U40" s="97">
        <f>IFERROR(INDEX('Revised 2020 MFAM(2018 PYAs)'!AD$26:AD$300,MATCH(B40,'Revised 2020 MFAM(2018 PYAs)'!B$26:B$300,0)),0)</f>
        <v>-213.0511680515483</v>
      </c>
      <c r="V40" s="97">
        <f>IFERROR(INDEX('Revised 2019 MFAM(2017 PYAs)'!AF$26:AF$300,MATCH(B40,'Revised 2019 MFAM(2017 PYAs)'!B$26:B$300,0)),0)</f>
        <v>86.324088941211812</v>
      </c>
      <c r="W40" s="97">
        <f t="shared" si="12"/>
        <v>-0.42983744224542803</v>
      </c>
      <c r="X40" s="97">
        <f t="shared" si="13"/>
        <v>-127.15691655258192</v>
      </c>
      <c r="Y40" s="97"/>
      <c r="Z40" s="98">
        <f t="shared" si="14"/>
        <v>645269.47803720797</v>
      </c>
      <c r="AA40" s="99">
        <v>0</v>
      </c>
      <c r="AB40" s="100">
        <f t="shared" si="15"/>
        <v>0</v>
      </c>
      <c r="AC40" s="97">
        <f t="shared" si="16"/>
        <v>645269.47803720797</v>
      </c>
      <c r="AD40" s="103"/>
      <c r="AE40" s="97">
        <f t="shared" si="17"/>
        <v>161317.36950930199</v>
      </c>
      <c r="AF40" s="97">
        <f t="shared" si="17"/>
        <v>161317.36950930199</v>
      </c>
      <c r="AG40" s="97">
        <f t="shared" si="17"/>
        <v>161317.36950930199</v>
      </c>
      <c r="AH40" s="97">
        <f t="shared" si="17"/>
        <v>161317.36950930199</v>
      </c>
    </row>
    <row r="41" spans="2:34" x14ac:dyDescent="0.25">
      <c r="B41">
        <v>103</v>
      </c>
      <c r="C41" s="28">
        <v>3</v>
      </c>
      <c r="D41" s="35" t="s">
        <v>77</v>
      </c>
      <c r="E41" s="154">
        <f>INDEX('2019 Data Lockdown'!H$5:H$257,MATCH(B41,'2019 Data Lockdown'!B$5:B$257,0))</f>
        <v>4157.59</v>
      </c>
      <c r="F41" s="5">
        <f>INDEX('2019 Data Lockdown'!E$5:E$257,MATCH(B41,'2019 Data Lockdown'!B$5:B$257,0))</f>
        <v>1753178.73</v>
      </c>
      <c r="G41" s="5">
        <f>INDEX('2019 Data Lockdown'!F$5:F$257,MATCH(B41,'2019 Data Lockdown'!B$5:B$257,0))</f>
        <v>368978.78</v>
      </c>
      <c r="H41" s="5">
        <f t="shared" si="1"/>
        <v>1384199.95</v>
      </c>
      <c r="I41" s="95">
        <f t="shared" si="2"/>
        <v>332.93324979134542</v>
      </c>
      <c r="J41" s="6">
        <f t="shared" si="3"/>
        <v>332.93324979134542</v>
      </c>
      <c r="K41" s="5">
        <f t="shared" si="4"/>
        <v>1384199.95</v>
      </c>
      <c r="L41" s="135">
        <f>INDEX('2019 Best Practice Scores'!L$4:L$256,MATCH(B41,'2019 Best Practice Scores'!A$4:A$256,0))</f>
        <v>0.60069444444444442</v>
      </c>
      <c r="M41" s="97">
        <f t="shared" si="5"/>
        <v>320168.85538517719</v>
      </c>
      <c r="N41" s="97">
        <f t="shared" si="6"/>
        <v>297572.31363537355</v>
      </c>
      <c r="O41" s="97">
        <f t="shared" si="7"/>
        <v>57697.0958142038</v>
      </c>
      <c r="P41" s="97">
        <f t="shared" si="8"/>
        <v>16820.380185141243</v>
      </c>
      <c r="Q41" s="97">
        <f t="shared" si="9"/>
        <v>692258.64501989586</v>
      </c>
      <c r="R41" s="104">
        <f t="shared" si="10"/>
        <v>0.50011462940733087</v>
      </c>
      <c r="S41" s="166">
        <f t="shared" si="11"/>
        <v>692286.54493749328</v>
      </c>
      <c r="T41" s="97"/>
      <c r="U41" s="97">
        <f>IFERROR(INDEX('Revised 2020 MFAM(2018 PYAs)'!AD$26:AD$300,MATCH(B41,'Revised 2020 MFAM(2018 PYAs)'!B$26:B$300,0)),0)</f>
        <v>-8609.4466630618554</v>
      </c>
      <c r="V41" s="97">
        <f>IFERROR(INDEX('Revised 2019 MFAM(2017 PYAs)'!AF$26:AF$300,MATCH(B41,'Revised 2019 MFAM(2017 PYAs)'!B$26:B$300,0)),0)</f>
        <v>85.647875986178406</v>
      </c>
      <c r="W41" s="97">
        <f t="shared" si="12"/>
        <v>-0.46106636084053354</v>
      </c>
      <c r="X41" s="97">
        <f t="shared" si="13"/>
        <v>-8524.259853436517</v>
      </c>
      <c r="Y41" s="97"/>
      <c r="Z41" s="98">
        <f t="shared" si="14"/>
        <v>683762.28508405678</v>
      </c>
      <c r="AA41" s="99">
        <v>0</v>
      </c>
      <c r="AB41" s="100">
        <f t="shared" si="15"/>
        <v>0</v>
      </c>
      <c r="AC41" s="97">
        <f t="shared" si="16"/>
        <v>683762.28508405678</v>
      </c>
      <c r="AD41" s="103"/>
      <c r="AE41" s="97">
        <f t="shared" si="17"/>
        <v>170940.5712710142</v>
      </c>
      <c r="AF41" s="97">
        <f t="shared" si="17"/>
        <v>170940.5712710142</v>
      </c>
      <c r="AG41" s="97">
        <f t="shared" si="17"/>
        <v>170940.5712710142</v>
      </c>
      <c r="AH41" s="97">
        <f t="shared" si="17"/>
        <v>170940.5712710142</v>
      </c>
    </row>
    <row r="42" spans="2:34" x14ac:dyDescent="0.25">
      <c r="B42">
        <v>123</v>
      </c>
      <c r="C42" s="28">
        <v>3</v>
      </c>
      <c r="D42" s="35" t="s">
        <v>78</v>
      </c>
      <c r="E42" s="154">
        <f>INDEX('2019 Data Lockdown'!H$5:H$257,MATCH(B42,'2019 Data Lockdown'!B$5:B$257,0))</f>
        <v>6660.2900000000009</v>
      </c>
      <c r="F42" s="5">
        <f>INDEX('2019 Data Lockdown'!E$5:E$257,MATCH(B42,'2019 Data Lockdown'!B$5:B$257,0))</f>
        <v>2566391.4700000002</v>
      </c>
      <c r="G42" s="5">
        <f>INDEX('2019 Data Lockdown'!F$5:F$257,MATCH(B42,'2019 Data Lockdown'!B$5:B$257,0))</f>
        <v>0</v>
      </c>
      <c r="H42" s="5">
        <f t="shared" si="1"/>
        <v>2566391.4700000002</v>
      </c>
      <c r="I42" s="95">
        <f t="shared" si="2"/>
        <v>385.32728604910596</v>
      </c>
      <c r="J42" s="6">
        <f t="shared" si="3"/>
        <v>385.32728604910596</v>
      </c>
      <c r="K42" s="5">
        <f t="shared" si="4"/>
        <v>2566391.4700000002</v>
      </c>
      <c r="L42" s="135">
        <f>INDEX('2019 Best Practice Scores'!L$4:L$256,MATCH(B42,'2019 Best Practice Scores'!A$4:A$256,0))</f>
        <v>0.82638888888888884</v>
      </c>
      <c r="M42" s="97">
        <f t="shared" si="5"/>
        <v>593612.66370525619</v>
      </c>
      <c r="N42" s="97">
        <f t="shared" si="6"/>
        <v>476698.73767796782</v>
      </c>
      <c r="O42" s="97">
        <f t="shared" si="7"/>
        <v>147166.47287692808</v>
      </c>
      <c r="P42" s="97">
        <f t="shared" si="8"/>
        <v>31186.014874009721</v>
      </c>
      <c r="Q42" s="97">
        <f t="shared" si="9"/>
        <v>1248663.8891341616</v>
      </c>
      <c r="R42" s="104">
        <f t="shared" si="10"/>
        <v>0.48654459139632411</v>
      </c>
      <c r="S42" s="166">
        <f t="shared" si="11"/>
        <v>1248714.213705569</v>
      </c>
      <c r="T42" s="97"/>
      <c r="U42" s="97">
        <f>IFERROR(INDEX('Revised 2020 MFAM(2018 PYAs)'!AD$26:AD$300,MATCH(B42,'Revised 2020 MFAM(2018 PYAs)'!B$26:B$300,0)),0)</f>
        <v>-152.75841158314142</v>
      </c>
      <c r="V42" s="97">
        <f>IFERROR(INDEX('Revised 2019 MFAM(2017 PYAs)'!AF$26:AF$300,MATCH(B42,'Revised 2019 MFAM(2017 PYAs)'!B$26:B$300,0)),0)</f>
        <v>120.09893064375501</v>
      </c>
      <c r="W42" s="97">
        <f t="shared" si="12"/>
        <v>-0.8316500189889704</v>
      </c>
      <c r="X42" s="97">
        <f t="shared" si="13"/>
        <v>-33.491130958375386</v>
      </c>
      <c r="Y42" s="97"/>
      <c r="Z42" s="98">
        <f t="shared" si="14"/>
        <v>1248680.7225746107</v>
      </c>
      <c r="AA42" s="99">
        <v>0</v>
      </c>
      <c r="AB42" s="100">
        <f t="shared" si="15"/>
        <v>0</v>
      </c>
      <c r="AC42" s="97">
        <f t="shared" si="16"/>
        <v>1248680.7225746107</v>
      </c>
      <c r="AD42" s="103"/>
      <c r="AE42" s="97">
        <f t="shared" si="17"/>
        <v>312170.18064365268</v>
      </c>
      <c r="AF42" s="97">
        <f t="shared" si="17"/>
        <v>312170.18064365268</v>
      </c>
      <c r="AG42" s="97">
        <f t="shared" si="17"/>
        <v>312170.18064365268</v>
      </c>
      <c r="AH42" s="97">
        <f t="shared" si="17"/>
        <v>312170.18064365268</v>
      </c>
    </row>
    <row r="43" spans="2:34" x14ac:dyDescent="0.25">
      <c r="B43">
        <v>179</v>
      </c>
      <c r="C43" s="28">
        <v>3</v>
      </c>
      <c r="D43" s="35" t="s">
        <v>79</v>
      </c>
      <c r="E43" s="154">
        <f>INDEX('2019 Data Lockdown'!H$5:H$257,MATCH(B43,'2019 Data Lockdown'!B$5:B$257,0))</f>
        <v>4762.12</v>
      </c>
      <c r="F43" s="5">
        <f>INDEX('2019 Data Lockdown'!E$5:E$257,MATCH(B43,'2019 Data Lockdown'!B$5:B$257,0))</f>
        <v>2968846.76</v>
      </c>
      <c r="G43" s="5">
        <f>INDEX('2019 Data Lockdown'!F$5:F$257,MATCH(B43,'2019 Data Lockdown'!B$5:B$257,0))</f>
        <v>514798.43000000005</v>
      </c>
      <c r="H43" s="5">
        <f t="shared" si="1"/>
        <v>2454048.3299999996</v>
      </c>
      <c r="I43" s="95">
        <f t="shared" si="2"/>
        <v>515.32685652608495</v>
      </c>
      <c r="J43" s="6">
        <f t="shared" si="3"/>
        <v>515.32685652608495</v>
      </c>
      <c r="K43" s="5">
        <f t="shared" si="4"/>
        <v>2454048.3299999996</v>
      </c>
      <c r="L43" s="135">
        <f>INDEX('2019 Best Practice Scores'!L$4:L$256,MATCH(B43,'2019 Best Practice Scores'!A$4:A$256,0))</f>
        <v>0.79166666666666674</v>
      </c>
      <c r="M43" s="97">
        <f t="shared" si="5"/>
        <v>567627.41891155648</v>
      </c>
      <c r="N43" s="97">
        <f t="shared" si="6"/>
        <v>340840.50284161861</v>
      </c>
      <c r="O43" s="97">
        <f t="shared" si="7"/>
        <v>134811.51199149468</v>
      </c>
      <c r="P43" s="97">
        <f t="shared" si="8"/>
        <v>29820.85493017895</v>
      </c>
      <c r="Q43" s="97">
        <f t="shared" si="9"/>
        <v>1073100.2886748486</v>
      </c>
      <c r="R43" s="104">
        <f t="shared" si="10"/>
        <v>0.43727756929499789</v>
      </c>
      <c r="S43" s="166">
        <f t="shared" si="11"/>
        <v>1073143.5375527691</v>
      </c>
      <c r="T43" s="97"/>
      <c r="U43" s="97">
        <f>IFERROR(INDEX('Revised 2020 MFAM(2018 PYAs)'!AD$26:AD$300,MATCH(B43,'Revised 2020 MFAM(2018 PYAs)'!B$26:B$300,0)),0)</f>
        <v>-260.22525860276073</v>
      </c>
      <c r="V43" s="97">
        <f>IFERROR(INDEX('Revised 2019 MFAM(2017 PYAs)'!AF$26:AF$300,MATCH(B43,'Revised 2019 MFAM(2017 PYAs)'!B$26:B$300,0)),0)</f>
        <v>121.60694554261863</v>
      </c>
      <c r="W43" s="97">
        <f t="shared" si="12"/>
        <v>-0.71471905547964454</v>
      </c>
      <c r="X43" s="97">
        <f t="shared" si="13"/>
        <v>-139.33303211562173</v>
      </c>
      <c r="Y43" s="97"/>
      <c r="Z43" s="98">
        <f t="shared" si="14"/>
        <v>1073004.2045206535</v>
      </c>
      <c r="AA43" s="99">
        <v>0</v>
      </c>
      <c r="AB43" s="100">
        <f t="shared" si="15"/>
        <v>0</v>
      </c>
      <c r="AC43" s="97">
        <f t="shared" si="16"/>
        <v>1073004.2045206535</v>
      </c>
      <c r="AD43" s="103"/>
      <c r="AE43" s="97">
        <f t="shared" si="17"/>
        <v>268251.05113016337</v>
      </c>
      <c r="AF43" s="97">
        <f t="shared" si="17"/>
        <v>268251.05113016337</v>
      </c>
      <c r="AG43" s="97">
        <f t="shared" si="17"/>
        <v>268251.05113016337</v>
      </c>
      <c r="AH43" s="97">
        <f t="shared" si="17"/>
        <v>268251.05113016337</v>
      </c>
    </row>
    <row r="44" spans="2:34" x14ac:dyDescent="0.25">
      <c r="B44">
        <v>293</v>
      </c>
      <c r="C44" s="28">
        <v>3</v>
      </c>
      <c r="D44" s="35" t="s">
        <v>80</v>
      </c>
      <c r="E44" s="154">
        <f>INDEX('2019 Data Lockdown'!H$5:H$257,MATCH(B44,'2019 Data Lockdown'!B$5:B$257,0))</f>
        <v>7281.260000000002</v>
      </c>
      <c r="F44" s="5">
        <f>INDEX('2019 Data Lockdown'!E$5:E$257,MATCH(B44,'2019 Data Lockdown'!B$5:B$257,0))</f>
        <v>2668555.6</v>
      </c>
      <c r="G44" s="5">
        <f>INDEX('2019 Data Lockdown'!F$5:F$257,MATCH(B44,'2019 Data Lockdown'!B$5:B$257,0))</f>
        <v>804269.87</v>
      </c>
      <c r="H44" s="5">
        <f t="shared" si="1"/>
        <v>1864285.73</v>
      </c>
      <c r="I44" s="95">
        <f t="shared" si="2"/>
        <v>256.0388902470176</v>
      </c>
      <c r="J44" s="6">
        <f t="shared" si="3"/>
        <v>256.0388902470176</v>
      </c>
      <c r="K44" s="5">
        <f t="shared" si="4"/>
        <v>1864285.73</v>
      </c>
      <c r="L44" s="135">
        <f>INDEX('2019 Best Practice Scores'!L$4:L$256,MATCH(B44,'2019 Best Practice Scores'!A$4:A$256,0))</f>
        <v>0.87037037037037024</v>
      </c>
      <c r="M44" s="97">
        <f t="shared" si="5"/>
        <v>431213.87794084201</v>
      </c>
      <c r="N44" s="97">
        <f t="shared" si="6"/>
        <v>521143.59145098494</v>
      </c>
      <c r="O44" s="97">
        <f t="shared" si="7"/>
        <v>112594.73479566428</v>
      </c>
      <c r="P44" s="97">
        <f t="shared" si="8"/>
        <v>22654.237743855996</v>
      </c>
      <c r="Q44" s="97">
        <f t="shared" si="9"/>
        <v>1087606.4419313471</v>
      </c>
      <c r="R44" s="104">
        <f t="shared" si="10"/>
        <v>0.58339042370471139</v>
      </c>
      <c r="S44" s="166">
        <f t="shared" si="11"/>
        <v>1087650.2754469365</v>
      </c>
      <c r="T44" s="97"/>
      <c r="U44" s="97">
        <f>IFERROR(INDEX('Revised 2020 MFAM(2018 PYAs)'!AD$26:AD$300,MATCH(B44,'Revised 2020 MFAM(2018 PYAs)'!B$26:B$300,0)),0)</f>
        <v>-3270.0016895883018</v>
      </c>
      <c r="V44" s="97">
        <f>IFERROR(INDEX('Revised 2019 MFAM(2017 PYAs)'!AF$26:AF$300,MATCH(B44,'Revised 2019 MFAM(2017 PYAs)'!B$26:B$300,0)),0)</f>
        <v>0</v>
      </c>
      <c r="W44" s="97">
        <f t="shared" si="12"/>
        <v>-0.7243806167181851</v>
      </c>
      <c r="X44" s="97">
        <f t="shared" si="13"/>
        <v>-3270.7260702050198</v>
      </c>
      <c r="Y44" s="97"/>
      <c r="Z44" s="98">
        <f t="shared" si="14"/>
        <v>1084379.5493767315</v>
      </c>
      <c r="AA44" s="99">
        <v>0</v>
      </c>
      <c r="AB44" s="100">
        <f t="shared" si="15"/>
        <v>0</v>
      </c>
      <c r="AC44" s="97">
        <f t="shared" si="16"/>
        <v>1084379.5493767315</v>
      </c>
      <c r="AD44" s="103"/>
      <c r="AE44" s="97">
        <f t="shared" si="17"/>
        <v>271094.88734418288</v>
      </c>
      <c r="AF44" s="97">
        <f t="shared" si="17"/>
        <v>271094.88734418288</v>
      </c>
      <c r="AG44" s="97">
        <f t="shared" si="17"/>
        <v>271094.88734418288</v>
      </c>
      <c r="AH44" s="97">
        <f t="shared" si="17"/>
        <v>271094.88734418288</v>
      </c>
    </row>
    <row r="45" spans="2:34" x14ac:dyDescent="0.25">
      <c r="B45">
        <v>12</v>
      </c>
      <c r="C45" s="28">
        <v>4</v>
      </c>
      <c r="D45" s="35" t="s">
        <v>81</v>
      </c>
      <c r="E45" s="154">
        <f>INDEX('2019 Data Lockdown'!H$5:H$257,MATCH(B45,'2019 Data Lockdown'!B$5:B$257,0))</f>
        <v>4825.329999999999</v>
      </c>
      <c r="F45" s="5">
        <f>INDEX('2019 Data Lockdown'!E$5:E$257,MATCH(B45,'2019 Data Lockdown'!B$5:B$257,0))</f>
        <v>3046146.58</v>
      </c>
      <c r="G45" s="5">
        <f>INDEX('2019 Data Lockdown'!F$5:F$257,MATCH(B45,'2019 Data Lockdown'!B$5:B$257,0))</f>
        <v>488646.3899999999</v>
      </c>
      <c r="H45" s="5">
        <f t="shared" si="1"/>
        <v>2557500.1900000004</v>
      </c>
      <c r="I45" s="95">
        <f t="shared" si="2"/>
        <v>530.01560307792442</v>
      </c>
      <c r="J45" s="6">
        <f t="shared" si="3"/>
        <v>530.01560307792442</v>
      </c>
      <c r="K45" s="5">
        <f t="shared" si="4"/>
        <v>2557500.1900000004</v>
      </c>
      <c r="L45" s="135">
        <f>INDEX('2019 Best Practice Scores'!L$4:L$256,MATCH(B45,'2019 Best Practice Scores'!A$4:A$256,0))</f>
        <v>0.7777777777777779</v>
      </c>
      <c r="M45" s="97">
        <f t="shared" si="5"/>
        <v>591556.08875702787</v>
      </c>
      <c r="N45" s="97">
        <f t="shared" si="6"/>
        <v>345364.64926896995</v>
      </c>
      <c r="O45" s="97">
        <f t="shared" si="7"/>
        <v>138029.75404330652</v>
      </c>
      <c r="P45" s="97">
        <f t="shared" si="8"/>
        <v>31077.970721911224</v>
      </c>
      <c r="Q45" s="97">
        <f t="shared" si="9"/>
        <v>1106028.4627912154</v>
      </c>
      <c r="R45" s="104">
        <f t="shared" si="10"/>
        <v>0.43246466495520192</v>
      </c>
      <c r="S45" s="166">
        <f t="shared" si="11"/>
        <v>1106073.038764653</v>
      </c>
      <c r="T45" s="97"/>
      <c r="U45" s="97">
        <f>IFERROR(INDEX('Revised 2020 MFAM(2018 PYAs)'!AD$26:AD$300,MATCH(B45,'Revised 2020 MFAM(2018 PYAs)'!B$26:B$300,0)),0)</f>
        <v>-364.79279451747425</v>
      </c>
      <c r="V45" s="97">
        <f>IFERROR(INDEX('Revised 2019 MFAM(2017 PYAs)'!AF$26:AF$300,MATCH(B45,'Revised 2019 MFAM(2017 PYAs)'!B$26:B$300,0)),0)</f>
        <v>151.04808760737069</v>
      </c>
      <c r="W45" s="97">
        <f t="shared" si="12"/>
        <v>-0.73665027081104761</v>
      </c>
      <c r="X45" s="97">
        <f t="shared" si="13"/>
        <v>-214.48135718091461</v>
      </c>
      <c r="Y45" s="97"/>
      <c r="Z45" s="98">
        <f t="shared" si="14"/>
        <v>1105858.557407472</v>
      </c>
      <c r="AA45" s="99">
        <v>0</v>
      </c>
      <c r="AB45" s="100">
        <f t="shared" si="15"/>
        <v>0</v>
      </c>
      <c r="AC45" s="97">
        <f t="shared" si="16"/>
        <v>1105858.557407472</v>
      </c>
      <c r="AD45" s="103"/>
      <c r="AE45" s="97">
        <f t="shared" si="17"/>
        <v>276464.63935186801</v>
      </c>
      <c r="AF45" s="97">
        <f t="shared" si="17"/>
        <v>276464.63935186801</v>
      </c>
      <c r="AG45" s="97">
        <f t="shared" si="17"/>
        <v>276464.63935186801</v>
      </c>
      <c r="AH45" s="97">
        <f t="shared" si="17"/>
        <v>276464.63935186801</v>
      </c>
    </row>
    <row r="46" spans="2:34" x14ac:dyDescent="0.25">
      <c r="B46">
        <v>21</v>
      </c>
      <c r="C46" s="28">
        <v>4</v>
      </c>
      <c r="D46" s="35" t="s">
        <v>82</v>
      </c>
      <c r="E46" s="154">
        <f>INDEX('2019 Data Lockdown'!H$5:H$257,MATCH(B46,'2019 Data Lockdown'!B$5:B$257,0))</f>
        <v>5084.4800000000014</v>
      </c>
      <c r="F46" s="5">
        <f>INDEX('2019 Data Lockdown'!E$5:E$257,MATCH(B46,'2019 Data Lockdown'!B$5:B$257,0))</f>
        <v>3295191.2</v>
      </c>
      <c r="G46" s="5">
        <f>INDEX('2019 Data Lockdown'!F$5:F$257,MATCH(B46,'2019 Data Lockdown'!B$5:B$257,0))</f>
        <v>429434.07</v>
      </c>
      <c r="H46" s="5">
        <f t="shared" si="1"/>
        <v>2865757.1300000004</v>
      </c>
      <c r="I46" s="95">
        <f t="shared" si="2"/>
        <v>563.6283612090125</v>
      </c>
      <c r="J46" s="6">
        <f t="shared" si="3"/>
        <v>563.6283612090125</v>
      </c>
      <c r="K46" s="5">
        <f t="shared" si="4"/>
        <v>2865757.1300000008</v>
      </c>
      <c r="L46" s="135">
        <f>INDEX('2019 Best Practice Scores'!L$4:L$256,MATCH(B46,'2019 Best Practice Scores'!A$4:A$256,0))</f>
        <v>0.7777777777777779</v>
      </c>
      <c r="M46" s="97">
        <f t="shared" si="5"/>
        <v>662856.67769602989</v>
      </c>
      <c r="N46" s="97">
        <f t="shared" si="6"/>
        <v>363912.86231513554</v>
      </c>
      <c r="O46" s="97">
        <f t="shared" si="7"/>
        <v>154666.55812907367</v>
      </c>
      <c r="P46" s="97">
        <f t="shared" si="8"/>
        <v>34823.816056978801</v>
      </c>
      <c r="Q46" s="97">
        <f t="shared" si="9"/>
        <v>1216259.9141972179</v>
      </c>
      <c r="R46" s="104">
        <f t="shared" si="10"/>
        <v>0.42441137159352282</v>
      </c>
      <c r="S46" s="166">
        <f t="shared" si="11"/>
        <v>1216308.9327997696</v>
      </c>
      <c r="T46" s="97"/>
      <c r="U46" s="97">
        <f>IFERROR(INDEX('Revised 2020 MFAM(2018 PYAs)'!AD$26:AD$300,MATCH(B46,'Revised 2020 MFAM(2018 PYAs)'!B$26:B$300,0)),0)</f>
        <v>-392.04916528402828</v>
      </c>
      <c r="V46" s="97">
        <f>IFERROR(INDEX('Revised 2019 MFAM(2017 PYAs)'!AF$26:AF$300,MATCH(B46,'Revised 2019 MFAM(2017 PYAs)'!B$26:B$300,0)),0)</f>
        <v>131.33241019491106</v>
      </c>
      <c r="W46" s="97">
        <f t="shared" si="12"/>
        <v>-0.81006793704831792</v>
      </c>
      <c r="X46" s="97">
        <f t="shared" si="13"/>
        <v>-261.52682302616552</v>
      </c>
      <c r="Y46" s="97"/>
      <c r="Z46" s="98">
        <f t="shared" si="14"/>
        <v>1216047.4059767434</v>
      </c>
      <c r="AA46" s="99">
        <v>0</v>
      </c>
      <c r="AB46" s="100">
        <f t="shared" si="15"/>
        <v>0</v>
      </c>
      <c r="AC46" s="97">
        <f t="shared" si="16"/>
        <v>1216047.4059767434</v>
      </c>
      <c r="AD46" s="103"/>
      <c r="AE46" s="97">
        <f t="shared" ref="AE46:AH65" si="18">$AC46/4</f>
        <v>304011.85149418586</v>
      </c>
      <c r="AF46" s="97">
        <f t="shared" si="18"/>
        <v>304011.85149418586</v>
      </c>
      <c r="AG46" s="97">
        <f t="shared" si="18"/>
        <v>304011.85149418586</v>
      </c>
      <c r="AH46" s="97">
        <f t="shared" si="18"/>
        <v>304011.85149418586</v>
      </c>
    </row>
    <row r="47" spans="2:34" x14ac:dyDescent="0.25">
      <c r="B47">
        <v>34</v>
      </c>
      <c r="C47" s="28">
        <v>4</v>
      </c>
      <c r="D47" s="35" t="s">
        <v>83</v>
      </c>
      <c r="E47" s="154">
        <f>INDEX('2019 Data Lockdown'!H$5:H$257,MATCH(B47,'2019 Data Lockdown'!B$5:B$257,0))</f>
        <v>4463.82</v>
      </c>
      <c r="F47" s="5">
        <f>INDEX('2019 Data Lockdown'!E$5:E$257,MATCH(B47,'2019 Data Lockdown'!B$5:B$257,0))</f>
        <v>2138130.23</v>
      </c>
      <c r="G47" s="5">
        <f>INDEX('2019 Data Lockdown'!F$5:F$257,MATCH(B47,'2019 Data Lockdown'!B$5:B$257,0))</f>
        <v>417619.64</v>
      </c>
      <c r="H47" s="5">
        <f t="shared" si="1"/>
        <v>1720510.5899999999</v>
      </c>
      <c r="I47" s="95">
        <f t="shared" si="2"/>
        <v>385.43458069545812</v>
      </c>
      <c r="J47" s="6">
        <f t="shared" si="3"/>
        <v>385.43458069545812</v>
      </c>
      <c r="K47" s="5">
        <f t="shared" si="4"/>
        <v>1720510.5899999999</v>
      </c>
      <c r="L47" s="135">
        <f>INDEX('2019 Best Practice Scores'!L$4:L$256,MATCH(B47,'2019 Best Practice Scores'!A$4:A$256,0))</f>
        <v>0.88888888888888906</v>
      </c>
      <c r="M47" s="97">
        <f t="shared" si="5"/>
        <v>397958.33418313297</v>
      </c>
      <c r="N47" s="97">
        <f t="shared" si="6"/>
        <v>319490.19625596871</v>
      </c>
      <c r="O47" s="97">
        <f t="shared" si="7"/>
        <v>106122.22244883547</v>
      </c>
      <c r="P47" s="97">
        <f t="shared" si="8"/>
        <v>20907.12561892642</v>
      </c>
      <c r="Q47" s="97">
        <f t="shared" si="9"/>
        <v>844477.87850686349</v>
      </c>
      <c r="R47" s="104">
        <f t="shared" si="10"/>
        <v>0.49082980564906814</v>
      </c>
      <c r="S47" s="166">
        <f t="shared" si="11"/>
        <v>844511.9132760826</v>
      </c>
      <c r="T47" s="97"/>
      <c r="U47" s="97">
        <f>IFERROR(INDEX('Revised 2020 MFAM(2018 PYAs)'!AD$26:AD$300,MATCH(B47,'Revised 2020 MFAM(2018 PYAs)'!B$26:B$300,0)),0)</f>
        <v>-247.17533911555074</v>
      </c>
      <c r="V47" s="97">
        <f>IFERROR(INDEX('Revised 2019 MFAM(2017 PYAs)'!AF$26:AF$300,MATCH(B47,'Revised 2019 MFAM(2017 PYAs)'!B$26:B$300,0)),0)</f>
        <v>116.27340071776416</v>
      </c>
      <c r="W47" s="97">
        <f t="shared" si="12"/>
        <v>-0.56244923057956664</v>
      </c>
      <c r="X47" s="97">
        <f t="shared" si="13"/>
        <v>-131.46438762836615</v>
      </c>
      <c r="Y47" s="97"/>
      <c r="Z47" s="98">
        <f t="shared" si="14"/>
        <v>844380.44888845424</v>
      </c>
      <c r="AA47" s="99">
        <v>0</v>
      </c>
      <c r="AB47" s="100">
        <f t="shared" si="15"/>
        <v>0</v>
      </c>
      <c r="AC47" s="97">
        <f t="shared" si="16"/>
        <v>844380.44888845424</v>
      </c>
      <c r="AD47" s="103"/>
      <c r="AE47" s="97">
        <f t="shared" si="18"/>
        <v>211095.11222211356</v>
      </c>
      <c r="AF47" s="97">
        <f t="shared" si="18"/>
        <v>211095.11222211356</v>
      </c>
      <c r="AG47" s="97">
        <f t="shared" si="18"/>
        <v>211095.11222211356</v>
      </c>
      <c r="AH47" s="97">
        <f t="shared" si="18"/>
        <v>211095.11222211356</v>
      </c>
    </row>
    <row r="48" spans="2:34" x14ac:dyDescent="0.25">
      <c r="B48">
        <v>87</v>
      </c>
      <c r="C48" s="28">
        <v>4</v>
      </c>
      <c r="D48" s="35" t="s">
        <v>84</v>
      </c>
      <c r="E48" s="154">
        <f>INDEX('2019 Data Lockdown'!H$5:H$257,MATCH(B48,'2019 Data Lockdown'!B$5:B$257,0))</f>
        <v>10810.4</v>
      </c>
      <c r="F48" s="5">
        <f>INDEX('2019 Data Lockdown'!E$5:E$257,MATCH(B48,'2019 Data Lockdown'!B$5:B$257,0))</f>
        <v>4847089.93</v>
      </c>
      <c r="G48" s="5">
        <f>INDEX('2019 Data Lockdown'!F$5:F$257,MATCH(B48,'2019 Data Lockdown'!B$5:B$257,0))</f>
        <v>1112264.4600000002</v>
      </c>
      <c r="H48" s="5">
        <f t="shared" si="1"/>
        <v>3734825.4699999997</v>
      </c>
      <c r="I48" s="95">
        <f t="shared" si="2"/>
        <v>345.48448438540663</v>
      </c>
      <c r="J48" s="6">
        <f t="shared" si="3"/>
        <v>345.48448438540663</v>
      </c>
      <c r="K48" s="5">
        <f t="shared" si="4"/>
        <v>3734825.4699999997</v>
      </c>
      <c r="L48" s="135">
        <f>INDEX('2019 Best Practice Scores'!L$4:L$256,MATCH(B48,'2019 Best Practice Scores'!A$4:A$256,0))</f>
        <v>0.95833333333333348</v>
      </c>
      <c r="M48" s="97">
        <f t="shared" si="5"/>
        <v>863874.32378776383</v>
      </c>
      <c r="N48" s="97">
        <f t="shared" si="6"/>
        <v>773735.68325011409</v>
      </c>
      <c r="O48" s="97">
        <f t="shared" si="7"/>
        <v>248363.86808898213</v>
      </c>
      <c r="P48" s="97">
        <f t="shared" si="8"/>
        <v>45384.472330423669</v>
      </c>
      <c r="Q48" s="97">
        <f t="shared" si="9"/>
        <v>1931358.3474572839</v>
      </c>
      <c r="R48" s="104">
        <f t="shared" si="10"/>
        <v>0.51712144596070886</v>
      </c>
      <c r="S48" s="166">
        <f t="shared" si="11"/>
        <v>1931436.1864833948</v>
      </c>
      <c r="T48" s="97"/>
      <c r="U48" s="97">
        <f>IFERROR(INDEX('Revised 2020 MFAM(2018 PYAs)'!AD$26:AD$300,MATCH(B48,'Revised 2020 MFAM(2018 PYAs)'!B$26:B$300,0)),0)</f>
        <v>-653.33562610903755</v>
      </c>
      <c r="V48" s="97">
        <f>IFERROR(INDEX('Revised 2019 MFAM(2017 PYAs)'!AF$26:AF$300,MATCH(B48,'Revised 2019 MFAM(2017 PYAs)'!B$26:B$300,0)),0)</f>
        <v>242.85633621085435</v>
      </c>
      <c r="W48" s="97">
        <f t="shared" si="12"/>
        <v>-1.2863463261127257</v>
      </c>
      <c r="X48" s="97">
        <f t="shared" si="13"/>
        <v>-411.76563622429592</v>
      </c>
      <c r="Y48" s="97"/>
      <c r="Z48" s="98">
        <f t="shared" si="14"/>
        <v>1931024.4208471705</v>
      </c>
      <c r="AA48" s="99">
        <v>0</v>
      </c>
      <c r="AB48" s="100">
        <f t="shared" si="15"/>
        <v>0</v>
      </c>
      <c r="AC48" s="97">
        <f t="shared" si="16"/>
        <v>1931024.4208471705</v>
      </c>
      <c r="AD48" s="103"/>
      <c r="AE48" s="97">
        <f t="shared" si="18"/>
        <v>482756.10521179263</v>
      </c>
      <c r="AF48" s="97">
        <f t="shared" si="18"/>
        <v>482756.10521179263</v>
      </c>
      <c r="AG48" s="97">
        <f t="shared" si="18"/>
        <v>482756.10521179263</v>
      </c>
      <c r="AH48" s="97">
        <f t="shared" si="18"/>
        <v>482756.10521179263</v>
      </c>
    </row>
    <row r="49" spans="2:34" x14ac:dyDescent="0.25">
      <c r="B49">
        <v>88</v>
      </c>
      <c r="C49" s="28">
        <v>4</v>
      </c>
      <c r="D49" s="35" t="s">
        <v>85</v>
      </c>
      <c r="E49" s="154">
        <f>INDEX('2019 Data Lockdown'!H$5:H$257,MATCH(B49,'2019 Data Lockdown'!B$5:B$257,0))</f>
        <v>4907.8008</v>
      </c>
      <c r="F49" s="5">
        <f>INDEX('2019 Data Lockdown'!E$5:E$257,MATCH(B49,'2019 Data Lockdown'!B$5:B$257,0))</f>
        <v>2453153.67</v>
      </c>
      <c r="G49" s="5">
        <f>INDEX('2019 Data Lockdown'!F$5:F$257,MATCH(B49,'2019 Data Lockdown'!B$5:B$257,0))</f>
        <v>459020.94</v>
      </c>
      <c r="H49" s="5">
        <f t="shared" si="1"/>
        <v>1994132.73</v>
      </c>
      <c r="I49" s="95">
        <f t="shared" si="2"/>
        <v>406.31900341187441</v>
      </c>
      <c r="J49" s="6">
        <f t="shared" si="3"/>
        <v>406.31900341187441</v>
      </c>
      <c r="K49" s="5">
        <f t="shared" si="4"/>
        <v>1994132.73</v>
      </c>
      <c r="L49" s="135">
        <f>INDEX('2019 Best Practice Scores'!L$4:L$256,MATCH(B49,'2019 Best Practice Scores'!A$4:A$256,0))</f>
        <v>0.95833333333333348</v>
      </c>
      <c r="M49" s="97">
        <f t="shared" si="5"/>
        <v>461247.80863503041</v>
      </c>
      <c r="N49" s="97">
        <f t="shared" si="6"/>
        <v>351267.35414447723</v>
      </c>
      <c r="O49" s="97">
        <f t="shared" si="7"/>
        <v>132608.74498257125</v>
      </c>
      <c r="P49" s="97">
        <f t="shared" si="8"/>
        <v>24232.099313566378</v>
      </c>
      <c r="Q49" s="97">
        <f t="shared" si="9"/>
        <v>969356.00707564526</v>
      </c>
      <c r="R49" s="104">
        <f t="shared" si="10"/>
        <v>0.48610405540841067</v>
      </c>
      <c r="S49" s="166">
        <f t="shared" si="11"/>
        <v>969395.07477514539</v>
      </c>
      <c r="T49" s="97"/>
      <c r="U49" s="97">
        <f>IFERROR(INDEX('Revised 2020 MFAM(2018 PYAs)'!AD$26:AD$300,MATCH(B49,'Revised 2020 MFAM(2018 PYAs)'!B$26:B$300,0)),0)</f>
        <v>-250.22389450785704</v>
      </c>
      <c r="V49" s="97">
        <f>IFERROR(INDEX('Revised 2019 MFAM(2017 PYAs)'!AF$26:AF$300,MATCH(B49,'Revised 2019 MFAM(2017 PYAs)'!B$26:B$300,0)),0)</f>
        <v>106.33978194883093</v>
      </c>
      <c r="W49" s="97">
        <f t="shared" si="12"/>
        <v>-0.64562205146377483</v>
      </c>
      <c r="X49" s="97">
        <f t="shared" si="13"/>
        <v>-144.52973461048987</v>
      </c>
      <c r="Y49" s="97"/>
      <c r="Z49" s="98">
        <f t="shared" si="14"/>
        <v>969250.54504053493</v>
      </c>
      <c r="AA49" s="99">
        <v>0</v>
      </c>
      <c r="AB49" s="100">
        <f t="shared" si="15"/>
        <v>0</v>
      </c>
      <c r="AC49" s="97">
        <f t="shared" si="16"/>
        <v>969250.54504053493</v>
      </c>
      <c r="AD49" s="103"/>
      <c r="AE49" s="97">
        <f t="shared" si="18"/>
        <v>242312.63626013373</v>
      </c>
      <c r="AF49" s="97">
        <f t="shared" si="18"/>
        <v>242312.63626013373</v>
      </c>
      <c r="AG49" s="97">
        <f t="shared" si="18"/>
        <v>242312.63626013373</v>
      </c>
      <c r="AH49" s="97">
        <f t="shared" si="18"/>
        <v>242312.63626013373</v>
      </c>
    </row>
    <row r="50" spans="2:34" x14ac:dyDescent="0.25">
      <c r="B50">
        <v>89</v>
      </c>
      <c r="C50" s="28">
        <v>4</v>
      </c>
      <c r="D50" s="35" t="s">
        <v>310</v>
      </c>
      <c r="E50" s="154">
        <f>INDEX('2019 Data Lockdown'!H$5:H$257,MATCH(B50,'2019 Data Lockdown'!B$5:B$257,0))</f>
        <v>5289.19</v>
      </c>
      <c r="F50" s="5">
        <f>INDEX('2019 Data Lockdown'!E$5:E$257,MATCH(B50,'2019 Data Lockdown'!B$5:B$257,0))</f>
        <v>4597599.62</v>
      </c>
      <c r="G50" s="5">
        <f>INDEX('2019 Data Lockdown'!F$5:F$257,MATCH(B50,'2019 Data Lockdown'!B$5:B$257,0))</f>
        <v>379921.47</v>
      </c>
      <c r="H50" s="5">
        <f t="shared" si="1"/>
        <v>4217678.1500000004</v>
      </c>
      <c r="I50" s="95">
        <f t="shared" si="2"/>
        <v>797.41475537842291</v>
      </c>
      <c r="J50" s="6">
        <f t="shared" si="3"/>
        <v>707.40175827118958</v>
      </c>
      <c r="K50" s="5">
        <f t="shared" si="4"/>
        <v>3741582.305830393</v>
      </c>
      <c r="L50" s="135">
        <f>INDEX('2019 Best Practice Scores'!L$4:L$256,MATCH(B50,'2019 Best Practice Scores'!A$4:A$256,0))</f>
        <v>0.7754629629629628</v>
      </c>
      <c r="M50" s="97">
        <f t="shared" si="5"/>
        <v>865437.19654602581</v>
      </c>
      <c r="N50" s="97">
        <f t="shared" si="6"/>
        <v>378564.62651610217</v>
      </c>
      <c r="O50" s="97">
        <f t="shared" si="7"/>
        <v>201334.34780758235</v>
      </c>
      <c r="P50" s="97">
        <f t="shared" si="8"/>
        <v>45466.579360925876</v>
      </c>
      <c r="Q50" s="97">
        <f t="shared" si="9"/>
        <v>1490802.7502306362</v>
      </c>
      <c r="R50" s="104">
        <f t="shared" si="10"/>
        <v>0.39844178969618388</v>
      </c>
      <c r="S50" s="166">
        <f t="shared" si="11"/>
        <v>1490862.833660702</v>
      </c>
      <c r="T50" s="97"/>
      <c r="U50" s="97">
        <f>IFERROR(INDEX('Revised 2020 MFAM(2018 PYAs)'!AD$26:AD$300,MATCH(B50,'Revised 2020 MFAM(2018 PYAs)'!B$26:B$300,0)),0)</f>
        <v>-544.11552180093713</v>
      </c>
      <c r="V50" s="97">
        <f>IFERROR(INDEX('Revised 2019 MFAM(2017 PYAs)'!AF$26:AF$300,MATCH(B50,'Revised 2019 MFAM(2017 PYAs)'!B$26:B$300,0)),0)</f>
        <v>163.26162769156508</v>
      </c>
      <c r="W50" s="97">
        <f t="shared" si="12"/>
        <v>-0.99292223177674188</v>
      </c>
      <c r="X50" s="97">
        <f t="shared" si="13"/>
        <v>-381.84681634114878</v>
      </c>
      <c r="Y50" s="97"/>
      <c r="Z50" s="98">
        <f t="shared" si="14"/>
        <v>1490480.9868443608</v>
      </c>
      <c r="AA50" s="99">
        <v>0</v>
      </c>
      <c r="AB50" s="100">
        <f t="shared" si="15"/>
        <v>0</v>
      </c>
      <c r="AC50" s="97">
        <f t="shared" si="16"/>
        <v>1490480.9868443608</v>
      </c>
      <c r="AD50" s="103"/>
      <c r="AE50" s="97">
        <f t="shared" si="18"/>
        <v>372620.24671109021</v>
      </c>
      <c r="AF50" s="97">
        <f t="shared" si="18"/>
        <v>372620.24671109021</v>
      </c>
      <c r="AG50" s="97">
        <f t="shared" si="18"/>
        <v>372620.24671109021</v>
      </c>
      <c r="AH50" s="97">
        <f t="shared" si="18"/>
        <v>372620.24671109021</v>
      </c>
    </row>
    <row r="51" spans="2:34" x14ac:dyDescent="0.25">
      <c r="B51">
        <v>143</v>
      </c>
      <c r="C51" s="28">
        <v>4</v>
      </c>
      <c r="D51" s="35" t="s">
        <v>87</v>
      </c>
      <c r="E51" s="154">
        <f>INDEX('2019 Data Lockdown'!H$5:H$257,MATCH(B51,'2019 Data Lockdown'!B$5:B$257,0))</f>
        <v>2868.39</v>
      </c>
      <c r="F51" s="5">
        <f>INDEX('2019 Data Lockdown'!E$5:E$257,MATCH(B51,'2019 Data Lockdown'!B$5:B$257,0))</f>
        <v>871204.41</v>
      </c>
      <c r="G51" s="5">
        <f>INDEX('2019 Data Lockdown'!F$5:F$257,MATCH(B51,'2019 Data Lockdown'!B$5:B$257,0))</f>
        <v>280661.95</v>
      </c>
      <c r="H51" s="5">
        <f t="shared" si="1"/>
        <v>590542.46</v>
      </c>
      <c r="I51" s="95">
        <f t="shared" si="2"/>
        <v>205.87941667625392</v>
      </c>
      <c r="J51" s="6">
        <f t="shared" si="3"/>
        <v>205.87941667625392</v>
      </c>
      <c r="K51" s="5">
        <f t="shared" si="4"/>
        <v>590542.46</v>
      </c>
      <c r="L51" s="135">
        <f>INDEX('2019 Best Practice Scores'!L$4:L$256,MATCH(B51,'2019 Best Practice Scores'!A$4:A$256,0))</f>
        <v>0.79861111111111116</v>
      </c>
      <c r="M51" s="97">
        <f t="shared" si="5"/>
        <v>136593.92450819464</v>
      </c>
      <c r="N51" s="97">
        <f t="shared" si="6"/>
        <v>205300.05332622241</v>
      </c>
      <c r="O51" s="97">
        <f t="shared" si="7"/>
        <v>32725.627746754966</v>
      </c>
      <c r="P51" s="97">
        <f t="shared" si="8"/>
        <v>7176.093809762503</v>
      </c>
      <c r="Q51" s="97">
        <f t="shared" si="9"/>
        <v>381795.69939093449</v>
      </c>
      <c r="R51" s="104">
        <f t="shared" si="10"/>
        <v>0.64651693189162807</v>
      </c>
      <c r="S51" s="166">
        <f t="shared" si="11"/>
        <v>381811.08680231415</v>
      </c>
      <c r="T51" s="97"/>
      <c r="U51" s="97">
        <f>IFERROR(INDEX('Revised 2020 MFAM(2018 PYAs)'!AD$26:AD$300,MATCH(B51,'Revised 2020 MFAM(2018 PYAs)'!B$26:B$300,0)),0)</f>
        <v>-69.530033824150451</v>
      </c>
      <c r="V51" s="97">
        <f>IFERROR(INDEX('Revised 2019 MFAM(2017 PYAs)'!AF$26:AF$300,MATCH(B51,'Revised 2019 MFAM(2017 PYAs)'!B$26:B$300,0)),0)</f>
        <v>56.360910907387733</v>
      </c>
      <c r="W51" s="97">
        <f t="shared" si="12"/>
        <v>-0.25428812622150088</v>
      </c>
      <c r="X51" s="97">
        <f t="shared" si="13"/>
        <v>-13.423411042984219</v>
      </c>
      <c r="Y51" s="97"/>
      <c r="Z51" s="98">
        <f t="shared" si="14"/>
        <v>381797.66339127114</v>
      </c>
      <c r="AA51" s="99">
        <v>0</v>
      </c>
      <c r="AB51" s="100">
        <f t="shared" si="15"/>
        <v>0</v>
      </c>
      <c r="AC51" s="97">
        <f t="shared" si="16"/>
        <v>381797.66339127114</v>
      </c>
      <c r="AD51" s="103"/>
      <c r="AE51" s="97">
        <f t="shared" si="18"/>
        <v>95449.415847817785</v>
      </c>
      <c r="AF51" s="97">
        <f t="shared" si="18"/>
        <v>95449.415847817785</v>
      </c>
      <c r="AG51" s="97">
        <f t="shared" si="18"/>
        <v>95449.415847817785</v>
      </c>
      <c r="AH51" s="97">
        <f t="shared" si="18"/>
        <v>95449.415847817785</v>
      </c>
    </row>
    <row r="52" spans="2:34" x14ac:dyDescent="0.25">
      <c r="B52">
        <v>183</v>
      </c>
      <c r="C52" s="28">
        <v>4</v>
      </c>
      <c r="D52" s="35" t="s">
        <v>88</v>
      </c>
      <c r="E52" s="154">
        <f>INDEX('2019 Data Lockdown'!H$5:H$257,MATCH(B52,'2019 Data Lockdown'!B$5:B$257,0))</f>
        <v>9420.8800000000028</v>
      </c>
      <c r="F52" s="5">
        <f>INDEX('2019 Data Lockdown'!E$5:E$257,MATCH(B52,'2019 Data Lockdown'!B$5:B$257,0))</f>
        <v>6636509.4800000004</v>
      </c>
      <c r="G52" s="5">
        <f>INDEX('2019 Data Lockdown'!F$5:F$257,MATCH(B52,'2019 Data Lockdown'!B$5:B$257,0))</f>
        <v>345255.24999999994</v>
      </c>
      <c r="H52" s="5">
        <f t="shared" si="1"/>
        <v>6291254.2300000004</v>
      </c>
      <c r="I52" s="95">
        <f t="shared" si="2"/>
        <v>667.79899860734861</v>
      </c>
      <c r="J52" s="6">
        <f t="shared" si="3"/>
        <v>667.79899860734861</v>
      </c>
      <c r="K52" s="5">
        <f t="shared" si="4"/>
        <v>6291254.2300000004</v>
      </c>
      <c r="L52" s="135">
        <f>INDEX('2019 Best Practice Scores'!L$4:L$256,MATCH(B52,'2019 Best Practice Scores'!A$4:A$256,0))</f>
        <v>0.79166666666666674</v>
      </c>
      <c r="M52" s="97">
        <f t="shared" si="5"/>
        <v>1455182.5881486665</v>
      </c>
      <c r="N52" s="97">
        <f t="shared" si="6"/>
        <v>674283.19244591671</v>
      </c>
      <c r="O52" s="97">
        <f t="shared" si="7"/>
        <v>345605.8646853083</v>
      </c>
      <c r="P52" s="97">
        <f t="shared" si="8"/>
        <v>76449.423358220796</v>
      </c>
      <c r="Q52" s="97">
        <f t="shared" si="9"/>
        <v>2551521.0686381119</v>
      </c>
      <c r="R52" s="104">
        <f t="shared" si="10"/>
        <v>0.40556635852849832</v>
      </c>
      <c r="S52" s="166">
        <f t="shared" si="11"/>
        <v>2551623.9019188159</v>
      </c>
      <c r="T52" s="97"/>
      <c r="U52" s="97">
        <f>IFERROR(INDEX('Revised 2020 MFAM(2018 PYAs)'!AD$26:AD$300,MATCH(B52,'Revised 2020 MFAM(2018 PYAs)'!B$26:B$300,0)),0)</f>
        <v>4646.3717069262639</v>
      </c>
      <c r="V52" s="97">
        <f>IFERROR(INDEX('Revised 2019 MFAM(2017 PYAs)'!AF$26:AF$300,MATCH(B52,'Revised 2019 MFAM(2017 PYAs)'!B$26:B$300,0)),0)</f>
        <v>349.77253166725859</v>
      </c>
      <c r="W52" s="97">
        <f t="shared" si="12"/>
        <v>-1.6993944997120443</v>
      </c>
      <c r="X52" s="97">
        <f t="shared" si="13"/>
        <v>4994.4448440938104</v>
      </c>
      <c r="Y52" s="97"/>
      <c r="Z52" s="98">
        <f t="shared" si="14"/>
        <v>2556618.3467629096</v>
      </c>
      <c r="AA52" s="99">
        <v>0</v>
      </c>
      <c r="AB52" s="100">
        <f t="shared" si="15"/>
        <v>0</v>
      </c>
      <c r="AC52" s="97">
        <f t="shared" si="16"/>
        <v>2556618.3467629096</v>
      </c>
      <c r="AD52" s="103"/>
      <c r="AE52" s="97">
        <f t="shared" si="18"/>
        <v>639154.58669072739</v>
      </c>
      <c r="AF52" s="97">
        <f t="shared" si="18"/>
        <v>639154.58669072739</v>
      </c>
      <c r="AG52" s="97">
        <f t="shared" si="18"/>
        <v>639154.58669072739</v>
      </c>
      <c r="AH52" s="97">
        <f t="shared" si="18"/>
        <v>639154.58669072739</v>
      </c>
    </row>
    <row r="53" spans="2:34" x14ac:dyDescent="0.25">
      <c r="B53">
        <v>186</v>
      </c>
      <c r="C53" s="28">
        <v>4</v>
      </c>
      <c r="D53" s="35" t="s">
        <v>89</v>
      </c>
      <c r="E53" s="154">
        <f>INDEX('2019 Data Lockdown'!H$5:H$257,MATCH(B53,'2019 Data Lockdown'!B$5:B$257,0))</f>
        <v>10708.64</v>
      </c>
      <c r="F53" s="5">
        <f>INDEX('2019 Data Lockdown'!E$5:E$257,MATCH(B53,'2019 Data Lockdown'!B$5:B$257,0))</f>
        <v>8376430.6799999997</v>
      </c>
      <c r="G53" s="5">
        <f>INDEX('2019 Data Lockdown'!F$5:F$257,MATCH(B53,'2019 Data Lockdown'!B$5:B$257,0))</f>
        <v>1283505.8</v>
      </c>
      <c r="H53" s="5">
        <f t="shared" si="1"/>
        <v>7092924.8799999999</v>
      </c>
      <c r="I53" s="95">
        <f t="shared" si="2"/>
        <v>662.3553392400903</v>
      </c>
      <c r="J53" s="6">
        <f t="shared" si="3"/>
        <v>662.3553392400903</v>
      </c>
      <c r="K53" s="5">
        <f t="shared" si="4"/>
        <v>7092924.8799999999</v>
      </c>
      <c r="L53" s="135">
        <f>INDEX('2019 Best Practice Scores'!L$4:L$256,MATCH(B53,'2019 Best Practice Scores'!A$4:A$256,0))</f>
        <v>0.78703703703703698</v>
      </c>
      <c r="M53" s="97">
        <f t="shared" si="5"/>
        <v>1640610.9826565487</v>
      </c>
      <c r="N53" s="97">
        <f t="shared" si="6"/>
        <v>766452.38724556926</v>
      </c>
      <c r="O53" s="97">
        <f t="shared" si="7"/>
        <v>387366.48201612954</v>
      </c>
      <c r="P53" s="97">
        <f t="shared" si="8"/>
        <v>86191.083236383114</v>
      </c>
      <c r="Q53" s="97">
        <f t="shared" si="9"/>
        <v>2880620.9351546308</v>
      </c>
      <c r="R53" s="104">
        <f t="shared" si="10"/>
        <v>0.40612596127687045</v>
      </c>
      <c r="S53" s="166">
        <f t="shared" si="11"/>
        <v>2880737.0320604597</v>
      </c>
      <c r="T53" s="97"/>
      <c r="U53" s="97">
        <f>IFERROR(INDEX('Revised 2020 MFAM(2018 PYAs)'!AD$26:AD$300,MATCH(B53,'Revised 2020 MFAM(2018 PYAs)'!B$26:B$300,0)),0)</f>
        <v>565.18696740409359</v>
      </c>
      <c r="V53" s="97">
        <f>IFERROR(INDEX('Revised 2019 MFAM(2017 PYAs)'!AF$26:AF$300,MATCH(B53,'Revised 2019 MFAM(2017 PYAs)'!B$26:B$300,0)),0)</f>
        <v>326.89627169305459</v>
      </c>
      <c r="W53" s="97">
        <f t="shared" si="12"/>
        <v>-1.918585518703964</v>
      </c>
      <c r="X53" s="97">
        <f t="shared" si="13"/>
        <v>890.16465357844424</v>
      </c>
      <c r="Y53" s="97"/>
      <c r="Z53" s="98">
        <f t="shared" si="14"/>
        <v>2881627.196714038</v>
      </c>
      <c r="AA53" s="99">
        <v>0</v>
      </c>
      <c r="AB53" s="100">
        <f t="shared" si="15"/>
        <v>0</v>
      </c>
      <c r="AC53" s="97">
        <f t="shared" si="16"/>
        <v>2881627.196714038</v>
      </c>
      <c r="AD53" s="103"/>
      <c r="AE53" s="97">
        <f t="shared" si="18"/>
        <v>720406.79917850951</v>
      </c>
      <c r="AF53" s="97">
        <f t="shared" si="18"/>
        <v>720406.79917850951</v>
      </c>
      <c r="AG53" s="97">
        <f t="shared" si="18"/>
        <v>720406.79917850951</v>
      </c>
      <c r="AH53" s="97">
        <f t="shared" si="18"/>
        <v>720406.79917850951</v>
      </c>
    </row>
    <row r="54" spans="2:34" x14ac:dyDescent="0.25">
      <c r="B54">
        <v>190</v>
      </c>
      <c r="C54" s="28">
        <v>4</v>
      </c>
      <c r="D54" s="35" t="s">
        <v>90</v>
      </c>
      <c r="E54" s="154">
        <f>INDEX('2019 Data Lockdown'!H$5:H$257,MATCH(B54,'2019 Data Lockdown'!B$5:B$257,0))</f>
        <v>3049.19</v>
      </c>
      <c r="F54" s="5">
        <f>INDEX('2019 Data Lockdown'!E$5:E$257,MATCH(B54,'2019 Data Lockdown'!B$5:B$257,0))</f>
        <v>2361886.33</v>
      </c>
      <c r="G54" s="5">
        <f>INDEX('2019 Data Lockdown'!F$5:F$257,MATCH(B54,'2019 Data Lockdown'!B$5:B$257,0))</f>
        <v>436295.02999999997</v>
      </c>
      <c r="H54" s="5">
        <f t="shared" si="1"/>
        <v>1925591.3</v>
      </c>
      <c r="I54" s="95">
        <f t="shared" si="2"/>
        <v>631.50912209472028</v>
      </c>
      <c r="J54" s="6">
        <f t="shared" si="3"/>
        <v>631.50912209472028</v>
      </c>
      <c r="K54" s="5">
        <f t="shared" si="4"/>
        <v>1925591.3000000003</v>
      </c>
      <c r="L54" s="135">
        <f>INDEX('2019 Best Practice Scores'!L$4:L$256,MATCH(B54,'2019 Best Practice Scores'!A$4:A$256,0))</f>
        <v>0.46180555555555558</v>
      </c>
      <c r="M54" s="97">
        <f t="shared" si="5"/>
        <v>445394.00717407587</v>
      </c>
      <c r="N54" s="97">
        <f t="shared" si="6"/>
        <v>218240.50062989487</v>
      </c>
      <c r="O54" s="97">
        <f t="shared" si="7"/>
        <v>61705.628077241759</v>
      </c>
      <c r="P54" s="97">
        <f t="shared" si="8"/>
        <v>23399.204534865337</v>
      </c>
      <c r="Q54" s="97">
        <f t="shared" si="9"/>
        <v>748739.34041607776</v>
      </c>
      <c r="R54" s="104">
        <f t="shared" si="10"/>
        <v>0.38883606319579739</v>
      </c>
      <c r="S54" s="166">
        <f t="shared" si="11"/>
        <v>748769.51666024583</v>
      </c>
      <c r="T54" s="97"/>
      <c r="U54" s="97">
        <f>IFERROR(INDEX('Revised 2020 MFAM(2018 PYAs)'!AD$26:AD$300,MATCH(B54,'Revised 2020 MFAM(2018 PYAs)'!B$26:B$300,0)),0)</f>
        <v>-260.52145895012654</v>
      </c>
      <c r="V54" s="97">
        <f>IFERROR(INDEX('Revised 2019 MFAM(2017 PYAs)'!AF$26:AF$300,MATCH(B54,'Revised 2019 MFAM(2017 PYAs)'!B$26:B$300,0)),0)</f>
        <v>79.83063310268335</v>
      </c>
      <c r="W54" s="97">
        <f t="shared" si="12"/>
        <v>-0.49868430735720271</v>
      </c>
      <c r="X54" s="97">
        <f t="shared" si="13"/>
        <v>-181.18951015480039</v>
      </c>
      <c r="Y54" s="97"/>
      <c r="Z54" s="98">
        <f t="shared" si="14"/>
        <v>748588.32715009106</v>
      </c>
      <c r="AA54" s="99">
        <v>0</v>
      </c>
      <c r="AB54" s="100">
        <f t="shared" si="15"/>
        <v>0</v>
      </c>
      <c r="AC54" s="97">
        <f t="shared" si="16"/>
        <v>748588.32715009106</v>
      </c>
      <c r="AD54" s="103"/>
      <c r="AE54" s="97">
        <f t="shared" si="18"/>
        <v>187147.08178752277</v>
      </c>
      <c r="AF54" s="97">
        <f t="shared" si="18"/>
        <v>187147.08178752277</v>
      </c>
      <c r="AG54" s="97">
        <f t="shared" si="18"/>
        <v>187147.08178752277</v>
      </c>
      <c r="AH54" s="97">
        <f t="shared" si="18"/>
        <v>187147.08178752277</v>
      </c>
    </row>
    <row r="55" spans="2:34" x14ac:dyDescent="0.25">
      <c r="B55">
        <v>324</v>
      </c>
      <c r="C55" s="28">
        <v>4</v>
      </c>
      <c r="D55" s="35" t="s">
        <v>91</v>
      </c>
      <c r="E55" s="154">
        <f>INDEX('2019 Data Lockdown'!H$5:H$257,MATCH(B55,'2019 Data Lockdown'!B$5:B$257,0))</f>
        <v>7376.43</v>
      </c>
      <c r="F55" s="5">
        <f>INDEX('2019 Data Lockdown'!E$5:E$257,MATCH(B55,'2019 Data Lockdown'!B$5:B$257,0))</f>
        <v>4459243.79</v>
      </c>
      <c r="G55" s="5">
        <f>INDEX('2019 Data Lockdown'!F$5:F$257,MATCH(B55,'2019 Data Lockdown'!B$5:B$257,0))</f>
        <v>744094.01</v>
      </c>
      <c r="H55" s="5">
        <f t="shared" si="1"/>
        <v>3715149.7800000003</v>
      </c>
      <c r="I55" s="95">
        <f t="shared" si="2"/>
        <v>503.65146554634151</v>
      </c>
      <c r="J55" s="6">
        <f t="shared" si="3"/>
        <v>503.65146554634151</v>
      </c>
      <c r="K55" s="5">
        <f t="shared" si="4"/>
        <v>3715149.7800000003</v>
      </c>
      <c r="L55" s="135">
        <f>INDEX('2019 Best Practice Scores'!L$4:L$256,MATCH(B55,'2019 Best Practice Scores'!A$4:A$256,0))</f>
        <v>0.83333333333333326</v>
      </c>
      <c r="M55" s="97">
        <f t="shared" si="5"/>
        <v>859323.28826272034</v>
      </c>
      <c r="N55" s="97">
        <f t="shared" si="6"/>
        <v>527955.21960303409</v>
      </c>
      <c r="O55" s="97">
        <f t="shared" si="7"/>
        <v>214830.82206568003</v>
      </c>
      <c r="P55" s="97">
        <f t="shared" si="8"/>
        <v>45145.379281615969</v>
      </c>
      <c r="Q55" s="97">
        <f t="shared" si="9"/>
        <v>1647254.7092130505</v>
      </c>
      <c r="R55" s="104">
        <f t="shared" si="10"/>
        <v>0.4433885056480954</v>
      </c>
      <c r="S55" s="166">
        <f t="shared" si="11"/>
        <v>1647321.0980851573</v>
      </c>
      <c r="T55" s="97"/>
      <c r="U55" s="97">
        <f>IFERROR(INDEX('Revised 2020 MFAM(2018 PYAs)'!AD$26:AD$300,MATCH(B55,'Revised 2020 MFAM(2018 PYAs)'!B$26:B$300,0)),0)</f>
        <v>-508.49205086985603</v>
      </c>
      <c r="V55" s="97">
        <f>IFERROR(INDEX('Revised 2019 MFAM(2017 PYAs)'!AF$26:AF$300,MATCH(B55,'Revised 2019 MFAM(2017 PYAs)'!B$26:B$300,0)),0)</f>
        <v>188.0707367293071</v>
      </c>
      <c r="W55" s="97">
        <f t="shared" si="12"/>
        <v>-1.0971242318432359</v>
      </c>
      <c r="X55" s="97">
        <f t="shared" si="13"/>
        <v>-321.51843837239215</v>
      </c>
      <c r="Y55" s="97"/>
      <c r="Z55" s="98">
        <f t="shared" si="14"/>
        <v>1646999.579646785</v>
      </c>
      <c r="AA55" s="99">
        <v>0</v>
      </c>
      <c r="AB55" s="100">
        <f t="shared" si="15"/>
        <v>0</v>
      </c>
      <c r="AC55" s="97">
        <f t="shared" si="16"/>
        <v>1646999.579646785</v>
      </c>
      <c r="AD55" s="103"/>
      <c r="AE55" s="97">
        <f t="shared" si="18"/>
        <v>411749.89491169626</v>
      </c>
      <c r="AF55" s="97">
        <f t="shared" si="18"/>
        <v>411749.89491169626</v>
      </c>
      <c r="AG55" s="97">
        <f t="shared" si="18"/>
        <v>411749.89491169626</v>
      </c>
      <c r="AH55" s="97">
        <f t="shared" si="18"/>
        <v>411749.89491169626</v>
      </c>
    </row>
    <row r="56" spans="2:34" x14ac:dyDescent="0.25">
      <c r="B56">
        <v>429</v>
      </c>
      <c r="C56" s="28">
        <v>4</v>
      </c>
      <c r="D56" s="35" t="s">
        <v>92</v>
      </c>
      <c r="E56" s="154">
        <f>INDEX('2019 Data Lockdown'!H$5:H$257,MATCH(B56,'2019 Data Lockdown'!B$5:B$257,0))</f>
        <v>4180.4643999999998</v>
      </c>
      <c r="F56" s="5">
        <f>INDEX('2019 Data Lockdown'!E$5:E$257,MATCH(B56,'2019 Data Lockdown'!B$5:B$257,0))</f>
        <v>1615598.05</v>
      </c>
      <c r="G56" s="5">
        <f>INDEX('2019 Data Lockdown'!F$5:F$257,MATCH(B56,'2019 Data Lockdown'!B$5:B$257,0))</f>
        <v>324593.48</v>
      </c>
      <c r="H56" s="5">
        <f t="shared" si="1"/>
        <v>1291004.57</v>
      </c>
      <c r="I56" s="95">
        <f t="shared" si="2"/>
        <v>308.81845806413281</v>
      </c>
      <c r="J56" s="6">
        <f t="shared" si="3"/>
        <v>308.81845806413281</v>
      </c>
      <c r="K56" s="5">
        <f t="shared" si="4"/>
        <v>1291004.57</v>
      </c>
      <c r="L56" s="135">
        <f>INDEX('2019 Best Practice Scores'!L$4:L$256,MATCH(B56,'2019 Best Practice Scores'!A$4:A$256,0))</f>
        <v>0.75</v>
      </c>
      <c r="M56" s="97">
        <f t="shared" si="5"/>
        <v>298612.53460811998</v>
      </c>
      <c r="N56" s="97">
        <f t="shared" si="6"/>
        <v>299209.50925375364</v>
      </c>
      <c r="O56" s="97">
        <f t="shared" si="7"/>
        <v>67187.820286826987</v>
      </c>
      <c r="P56" s="97">
        <f t="shared" si="8"/>
        <v>15687.898044032434</v>
      </c>
      <c r="Q56" s="97">
        <f t="shared" si="9"/>
        <v>680697.762192733</v>
      </c>
      <c r="R56" s="104">
        <f t="shared" si="10"/>
        <v>0.52726208567389732</v>
      </c>
      <c r="S56" s="166">
        <f t="shared" si="11"/>
        <v>680725.19617511891</v>
      </c>
      <c r="T56" s="97"/>
      <c r="U56" s="97">
        <f>IFERROR(INDEX('Revised 2020 MFAM(2018 PYAs)'!AD$26:AD$300,MATCH(B56,'Revised 2020 MFAM(2018 PYAs)'!B$26:B$300,0)),0)</f>
        <v>-179.49222053145058</v>
      </c>
      <c r="V56" s="97">
        <f>IFERROR(INDEX('Revised 2019 MFAM(2017 PYAs)'!AF$26:AF$300,MATCH(B56,'Revised 2019 MFAM(2017 PYAs)'!B$26:B$300,0)),0)</f>
        <v>88.247862482559867</v>
      </c>
      <c r="W56" s="97">
        <f t="shared" si="12"/>
        <v>-0.45336644374802748</v>
      </c>
      <c r="X56" s="97">
        <f t="shared" si="13"/>
        <v>-91.697724492638741</v>
      </c>
      <c r="Y56" s="97"/>
      <c r="Z56" s="98">
        <f t="shared" si="14"/>
        <v>680633.49845062627</v>
      </c>
      <c r="AA56" s="99">
        <v>0</v>
      </c>
      <c r="AB56" s="100">
        <f t="shared" si="15"/>
        <v>0</v>
      </c>
      <c r="AC56" s="97">
        <f t="shared" si="16"/>
        <v>680633.49845062627</v>
      </c>
      <c r="AD56" s="103"/>
      <c r="AE56" s="97">
        <f t="shared" si="18"/>
        <v>170158.37461265657</v>
      </c>
      <c r="AF56" s="97">
        <f t="shared" si="18"/>
        <v>170158.37461265657</v>
      </c>
      <c r="AG56" s="97">
        <f t="shared" si="18"/>
        <v>170158.37461265657</v>
      </c>
      <c r="AH56" s="97">
        <f t="shared" si="18"/>
        <v>170158.37461265657</v>
      </c>
    </row>
    <row r="57" spans="2:34" x14ac:dyDescent="0.25">
      <c r="B57">
        <v>601</v>
      </c>
      <c r="C57" s="28">
        <v>4</v>
      </c>
      <c r="D57" s="35" t="s">
        <v>93</v>
      </c>
      <c r="E57" s="154">
        <f>INDEX('2019 Data Lockdown'!H$5:H$257,MATCH(B57,'2019 Data Lockdown'!B$5:B$257,0))</f>
        <v>5551.27</v>
      </c>
      <c r="F57" s="5">
        <f>INDEX('2019 Data Lockdown'!E$5:E$257,MATCH(B57,'2019 Data Lockdown'!B$5:B$257,0))</f>
        <v>3050653.27</v>
      </c>
      <c r="G57" s="5">
        <f>INDEX('2019 Data Lockdown'!F$5:F$257,MATCH(B57,'2019 Data Lockdown'!B$5:B$257,0))</f>
        <v>210627.25999999998</v>
      </c>
      <c r="H57" s="5">
        <f t="shared" si="1"/>
        <v>2840026.0100000002</v>
      </c>
      <c r="I57" s="95">
        <f t="shared" si="2"/>
        <v>511.59932952279388</v>
      </c>
      <c r="J57" s="6">
        <f t="shared" si="3"/>
        <v>511.59932952279388</v>
      </c>
      <c r="K57" s="5">
        <f t="shared" si="4"/>
        <v>2840026.0100000002</v>
      </c>
      <c r="L57" s="135">
        <f>INDEX('2019 Best Practice Scores'!L$4:L$256,MATCH(B57,'2019 Best Practice Scores'!A$4:A$256,0))</f>
        <v>0.875</v>
      </c>
      <c r="M57" s="97">
        <f t="shared" si="5"/>
        <v>656905.00630767399</v>
      </c>
      <c r="N57" s="97">
        <f t="shared" si="6"/>
        <v>397322.54924478848</v>
      </c>
      <c r="O57" s="97">
        <f t="shared" si="7"/>
        <v>172437.56415576441</v>
      </c>
      <c r="P57" s="97">
        <f t="shared" si="8"/>
        <v>34511.139249708656</v>
      </c>
      <c r="Q57" s="97">
        <f t="shared" si="9"/>
        <v>1261176.2589579357</v>
      </c>
      <c r="R57" s="104">
        <f t="shared" si="10"/>
        <v>0.4440720805081414</v>
      </c>
      <c r="S57" s="166">
        <f t="shared" si="11"/>
        <v>1261227.0878120842</v>
      </c>
      <c r="T57" s="97"/>
      <c r="U57" s="97">
        <f>IFERROR(INDEX('Revised 2020 MFAM(2018 PYAs)'!AD$26:AD$300,MATCH(B57,'Revised 2020 MFAM(2018 PYAs)'!B$26:B$300,0)),0)</f>
        <v>-462.14671920798719</v>
      </c>
      <c r="V57" s="97">
        <f>IFERROR(INDEX('Revised 2019 MFAM(2017 PYAs)'!AF$26:AF$300,MATCH(B57,'Revised 2019 MFAM(2017 PYAs)'!B$26:B$300,0)),0)</f>
        <v>142.72316044999752</v>
      </c>
      <c r="W57" s="97">
        <f t="shared" si="12"/>
        <v>-0.83998365680142806</v>
      </c>
      <c r="X57" s="97">
        <f t="shared" si="13"/>
        <v>-320.26354241479112</v>
      </c>
      <c r="Y57" s="97"/>
      <c r="Z57" s="98">
        <f t="shared" si="14"/>
        <v>1260906.8242696694</v>
      </c>
      <c r="AA57" s="99">
        <v>0</v>
      </c>
      <c r="AB57" s="100">
        <f t="shared" si="15"/>
        <v>0</v>
      </c>
      <c r="AC57" s="97">
        <f t="shared" si="16"/>
        <v>1260906.8242696694</v>
      </c>
      <c r="AD57" s="103"/>
      <c r="AE57" s="97">
        <f t="shared" si="18"/>
        <v>315226.70606741734</v>
      </c>
      <c r="AF57" s="97">
        <f t="shared" si="18"/>
        <v>315226.70606741734</v>
      </c>
      <c r="AG57" s="97">
        <f t="shared" si="18"/>
        <v>315226.70606741734</v>
      </c>
      <c r="AH57" s="97">
        <f t="shared" si="18"/>
        <v>315226.70606741734</v>
      </c>
    </row>
    <row r="58" spans="2:34" x14ac:dyDescent="0.25">
      <c r="B58">
        <v>760</v>
      </c>
      <c r="C58" s="28">
        <v>4</v>
      </c>
      <c r="D58" s="35" t="s">
        <v>94</v>
      </c>
      <c r="E58" s="154">
        <f>INDEX('2019 Data Lockdown'!H$5:H$257,MATCH(B58,'2019 Data Lockdown'!B$5:B$257,0))</f>
        <v>5012.8599999999997</v>
      </c>
      <c r="F58" s="5">
        <f>INDEX('2019 Data Lockdown'!E$5:E$257,MATCH(B58,'2019 Data Lockdown'!B$5:B$257,0))</f>
        <v>1509097.88</v>
      </c>
      <c r="G58" s="5">
        <f>INDEX('2019 Data Lockdown'!F$5:F$257,MATCH(B58,'2019 Data Lockdown'!B$5:B$257,0))</f>
        <v>554553.47</v>
      </c>
      <c r="H58" s="5">
        <f t="shared" si="1"/>
        <v>954544.40999999992</v>
      </c>
      <c r="I58" s="95">
        <f t="shared" si="2"/>
        <v>190.41912401303847</v>
      </c>
      <c r="J58" s="6">
        <f t="shared" si="3"/>
        <v>190.41912401303847</v>
      </c>
      <c r="K58" s="5">
        <f t="shared" si="4"/>
        <v>954544.40999999992</v>
      </c>
      <c r="L58" s="135">
        <f>INDEX('2019 Best Practice Scores'!L$4:L$256,MATCH(B58,'2019 Best Practice Scores'!A$4:A$256,0))</f>
        <v>1</v>
      </c>
      <c r="M58" s="97">
        <f t="shared" si="5"/>
        <v>220788.47146614859</v>
      </c>
      <c r="N58" s="97">
        <f t="shared" si="6"/>
        <v>358786.78468300588</v>
      </c>
      <c r="O58" s="97">
        <f t="shared" si="7"/>
        <v>66236.541439844572</v>
      </c>
      <c r="P58" s="97">
        <f t="shared" si="8"/>
        <v>11599.335688316807</v>
      </c>
      <c r="Q58" s="97">
        <f t="shared" si="9"/>
        <v>657411.13327731588</v>
      </c>
      <c r="R58" s="104">
        <f t="shared" si="10"/>
        <v>0.68871717899151064</v>
      </c>
      <c r="S58" s="166">
        <f t="shared" si="11"/>
        <v>657437.62874483806</v>
      </c>
      <c r="T58" s="97"/>
      <c r="U58" s="97">
        <f>IFERROR(INDEX('Revised 2020 MFAM(2018 PYAs)'!AD$26:AD$300,MATCH(B58,'Revised 2020 MFAM(2018 PYAs)'!B$26:B$300,0)),0)</f>
        <v>-1114.0301737043774</v>
      </c>
      <c r="V58" s="97">
        <f>IFERROR(INDEX('Revised 2019 MFAM(2017 PYAs)'!AF$26:AF$300,MATCH(B58,'Revised 2019 MFAM(2017 PYAs)'!B$26:B$300,0)),0)</f>
        <v>-1.8000000001047738</v>
      </c>
      <c r="W58" s="97">
        <f t="shared" si="12"/>
        <v>-0.43785680536717819</v>
      </c>
      <c r="X58" s="97">
        <f t="shared" si="13"/>
        <v>-1116.2680305098493</v>
      </c>
      <c r="Y58" s="97"/>
      <c r="Z58" s="98">
        <f t="shared" si="14"/>
        <v>656321.36071432824</v>
      </c>
      <c r="AA58" s="99">
        <v>0</v>
      </c>
      <c r="AB58" s="100">
        <f t="shared" si="15"/>
        <v>0</v>
      </c>
      <c r="AC58" s="97">
        <f t="shared" si="16"/>
        <v>656321.36071432824</v>
      </c>
      <c r="AD58" s="103"/>
      <c r="AE58" s="97">
        <f t="shared" si="18"/>
        <v>164080.34017858206</v>
      </c>
      <c r="AF58" s="97">
        <f t="shared" si="18"/>
        <v>164080.34017858206</v>
      </c>
      <c r="AG58" s="97">
        <f t="shared" si="18"/>
        <v>164080.34017858206</v>
      </c>
      <c r="AH58" s="97">
        <f t="shared" si="18"/>
        <v>164080.34017858206</v>
      </c>
    </row>
    <row r="59" spans="2:34" x14ac:dyDescent="0.25">
      <c r="B59">
        <v>878</v>
      </c>
      <c r="C59" s="28">
        <v>4</v>
      </c>
      <c r="D59" s="35" t="s">
        <v>95</v>
      </c>
      <c r="E59" s="154">
        <f>INDEX('2019 Data Lockdown'!H$5:H$257,MATCH(B59,'2019 Data Lockdown'!B$5:B$257,0))</f>
        <v>7393.5</v>
      </c>
      <c r="F59" s="5">
        <f>INDEX('2019 Data Lockdown'!E$5:E$257,MATCH(B59,'2019 Data Lockdown'!B$5:B$257,0))</f>
        <v>3017896.76</v>
      </c>
      <c r="G59" s="5">
        <f>INDEX('2019 Data Lockdown'!F$5:F$257,MATCH(B59,'2019 Data Lockdown'!B$5:B$257,0))</f>
        <v>419431.65</v>
      </c>
      <c r="H59" s="5">
        <f t="shared" si="1"/>
        <v>2598465.11</v>
      </c>
      <c r="I59" s="95">
        <f t="shared" si="2"/>
        <v>351.45264218570367</v>
      </c>
      <c r="J59" s="6">
        <f t="shared" si="3"/>
        <v>351.45264218570367</v>
      </c>
      <c r="K59" s="5">
        <f t="shared" si="4"/>
        <v>2598465.11</v>
      </c>
      <c r="L59" s="135">
        <f>INDEX('2019 Best Practice Scores'!L$4:L$256,MATCH(B59,'2019 Best Practice Scores'!A$4:A$256,0))</f>
        <v>0.9375</v>
      </c>
      <c r="M59" s="97">
        <f t="shared" si="5"/>
        <v>601031.37558054284</v>
      </c>
      <c r="N59" s="97">
        <f t="shared" si="6"/>
        <v>529176.97533021157</v>
      </c>
      <c r="O59" s="97">
        <f t="shared" si="7"/>
        <v>169040.07438202764</v>
      </c>
      <c r="P59" s="97">
        <f t="shared" si="8"/>
        <v>31575.764070808455</v>
      </c>
      <c r="Q59" s="97">
        <f t="shared" si="9"/>
        <v>1330824.1893635904</v>
      </c>
      <c r="R59" s="104">
        <f t="shared" si="10"/>
        <v>0.51215780586855386</v>
      </c>
      <c r="S59" s="166">
        <f t="shared" si="11"/>
        <v>1330877.8252199094</v>
      </c>
      <c r="T59" s="97"/>
      <c r="U59" s="97">
        <f>IFERROR(INDEX('Revised 2020 MFAM(2018 PYAs)'!AD$26:AD$300,MATCH(B59,'Revised 2020 MFAM(2018 PYAs)'!B$26:B$300,0)),0)</f>
        <v>-306.08165395969991</v>
      </c>
      <c r="V59" s="97">
        <f>IFERROR(INDEX('Revised 2019 MFAM(2017 PYAs)'!AF$26:AF$300,MATCH(B59,'Revised 2019 MFAM(2017 PYAs)'!B$26:B$300,0)),0)</f>
        <v>146.63510337017942</v>
      </c>
      <c r="W59" s="97">
        <f t="shared" si="12"/>
        <v>-0.88637140225354427</v>
      </c>
      <c r="X59" s="97">
        <f t="shared" si="13"/>
        <v>-160.33292199177401</v>
      </c>
      <c r="Y59" s="97"/>
      <c r="Z59" s="98">
        <f t="shared" si="14"/>
        <v>1330717.4922979176</v>
      </c>
      <c r="AA59" s="99">
        <v>0</v>
      </c>
      <c r="AB59" s="100">
        <f t="shared" si="15"/>
        <v>0</v>
      </c>
      <c r="AC59" s="97">
        <f t="shared" si="16"/>
        <v>1330717.4922979176</v>
      </c>
      <c r="AD59" s="103"/>
      <c r="AE59" s="97">
        <f t="shared" si="18"/>
        <v>332679.3730744794</v>
      </c>
      <c r="AF59" s="97">
        <f t="shared" si="18"/>
        <v>332679.3730744794</v>
      </c>
      <c r="AG59" s="97">
        <f t="shared" si="18"/>
        <v>332679.3730744794</v>
      </c>
      <c r="AH59" s="97">
        <f t="shared" si="18"/>
        <v>332679.3730744794</v>
      </c>
    </row>
    <row r="60" spans="2:34" x14ac:dyDescent="0.25">
      <c r="B60">
        <v>8</v>
      </c>
      <c r="C60" s="28">
        <v>5</v>
      </c>
      <c r="D60" s="35" t="s">
        <v>96</v>
      </c>
      <c r="E60" s="154">
        <f>INDEX('2019 Data Lockdown'!H$5:H$257,MATCH(B60,'2019 Data Lockdown'!B$5:B$257,0))</f>
        <v>2075.63</v>
      </c>
      <c r="F60" s="5">
        <f>INDEX('2019 Data Lockdown'!E$5:E$257,MATCH(B60,'2019 Data Lockdown'!B$5:B$257,0))</f>
        <v>864369.87</v>
      </c>
      <c r="G60" s="5">
        <f>INDEX('2019 Data Lockdown'!F$5:F$257,MATCH(B60,'2019 Data Lockdown'!B$5:B$257,0))</f>
        <v>93052.72</v>
      </c>
      <c r="H60" s="5">
        <f t="shared" si="1"/>
        <v>771317.15</v>
      </c>
      <c r="I60" s="95">
        <f t="shared" si="2"/>
        <v>371.60628339347574</v>
      </c>
      <c r="J60" s="6">
        <f t="shared" si="3"/>
        <v>371.60628339347574</v>
      </c>
      <c r="K60" s="5">
        <f t="shared" si="4"/>
        <v>771317.15</v>
      </c>
      <c r="L60" s="135">
        <f>INDEX('2019 Best Practice Scores'!L$4:L$256,MATCH(B60,'2019 Best Practice Scores'!A$4:A$256,0))</f>
        <v>0.72685185185185186</v>
      </c>
      <c r="M60" s="97">
        <f t="shared" si="5"/>
        <v>178407.55524839964</v>
      </c>
      <c r="N60" s="97">
        <f t="shared" si="6"/>
        <v>148559.62741660202</v>
      </c>
      <c r="O60" s="97">
        <f t="shared" si="7"/>
        <v>38902.758574998254</v>
      </c>
      <c r="P60" s="97">
        <f t="shared" si="8"/>
        <v>9372.813303684643</v>
      </c>
      <c r="Q60" s="97">
        <f t="shared" si="9"/>
        <v>375242.75454368454</v>
      </c>
      <c r="R60" s="104">
        <f t="shared" si="10"/>
        <v>0.48649606007552731</v>
      </c>
      <c r="S60" s="166">
        <f t="shared" si="11"/>
        <v>375257.8778534563</v>
      </c>
      <c r="T60" s="97"/>
      <c r="U60" s="97">
        <f>IFERROR(INDEX('Revised 2020 MFAM(2018 PYAs)'!AD$26:AD$300,MATCH(B60,'Revised 2020 MFAM(2018 PYAs)'!B$26:B$300,0)),0)</f>
        <v>-83.075374516600277</v>
      </c>
      <c r="V60" s="97">
        <f>IFERROR(INDEX('Revised 2019 MFAM(2017 PYAs)'!AF$26:AF$300,MATCH(B60,'Revised 2019 MFAM(2017 PYAs)'!B$26:B$300,0)),0)</f>
        <v>43.298368655960076</v>
      </c>
      <c r="W60" s="97">
        <f t="shared" si="12"/>
        <v>-0.24992365572301634</v>
      </c>
      <c r="X60" s="97">
        <f t="shared" si="13"/>
        <v>-40.026929516363218</v>
      </c>
      <c r="Y60" s="97"/>
      <c r="Z60" s="98">
        <f t="shared" si="14"/>
        <v>375217.85092393996</v>
      </c>
      <c r="AA60" s="99">
        <v>0</v>
      </c>
      <c r="AB60" s="100">
        <f t="shared" si="15"/>
        <v>0</v>
      </c>
      <c r="AC60" s="97">
        <f t="shared" si="16"/>
        <v>375217.85092393996</v>
      </c>
      <c r="AD60" s="103"/>
      <c r="AE60" s="97">
        <f t="shared" si="18"/>
        <v>93804.462730984989</v>
      </c>
      <c r="AF60" s="97">
        <f t="shared" si="18"/>
        <v>93804.462730984989</v>
      </c>
      <c r="AG60" s="97">
        <f t="shared" si="18"/>
        <v>93804.462730984989</v>
      </c>
      <c r="AH60" s="97">
        <f t="shared" si="18"/>
        <v>93804.462730984989</v>
      </c>
    </row>
    <row r="61" spans="2:34" x14ac:dyDescent="0.25">
      <c r="B61">
        <v>41</v>
      </c>
      <c r="C61" s="28">
        <v>5</v>
      </c>
      <c r="D61" s="35" t="s">
        <v>97</v>
      </c>
      <c r="E61" s="154">
        <f>INDEX('2019 Data Lockdown'!H$5:H$257,MATCH(B61,'2019 Data Lockdown'!B$5:B$257,0))</f>
        <v>993.22</v>
      </c>
      <c r="F61" s="5">
        <f>INDEX('2019 Data Lockdown'!E$5:E$257,MATCH(B61,'2019 Data Lockdown'!B$5:B$257,0))</f>
        <v>598036.62</v>
      </c>
      <c r="G61" s="5">
        <f>INDEX('2019 Data Lockdown'!F$5:F$257,MATCH(B61,'2019 Data Lockdown'!B$5:B$257,0))</f>
        <v>171251.26000000004</v>
      </c>
      <c r="H61" s="5">
        <f t="shared" si="1"/>
        <v>426785.36</v>
      </c>
      <c r="I61" s="95">
        <f t="shared" si="2"/>
        <v>429.69871730331647</v>
      </c>
      <c r="J61" s="6">
        <f t="shared" si="3"/>
        <v>429.69871730331647</v>
      </c>
      <c r="K61" s="5">
        <f t="shared" si="4"/>
        <v>426785.36</v>
      </c>
      <c r="L61" s="135">
        <f>INDEX('2019 Best Practice Scores'!L$4:L$256,MATCH(B61,'2019 Best Practice Scores'!A$4:A$256,0))</f>
        <v>0.2361111111111111</v>
      </c>
      <c r="M61" s="97">
        <f t="shared" si="5"/>
        <v>98716.504220615519</v>
      </c>
      <c r="N61" s="97">
        <f t="shared" si="6"/>
        <v>71088.003711026278</v>
      </c>
      <c r="O61" s="97">
        <f t="shared" si="7"/>
        <v>6992.4190489602652</v>
      </c>
      <c r="P61" s="97">
        <f t="shared" si="8"/>
        <v>5186.1669353855796</v>
      </c>
      <c r="Q61" s="97">
        <f t="shared" si="9"/>
        <v>181983.09391598764</v>
      </c>
      <c r="R61" s="104">
        <f t="shared" si="10"/>
        <v>0.42640425603162124</v>
      </c>
      <c r="S61" s="166">
        <f t="shared" si="11"/>
        <v>181990.42833262644</v>
      </c>
      <c r="T61" s="97"/>
      <c r="U61" s="97">
        <f>IFERROR(INDEX('Revised 2020 MFAM(2018 PYAs)'!AD$26:AD$300,MATCH(B61,'Revised 2020 MFAM(2018 PYAs)'!B$26:B$300,0)),0)</f>
        <v>-52.28002648241818</v>
      </c>
      <c r="V61" s="97">
        <f>IFERROR(INDEX('Revised 2019 MFAM(2017 PYAs)'!AF$26:AF$300,MATCH(B61,'Revised 2019 MFAM(2017 PYAs)'!B$26:B$300,0)),0)</f>
        <v>30.301945190061815</v>
      </c>
      <c r="W61" s="97">
        <f t="shared" si="12"/>
        <v>-0.12120655112069269</v>
      </c>
      <c r="X61" s="97">
        <f t="shared" si="13"/>
        <v>-22.099287843477057</v>
      </c>
      <c r="Y61" s="97"/>
      <c r="Z61" s="98">
        <f t="shared" si="14"/>
        <v>181968.32904478296</v>
      </c>
      <c r="AA61" s="99">
        <v>0</v>
      </c>
      <c r="AB61" s="100">
        <f t="shared" si="15"/>
        <v>0</v>
      </c>
      <c r="AC61" s="97">
        <f t="shared" si="16"/>
        <v>181968.32904478296</v>
      </c>
      <c r="AD61" s="103"/>
      <c r="AE61" s="97">
        <f t="shared" si="18"/>
        <v>45492.082261195741</v>
      </c>
      <c r="AF61" s="97">
        <f t="shared" si="18"/>
        <v>45492.082261195741</v>
      </c>
      <c r="AG61" s="97">
        <f t="shared" si="18"/>
        <v>45492.082261195741</v>
      </c>
      <c r="AH61" s="97">
        <f t="shared" si="18"/>
        <v>45492.082261195741</v>
      </c>
    </row>
    <row r="62" spans="2:34" x14ac:dyDescent="0.25">
      <c r="B62">
        <v>56</v>
      </c>
      <c r="C62" s="28">
        <v>5</v>
      </c>
      <c r="D62" s="35" t="s">
        <v>98</v>
      </c>
      <c r="E62" s="154">
        <f>INDEX('2019 Data Lockdown'!H$5:H$257,MATCH(B62,'2019 Data Lockdown'!B$5:B$257,0))</f>
        <v>2867.28</v>
      </c>
      <c r="F62" s="5">
        <f>INDEX('2019 Data Lockdown'!E$5:E$257,MATCH(B62,'2019 Data Lockdown'!B$5:B$257,0))</f>
        <v>572395.97</v>
      </c>
      <c r="G62" s="5">
        <f>INDEX('2019 Data Lockdown'!F$5:F$257,MATCH(B62,'2019 Data Lockdown'!B$5:B$257,0))</f>
        <v>2299.3900000000003</v>
      </c>
      <c r="H62" s="5">
        <f t="shared" si="1"/>
        <v>570096.57999999996</v>
      </c>
      <c r="I62" s="95">
        <f t="shared" si="2"/>
        <v>198.82835997879522</v>
      </c>
      <c r="J62" s="6">
        <f t="shared" si="3"/>
        <v>198.82835997879522</v>
      </c>
      <c r="K62" s="5">
        <f t="shared" si="4"/>
        <v>570096.57999999996</v>
      </c>
      <c r="L62" s="135">
        <f>INDEX('2019 Best Practice Scores'!L$4:L$256,MATCH(B62,'2019 Best Practice Scores'!A$4:A$256,0))</f>
        <v>0.96759259259259256</v>
      </c>
      <c r="M62" s="97">
        <f t="shared" si="5"/>
        <v>131864.74214047191</v>
      </c>
      <c r="N62" s="97">
        <f t="shared" si="6"/>
        <v>205220.60699598418</v>
      </c>
      <c r="O62" s="97">
        <f t="shared" si="7"/>
        <v>38277.404315775864</v>
      </c>
      <c r="P62" s="97">
        <f t="shared" si="8"/>
        <v>6927.6416444378501</v>
      </c>
      <c r="Q62" s="97">
        <f t="shared" si="9"/>
        <v>382290.39509666979</v>
      </c>
      <c r="R62" s="104">
        <f t="shared" si="10"/>
        <v>0.67057128302132563</v>
      </c>
      <c r="S62" s="166">
        <f t="shared" si="11"/>
        <v>382305.80244564003</v>
      </c>
      <c r="T62" s="97"/>
      <c r="U62" s="97">
        <f>IFERROR(INDEX('Revised 2020 MFAM(2018 PYAs)'!AD$26:AD$300,MATCH(B62,'Revised 2020 MFAM(2018 PYAs)'!B$26:B$300,0)),0)</f>
        <v>-68.511148364748806</v>
      </c>
      <c r="V62" s="97">
        <f>IFERROR(INDEX('Revised 2019 MFAM(2017 PYAs)'!AF$26:AF$300,MATCH(B62,'Revised 2019 MFAM(2017 PYAs)'!B$26:B$300,0)),0)</f>
        <v>54.619924187951256</v>
      </c>
      <c r="W62" s="97">
        <f t="shared" si="12"/>
        <v>-0.25461760935675343</v>
      </c>
      <c r="X62" s="97">
        <f t="shared" si="13"/>
        <v>-14.145841786154303</v>
      </c>
      <c r="Y62" s="97"/>
      <c r="Z62" s="98">
        <f t="shared" si="14"/>
        <v>382291.65660385386</v>
      </c>
      <c r="AA62" s="99">
        <v>0</v>
      </c>
      <c r="AB62" s="100">
        <f t="shared" si="15"/>
        <v>0</v>
      </c>
      <c r="AC62" s="97">
        <f t="shared" si="16"/>
        <v>382291.65660385386</v>
      </c>
      <c r="AD62" s="103"/>
      <c r="AE62" s="97">
        <f t="shared" si="18"/>
        <v>95572.914150963465</v>
      </c>
      <c r="AF62" s="97">
        <f t="shared" si="18"/>
        <v>95572.914150963465</v>
      </c>
      <c r="AG62" s="97">
        <f t="shared" si="18"/>
        <v>95572.914150963465</v>
      </c>
      <c r="AH62" s="97">
        <f t="shared" si="18"/>
        <v>95572.914150963465</v>
      </c>
    </row>
    <row r="63" spans="2:34" x14ac:dyDescent="0.25">
      <c r="B63">
        <v>67</v>
      </c>
      <c r="C63" s="28">
        <v>5</v>
      </c>
      <c r="D63" s="35" t="s">
        <v>99</v>
      </c>
      <c r="E63" s="154">
        <f>INDEX('2019 Data Lockdown'!H$5:H$257,MATCH(B63,'2019 Data Lockdown'!B$5:B$257,0))</f>
        <v>1347.1733959092533</v>
      </c>
      <c r="F63" s="5">
        <f>INDEX('2019 Data Lockdown'!E$5:E$257,MATCH(B63,'2019 Data Lockdown'!B$5:B$257,0))</f>
        <v>207963.68</v>
      </c>
      <c r="G63" s="5">
        <f>INDEX('2019 Data Lockdown'!F$5:F$257,MATCH(B63,'2019 Data Lockdown'!B$5:B$257,0))</f>
        <v>0</v>
      </c>
      <c r="H63" s="5">
        <f t="shared" si="1"/>
        <v>207963.68</v>
      </c>
      <c r="I63" s="95">
        <f t="shared" si="2"/>
        <v>154.37038812634674</v>
      </c>
      <c r="J63" s="6">
        <f t="shared" si="3"/>
        <v>154.37038812634674</v>
      </c>
      <c r="K63" s="5">
        <f t="shared" si="4"/>
        <v>207963.68</v>
      </c>
      <c r="L63" s="135">
        <f>INDEX('2019 Best Practice Scores'!L$4:L$256,MATCH(B63,'2019 Best Practice Scores'!A$4:A$256,0))</f>
        <v>0.81712962962962965</v>
      </c>
      <c r="M63" s="97">
        <f t="shared" si="5"/>
        <v>48102.511047836168</v>
      </c>
      <c r="N63" s="97">
        <f t="shared" si="6"/>
        <v>96421.605855493108</v>
      </c>
      <c r="O63" s="97">
        <f t="shared" si="7"/>
        <v>11791.796111032059</v>
      </c>
      <c r="P63" s="97">
        <f t="shared" si="8"/>
        <v>2527.1118975990821</v>
      </c>
      <c r="Q63" s="97">
        <f t="shared" si="9"/>
        <v>158843.02491196038</v>
      </c>
      <c r="R63" s="104">
        <f t="shared" si="10"/>
        <v>0.76380176053799576</v>
      </c>
      <c r="S63" s="166">
        <f t="shared" si="11"/>
        <v>155972.76</v>
      </c>
      <c r="T63" s="97"/>
      <c r="U63" s="97">
        <f>IFERROR(INDEX('Revised 2020 MFAM(2018 PYAs)'!AD$26:AD$300,MATCH(B63,'Revised 2020 MFAM(2018 PYAs)'!B$26:B$300,0)),0)</f>
        <v>-20.452614759735297</v>
      </c>
      <c r="V63" s="97">
        <f>IFERROR(INDEX('Revised 2019 MFAM(2017 PYAs)'!AF$26:AF$300,MATCH(B63,'Revised 2019 MFAM(2017 PYAs)'!B$26:B$300,0)),0)</f>
        <v>-7934.3036806205928</v>
      </c>
      <c r="W63" s="97">
        <f t="shared" si="12"/>
        <v>-0.10387865164987001</v>
      </c>
      <c r="X63" s="97">
        <f t="shared" si="13"/>
        <v>-7954.8601740319782</v>
      </c>
      <c r="Y63" s="97"/>
      <c r="Z63" s="98">
        <f t="shared" si="14"/>
        <v>148017.89982596802</v>
      </c>
      <c r="AA63" s="99">
        <v>0</v>
      </c>
      <c r="AB63" s="100">
        <f t="shared" si="15"/>
        <v>0</v>
      </c>
      <c r="AC63" s="97">
        <f t="shared" si="16"/>
        <v>148017.89982596802</v>
      </c>
      <c r="AD63" s="103"/>
      <c r="AE63" s="97">
        <f t="shared" si="18"/>
        <v>37004.474956492006</v>
      </c>
      <c r="AF63" s="97">
        <f t="shared" si="18"/>
        <v>37004.474956492006</v>
      </c>
      <c r="AG63" s="97">
        <f t="shared" si="18"/>
        <v>37004.474956492006</v>
      </c>
      <c r="AH63" s="97">
        <f t="shared" si="18"/>
        <v>37004.474956492006</v>
      </c>
    </row>
    <row r="64" spans="2:34" x14ac:dyDescent="0.25">
      <c r="B64">
        <v>157</v>
      </c>
      <c r="C64" s="28">
        <v>5</v>
      </c>
      <c r="D64" s="35" t="s">
        <v>100</v>
      </c>
      <c r="E64" s="154">
        <f>INDEX('2019 Data Lockdown'!H$5:H$257,MATCH(B64,'2019 Data Lockdown'!B$5:B$257,0))</f>
        <v>391.46461159743643</v>
      </c>
      <c r="F64" s="5">
        <f>INDEX('2019 Data Lockdown'!E$5:E$257,MATCH(B64,'2019 Data Lockdown'!B$5:B$257,0))</f>
        <v>154392.98000000001</v>
      </c>
      <c r="G64" s="5">
        <f>INDEX('2019 Data Lockdown'!F$5:F$257,MATCH(B64,'2019 Data Lockdown'!B$5:B$257,0))</f>
        <v>250</v>
      </c>
      <c r="H64" s="5">
        <f t="shared" si="1"/>
        <v>154142.98000000001</v>
      </c>
      <c r="I64" s="95">
        <f t="shared" si="2"/>
        <v>393.75967950460182</v>
      </c>
      <c r="J64" s="6">
        <f t="shared" si="3"/>
        <v>393.75967950460182</v>
      </c>
      <c r="K64" s="5">
        <f t="shared" si="4"/>
        <v>154142.98000000001</v>
      </c>
      <c r="L64" s="135">
        <f>INDEX('2019 Best Practice Scores'!L$4:L$256,MATCH(B64,'2019 Best Practice Scores'!A$4:A$256,0))</f>
        <v>0.53240740740740744</v>
      </c>
      <c r="M64" s="97">
        <f t="shared" si="5"/>
        <v>35653.650668214708</v>
      </c>
      <c r="N64" s="97">
        <f t="shared" si="6"/>
        <v>28018.402531135114</v>
      </c>
      <c r="O64" s="97">
        <f t="shared" si="7"/>
        <v>5694.6803150620717</v>
      </c>
      <c r="P64" s="97">
        <f t="shared" si="8"/>
        <v>1873.0989886761831</v>
      </c>
      <c r="Q64" s="97">
        <f t="shared" si="9"/>
        <v>71239.832503088081</v>
      </c>
      <c r="R64" s="104">
        <f t="shared" si="10"/>
        <v>0.46216721970139718</v>
      </c>
      <c r="S64" s="166">
        <f t="shared" si="11"/>
        <v>71242.703663269014</v>
      </c>
      <c r="T64" s="97"/>
      <c r="U64" s="97">
        <f>IFERROR(INDEX('Revised 2020 MFAM(2018 PYAs)'!AD$26:AD$300,MATCH(B64,'Revised 2020 MFAM(2018 PYAs)'!B$26:B$300,0)),0)</f>
        <v>-21.117600584591855</v>
      </c>
      <c r="V64" s="97">
        <f>IFERROR(INDEX('Revised 2019 MFAM(2017 PYAs)'!AF$26:AF$300,MATCH(B64,'Revised 2019 MFAM(2017 PYAs)'!B$26:B$300,0)),0)</f>
        <v>10.094055042864056</v>
      </c>
      <c r="W64" s="97">
        <f t="shared" si="12"/>
        <v>-4.7448003077150393E-2</v>
      </c>
      <c r="X64" s="97">
        <f t="shared" si="13"/>
        <v>-11.070993544804949</v>
      </c>
      <c r="Y64" s="97"/>
      <c r="Z64" s="98">
        <f t="shared" si="14"/>
        <v>71231.632669724204</v>
      </c>
      <c r="AA64" s="99">
        <v>0</v>
      </c>
      <c r="AB64" s="100">
        <f t="shared" si="15"/>
        <v>0</v>
      </c>
      <c r="AC64" s="97">
        <f t="shared" si="16"/>
        <v>71231.632669724204</v>
      </c>
      <c r="AD64" s="103"/>
      <c r="AE64" s="97">
        <f t="shared" si="18"/>
        <v>17807.908167431051</v>
      </c>
      <c r="AF64" s="97">
        <f t="shared" si="18"/>
        <v>17807.908167431051</v>
      </c>
      <c r="AG64" s="97">
        <f t="shared" si="18"/>
        <v>17807.908167431051</v>
      </c>
      <c r="AH64" s="97">
        <f t="shared" si="18"/>
        <v>17807.908167431051</v>
      </c>
    </row>
    <row r="65" spans="2:34" x14ac:dyDescent="0.25">
      <c r="B65">
        <v>214</v>
      </c>
      <c r="C65" s="28">
        <v>5</v>
      </c>
      <c r="D65" s="35" t="s">
        <v>101</v>
      </c>
      <c r="E65" s="154">
        <f>INDEX('2019 Data Lockdown'!H$5:H$257,MATCH(B65,'2019 Data Lockdown'!B$5:B$257,0))</f>
        <v>2751.6000000000004</v>
      </c>
      <c r="F65" s="5">
        <f>INDEX('2019 Data Lockdown'!E$5:E$257,MATCH(B65,'2019 Data Lockdown'!B$5:B$257,0))</f>
        <v>1755275.05</v>
      </c>
      <c r="G65" s="5">
        <f>INDEX('2019 Data Lockdown'!F$5:F$257,MATCH(B65,'2019 Data Lockdown'!B$5:B$257,0))</f>
        <v>255085.94</v>
      </c>
      <c r="H65" s="5">
        <f t="shared" si="1"/>
        <v>1500189.11</v>
      </c>
      <c r="I65" s="95">
        <f t="shared" si="2"/>
        <v>545.2061019043465</v>
      </c>
      <c r="J65" s="6">
        <f t="shared" si="3"/>
        <v>539.27138314903584</v>
      </c>
      <c r="K65" s="5">
        <f t="shared" si="4"/>
        <v>1483859.1378728873</v>
      </c>
      <c r="L65" s="135">
        <f>INDEX('2019 Best Practice Scores'!L$4:L$256,MATCH(B65,'2019 Best Practice Scores'!A$4:A$256,0))</f>
        <v>0.6689814814814814</v>
      </c>
      <c r="M65" s="97">
        <f t="shared" si="5"/>
        <v>343220.27083269163</v>
      </c>
      <c r="N65" s="97">
        <f t="shared" si="6"/>
        <v>196941.01106628936</v>
      </c>
      <c r="O65" s="97">
        <f t="shared" si="7"/>
        <v>68882.401576838791</v>
      </c>
      <c r="P65" s="97">
        <f t="shared" si="8"/>
        <v>18031.408569417941</v>
      </c>
      <c r="Q65" s="97">
        <f t="shared" si="9"/>
        <v>627075.09204523766</v>
      </c>
      <c r="R65" s="104">
        <f t="shared" si="10"/>
        <v>0.42259745284458067</v>
      </c>
      <c r="S65" s="166">
        <f t="shared" si="11"/>
        <v>627100.36488729075</v>
      </c>
      <c r="T65" s="97"/>
      <c r="U65" s="97">
        <f>IFERROR(INDEX('Revised 2020 MFAM(2018 PYAs)'!AD$26:AD$300,MATCH(B65,'Revised 2020 MFAM(2018 PYAs)'!B$26:B$300,0)),0)</f>
        <v>-9782.4397540229838</v>
      </c>
      <c r="V65" s="97">
        <f>IFERROR(INDEX('Revised 2019 MFAM(2017 PYAs)'!AF$26:AF$300,MATCH(B65,'Revised 2019 MFAM(2017 PYAs)'!B$26:B$300,0)),0)</f>
        <v>815.0901400615694</v>
      </c>
      <c r="W65" s="97">
        <f t="shared" si="12"/>
        <v>-0.41765203330141271</v>
      </c>
      <c r="X65" s="97">
        <f t="shared" si="13"/>
        <v>-8967.7672659947166</v>
      </c>
      <c r="Y65" s="97"/>
      <c r="Z65" s="98">
        <f t="shared" si="14"/>
        <v>618132.59762129607</v>
      </c>
      <c r="AA65" s="99">
        <v>0</v>
      </c>
      <c r="AB65" s="100">
        <f t="shared" si="15"/>
        <v>0</v>
      </c>
      <c r="AC65" s="97">
        <f t="shared" si="16"/>
        <v>618132.59762129607</v>
      </c>
      <c r="AD65" s="103"/>
      <c r="AE65" s="97">
        <f t="shared" si="18"/>
        <v>154533.14940532402</v>
      </c>
      <c r="AF65" s="97">
        <f t="shared" si="18"/>
        <v>154533.14940532402</v>
      </c>
      <c r="AG65" s="97">
        <f t="shared" si="18"/>
        <v>154533.14940532402</v>
      </c>
      <c r="AH65" s="97">
        <f t="shared" si="18"/>
        <v>154533.14940532402</v>
      </c>
    </row>
    <row r="66" spans="2:34" x14ac:dyDescent="0.25">
      <c r="B66">
        <v>223</v>
      </c>
      <c r="C66" s="28">
        <v>5</v>
      </c>
      <c r="D66" s="35" t="s">
        <v>102</v>
      </c>
      <c r="E66" s="154">
        <f>INDEX('2019 Data Lockdown'!H$5:H$257,MATCH(B66,'2019 Data Lockdown'!B$5:B$257,0))</f>
        <v>274</v>
      </c>
      <c r="F66" s="5">
        <f>INDEX('2019 Data Lockdown'!E$5:E$257,MATCH(B66,'2019 Data Lockdown'!B$5:B$257,0))</f>
        <v>235853.73</v>
      </c>
      <c r="G66" s="5">
        <f>INDEX('2019 Data Lockdown'!F$5:F$257,MATCH(B66,'2019 Data Lockdown'!B$5:B$257,0))</f>
        <v>800.41</v>
      </c>
      <c r="H66" s="5">
        <f t="shared" si="1"/>
        <v>235053.32</v>
      </c>
      <c r="I66" s="95">
        <f t="shared" si="2"/>
        <v>857.85883211678834</v>
      </c>
      <c r="J66" s="6">
        <f t="shared" si="3"/>
        <v>539.27138314903584</v>
      </c>
      <c r="K66" s="5">
        <f t="shared" si="4"/>
        <v>147760.35898283581</v>
      </c>
      <c r="L66" s="135">
        <f>INDEX('2019 Best Practice Scores'!L$4:L$256,MATCH(B66,'2019 Best Practice Scores'!A$4:A$256,0))</f>
        <v>0.4513888888888889</v>
      </c>
      <c r="M66" s="97">
        <f t="shared" si="5"/>
        <v>34177.334717312646</v>
      </c>
      <c r="N66" s="97">
        <f t="shared" si="6"/>
        <v>19611.076112866431</v>
      </c>
      <c r="O66" s="97">
        <f t="shared" si="7"/>
        <v>4628.18074296942</v>
      </c>
      <c r="P66" s="97">
        <f t="shared" si="8"/>
        <v>1795.5393036853154</v>
      </c>
      <c r="Q66" s="97">
        <f t="shared" si="9"/>
        <v>60212.130876833813</v>
      </c>
      <c r="R66" s="104">
        <f t="shared" si="10"/>
        <v>0.4074985421754978</v>
      </c>
      <c r="S66" s="166">
        <f t="shared" si="11"/>
        <v>60214.557590464501</v>
      </c>
      <c r="T66" s="97"/>
      <c r="U66" s="97">
        <f>IFERROR(INDEX('Revised 2020 MFAM(2018 PYAs)'!AD$26:AD$300,MATCH(B66,'Revised 2020 MFAM(2018 PYAs)'!B$26:B$300,0)),0)</f>
        <v>-867.82591596440034</v>
      </c>
      <c r="V66" s="97">
        <f>IFERROR(INDEX('Revised 2019 MFAM(2017 PYAs)'!AF$26:AF$300,MATCH(B66,'Revised 2019 MFAM(2017 PYAs)'!B$26:B$300,0)),0)</f>
        <v>84.010986853536451</v>
      </c>
      <c r="W66" s="97">
        <f t="shared" si="12"/>
        <v>-4.0103201688492893E-2</v>
      </c>
      <c r="X66" s="97">
        <f t="shared" si="13"/>
        <v>-783.85503231255234</v>
      </c>
      <c r="Y66" s="97"/>
      <c r="Z66" s="98">
        <f t="shared" si="14"/>
        <v>59430.702558151948</v>
      </c>
      <c r="AA66" s="99">
        <v>0</v>
      </c>
      <c r="AB66" s="100">
        <f t="shared" si="15"/>
        <v>0</v>
      </c>
      <c r="AC66" s="97">
        <f t="shared" si="16"/>
        <v>59430.702558151948</v>
      </c>
      <c r="AD66" s="103"/>
      <c r="AE66" s="97">
        <f t="shared" ref="AE66:AH85" si="19">$AC66/4</f>
        <v>14857.675639537987</v>
      </c>
      <c r="AF66" s="97">
        <f t="shared" si="19"/>
        <v>14857.675639537987</v>
      </c>
      <c r="AG66" s="97">
        <f t="shared" si="19"/>
        <v>14857.675639537987</v>
      </c>
      <c r="AH66" s="97">
        <f t="shared" si="19"/>
        <v>14857.675639537987</v>
      </c>
    </row>
    <row r="67" spans="2:34" x14ac:dyDescent="0.25">
      <c r="B67">
        <v>224</v>
      </c>
      <c r="C67" s="28">
        <v>5</v>
      </c>
      <c r="D67" s="35" t="s">
        <v>103</v>
      </c>
      <c r="E67" s="154">
        <f>INDEX('2019 Data Lockdown'!H$5:H$257,MATCH(B67,'2019 Data Lockdown'!B$5:B$257,0))</f>
        <v>196.82810451351673</v>
      </c>
      <c r="F67" s="5">
        <f>INDEX('2019 Data Lockdown'!E$5:E$257,MATCH(B67,'2019 Data Lockdown'!B$5:B$257,0))</f>
        <v>77631.63</v>
      </c>
      <c r="G67" s="5">
        <f>INDEX('2019 Data Lockdown'!F$5:F$257,MATCH(B67,'2019 Data Lockdown'!B$5:B$257,0))</f>
        <v>210</v>
      </c>
      <c r="H67" s="5">
        <f t="shared" si="1"/>
        <v>77421.63</v>
      </c>
      <c r="I67" s="95">
        <f t="shared" si="2"/>
        <v>393.34641864969666</v>
      </c>
      <c r="J67" s="6">
        <f t="shared" si="3"/>
        <v>393.34641864969666</v>
      </c>
      <c r="K67" s="5">
        <f t="shared" si="4"/>
        <v>77421.63</v>
      </c>
      <c r="L67" s="135">
        <f>INDEX('2019 Best Practice Scores'!L$4:L$256,MATCH(B67,'2019 Best Practice Scores'!A$4:A$256,0))</f>
        <v>0.4907407407407407</v>
      </c>
      <c r="M67" s="97">
        <f t="shared" si="5"/>
        <v>17907.813577911704</v>
      </c>
      <c r="N67" s="97">
        <f t="shared" si="6"/>
        <v>14087.631163378852</v>
      </c>
      <c r="O67" s="97">
        <f t="shared" si="7"/>
        <v>2636.4281100814446</v>
      </c>
      <c r="P67" s="97">
        <f t="shared" si="8"/>
        <v>940.80428998233742</v>
      </c>
      <c r="Q67" s="97">
        <f t="shared" si="9"/>
        <v>35572.677141354339</v>
      </c>
      <c r="R67" s="104">
        <f t="shared" si="10"/>
        <v>0.45946691049199478</v>
      </c>
      <c r="S67" s="166">
        <f t="shared" si="11"/>
        <v>35574.110817579407</v>
      </c>
      <c r="T67" s="97"/>
      <c r="U67" s="97">
        <f>IFERROR(INDEX('Revised 2020 MFAM(2018 PYAs)'!AD$26:AD$300,MATCH(B67,'Revised 2020 MFAM(2018 PYAs)'!B$26:B$300,0)),0)</f>
        <v>-9.8232256162664271</v>
      </c>
      <c r="V67" s="97">
        <f>IFERROR(INDEX('Revised 2019 MFAM(2017 PYAs)'!AF$26:AF$300,MATCH(B67,'Revised 2019 MFAM(2017 PYAs)'!B$26:B$300,0)),0)</f>
        <v>5.6643609683669638</v>
      </c>
      <c r="W67" s="97">
        <f t="shared" si="12"/>
        <v>-2.3692538782882362E-2</v>
      </c>
      <c r="X67" s="97">
        <f t="shared" si="13"/>
        <v>-4.1825571866823461</v>
      </c>
      <c r="Y67" s="97"/>
      <c r="Z67" s="98">
        <f t="shared" si="14"/>
        <v>35569.928260392728</v>
      </c>
      <c r="AA67" s="99">
        <v>0</v>
      </c>
      <c r="AB67" s="100">
        <f t="shared" si="15"/>
        <v>0</v>
      </c>
      <c r="AC67" s="97">
        <f t="shared" si="16"/>
        <v>35569.928260392728</v>
      </c>
      <c r="AD67" s="103"/>
      <c r="AE67" s="97">
        <f t="shared" si="19"/>
        <v>8892.4820650981819</v>
      </c>
      <c r="AF67" s="97">
        <f t="shared" si="19"/>
        <v>8892.4820650981819</v>
      </c>
      <c r="AG67" s="97">
        <f t="shared" si="19"/>
        <v>8892.4820650981819</v>
      </c>
      <c r="AH67" s="97">
        <f t="shared" si="19"/>
        <v>8892.4820650981819</v>
      </c>
    </row>
    <row r="68" spans="2:34" x14ac:dyDescent="0.25">
      <c r="B68">
        <v>233</v>
      </c>
      <c r="C68" s="28">
        <v>5</v>
      </c>
      <c r="D68" s="35" t="s">
        <v>104</v>
      </c>
      <c r="E68" s="154">
        <f>INDEX('2019 Data Lockdown'!H$5:H$257,MATCH(B68,'2019 Data Lockdown'!B$5:B$257,0))</f>
        <v>2130.7600000000002</v>
      </c>
      <c r="F68" s="5">
        <f>INDEX('2019 Data Lockdown'!E$5:E$257,MATCH(B68,'2019 Data Lockdown'!B$5:B$257,0))</f>
        <v>703293.56</v>
      </c>
      <c r="G68" s="5">
        <f>INDEX('2019 Data Lockdown'!F$5:F$257,MATCH(B68,'2019 Data Lockdown'!B$5:B$257,0))</f>
        <v>171134.77</v>
      </c>
      <c r="H68" s="5">
        <f t="shared" si="1"/>
        <v>532158.79</v>
      </c>
      <c r="I68" s="95">
        <f t="shared" si="2"/>
        <v>249.7506945878466</v>
      </c>
      <c r="J68" s="6">
        <f t="shared" si="3"/>
        <v>249.7506945878466</v>
      </c>
      <c r="K68" s="5">
        <f t="shared" si="4"/>
        <v>532158.79</v>
      </c>
      <c r="L68" s="135">
        <f>INDEX('2019 Best Practice Scores'!L$4:L$256,MATCH(B68,'2019 Best Practice Scores'!A$4:A$256,0))</f>
        <v>0.69444444444444442</v>
      </c>
      <c r="M68" s="97">
        <f t="shared" si="5"/>
        <v>123089.63793667303</v>
      </c>
      <c r="N68" s="97">
        <f t="shared" si="6"/>
        <v>152505.46181843535</v>
      </c>
      <c r="O68" s="97">
        <f t="shared" si="7"/>
        <v>25643.674570140211</v>
      </c>
      <c r="P68" s="97">
        <f t="shared" si="8"/>
        <v>6466.6330660283156</v>
      </c>
      <c r="Q68" s="97">
        <f t="shared" si="9"/>
        <v>307705.40739127685</v>
      </c>
      <c r="R68" s="104">
        <f t="shared" si="10"/>
        <v>0.57822103697897542</v>
      </c>
      <c r="S68" s="166">
        <f t="shared" si="11"/>
        <v>307717.80876115826</v>
      </c>
      <c r="T68" s="97"/>
      <c r="U68" s="97">
        <f>IFERROR(INDEX('Revised 2020 MFAM(2018 PYAs)'!AD$26:AD$300,MATCH(B68,'Revised 2020 MFAM(2018 PYAs)'!B$26:B$300,0)),0)</f>
        <v>-40.077482811291702</v>
      </c>
      <c r="V68" s="97">
        <f>IFERROR(INDEX('Revised 2019 MFAM(2017 PYAs)'!AF$26:AF$300,MATCH(B68,'Revised 2019 MFAM(2017 PYAs)'!B$26:B$300,0)),0)</f>
        <v>35.22343602325418</v>
      </c>
      <c r="W68" s="97">
        <f t="shared" si="12"/>
        <v>-0.20494162610677449</v>
      </c>
      <c r="X68" s="97">
        <f t="shared" si="13"/>
        <v>-5.058988414144296</v>
      </c>
      <c r="Y68" s="97"/>
      <c r="Z68" s="98">
        <f t="shared" si="14"/>
        <v>307712.74977274414</v>
      </c>
      <c r="AA68" s="99">
        <v>0</v>
      </c>
      <c r="AB68" s="100">
        <f t="shared" si="15"/>
        <v>0</v>
      </c>
      <c r="AC68" s="97">
        <f t="shared" si="16"/>
        <v>307712.74977274414</v>
      </c>
      <c r="AD68" s="103"/>
      <c r="AE68" s="97">
        <f t="shared" si="19"/>
        <v>76928.187443186034</v>
      </c>
      <c r="AF68" s="97">
        <f t="shared" si="19"/>
        <v>76928.187443186034</v>
      </c>
      <c r="AG68" s="97">
        <f t="shared" si="19"/>
        <v>76928.187443186034</v>
      </c>
      <c r="AH68" s="97">
        <f t="shared" si="19"/>
        <v>76928.187443186034</v>
      </c>
    </row>
    <row r="69" spans="2:34" x14ac:dyDescent="0.25">
      <c r="B69">
        <v>272</v>
      </c>
      <c r="C69" s="28">
        <v>5</v>
      </c>
      <c r="D69" s="35" t="s">
        <v>105</v>
      </c>
      <c r="E69" s="154">
        <f>INDEX('2019 Data Lockdown'!H$5:H$257,MATCH(B69,'2019 Data Lockdown'!B$5:B$257,0))</f>
        <v>311.79011619626056</v>
      </c>
      <c r="F69" s="5">
        <f>INDEX('2019 Data Lockdown'!E$5:E$257,MATCH(B69,'2019 Data Lockdown'!B$5:B$257,0))</f>
        <v>96048.45</v>
      </c>
      <c r="G69" s="5">
        <f>INDEX('2019 Data Lockdown'!F$5:F$257,MATCH(B69,'2019 Data Lockdown'!B$5:B$257,0))</f>
        <v>0</v>
      </c>
      <c r="H69" s="5">
        <f t="shared" si="1"/>
        <v>96048.45</v>
      </c>
      <c r="I69" s="95">
        <f t="shared" si="2"/>
        <v>308.05482602130013</v>
      </c>
      <c r="J69" s="6">
        <f t="shared" si="3"/>
        <v>308.05482602130013</v>
      </c>
      <c r="K69" s="5">
        <f t="shared" si="4"/>
        <v>96048.45</v>
      </c>
      <c r="L69" s="135">
        <f>INDEX('2019 Best Practice Scores'!L$4:L$256,MATCH(B69,'2019 Best Practice Scores'!A$4:A$256,0))</f>
        <v>0.43055555555555558</v>
      </c>
      <c r="M69" s="97">
        <f t="shared" si="5"/>
        <v>22216.242890357295</v>
      </c>
      <c r="N69" s="97">
        <f t="shared" si="6"/>
        <v>22315.838321037718</v>
      </c>
      <c r="O69" s="97">
        <f t="shared" si="7"/>
        <v>2869.5980400044841</v>
      </c>
      <c r="P69" s="97">
        <f t="shared" si="8"/>
        <v>1167.1517869896827</v>
      </c>
      <c r="Q69" s="97">
        <f t="shared" si="9"/>
        <v>48568.83103838918</v>
      </c>
      <c r="R69" s="104">
        <f t="shared" si="10"/>
        <v>0.5056701179289117</v>
      </c>
      <c r="S69" s="166">
        <f t="shared" si="11"/>
        <v>48570.788495177221</v>
      </c>
      <c r="T69" s="97"/>
      <c r="U69" s="97">
        <f>IFERROR(INDEX('Revised 2020 MFAM(2018 PYAs)'!AD$26:AD$300,MATCH(B69,'Revised 2020 MFAM(2018 PYAs)'!B$26:B$300,0)),0)</f>
        <v>-9.0686433021328412</v>
      </c>
      <c r="V69" s="97">
        <f>IFERROR(INDEX('Revised 2019 MFAM(2017 PYAs)'!AF$26:AF$300,MATCH(B69,'Revised 2019 MFAM(2017 PYAs)'!B$26:B$300,0)),0)</f>
        <v>7.9229842633503722</v>
      </c>
      <c r="W69" s="97">
        <f t="shared" si="12"/>
        <v>-3.2348392234964801E-2</v>
      </c>
      <c r="X69" s="97">
        <f t="shared" si="13"/>
        <v>-1.1780074310174338</v>
      </c>
      <c r="Y69" s="97"/>
      <c r="Z69" s="98">
        <f t="shared" si="14"/>
        <v>48569.610487746206</v>
      </c>
      <c r="AA69" s="99">
        <v>0</v>
      </c>
      <c r="AB69" s="100">
        <f t="shared" si="15"/>
        <v>0</v>
      </c>
      <c r="AC69" s="97">
        <f t="shared" si="16"/>
        <v>48569.610487746206</v>
      </c>
      <c r="AD69" s="103"/>
      <c r="AE69" s="97">
        <f t="shared" si="19"/>
        <v>12142.402621936551</v>
      </c>
      <c r="AF69" s="97">
        <f t="shared" si="19"/>
        <v>12142.402621936551</v>
      </c>
      <c r="AG69" s="97">
        <f t="shared" si="19"/>
        <v>12142.402621936551</v>
      </c>
      <c r="AH69" s="97">
        <f t="shared" si="19"/>
        <v>12142.402621936551</v>
      </c>
    </row>
    <row r="70" spans="2:34" x14ac:dyDescent="0.25">
      <c r="B70">
        <v>427</v>
      </c>
      <c r="C70" s="28">
        <v>5</v>
      </c>
      <c r="D70" s="35" t="s">
        <v>106</v>
      </c>
      <c r="E70" s="154">
        <f>INDEX('2019 Data Lockdown'!H$5:H$257,MATCH(B70,'2019 Data Lockdown'!B$5:B$257,0))</f>
        <v>437.80999999999989</v>
      </c>
      <c r="F70" s="5">
        <f>INDEX('2019 Data Lockdown'!E$5:E$257,MATCH(B70,'2019 Data Lockdown'!B$5:B$257,0))</f>
        <v>207168.59</v>
      </c>
      <c r="G70" s="5">
        <f>INDEX('2019 Data Lockdown'!F$5:F$257,MATCH(B70,'2019 Data Lockdown'!B$5:B$257,0))</f>
        <v>41727.25</v>
      </c>
      <c r="H70" s="5">
        <f t="shared" si="1"/>
        <v>165441.34</v>
      </c>
      <c r="I70" s="95">
        <f t="shared" si="2"/>
        <v>377.88387656746085</v>
      </c>
      <c r="J70" s="6">
        <f t="shared" si="3"/>
        <v>377.88387656746085</v>
      </c>
      <c r="K70" s="5">
        <f t="shared" si="4"/>
        <v>165441.34</v>
      </c>
      <c r="L70" s="135">
        <f>INDEX('2019 Best Practice Scores'!L$4:L$256,MATCH(B70,'2019 Best Practice Scores'!A$4:A$256,0))</f>
        <v>0.79629629629629628</v>
      </c>
      <c r="M70" s="97">
        <f t="shared" si="5"/>
        <v>38266.989145021958</v>
      </c>
      <c r="N70" s="97">
        <f t="shared" si="6"/>
        <v>31335.493551000185</v>
      </c>
      <c r="O70" s="97">
        <f t="shared" si="7"/>
        <v>9141.558517977468</v>
      </c>
      <c r="P70" s="97">
        <f t="shared" si="8"/>
        <v>2010.3932507288528</v>
      </c>
      <c r="Q70" s="97">
        <f t="shared" si="9"/>
        <v>80754.43446472846</v>
      </c>
      <c r="R70" s="104">
        <f t="shared" si="10"/>
        <v>0.48811521028981308</v>
      </c>
      <c r="S70" s="166">
        <f t="shared" si="11"/>
        <v>80757.68908940292</v>
      </c>
      <c r="T70" s="97"/>
      <c r="U70" s="97">
        <f>IFERROR(INDEX('Revised 2020 MFAM(2018 PYAs)'!AD$26:AD$300,MATCH(B70,'Revised 2020 MFAM(2018 PYAs)'!B$26:B$300,0)),0)</f>
        <v>-20.78333258217026</v>
      </c>
      <c r="V70" s="97">
        <f>IFERROR(INDEX('Revised 2019 MFAM(2017 PYAs)'!AF$26:AF$300,MATCH(B70,'Revised 2019 MFAM(2017 PYAs)'!B$26:B$300,0)),0)</f>
        <v>9.1843125460727606</v>
      </c>
      <c r="W70" s="97">
        <f t="shared" si="12"/>
        <v>-5.3785031777129497E-2</v>
      </c>
      <c r="X70" s="97">
        <f t="shared" si="13"/>
        <v>-11.652805067874629</v>
      </c>
      <c r="Y70" s="97"/>
      <c r="Z70" s="98">
        <f t="shared" si="14"/>
        <v>80746.036284335045</v>
      </c>
      <c r="AA70" s="99">
        <v>0</v>
      </c>
      <c r="AB70" s="100">
        <f t="shared" si="15"/>
        <v>0</v>
      </c>
      <c r="AC70" s="97">
        <f t="shared" si="16"/>
        <v>80746.036284335045</v>
      </c>
      <c r="AD70" s="103"/>
      <c r="AE70" s="97">
        <f t="shared" si="19"/>
        <v>20186.509071083761</v>
      </c>
      <c r="AF70" s="97">
        <f t="shared" si="19"/>
        <v>20186.509071083761</v>
      </c>
      <c r="AG70" s="97">
        <f t="shared" si="19"/>
        <v>20186.509071083761</v>
      </c>
      <c r="AH70" s="97">
        <f t="shared" si="19"/>
        <v>20186.509071083761</v>
      </c>
    </row>
    <row r="71" spans="2:34" x14ac:dyDescent="0.25">
      <c r="B71">
        <v>524</v>
      </c>
      <c r="C71" s="28">
        <v>5</v>
      </c>
      <c r="D71" s="35" t="s">
        <v>107</v>
      </c>
      <c r="E71" s="154">
        <f>INDEX('2019 Data Lockdown'!H$5:H$257,MATCH(B71,'2019 Data Lockdown'!B$5:B$257,0))</f>
        <v>482.90262956638958</v>
      </c>
      <c r="F71" s="5">
        <f>INDEX('2019 Data Lockdown'!E$5:E$257,MATCH(B71,'2019 Data Lockdown'!B$5:B$257,0))</f>
        <v>318123.49</v>
      </c>
      <c r="G71" s="5">
        <f>INDEX('2019 Data Lockdown'!F$5:F$257,MATCH(B71,'2019 Data Lockdown'!B$5:B$257,0))</f>
        <v>89207.8</v>
      </c>
      <c r="H71" s="5">
        <f t="shared" si="1"/>
        <v>228915.69</v>
      </c>
      <c r="I71" s="95">
        <f t="shared" si="2"/>
        <v>474.04109231202398</v>
      </c>
      <c r="J71" s="6">
        <f t="shared" si="3"/>
        <v>474.04109231202398</v>
      </c>
      <c r="K71" s="5">
        <f t="shared" si="4"/>
        <v>228915.69</v>
      </c>
      <c r="L71" s="135">
        <f>INDEX('2019 Best Practice Scores'!L$4:L$256,MATCH(B71,'2019 Best Practice Scores'!A$4:A$256,0))</f>
        <v>0.79166666666666674</v>
      </c>
      <c r="M71" s="97">
        <f t="shared" si="5"/>
        <v>52948.76253030356</v>
      </c>
      <c r="N71" s="97">
        <f t="shared" si="6"/>
        <v>34562.920523831424</v>
      </c>
      <c r="O71" s="97">
        <f t="shared" si="7"/>
        <v>12575.331100947096</v>
      </c>
      <c r="P71" s="97">
        <f t="shared" si="8"/>
        <v>2781.7144019864586</v>
      </c>
      <c r="Q71" s="97">
        <f t="shared" si="9"/>
        <v>102868.72855706853</v>
      </c>
      <c r="R71" s="104">
        <f t="shared" si="10"/>
        <v>0.44937386579779015</v>
      </c>
      <c r="S71" s="166">
        <f t="shared" si="11"/>
        <v>102872.87444830549</v>
      </c>
      <c r="T71" s="97"/>
      <c r="U71" s="97">
        <f>IFERROR(INDEX('Revised 2020 MFAM(2018 PYAs)'!AD$26:AD$300,MATCH(B71,'Revised 2020 MFAM(2018 PYAs)'!B$26:B$300,0)),0)</f>
        <v>-1683.3109364131233</v>
      </c>
      <c r="V71" s="97">
        <f>IFERROR(INDEX('Revised 2019 MFAM(2017 PYAs)'!AF$26:AF$300,MATCH(B71,'Revised 2019 MFAM(2017 PYAs)'!B$26:B$300,0)),0)</f>
        <v>139.71270455798367</v>
      </c>
      <c r="W71" s="97">
        <f t="shared" si="12"/>
        <v>-6.8513857734109063E-2</v>
      </c>
      <c r="X71" s="97">
        <f t="shared" si="13"/>
        <v>-1543.6667457128738</v>
      </c>
      <c r="Y71" s="97"/>
      <c r="Z71" s="98">
        <f t="shared" si="14"/>
        <v>101329.20770259261</v>
      </c>
      <c r="AA71" s="99">
        <v>0</v>
      </c>
      <c r="AB71" s="100">
        <f t="shared" si="15"/>
        <v>0</v>
      </c>
      <c r="AC71" s="97">
        <f t="shared" si="16"/>
        <v>101329.20770259261</v>
      </c>
      <c r="AD71" s="103"/>
      <c r="AE71" s="97">
        <f t="shared" si="19"/>
        <v>25332.301925648153</v>
      </c>
      <c r="AF71" s="97">
        <f t="shared" si="19"/>
        <v>25332.301925648153</v>
      </c>
      <c r="AG71" s="97">
        <f t="shared" si="19"/>
        <v>25332.301925648153</v>
      </c>
      <c r="AH71" s="97">
        <f t="shared" si="19"/>
        <v>25332.301925648153</v>
      </c>
    </row>
    <row r="72" spans="2:34" x14ac:dyDescent="0.25">
      <c r="B72">
        <v>565</v>
      </c>
      <c r="C72" s="28">
        <v>5</v>
      </c>
      <c r="D72" s="35" t="s">
        <v>108</v>
      </c>
      <c r="E72" s="154">
        <f>INDEX('2019 Data Lockdown'!H$5:H$257,MATCH(B72,'2019 Data Lockdown'!B$5:B$257,0))</f>
        <v>494.21083681672025</v>
      </c>
      <c r="F72" s="5">
        <f>INDEX('2019 Data Lockdown'!E$5:E$257,MATCH(B72,'2019 Data Lockdown'!B$5:B$257,0))</f>
        <v>274241.52</v>
      </c>
      <c r="G72" s="5">
        <f>INDEX('2019 Data Lockdown'!F$5:F$257,MATCH(B72,'2019 Data Lockdown'!B$5:B$257,0))</f>
        <v>88951.02</v>
      </c>
      <c r="H72" s="5">
        <f t="shared" si="1"/>
        <v>185290.5</v>
      </c>
      <c r="I72" s="95">
        <f t="shared" si="2"/>
        <v>374.92196891812716</v>
      </c>
      <c r="J72" s="6">
        <f t="shared" si="3"/>
        <v>374.92196891812716</v>
      </c>
      <c r="K72" s="5">
        <f t="shared" si="4"/>
        <v>185290.5</v>
      </c>
      <c r="L72" s="135">
        <f>INDEX('2019 Best Practice Scores'!L$4:L$256,MATCH(B72,'2019 Best Practice Scores'!A$4:A$256,0))</f>
        <v>0.7222222222222221</v>
      </c>
      <c r="M72" s="97">
        <f t="shared" si="5"/>
        <v>42858.148708029636</v>
      </c>
      <c r="N72" s="97">
        <f t="shared" si="6"/>
        <v>35372.285900058807</v>
      </c>
      <c r="O72" s="97">
        <f t="shared" si="7"/>
        <v>9285.9322200730858</v>
      </c>
      <c r="P72" s="97">
        <f t="shared" si="8"/>
        <v>2251.5942546414008</v>
      </c>
      <c r="Q72" s="97">
        <f t="shared" si="9"/>
        <v>89767.961082802925</v>
      </c>
      <c r="R72" s="104">
        <f t="shared" si="10"/>
        <v>0.48447147092162268</v>
      </c>
      <c r="S72" s="166">
        <f t="shared" si="11"/>
        <v>89771.578977263503</v>
      </c>
      <c r="T72" s="97"/>
      <c r="U72" s="97">
        <f>IFERROR(INDEX('Revised 2020 MFAM(2018 PYAs)'!AD$26:AD$300,MATCH(B72,'Revised 2020 MFAM(2018 PYAs)'!B$26:B$300,0)),0)</f>
        <v>-23.972611218647216</v>
      </c>
      <c r="V72" s="97">
        <f>IFERROR(INDEX('Revised 2019 MFAM(2017 PYAs)'!AF$26:AF$300,MATCH(B72,'Revised 2019 MFAM(2017 PYAs)'!B$26:B$300,0)),0)</f>
        <v>11.310048509898479</v>
      </c>
      <c r="W72" s="97">
        <f t="shared" si="12"/>
        <v>-5.9788328299364243E-2</v>
      </c>
      <c r="X72" s="97">
        <f t="shared" si="13"/>
        <v>-12.722351037048101</v>
      </c>
      <c r="Y72" s="97"/>
      <c r="Z72" s="98">
        <f t="shared" si="14"/>
        <v>89758.85662622645</v>
      </c>
      <c r="AA72" s="99">
        <v>0</v>
      </c>
      <c r="AB72" s="100">
        <f t="shared" si="15"/>
        <v>0</v>
      </c>
      <c r="AC72" s="97">
        <f t="shared" si="16"/>
        <v>89758.85662622645</v>
      </c>
      <c r="AD72" s="103"/>
      <c r="AE72" s="97">
        <f t="shared" si="19"/>
        <v>22439.714156556613</v>
      </c>
      <c r="AF72" s="97">
        <f t="shared" si="19"/>
        <v>22439.714156556613</v>
      </c>
      <c r="AG72" s="97">
        <f t="shared" si="19"/>
        <v>22439.714156556613</v>
      </c>
      <c r="AH72" s="97">
        <f t="shared" si="19"/>
        <v>22439.714156556613</v>
      </c>
    </row>
    <row r="73" spans="2:34" x14ac:dyDescent="0.25">
      <c r="B73">
        <v>613</v>
      </c>
      <c r="C73" s="28">
        <v>5</v>
      </c>
      <c r="D73" s="35" t="s">
        <v>109</v>
      </c>
      <c r="E73" s="154">
        <f>INDEX('2019 Data Lockdown'!H$5:H$257,MATCH(B73,'2019 Data Lockdown'!B$5:B$257,0))</f>
        <v>131.44881180778847</v>
      </c>
      <c r="F73" s="5">
        <f>INDEX('2019 Data Lockdown'!E$5:E$257,MATCH(B73,'2019 Data Lockdown'!B$5:B$257,0))</f>
        <v>69874.64</v>
      </c>
      <c r="G73" s="5">
        <f>INDEX('2019 Data Lockdown'!F$5:F$257,MATCH(B73,'2019 Data Lockdown'!B$5:B$257,0))</f>
        <v>0</v>
      </c>
      <c r="H73" s="5">
        <f t="shared" si="1"/>
        <v>69874.64</v>
      </c>
      <c r="I73" s="95">
        <f t="shared" si="2"/>
        <v>531.57300578855336</v>
      </c>
      <c r="J73" s="6">
        <f t="shared" si="3"/>
        <v>531.57300578855336</v>
      </c>
      <c r="K73" s="5">
        <f t="shared" si="4"/>
        <v>69874.64</v>
      </c>
      <c r="L73" s="135">
        <f>INDEX('2019 Best Practice Scores'!L$4:L$256,MATCH(B73,'2019 Best Practice Scores'!A$4:A$256,0))</f>
        <v>0.22222222222222221</v>
      </c>
      <c r="M73" s="97">
        <f t="shared" si="5"/>
        <v>16162.176215402493</v>
      </c>
      <c r="N73" s="97">
        <f t="shared" si="6"/>
        <v>9408.2213624393989</v>
      </c>
      <c r="O73" s="97">
        <f t="shared" si="7"/>
        <v>1077.478414360166</v>
      </c>
      <c r="P73" s="97">
        <f t="shared" si="8"/>
        <v>849.09554439723661</v>
      </c>
      <c r="Q73" s="97">
        <f t="shared" si="9"/>
        <v>27496.971536599292</v>
      </c>
      <c r="R73" s="104">
        <f t="shared" si="10"/>
        <v>0.39351861471628752</v>
      </c>
      <c r="S73" s="166">
        <f t="shared" si="11"/>
        <v>27498.079739791221</v>
      </c>
      <c r="T73" s="97"/>
      <c r="U73" s="97">
        <f>IFERROR(INDEX('Revised 2020 MFAM(2018 PYAs)'!AD$26:AD$300,MATCH(B73,'Revised 2020 MFAM(2018 PYAs)'!B$26:B$300,0)),0)</f>
        <v>0</v>
      </c>
      <c r="V73" s="97">
        <f>IFERROR(INDEX('Revised 2019 MFAM(2017 PYAs)'!AF$26:AF$300,MATCH(B73,'Revised 2019 MFAM(2017 PYAs)'!B$26:B$300,0)),0)</f>
        <v>22.857854497346125</v>
      </c>
      <c r="W73" s="97">
        <f t="shared" si="12"/>
        <v>-1.831386099938297E-2</v>
      </c>
      <c r="X73" s="97">
        <f t="shared" si="13"/>
        <v>22.83954063634674</v>
      </c>
      <c r="Y73" s="97"/>
      <c r="Z73" s="98">
        <f t="shared" si="14"/>
        <v>27520.919280427566</v>
      </c>
      <c r="AA73" s="99">
        <v>0</v>
      </c>
      <c r="AB73" s="100">
        <f t="shared" si="15"/>
        <v>0</v>
      </c>
      <c r="AC73" s="97">
        <f t="shared" si="16"/>
        <v>27520.919280427566</v>
      </c>
      <c r="AD73" s="103"/>
      <c r="AE73" s="97">
        <f t="shared" si="19"/>
        <v>6880.2298201068916</v>
      </c>
      <c r="AF73" s="97">
        <f t="shared" si="19"/>
        <v>6880.2298201068916</v>
      </c>
      <c r="AG73" s="97">
        <f t="shared" si="19"/>
        <v>6880.2298201068916</v>
      </c>
      <c r="AH73" s="97">
        <f t="shared" si="19"/>
        <v>6880.2298201068916</v>
      </c>
    </row>
    <row r="74" spans="2:34" x14ac:dyDescent="0.25">
      <c r="B74">
        <v>696</v>
      </c>
      <c r="C74" s="28">
        <v>5</v>
      </c>
      <c r="D74" s="35" t="s">
        <v>110</v>
      </c>
      <c r="E74" s="154">
        <f>INDEX('2019 Data Lockdown'!H$5:H$257,MATCH(B74,'2019 Data Lockdown'!B$5:B$257,0))</f>
        <v>255.58264483294207</v>
      </c>
      <c r="F74" s="5">
        <f>INDEX('2019 Data Lockdown'!E$5:E$257,MATCH(B74,'2019 Data Lockdown'!B$5:B$257,0))</f>
        <v>129470.73</v>
      </c>
      <c r="G74" s="5">
        <f>INDEX('2019 Data Lockdown'!F$5:F$257,MATCH(B74,'2019 Data Lockdown'!B$5:B$257,0))</f>
        <v>201.75</v>
      </c>
      <c r="H74" s="5">
        <f t="shared" si="1"/>
        <v>129268.98</v>
      </c>
      <c r="I74" s="95">
        <f t="shared" si="2"/>
        <v>505.78152551983652</v>
      </c>
      <c r="J74" s="6">
        <f t="shared" si="3"/>
        <v>505.78152551983652</v>
      </c>
      <c r="K74" s="5">
        <f t="shared" si="4"/>
        <v>129268.98</v>
      </c>
      <c r="L74" s="135">
        <f>INDEX('2019 Best Practice Scores'!L$4:L$256,MATCH(B74,'2019 Best Practice Scores'!A$4:A$256,0))</f>
        <v>0.37268518518518512</v>
      </c>
      <c r="M74" s="97">
        <f t="shared" si="5"/>
        <v>29900.233245499949</v>
      </c>
      <c r="N74" s="97">
        <f t="shared" si="6"/>
        <v>18292.885769877867</v>
      </c>
      <c r="O74" s="97">
        <f t="shared" si="7"/>
        <v>3343.0121892538132</v>
      </c>
      <c r="P74" s="97">
        <f t="shared" si="8"/>
        <v>1570.8376450565684</v>
      </c>
      <c r="Q74" s="97">
        <f t="shared" si="9"/>
        <v>53106.968849688201</v>
      </c>
      <c r="R74" s="104">
        <f t="shared" si="10"/>
        <v>0.41082531052452181</v>
      </c>
      <c r="S74" s="166">
        <f t="shared" si="11"/>
        <v>53109.109205847584</v>
      </c>
      <c r="T74" s="97"/>
      <c r="U74" s="97">
        <f>IFERROR(INDEX('Revised 2020 MFAM(2018 PYAs)'!AD$26:AD$300,MATCH(B74,'Revised 2020 MFAM(2018 PYAs)'!B$26:B$300,0)),0)</f>
        <v>-18.426851383359462</v>
      </c>
      <c r="V74" s="97">
        <f>IFERROR(INDEX('Revised 2019 MFAM(2017 PYAs)'!AF$26:AF$300,MATCH(B74,'Revised 2019 MFAM(2017 PYAs)'!B$26:B$300,0)),0)</f>
        <v>7.7023502504598582</v>
      </c>
      <c r="W74" s="97">
        <f t="shared" si="12"/>
        <v>-3.5370936916350938E-2</v>
      </c>
      <c r="X74" s="97">
        <f t="shared" si="13"/>
        <v>-10.759872069815955</v>
      </c>
      <c r="Y74" s="97"/>
      <c r="Z74" s="98">
        <f t="shared" si="14"/>
        <v>53098.349333777769</v>
      </c>
      <c r="AA74" s="99">
        <v>0</v>
      </c>
      <c r="AB74" s="100">
        <f t="shared" si="15"/>
        <v>0</v>
      </c>
      <c r="AC74" s="97">
        <f t="shared" si="16"/>
        <v>53098.349333777769</v>
      </c>
      <c r="AD74" s="103"/>
      <c r="AE74" s="97">
        <f t="shared" si="19"/>
        <v>13274.587333444442</v>
      </c>
      <c r="AF74" s="97">
        <f t="shared" si="19"/>
        <v>13274.587333444442</v>
      </c>
      <c r="AG74" s="97">
        <f t="shared" si="19"/>
        <v>13274.587333444442</v>
      </c>
      <c r="AH74" s="97">
        <f t="shared" si="19"/>
        <v>13274.587333444442</v>
      </c>
    </row>
    <row r="75" spans="2:34" x14ac:dyDescent="0.25">
      <c r="B75">
        <v>731</v>
      </c>
      <c r="C75" s="28">
        <v>5</v>
      </c>
      <c r="D75" s="35" t="s">
        <v>111</v>
      </c>
      <c r="E75" s="154">
        <f>INDEX('2019 Data Lockdown'!H$5:H$257,MATCH(B75,'2019 Data Lockdown'!B$5:B$257,0))</f>
        <v>1049.3999999999999</v>
      </c>
      <c r="F75" s="5">
        <f>INDEX('2019 Data Lockdown'!E$5:E$257,MATCH(B75,'2019 Data Lockdown'!B$5:B$257,0))</f>
        <v>268966.73</v>
      </c>
      <c r="G75" s="5">
        <f>INDEX('2019 Data Lockdown'!F$5:F$257,MATCH(B75,'2019 Data Lockdown'!B$5:B$257,0))</f>
        <v>41367.85</v>
      </c>
      <c r="H75" s="5">
        <f t="shared" si="1"/>
        <v>227598.87999999998</v>
      </c>
      <c r="I75" s="95">
        <f t="shared" si="2"/>
        <v>216.88477225080999</v>
      </c>
      <c r="J75" s="6">
        <f t="shared" si="3"/>
        <v>216.88477225080999</v>
      </c>
      <c r="K75" s="5">
        <f t="shared" si="4"/>
        <v>227598.87999999998</v>
      </c>
      <c r="L75" s="135">
        <f>INDEX('2019 Best Practice Scores'!L$4:L$256,MATCH(B75,'2019 Best Practice Scores'!A$4:A$256,0))</f>
        <v>0.69907407407407396</v>
      </c>
      <c r="M75" s="97">
        <f t="shared" si="5"/>
        <v>52644.181136221181</v>
      </c>
      <c r="N75" s="97">
        <f t="shared" si="6"/>
        <v>75108.990046868726</v>
      </c>
      <c r="O75" s="97">
        <f t="shared" si="7"/>
        <v>11040.654654957494</v>
      </c>
      <c r="P75" s="97">
        <f t="shared" si="8"/>
        <v>2765.7129241424545</v>
      </c>
      <c r="Q75" s="97">
        <f t="shared" si="9"/>
        <v>141559.53876218986</v>
      </c>
      <c r="R75" s="104">
        <f t="shared" si="10"/>
        <v>0.62196939968329312</v>
      </c>
      <c r="S75" s="166">
        <f t="shared" si="11"/>
        <v>141565.24399894639</v>
      </c>
      <c r="T75" s="97"/>
      <c r="U75" s="97">
        <f>IFERROR(INDEX('Revised 2020 MFAM(2018 PYAs)'!AD$26:AD$300,MATCH(B75,'Revised 2020 MFAM(2018 PYAs)'!B$26:B$300,0)),0)</f>
        <v>-664.37703667567985</v>
      </c>
      <c r="V75" s="97">
        <f>IFERROR(INDEX('Revised 2019 MFAM(2017 PYAs)'!AF$26:AF$300,MATCH(B75,'Revised 2019 MFAM(2017 PYAs)'!B$26:B$300,0)),0)</f>
        <v>16.641491343616508</v>
      </c>
      <c r="W75" s="97">
        <f t="shared" si="12"/>
        <v>-9.4283172696920936E-2</v>
      </c>
      <c r="X75" s="97">
        <f t="shared" si="13"/>
        <v>-647.82982850476026</v>
      </c>
      <c r="Y75" s="97"/>
      <c r="Z75" s="98">
        <f t="shared" si="14"/>
        <v>140917.41417044163</v>
      </c>
      <c r="AA75" s="99">
        <v>0</v>
      </c>
      <c r="AB75" s="100">
        <f t="shared" si="15"/>
        <v>0</v>
      </c>
      <c r="AC75" s="97">
        <f t="shared" si="16"/>
        <v>140917.41417044163</v>
      </c>
      <c r="AD75" s="103"/>
      <c r="AE75" s="97">
        <f t="shared" si="19"/>
        <v>35229.353542610406</v>
      </c>
      <c r="AF75" s="97">
        <f t="shared" si="19"/>
        <v>35229.353542610406</v>
      </c>
      <c r="AG75" s="97">
        <f t="shared" si="19"/>
        <v>35229.353542610406</v>
      </c>
      <c r="AH75" s="97">
        <f t="shared" si="19"/>
        <v>35229.353542610406</v>
      </c>
    </row>
    <row r="76" spans="2:34" x14ac:dyDescent="0.25">
      <c r="B76">
        <v>732</v>
      </c>
      <c r="C76" s="28">
        <v>5</v>
      </c>
      <c r="D76" s="35" t="s">
        <v>112</v>
      </c>
      <c r="E76" s="154">
        <f>INDEX('2019 Data Lockdown'!H$5:H$257,MATCH(B76,'2019 Data Lockdown'!B$5:B$257,0))</f>
        <v>190.20939315714199</v>
      </c>
      <c r="F76" s="5">
        <f>INDEX('2019 Data Lockdown'!E$5:E$257,MATCH(B76,'2019 Data Lockdown'!B$5:B$257,0))</f>
        <v>70626.64</v>
      </c>
      <c r="G76" s="5">
        <f>INDEX('2019 Data Lockdown'!F$5:F$257,MATCH(B76,'2019 Data Lockdown'!B$5:B$257,0))</f>
        <v>0</v>
      </c>
      <c r="H76" s="5">
        <f t="shared" si="1"/>
        <v>70626.64</v>
      </c>
      <c r="I76" s="95">
        <f t="shared" si="2"/>
        <v>371.3099486188446</v>
      </c>
      <c r="J76" s="6">
        <f t="shared" si="3"/>
        <v>371.3099486188446</v>
      </c>
      <c r="K76" s="5">
        <f t="shared" si="4"/>
        <v>70626.64</v>
      </c>
      <c r="L76" s="135">
        <f>INDEX('2019 Best Practice Scores'!L$4:L$256,MATCH(B76,'2019 Best Practice Scores'!A$4:A$256,0))</f>
        <v>0.4907407407407407</v>
      </c>
      <c r="M76" s="97">
        <f t="shared" si="5"/>
        <v>16336.115666310328</v>
      </c>
      <c r="N76" s="97">
        <f t="shared" si="6"/>
        <v>13613.90834520747</v>
      </c>
      <c r="O76" s="97">
        <f t="shared" si="7"/>
        <v>2405.0392508734644</v>
      </c>
      <c r="P76" s="97">
        <f t="shared" si="8"/>
        <v>858.23362152202367</v>
      </c>
      <c r="Q76" s="97">
        <f t="shared" si="9"/>
        <v>33213.296883913288</v>
      </c>
      <c r="R76" s="104">
        <f t="shared" si="10"/>
        <v>0.47026584988204578</v>
      </c>
      <c r="S76" s="166">
        <f t="shared" si="11"/>
        <v>33214.635470658097</v>
      </c>
      <c r="T76" s="97"/>
      <c r="U76" s="97">
        <f>IFERROR(INDEX('Revised 2020 MFAM(2018 PYAs)'!AD$26:AD$300,MATCH(B76,'Revised 2020 MFAM(2018 PYAs)'!B$26:B$300,0)),0)</f>
        <v>-9.6458785261784215</v>
      </c>
      <c r="V76" s="97">
        <f>IFERROR(INDEX('Revised 2019 MFAM(2017 PYAs)'!AF$26:AF$300,MATCH(B76,'Revised 2019 MFAM(2017 PYAs)'!B$26:B$300,0)),0)</f>
        <v>4.8063949542411137</v>
      </c>
      <c r="W76" s="97">
        <f t="shared" si="12"/>
        <v>-2.2121116198327892E-2</v>
      </c>
      <c r="X76" s="97">
        <f t="shared" si="13"/>
        <v>-4.8616046881356354</v>
      </c>
      <c r="Y76" s="97"/>
      <c r="Z76" s="98">
        <f t="shared" si="14"/>
        <v>33209.773865969961</v>
      </c>
      <c r="AA76" s="99">
        <v>0</v>
      </c>
      <c r="AB76" s="100">
        <f t="shared" si="15"/>
        <v>0</v>
      </c>
      <c r="AC76" s="97">
        <f t="shared" si="16"/>
        <v>33209.773865969961</v>
      </c>
      <c r="AD76" s="103"/>
      <c r="AE76" s="97">
        <f t="shared" si="19"/>
        <v>8302.4434664924902</v>
      </c>
      <c r="AF76" s="97">
        <f t="shared" si="19"/>
        <v>8302.4434664924902</v>
      </c>
      <c r="AG76" s="97">
        <f t="shared" si="19"/>
        <v>8302.4434664924902</v>
      </c>
      <c r="AH76" s="97">
        <f t="shared" si="19"/>
        <v>8302.4434664924902</v>
      </c>
    </row>
    <row r="77" spans="2:34" x14ac:dyDescent="0.25">
      <c r="B77">
        <v>754</v>
      </c>
      <c r="C77" s="28">
        <v>5</v>
      </c>
      <c r="D77" s="35" t="s">
        <v>113</v>
      </c>
      <c r="E77" s="154">
        <f>INDEX('2019 Data Lockdown'!H$5:H$257,MATCH(B77,'2019 Data Lockdown'!B$5:B$257,0))</f>
        <v>100.39736101583898</v>
      </c>
      <c r="F77" s="5">
        <f>INDEX('2019 Data Lockdown'!E$5:E$257,MATCH(B77,'2019 Data Lockdown'!B$5:B$257,0))</f>
        <v>35014.82</v>
      </c>
      <c r="G77" s="5">
        <f>INDEX('2019 Data Lockdown'!F$5:F$257,MATCH(B77,'2019 Data Lockdown'!B$5:B$257,0))</f>
        <v>0</v>
      </c>
      <c r="H77" s="5">
        <f t="shared" si="1"/>
        <v>35014.82</v>
      </c>
      <c r="I77" s="95">
        <f t="shared" si="2"/>
        <v>348.762354365828</v>
      </c>
      <c r="J77" s="6">
        <f t="shared" si="3"/>
        <v>348.762354365828</v>
      </c>
      <c r="K77" s="5">
        <f t="shared" si="4"/>
        <v>35014.82</v>
      </c>
      <c r="L77" s="135">
        <f>INDEX('2019 Best Practice Scores'!L$4:L$256,MATCH(B77,'2019 Best Practice Scores'!A$4:A$256,0))</f>
        <v>0.22222222222222221</v>
      </c>
      <c r="M77" s="97">
        <f t="shared" si="5"/>
        <v>8099.0140484530521</v>
      </c>
      <c r="N77" s="97">
        <f t="shared" si="6"/>
        <v>7185.7674759582032</v>
      </c>
      <c r="O77" s="97">
        <f t="shared" si="7"/>
        <v>539.93426989687009</v>
      </c>
      <c r="P77" s="97">
        <f t="shared" si="8"/>
        <v>425.4895288171968</v>
      </c>
      <c r="Q77" s="97">
        <f t="shared" si="9"/>
        <v>16250.205323125323</v>
      </c>
      <c r="R77" s="104">
        <f t="shared" si="10"/>
        <v>0.46409506954841762</v>
      </c>
      <c r="S77" s="166">
        <f t="shared" si="11"/>
        <v>16250.860250864715</v>
      </c>
      <c r="T77" s="97"/>
      <c r="U77" s="97">
        <f>IFERROR(INDEX('Revised 2020 MFAM(2018 PYAs)'!AD$26:AD$300,MATCH(B77,'Revised 2020 MFAM(2018 PYAs)'!B$26:B$300,0)),0)</f>
        <v>-4.3726050666537049</v>
      </c>
      <c r="V77" s="97">
        <f>IFERROR(INDEX('Revised 2019 MFAM(2017 PYAs)'!AF$26:AF$300,MATCH(B77,'Revised 2019 MFAM(2017 PYAs)'!B$26:B$300,0)),0)</f>
        <v>2.2934899378997216</v>
      </c>
      <c r="W77" s="97">
        <f t="shared" si="12"/>
        <v>-1.0823155601082489E-2</v>
      </c>
      <c r="X77" s="97">
        <f t="shared" si="13"/>
        <v>-2.0899382843550658</v>
      </c>
      <c r="Y77" s="97"/>
      <c r="Z77" s="98">
        <f t="shared" si="14"/>
        <v>16248.77031258036</v>
      </c>
      <c r="AA77" s="99">
        <v>0</v>
      </c>
      <c r="AB77" s="100">
        <f t="shared" si="15"/>
        <v>0</v>
      </c>
      <c r="AC77" s="97">
        <f t="shared" si="16"/>
        <v>16248.77031258036</v>
      </c>
      <c r="AD77" s="103"/>
      <c r="AE77" s="97">
        <f t="shared" si="19"/>
        <v>4062.19257814509</v>
      </c>
      <c r="AF77" s="97">
        <f t="shared" si="19"/>
        <v>4062.19257814509</v>
      </c>
      <c r="AG77" s="97">
        <f t="shared" si="19"/>
        <v>4062.19257814509</v>
      </c>
      <c r="AH77" s="97">
        <f t="shared" si="19"/>
        <v>4062.19257814509</v>
      </c>
    </row>
    <row r="78" spans="2:34" x14ac:dyDescent="0.25">
      <c r="B78">
        <v>885</v>
      </c>
      <c r="C78" s="28">
        <v>5</v>
      </c>
      <c r="D78" s="35" t="s">
        <v>114</v>
      </c>
      <c r="E78" s="154">
        <f>INDEX('2019 Data Lockdown'!H$5:H$257,MATCH(B78,'2019 Data Lockdown'!B$5:B$257,0))</f>
        <v>441.47999999999996</v>
      </c>
      <c r="F78" s="5">
        <f>INDEX('2019 Data Lockdown'!E$5:E$257,MATCH(B78,'2019 Data Lockdown'!B$5:B$257,0))</f>
        <v>146152.16</v>
      </c>
      <c r="G78" s="5">
        <f>INDEX('2019 Data Lockdown'!F$5:F$257,MATCH(B78,'2019 Data Lockdown'!B$5:B$257,0))</f>
        <v>0</v>
      </c>
      <c r="H78" s="5">
        <f t="shared" si="1"/>
        <v>146152.16</v>
      </c>
      <c r="I78" s="95">
        <f t="shared" si="2"/>
        <v>331.05046661230409</v>
      </c>
      <c r="J78" s="6">
        <f t="shared" si="3"/>
        <v>331.05046661230409</v>
      </c>
      <c r="K78" s="5">
        <f t="shared" si="4"/>
        <v>146152.16</v>
      </c>
      <c r="L78" s="135">
        <f>INDEX('2019 Best Practice Scores'!L$4:L$256,MATCH(B78,'2019 Best Practice Scores'!A$4:A$256,0))</f>
        <v>0.4861111111111111</v>
      </c>
      <c r="M78" s="97">
        <f t="shared" si="5"/>
        <v>33805.354334300682</v>
      </c>
      <c r="N78" s="97">
        <f t="shared" si="6"/>
        <v>31598.167453679824</v>
      </c>
      <c r="O78" s="97">
        <f t="shared" si="7"/>
        <v>4929.947507085516</v>
      </c>
      <c r="P78" s="97">
        <f t="shared" si="8"/>
        <v>1775.9969548327126</v>
      </c>
      <c r="Q78" s="97">
        <f t="shared" si="9"/>
        <v>72109.466249898731</v>
      </c>
      <c r="R78" s="104">
        <f t="shared" si="10"/>
        <v>0.49338625067120956</v>
      </c>
      <c r="S78" s="166">
        <f t="shared" si="11"/>
        <v>72112.372458699218</v>
      </c>
      <c r="T78" s="97"/>
      <c r="U78" s="97">
        <f>IFERROR(INDEX('Revised 2020 MFAM(2018 PYAs)'!AD$26:AD$300,MATCH(B78,'Revised 2020 MFAM(2018 PYAs)'!B$26:B$300,0)),0)</f>
        <v>-716.37009979975119</v>
      </c>
      <c r="V78" s="97">
        <f>IFERROR(INDEX('Revised 2019 MFAM(2017 PYAs)'!AF$26:AF$300,MATCH(B78,'Revised 2019 MFAM(2017 PYAs)'!B$26:B$300,0)),0)</f>
        <v>6.9147572571746423</v>
      </c>
      <c r="W78" s="97">
        <f t="shared" si="12"/>
        <v>-4.802720691922676E-2</v>
      </c>
      <c r="X78" s="97">
        <f t="shared" si="13"/>
        <v>-709.50336974949573</v>
      </c>
      <c r="Y78" s="97"/>
      <c r="Z78" s="98">
        <f t="shared" si="14"/>
        <v>71402.869088949723</v>
      </c>
      <c r="AA78" s="99">
        <v>0</v>
      </c>
      <c r="AB78" s="100">
        <f t="shared" si="15"/>
        <v>0</v>
      </c>
      <c r="AC78" s="97">
        <f t="shared" si="16"/>
        <v>71402.869088949723</v>
      </c>
      <c r="AD78" s="103"/>
      <c r="AE78" s="97">
        <f t="shared" si="19"/>
        <v>17850.717272237431</v>
      </c>
      <c r="AF78" s="97">
        <f t="shared" si="19"/>
        <v>17850.717272237431</v>
      </c>
      <c r="AG78" s="97">
        <f t="shared" si="19"/>
        <v>17850.717272237431</v>
      </c>
      <c r="AH78" s="97">
        <f t="shared" si="19"/>
        <v>17850.717272237431</v>
      </c>
    </row>
    <row r="79" spans="2:34" x14ac:dyDescent="0.25">
      <c r="B79">
        <v>909</v>
      </c>
      <c r="C79" s="28">
        <v>5</v>
      </c>
      <c r="D79" s="35" t="s">
        <v>115</v>
      </c>
      <c r="E79" s="154">
        <f>INDEX('2019 Data Lockdown'!H$5:H$257,MATCH(B79,'2019 Data Lockdown'!B$5:B$257,0))</f>
        <v>447.85999999999996</v>
      </c>
      <c r="F79" s="5">
        <f>INDEX('2019 Data Lockdown'!E$5:E$257,MATCH(B79,'2019 Data Lockdown'!B$5:B$257,0))</f>
        <v>200038.02</v>
      </c>
      <c r="G79" s="5">
        <f>INDEX('2019 Data Lockdown'!F$5:F$257,MATCH(B79,'2019 Data Lockdown'!B$5:B$257,0))</f>
        <v>620.13</v>
      </c>
      <c r="H79" s="5">
        <f t="shared" si="1"/>
        <v>199417.88999999998</v>
      </c>
      <c r="I79" s="95">
        <f t="shared" si="2"/>
        <v>445.26836511409817</v>
      </c>
      <c r="J79" s="6">
        <f t="shared" si="3"/>
        <v>445.26836511409817</v>
      </c>
      <c r="K79" s="5">
        <f t="shared" si="4"/>
        <v>199417.88999999998</v>
      </c>
      <c r="L79" s="135">
        <f>INDEX('2019 Best Practice Scores'!L$4:L$256,MATCH(B79,'2019 Best Practice Scores'!A$4:A$256,0))</f>
        <v>0.69444444444444442</v>
      </c>
      <c r="M79" s="97">
        <f t="shared" si="5"/>
        <v>46125.848786966919</v>
      </c>
      <c r="N79" s="97">
        <f t="shared" si="6"/>
        <v>32054.804919373575</v>
      </c>
      <c r="O79" s="97">
        <f t="shared" si="7"/>
        <v>9609.5518306181075</v>
      </c>
      <c r="P79" s="97">
        <f t="shared" si="8"/>
        <v>2423.2660357477084</v>
      </c>
      <c r="Q79" s="97">
        <f t="shared" si="9"/>
        <v>90213.471572706316</v>
      </c>
      <c r="R79" s="104">
        <f t="shared" si="10"/>
        <v>0.45238404424350454</v>
      </c>
      <c r="S79" s="166">
        <f t="shared" si="11"/>
        <v>90217.107422458663</v>
      </c>
      <c r="T79" s="97"/>
      <c r="U79" s="97">
        <f>IFERROR(INDEX('Revised 2020 MFAM(2018 PYAs)'!AD$26:AD$300,MATCH(B79,'Revised 2020 MFAM(2018 PYAs)'!B$26:B$300,0)),0)</f>
        <v>-25.784897188685136</v>
      </c>
      <c r="V79" s="97">
        <f>IFERROR(INDEX('Revised 2019 MFAM(2017 PYAs)'!AF$26:AF$300,MATCH(B79,'Revised 2019 MFAM(2017 PYAs)'!B$26:B$300,0)),0)</f>
        <v>10.848860728045111</v>
      </c>
      <c r="W79" s="97">
        <f t="shared" si="12"/>
        <v>-6.0085052510428651E-2</v>
      </c>
      <c r="X79" s="97">
        <f t="shared" si="13"/>
        <v>-14.996121513150454</v>
      </c>
      <c r="Y79" s="97"/>
      <c r="Z79" s="98">
        <f t="shared" si="14"/>
        <v>90202.111300945515</v>
      </c>
      <c r="AA79" s="99">
        <v>0</v>
      </c>
      <c r="AB79" s="100">
        <f t="shared" si="15"/>
        <v>0</v>
      </c>
      <c r="AC79" s="97">
        <f t="shared" si="16"/>
        <v>90202.111300945515</v>
      </c>
      <c r="AD79" s="103"/>
      <c r="AE79" s="97">
        <f t="shared" si="19"/>
        <v>22550.527825236379</v>
      </c>
      <c r="AF79" s="97">
        <f t="shared" si="19"/>
        <v>22550.527825236379</v>
      </c>
      <c r="AG79" s="97">
        <f t="shared" si="19"/>
        <v>22550.527825236379</v>
      </c>
      <c r="AH79" s="97">
        <f t="shared" si="19"/>
        <v>22550.527825236379</v>
      </c>
    </row>
    <row r="80" spans="2:34" x14ac:dyDescent="0.25">
      <c r="B80">
        <v>923</v>
      </c>
      <c r="C80" s="28">
        <v>5</v>
      </c>
      <c r="D80" s="35" t="s">
        <v>116</v>
      </c>
      <c r="E80" s="154">
        <f>INDEX('2019 Data Lockdown'!H$5:H$257,MATCH(B80,'2019 Data Lockdown'!B$5:B$257,0))</f>
        <v>44.943349148505419</v>
      </c>
      <c r="F80" s="5">
        <f>INDEX('2019 Data Lockdown'!E$5:E$257,MATCH(B80,'2019 Data Lockdown'!B$5:B$257,0))</f>
        <v>31192.39</v>
      </c>
      <c r="G80" s="5">
        <f>INDEX('2019 Data Lockdown'!F$5:F$257,MATCH(B80,'2019 Data Lockdown'!B$5:B$257,0))</f>
        <v>84</v>
      </c>
      <c r="H80" s="5">
        <f t="shared" si="1"/>
        <v>31108.39</v>
      </c>
      <c r="I80" s="95">
        <f t="shared" si="2"/>
        <v>692.16893243111815</v>
      </c>
      <c r="J80" s="6">
        <f t="shared" si="3"/>
        <v>539.27138314903584</v>
      </c>
      <c r="K80" s="5">
        <f t="shared" si="4"/>
        <v>24236.662058664559</v>
      </c>
      <c r="L80" s="135">
        <f>INDEX('2019 Best Practice Scores'!L$4:L$256,MATCH(B80,'2019 Best Practice Scores'!A$4:A$256,0))</f>
        <v>0.37962962962962965</v>
      </c>
      <c r="M80" s="97">
        <f t="shared" si="5"/>
        <v>5605.9995881953218</v>
      </c>
      <c r="N80" s="97">
        <f t="shared" si="6"/>
        <v>3216.7424851039068</v>
      </c>
      <c r="O80" s="97">
        <f t="shared" si="7"/>
        <v>638.46106421113393</v>
      </c>
      <c r="P80" s="97">
        <f t="shared" si="8"/>
        <v>294.51660523866224</v>
      </c>
      <c r="Q80" s="97">
        <f t="shared" si="9"/>
        <v>9755.7197427490264</v>
      </c>
      <c r="R80" s="104">
        <f t="shared" si="10"/>
        <v>0.40251911418888542</v>
      </c>
      <c r="S80" s="166">
        <f t="shared" si="11"/>
        <v>9756.1129249488949</v>
      </c>
      <c r="T80" s="97"/>
      <c r="U80" s="97">
        <f>IFERROR(INDEX('Revised 2020 MFAM(2018 PYAs)'!AD$26:AD$300,MATCH(B80,'Revised 2020 MFAM(2018 PYAs)'!B$26:B$300,0)),0)</f>
        <v>-153.35438528230407</v>
      </c>
      <c r="V80" s="97">
        <f>IFERROR(INDEX('Revised 2019 MFAM(2017 PYAs)'!AF$26:AF$300,MATCH(B80,'Revised 2019 MFAM(2017 PYAs)'!B$26:B$300,0)),0)</f>
        <v>11.656179303134195</v>
      </c>
      <c r="W80" s="97">
        <f t="shared" si="12"/>
        <v>-6.497620840892733E-3</v>
      </c>
      <c r="X80" s="97">
        <f t="shared" si="13"/>
        <v>-141.70470360001076</v>
      </c>
      <c r="Y80" s="97"/>
      <c r="Z80" s="98">
        <f t="shared" si="14"/>
        <v>9614.4082213488837</v>
      </c>
      <c r="AA80" s="99">
        <v>0</v>
      </c>
      <c r="AB80" s="100">
        <f t="shared" si="15"/>
        <v>0</v>
      </c>
      <c r="AC80" s="97">
        <f t="shared" si="16"/>
        <v>9614.4082213488837</v>
      </c>
      <c r="AD80" s="103"/>
      <c r="AE80" s="97">
        <f t="shared" si="19"/>
        <v>2403.6020553372209</v>
      </c>
      <c r="AF80" s="97">
        <f t="shared" si="19"/>
        <v>2403.6020553372209</v>
      </c>
      <c r="AG80" s="97">
        <f t="shared" si="19"/>
        <v>2403.6020553372209</v>
      </c>
      <c r="AH80" s="97">
        <f t="shared" si="19"/>
        <v>2403.6020553372209</v>
      </c>
    </row>
    <row r="81" spans="2:34" x14ac:dyDescent="0.25">
      <c r="B81">
        <v>394</v>
      </c>
      <c r="C81" s="28">
        <v>6</v>
      </c>
      <c r="D81" s="35" t="s">
        <v>117</v>
      </c>
      <c r="E81" s="154">
        <f>INDEX('2019 Data Lockdown'!H$5:H$257,MATCH(B81,'2019 Data Lockdown'!B$5:B$257,0))</f>
        <v>594.22</v>
      </c>
      <c r="F81" s="5">
        <f>INDEX('2019 Data Lockdown'!E$5:E$257,MATCH(B81,'2019 Data Lockdown'!B$5:B$257,0))</f>
        <v>421357.69</v>
      </c>
      <c r="G81" s="5">
        <f>INDEX('2019 Data Lockdown'!F$5:F$257,MATCH(B81,'2019 Data Lockdown'!B$5:B$257,0))</f>
        <v>25617.809999999998</v>
      </c>
      <c r="H81" s="5">
        <f t="shared" si="1"/>
        <v>395739.88</v>
      </c>
      <c r="I81" s="95">
        <f t="shared" si="2"/>
        <v>665.982094173875</v>
      </c>
      <c r="J81" s="6">
        <f t="shared" si="3"/>
        <v>665.982094173875</v>
      </c>
      <c r="K81" s="5">
        <f t="shared" si="4"/>
        <v>395739.88</v>
      </c>
      <c r="L81" s="135">
        <f>INDEX('2019 Best Practice Scores'!L$4:L$256,MATCH(B81,'2019 Best Practice Scores'!A$4:A$256,0))</f>
        <v>0.77314814814814814</v>
      </c>
      <c r="M81" s="97">
        <f t="shared" si="5"/>
        <v>91535.608283953043</v>
      </c>
      <c r="N81" s="97">
        <f t="shared" si="6"/>
        <v>42530.268787545589</v>
      </c>
      <c r="O81" s="97">
        <f t="shared" si="7"/>
        <v>21231.175810305773</v>
      </c>
      <c r="P81" s="97">
        <f t="shared" si="8"/>
        <v>4808.9116287153265</v>
      </c>
      <c r="Q81" s="97">
        <f t="shared" si="9"/>
        <v>160105.96451051973</v>
      </c>
      <c r="R81" s="104">
        <f t="shared" si="10"/>
        <v>0.40457374301149462</v>
      </c>
      <c r="S81" s="166">
        <f t="shared" si="11"/>
        <v>160112.41721898186</v>
      </c>
      <c r="T81" s="97"/>
      <c r="U81" s="97">
        <f>IFERROR(INDEX('Revised 2020 MFAM(2018 PYAs)'!AD$26:AD$300,MATCH(B81,'Revised 2020 MFAM(2018 PYAs)'!B$26:B$300,0)),0)</f>
        <v>-57.769504527532263</v>
      </c>
      <c r="V81" s="97">
        <f>IFERROR(INDEX('Revised 2019 MFAM(2017 PYAs)'!AF$26:AF$300,MATCH(B81,'Revised 2019 MFAM(2017 PYAs)'!B$26:B$300,0)),0)</f>
        <v>19.57484178073355</v>
      </c>
      <c r="W81" s="97">
        <f t="shared" si="12"/>
        <v>-0.10663568441764616</v>
      </c>
      <c r="X81" s="97">
        <f t="shared" si="13"/>
        <v>-38.30129843121636</v>
      </c>
      <c r="Y81" s="97"/>
      <c r="Z81" s="98">
        <f t="shared" si="14"/>
        <v>160074.11592055066</v>
      </c>
      <c r="AA81" s="99">
        <v>0</v>
      </c>
      <c r="AB81" s="100">
        <f t="shared" si="15"/>
        <v>0</v>
      </c>
      <c r="AC81" s="97">
        <f t="shared" si="16"/>
        <v>160074.11592055066</v>
      </c>
      <c r="AD81" s="103"/>
      <c r="AE81" s="97">
        <f t="shared" si="19"/>
        <v>40018.528980137664</v>
      </c>
      <c r="AF81" s="97">
        <f t="shared" si="19"/>
        <v>40018.528980137664</v>
      </c>
      <c r="AG81" s="97">
        <f t="shared" si="19"/>
        <v>40018.528980137664</v>
      </c>
      <c r="AH81" s="97">
        <f t="shared" si="19"/>
        <v>40018.528980137664</v>
      </c>
    </row>
    <row r="82" spans="2:34" x14ac:dyDescent="0.25">
      <c r="B82">
        <v>414</v>
      </c>
      <c r="C82" s="28">
        <v>6</v>
      </c>
      <c r="D82" s="35" t="s">
        <v>118</v>
      </c>
      <c r="E82" s="154">
        <f>INDEX('2019 Data Lockdown'!H$5:H$257,MATCH(B82,'2019 Data Lockdown'!B$5:B$257,0))</f>
        <v>165.57466674439706</v>
      </c>
      <c r="F82" s="5">
        <f>INDEX('2019 Data Lockdown'!E$5:E$257,MATCH(B82,'2019 Data Lockdown'!B$5:B$257,0))</f>
        <v>222802.48</v>
      </c>
      <c r="G82" s="5">
        <f>INDEX('2019 Data Lockdown'!F$5:F$257,MATCH(B82,'2019 Data Lockdown'!B$5:B$257,0))</f>
        <v>11641.15</v>
      </c>
      <c r="H82" s="5">
        <f t="shared" si="1"/>
        <v>211161.33000000002</v>
      </c>
      <c r="I82" s="95">
        <f t="shared" si="2"/>
        <v>1275.3239016085506</v>
      </c>
      <c r="J82" s="6">
        <f t="shared" si="3"/>
        <v>1275.3239016085506</v>
      </c>
      <c r="K82" s="5">
        <f t="shared" si="4"/>
        <v>211161.33</v>
      </c>
      <c r="L82" s="135">
        <f>INDEX('2019 Best Practice Scores'!L$4:L$256,MATCH(B82,'2019 Best Practice Scores'!A$4:A$256,0))</f>
        <v>0.58796296296296302</v>
      </c>
      <c r="M82" s="97">
        <f t="shared" si="5"/>
        <v>48842.135363255635</v>
      </c>
      <c r="N82" s="97">
        <f t="shared" si="6"/>
        <v>11850.720408346224</v>
      </c>
      <c r="O82" s="97">
        <f t="shared" si="7"/>
        <v>8615.2099876853699</v>
      </c>
      <c r="P82" s="97">
        <f t="shared" si="8"/>
        <v>2565.9687756816284</v>
      </c>
      <c r="Q82" s="97">
        <f t="shared" si="9"/>
        <v>71874.034534968858</v>
      </c>
      <c r="R82" s="104">
        <f t="shared" si="10"/>
        <v>0.3403749850172324</v>
      </c>
      <c r="S82" s="166">
        <f t="shared" si="11"/>
        <v>71876.931255227028</v>
      </c>
      <c r="T82" s="97"/>
      <c r="U82" s="97">
        <f>IFERROR(INDEX('Revised 2020 MFAM(2018 PYAs)'!AD$26:AD$300,MATCH(B82,'Revised 2020 MFAM(2018 PYAs)'!B$26:B$300,0)),0)</f>
        <v>2142.9870774935116</v>
      </c>
      <c r="V82" s="97">
        <f>IFERROR(INDEX('Revised 2019 MFAM(2017 PYAs)'!AF$26:AF$300,MATCH(B82,'Revised 2019 MFAM(2017 PYAs)'!B$26:B$300,0)),0)</f>
        <v>9.5313512702559819</v>
      </c>
      <c r="W82" s="97">
        <f t="shared" si="12"/>
        <v>-4.7870401879939684E-2</v>
      </c>
      <c r="X82" s="97">
        <f t="shared" si="13"/>
        <v>2152.4705583618875</v>
      </c>
      <c r="Y82" s="97"/>
      <c r="Z82" s="98">
        <f t="shared" si="14"/>
        <v>74029.40181358892</v>
      </c>
      <c r="AA82" s="99">
        <v>0</v>
      </c>
      <c r="AB82" s="100">
        <f t="shared" si="15"/>
        <v>0</v>
      </c>
      <c r="AC82" s="97">
        <f t="shared" si="16"/>
        <v>74029.40181358892</v>
      </c>
      <c r="AD82" s="103"/>
      <c r="AE82" s="97">
        <f t="shared" si="19"/>
        <v>18507.35045339723</v>
      </c>
      <c r="AF82" s="97">
        <f t="shared" si="19"/>
        <v>18507.35045339723</v>
      </c>
      <c r="AG82" s="97">
        <f t="shared" si="19"/>
        <v>18507.35045339723</v>
      </c>
      <c r="AH82" s="97">
        <f t="shared" si="19"/>
        <v>18507.35045339723</v>
      </c>
    </row>
    <row r="83" spans="2:34" x14ac:dyDescent="0.25">
      <c r="B83">
        <v>426</v>
      </c>
      <c r="C83" s="28">
        <v>6</v>
      </c>
      <c r="D83" s="35" t="s">
        <v>119</v>
      </c>
      <c r="E83" s="154">
        <f>INDEX('2019 Data Lockdown'!H$5:H$257,MATCH(B83,'2019 Data Lockdown'!B$5:B$257,0))</f>
        <v>463.46518252947482</v>
      </c>
      <c r="F83" s="5">
        <f>INDEX('2019 Data Lockdown'!E$5:E$257,MATCH(B83,'2019 Data Lockdown'!B$5:B$257,0))</f>
        <v>170973.35</v>
      </c>
      <c r="G83" s="5">
        <f>INDEX('2019 Data Lockdown'!F$5:F$257,MATCH(B83,'2019 Data Lockdown'!B$5:B$257,0))</f>
        <v>420</v>
      </c>
      <c r="H83" s="5">
        <f t="shared" si="1"/>
        <v>170553.35</v>
      </c>
      <c r="I83" s="95">
        <f t="shared" si="2"/>
        <v>367.9960360110835</v>
      </c>
      <c r="J83" s="6">
        <f t="shared" si="3"/>
        <v>367.9960360110835</v>
      </c>
      <c r="K83" s="5">
        <f t="shared" si="4"/>
        <v>170553.35</v>
      </c>
      <c r="L83" s="135">
        <f>INDEX('2019 Best Practice Scores'!L$4:L$256,MATCH(B83,'2019 Best Practice Scores'!A$4:A$256,0))</f>
        <v>0.79629629629629628</v>
      </c>
      <c r="M83" s="97">
        <f t="shared" si="5"/>
        <v>39449.409640281752</v>
      </c>
      <c r="N83" s="97">
        <f t="shared" si="6"/>
        <v>33171.718869522134</v>
      </c>
      <c r="O83" s="97">
        <f t="shared" si="7"/>
        <v>9424.0256362895288</v>
      </c>
      <c r="P83" s="97">
        <f t="shared" si="8"/>
        <v>2072.5128539771003</v>
      </c>
      <c r="Q83" s="97">
        <f t="shared" si="9"/>
        <v>84117.667000070505</v>
      </c>
      <c r="R83" s="104">
        <f t="shared" si="10"/>
        <v>0.49320442547783733</v>
      </c>
      <c r="S83" s="166">
        <f t="shared" si="11"/>
        <v>84121.057172218847</v>
      </c>
      <c r="T83" s="97"/>
      <c r="U83" s="97">
        <f>IFERROR(INDEX('Revised 2020 MFAM(2018 PYAs)'!AD$26:AD$300,MATCH(B83,'Revised 2020 MFAM(2018 PYAs)'!B$26:B$300,0)),0)</f>
        <v>11062.560574903473</v>
      </c>
      <c r="V83" s="97">
        <f>IFERROR(INDEX('Revised 2019 MFAM(2017 PYAs)'!AF$26:AF$300,MATCH(B83,'Revised 2019 MFAM(2017 PYAs)'!B$26:B$300,0)),0)</f>
        <v>8.4660018216673052</v>
      </c>
      <c r="W83" s="97">
        <f t="shared" si="12"/>
        <v>-5.6025052030955404E-2</v>
      </c>
      <c r="X83" s="97">
        <f t="shared" si="13"/>
        <v>11070.97055167311</v>
      </c>
      <c r="Y83" s="97"/>
      <c r="Z83" s="98">
        <f t="shared" si="14"/>
        <v>95192.027723891952</v>
      </c>
      <c r="AA83" s="99">
        <v>0</v>
      </c>
      <c r="AB83" s="100">
        <f t="shared" si="15"/>
        <v>0</v>
      </c>
      <c r="AC83" s="97">
        <f t="shared" si="16"/>
        <v>95192.027723891952</v>
      </c>
      <c r="AD83" s="103"/>
      <c r="AE83" s="97">
        <f t="shared" si="19"/>
        <v>23798.006930972988</v>
      </c>
      <c r="AF83" s="97">
        <f t="shared" si="19"/>
        <v>23798.006930972988</v>
      </c>
      <c r="AG83" s="97">
        <f t="shared" si="19"/>
        <v>23798.006930972988</v>
      </c>
      <c r="AH83" s="97">
        <f t="shared" si="19"/>
        <v>23798.006930972988</v>
      </c>
    </row>
    <row r="84" spans="2:34" x14ac:dyDescent="0.25">
      <c r="B84">
        <v>430</v>
      </c>
      <c r="C84" s="28">
        <v>6</v>
      </c>
      <c r="D84" s="35" t="s">
        <v>120</v>
      </c>
      <c r="E84" s="154">
        <f>INDEX('2019 Data Lockdown'!H$5:H$257,MATCH(B84,'2019 Data Lockdown'!B$5:B$257,0))</f>
        <v>2460.6196060451061</v>
      </c>
      <c r="F84" s="5">
        <f>INDEX('2019 Data Lockdown'!E$5:E$257,MATCH(B84,'2019 Data Lockdown'!B$5:B$257,0))</f>
        <v>1748413.46</v>
      </c>
      <c r="G84" s="5">
        <f>INDEX('2019 Data Lockdown'!F$5:F$257,MATCH(B84,'2019 Data Lockdown'!B$5:B$257,0))</f>
        <v>480</v>
      </c>
      <c r="H84" s="5">
        <f t="shared" si="1"/>
        <v>1747933.46</v>
      </c>
      <c r="I84" s="95">
        <f t="shared" si="2"/>
        <v>710.36313605962471</v>
      </c>
      <c r="J84" s="6">
        <f t="shared" si="3"/>
        <v>710.36313605962471</v>
      </c>
      <c r="K84" s="5">
        <f t="shared" si="4"/>
        <v>1747933.46</v>
      </c>
      <c r="L84" s="135">
        <f>INDEX('2019 Best Practice Scores'!L$4:L$256,MATCH(B84,'2019 Best Practice Scores'!A$4:A$256,0))</f>
        <v>0.53935185185185186</v>
      </c>
      <c r="M84" s="97">
        <f t="shared" si="5"/>
        <v>404301.31151041616</v>
      </c>
      <c r="N84" s="97">
        <f t="shared" si="6"/>
        <v>176114.59262394888</v>
      </c>
      <c r="O84" s="97">
        <f t="shared" si="7"/>
        <v>65418.198320782605</v>
      </c>
      <c r="P84" s="97">
        <f t="shared" si="8"/>
        <v>21240.360061802759</v>
      </c>
      <c r="Q84" s="97">
        <f t="shared" si="9"/>
        <v>667074.46251695044</v>
      </c>
      <c r="R84" s="104">
        <f t="shared" si="10"/>
        <v>0.38163607355908757</v>
      </c>
      <c r="S84" s="166">
        <f t="shared" si="11"/>
        <v>667101.34744308237</v>
      </c>
      <c r="T84" s="97"/>
      <c r="U84" s="97">
        <f>IFERROR(INDEX('Revised 2020 MFAM(2018 PYAs)'!AD$26:AD$300,MATCH(B84,'Revised 2020 MFAM(2018 PYAs)'!B$26:B$300,0)),0)</f>
        <v>-278.96328402170911</v>
      </c>
      <c r="V84" s="97">
        <f>IFERROR(INDEX('Revised 2019 MFAM(2017 PYAs)'!AF$26:AF$300,MATCH(B84,'Revised 2019 MFAM(2017 PYAs)'!B$26:B$300,0)),0)</f>
        <v>86.454761214903556</v>
      </c>
      <c r="W84" s="97">
        <f t="shared" si="12"/>
        <v>-0.44429289118304277</v>
      </c>
      <c r="X84" s="97">
        <f t="shared" si="13"/>
        <v>-192.9528156979886</v>
      </c>
      <c r="Y84" s="97"/>
      <c r="Z84" s="98">
        <f t="shared" si="14"/>
        <v>666908.39462738438</v>
      </c>
      <c r="AA84" s="99">
        <v>0</v>
      </c>
      <c r="AB84" s="100">
        <f t="shared" si="15"/>
        <v>0</v>
      </c>
      <c r="AC84" s="97">
        <f t="shared" si="16"/>
        <v>666908.39462738438</v>
      </c>
      <c r="AD84" s="103"/>
      <c r="AE84" s="97">
        <f t="shared" si="19"/>
        <v>166727.09865684609</v>
      </c>
      <c r="AF84" s="97">
        <f t="shared" si="19"/>
        <v>166727.09865684609</v>
      </c>
      <c r="AG84" s="97">
        <f t="shared" si="19"/>
        <v>166727.09865684609</v>
      </c>
      <c r="AH84" s="97">
        <f t="shared" si="19"/>
        <v>166727.09865684609</v>
      </c>
    </row>
    <row r="85" spans="2:34" x14ac:dyDescent="0.25">
      <c r="B85">
        <v>443</v>
      </c>
      <c r="C85" s="28">
        <v>6</v>
      </c>
      <c r="D85" s="35" t="s">
        <v>121</v>
      </c>
      <c r="E85" s="154">
        <f>INDEX('2019 Data Lockdown'!H$5:H$257,MATCH(B85,'2019 Data Lockdown'!B$5:B$257,0))</f>
        <v>15.06</v>
      </c>
      <c r="F85" s="5">
        <f>INDEX('2019 Data Lockdown'!E$5:E$257,MATCH(B85,'2019 Data Lockdown'!B$5:B$257,0))</f>
        <v>15830.2</v>
      </c>
      <c r="G85" s="5">
        <f>INDEX('2019 Data Lockdown'!F$5:F$257,MATCH(B85,'2019 Data Lockdown'!B$5:B$257,0))</f>
        <v>0</v>
      </c>
      <c r="H85" s="5">
        <f t="shared" si="1"/>
        <v>15830.2</v>
      </c>
      <c r="I85" s="95">
        <f t="shared" si="2"/>
        <v>1051.1420982735724</v>
      </c>
      <c r="J85" s="6">
        <f t="shared" si="3"/>
        <v>1051.1420982735724</v>
      </c>
      <c r="K85" s="5">
        <f t="shared" si="4"/>
        <v>15830.2</v>
      </c>
      <c r="L85" s="135">
        <f>INDEX('2019 Best Practice Scores'!L$4:L$256,MATCH(B85,'2019 Best Practice Scores'!A$4:A$256,0))</f>
        <v>0.40277777777777779</v>
      </c>
      <c r="M85" s="97">
        <f t="shared" si="5"/>
        <v>3661.5642230867247</v>
      </c>
      <c r="N85" s="97">
        <f t="shared" si="6"/>
        <v>1077.8934535028047</v>
      </c>
      <c r="O85" s="97">
        <f t="shared" si="7"/>
        <v>442.43901028964592</v>
      </c>
      <c r="P85" s="97">
        <f t="shared" si="8"/>
        <v>192.3638144957475</v>
      </c>
      <c r="Q85" s="97">
        <f t="shared" si="9"/>
        <v>5374.2605013749226</v>
      </c>
      <c r="R85" s="104">
        <f t="shared" si="10"/>
        <v>0.33949416314228009</v>
      </c>
      <c r="S85" s="166">
        <f t="shared" si="11"/>
        <v>5374.4770987785296</v>
      </c>
      <c r="T85" s="97"/>
      <c r="U85" s="97">
        <f>IFERROR(INDEX('Revised 2020 MFAM(2018 PYAs)'!AD$26:AD$300,MATCH(B85,'Revised 2020 MFAM(2018 PYAs)'!B$26:B$300,0)),0)</f>
        <v>-0.25219377790563158</v>
      </c>
      <c r="V85" s="97">
        <f>IFERROR(INDEX('Revised 2019 MFAM(2017 PYAs)'!AF$26:AF$300,MATCH(B85,'Revised 2019 MFAM(2017 PYAs)'!B$26:B$300,0)),0)</f>
        <v>11.467190512391426</v>
      </c>
      <c r="W85" s="97">
        <f t="shared" si="12"/>
        <v>-3.5794290896962958E-3</v>
      </c>
      <c r="X85" s="97">
        <f t="shared" si="13"/>
        <v>11.211417305396099</v>
      </c>
      <c r="Y85" s="97"/>
      <c r="Z85" s="98">
        <f t="shared" si="14"/>
        <v>5385.6885160839256</v>
      </c>
      <c r="AA85" s="99">
        <v>0</v>
      </c>
      <c r="AB85" s="100">
        <f t="shared" si="15"/>
        <v>0</v>
      </c>
      <c r="AC85" s="97">
        <f t="shared" si="16"/>
        <v>5385.6885160839256</v>
      </c>
      <c r="AD85" s="103"/>
      <c r="AE85" s="97">
        <f t="shared" si="19"/>
        <v>1346.4221290209814</v>
      </c>
      <c r="AF85" s="97">
        <f t="shared" si="19"/>
        <v>1346.4221290209814</v>
      </c>
      <c r="AG85" s="97">
        <f t="shared" si="19"/>
        <v>1346.4221290209814</v>
      </c>
      <c r="AH85" s="97">
        <f t="shared" si="19"/>
        <v>1346.4221290209814</v>
      </c>
    </row>
    <row r="86" spans="2:34" x14ac:dyDescent="0.25">
      <c r="B86">
        <v>562</v>
      </c>
      <c r="C86" s="28">
        <v>6</v>
      </c>
      <c r="D86" s="35" t="s">
        <v>122</v>
      </c>
      <c r="E86" s="154">
        <f>INDEX('2019 Data Lockdown'!H$5:H$257,MATCH(B86,'2019 Data Lockdown'!B$5:B$257,0))</f>
        <v>81.472925896153384</v>
      </c>
      <c r="F86" s="5">
        <f>INDEX('2019 Data Lockdown'!E$5:E$257,MATCH(B86,'2019 Data Lockdown'!B$5:B$257,0))</f>
        <v>48863.76</v>
      </c>
      <c r="G86" s="5">
        <f>INDEX('2019 Data Lockdown'!F$5:F$257,MATCH(B86,'2019 Data Lockdown'!B$5:B$257,0))</f>
        <v>0</v>
      </c>
      <c r="H86" s="5">
        <f t="shared" si="1"/>
        <v>48863.76</v>
      </c>
      <c r="I86" s="95">
        <f t="shared" si="2"/>
        <v>599.75457444946176</v>
      </c>
      <c r="J86" s="6">
        <f t="shared" si="3"/>
        <v>599.75457444946176</v>
      </c>
      <c r="K86" s="5">
        <f t="shared" si="4"/>
        <v>48863.760000000009</v>
      </c>
      <c r="L86" s="135">
        <f>INDEX('2019 Best Practice Scores'!L$4:L$256,MATCH(B86,'2019 Best Practice Scores'!A$4:A$256,0))</f>
        <v>0.5092592592592593</v>
      </c>
      <c r="M86" s="97">
        <f t="shared" si="5"/>
        <v>11302.307957037574</v>
      </c>
      <c r="N86" s="97">
        <f t="shared" si="6"/>
        <v>5831.2837623627393</v>
      </c>
      <c r="O86" s="97">
        <f t="shared" si="7"/>
        <v>1726.741493436296</v>
      </c>
      <c r="P86" s="97">
        <f t="shared" si="8"/>
        <v>593.77766953068999</v>
      </c>
      <c r="Q86" s="97">
        <f t="shared" si="9"/>
        <v>19454.110882367298</v>
      </c>
      <c r="R86" s="104">
        <f t="shared" si="10"/>
        <v>0.39812963395300105</v>
      </c>
      <c r="S86" s="166">
        <f t="shared" si="11"/>
        <v>19454.894936267461</v>
      </c>
      <c r="T86" s="97"/>
      <c r="U86" s="97">
        <f>IFERROR(INDEX('Revised 2020 MFAM(2018 PYAs)'!AD$26:AD$300,MATCH(B86,'Revised 2020 MFAM(2018 PYAs)'!B$26:B$300,0)),0)</f>
        <v>-7.895985333580029</v>
      </c>
      <c r="V86" s="97">
        <f>IFERROR(INDEX('Revised 2019 MFAM(2017 PYAs)'!AF$26:AF$300,MATCH(B86,'Revised 2019 MFAM(2017 PYAs)'!B$26:B$300,0)),0)</f>
        <v>1.9748460724877077</v>
      </c>
      <c r="W86" s="97">
        <f t="shared" si="12"/>
        <v>-1.2957059001644565E-2</v>
      </c>
      <c r="X86" s="97">
        <f t="shared" si="13"/>
        <v>-5.9340963200939658</v>
      </c>
      <c r="Y86" s="97"/>
      <c r="Z86" s="98">
        <f t="shared" si="14"/>
        <v>19448.960839947365</v>
      </c>
      <c r="AA86" s="99">
        <v>0</v>
      </c>
      <c r="AB86" s="100">
        <f t="shared" si="15"/>
        <v>0</v>
      </c>
      <c r="AC86" s="97">
        <f t="shared" si="16"/>
        <v>19448.960839947365</v>
      </c>
      <c r="AD86" s="103"/>
      <c r="AE86" s="97">
        <f t="shared" ref="AE86:AH105" si="20">$AC86/4</f>
        <v>4862.2402099868414</v>
      </c>
      <c r="AF86" s="97">
        <f t="shared" si="20"/>
        <v>4862.2402099868414</v>
      </c>
      <c r="AG86" s="97">
        <f t="shared" si="20"/>
        <v>4862.2402099868414</v>
      </c>
      <c r="AH86" s="97">
        <f t="shared" si="20"/>
        <v>4862.2402099868414</v>
      </c>
    </row>
    <row r="87" spans="2:34" x14ac:dyDescent="0.25">
      <c r="B87">
        <v>603</v>
      </c>
      <c r="C87" s="28">
        <v>6</v>
      </c>
      <c r="D87" s="35" t="s">
        <v>123</v>
      </c>
      <c r="E87" s="154">
        <f>INDEX('2019 Data Lockdown'!H$5:H$257,MATCH(B87,'2019 Data Lockdown'!B$5:B$257,0))</f>
        <v>97.242711867752604</v>
      </c>
      <c r="F87" s="5">
        <f>INDEX('2019 Data Lockdown'!E$5:E$257,MATCH(B87,'2019 Data Lockdown'!B$5:B$257,0))</f>
        <v>86512.44</v>
      </c>
      <c r="G87" s="5">
        <f>INDEX('2019 Data Lockdown'!F$5:F$257,MATCH(B87,'2019 Data Lockdown'!B$5:B$257,0))</f>
        <v>0</v>
      </c>
      <c r="H87" s="5">
        <f t="shared" si="1"/>
        <v>86512.44</v>
      </c>
      <c r="I87" s="95">
        <f t="shared" si="2"/>
        <v>889.65474469340722</v>
      </c>
      <c r="J87" s="6">
        <f t="shared" si="3"/>
        <v>889.65474469340722</v>
      </c>
      <c r="K87" s="5">
        <f t="shared" si="4"/>
        <v>86512.44</v>
      </c>
      <c r="L87" s="135">
        <f>INDEX('2019 Best Practice Scores'!L$4:L$256,MATCH(B87,'2019 Best Practice Scores'!A$4:A$256,0))</f>
        <v>0.31134259259259256</v>
      </c>
      <c r="M87" s="97">
        <f t="shared" si="5"/>
        <v>20010.54030624609</v>
      </c>
      <c r="N87" s="97">
        <f t="shared" si="6"/>
        <v>6959.9789191972131</v>
      </c>
      <c r="O87" s="97">
        <f t="shared" si="7"/>
        <v>1869.0400494375685</v>
      </c>
      <c r="P87" s="97">
        <f t="shared" si="8"/>
        <v>1051.2730704434869</v>
      </c>
      <c r="Q87" s="97">
        <f t="shared" si="9"/>
        <v>29890.832345324357</v>
      </c>
      <c r="R87" s="104">
        <f t="shared" si="10"/>
        <v>0.34550906604095732</v>
      </c>
      <c r="S87" s="166">
        <f t="shared" si="11"/>
        <v>29892.037027657116</v>
      </c>
      <c r="T87" s="97"/>
      <c r="U87" s="97">
        <f>IFERROR(INDEX('Revised 2020 MFAM(2018 PYAs)'!AD$26:AD$300,MATCH(B87,'Revised 2020 MFAM(2018 PYAs)'!B$26:B$300,0)),0)</f>
        <v>-13.612089915321121</v>
      </c>
      <c r="V87" s="97">
        <f>IFERROR(INDEX('Revised 2019 MFAM(2017 PYAs)'!AF$26:AF$300,MATCH(B87,'Revised 2019 MFAM(2017 PYAs)'!B$26:B$300,0)),0)</f>
        <v>3.6863714237224485</v>
      </c>
      <c r="W87" s="97">
        <f t="shared" si="12"/>
        <v>-1.9908248732028649E-2</v>
      </c>
      <c r="X87" s="97">
        <f t="shared" si="13"/>
        <v>-9.9456267403307006</v>
      </c>
      <c r="Y87" s="97"/>
      <c r="Z87" s="98">
        <f t="shared" si="14"/>
        <v>29882.091400916786</v>
      </c>
      <c r="AA87" s="99">
        <v>0</v>
      </c>
      <c r="AB87" s="100">
        <f t="shared" si="15"/>
        <v>0</v>
      </c>
      <c r="AC87" s="97">
        <f t="shared" si="16"/>
        <v>29882.091400916786</v>
      </c>
      <c r="AD87" s="103"/>
      <c r="AE87" s="97">
        <f t="shared" si="20"/>
        <v>7470.5228502291966</v>
      </c>
      <c r="AF87" s="97">
        <f t="shared" si="20"/>
        <v>7470.5228502291966</v>
      </c>
      <c r="AG87" s="97">
        <f t="shared" si="20"/>
        <v>7470.5228502291966</v>
      </c>
      <c r="AH87" s="97">
        <f t="shared" si="20"/>
        <v>7470.5228502291966</v>
      </c>
    </row>
    <row r="88" spans="2:34" x14ac:dyDescent="0.25">
      <c r="B88">
        <v>618</v>
      </c>
      <c r="C88" s="28">
        <v>6</v>
      </c>
      <c r="D88" s="35" t="s">
        <v>124</v>
      </c>
      <c r="E88" s="154">
        <f>INDEX('2019 Data Lockdown'!H$5:H$257,MATCH(B88,'2019 Data Lockdown'!B$5:B$257,0))</f>
        <v>17.61132857645476</v>
      </c>
      <c r="F88" s="5">
        <f>INDEX('2019 Data Lockdown'!E$5:E$257,MATCH(B88,'2019 Data Lockdown'!B$5:B$257,0))</f>
        <v>17288.669999999998</v>
      </c>
      <c r="G88" s="5">
        <f>INDEX('2019 Data Lockdown'!F$5:F$257,MATCH(B88,'2019 Data Lockdown'!B$5:B$257,0))</f>
        <v>16785.12</v>
      </c>
      <c r="H88" s="5">
        <f t="shared" si="1"/>
        <v>503.54999999999927</v>
      </c>
      <c r="I88" s="95">
        <f t="shared" si="2"/>
        <v>28.592391415217474</v>
      </c>
      <c r="J88" s="6">
        <f t="shared" si="3"/>
        <v>28.592391415217474</v>
      </c>
      <c r="K88" s="5">
        <f t="shared" si="4"/>
        <v>503.54999999999927</v>
      </c>
      <c r="L88" s="135">
        <f>INDEX('2019 Best Practice Scores'!L$4:L$256,MATCH(B88,'2019 Best Practice Scores'!A$4:A$256,0))</f>
        <v>0.27777777777777779</v>
      </c>
      <c r="M88" s="97">
        <f t="shared" si="5"/>
        <v>116.47235439446864</v>
      </c>
      <c r="N88" s="97">
        <f t="shared" si="6"/>
        <v>1260.5003838012917</v>
      </c>
      <c r="O88" s="97">
        <f t="shared" si="7"/>
        <v>9.7060295328723853</v>
      </c>
      <c r="P88" s="97">
        <f t="shared" si="8"/>
        <v>6.1189876810990071</v>
      </c>
      <c r="Q88" s="97">
        <f t="shared" si="9"/>
        <v>1392.7977554097317</v>
      </c>
      <c r="R88" s="104">
        <f t="shared" si="10"/>
        <v>2.7659572145958369</v>
      </c>
      <c r="S88" s="166">
        <f t="shared" si="11"/>
        <v>377.66249999999945</v>
      </c>
      <c r="T88" s="97"/>
      <c r="U88" s="97">
        <f>IFERROR(INDEX('Revised 2020 MFAM(2018 PYAs)'!AD$26:AD$300,MATCH(B88,'Revised 2020 MFAM(2018 PYAs)'!B$26:B$300,0)),0)</f>
        <v>-2.5323734300081924</v>
      </c>
      <c r="V88" s="97">
        <f>IFERROR(INDEX('Revised 2019 MFAM(2017 PYAs)'!AF$26:AF$300,MATCH(B88,'Revised 2019 MFAM(2017 PYAs)'!B$26:B$300,0)),0)</f>
        <v>0.66362071047205973</v>
      </c>
      <c r="W88" s="97">
        <f t="shared" si="12"/>
        <v>-2.5152514630579707E-4</v>
      </c>
      <c r="X88" s="97">
        <f t="shared" si="13"/>
        <v>-1.8690042446824384</v>
      </c>
      <c r="Y88" s="97"/>
      <c r="Z88" s="98">
        <f t="shared" si="14"/>
        <v>375.793495755317</v>
      </c>
      <c r="AA88" s="99">
        <v>0</v>
      </c>
      <c r="AB88" s="100">
        <f t="shared" si="15"/>
        <v>0</v>
      </c>
      <c r="AC88" s="97">
        <f t="shared" si="16"/>
        <v>375.793495755317</v>
      </c>
      <c r="AD88" s="103"/>
      <c r="AE88" s="97">
        <f t="shared" si="20"/>
        <v>93.948373938829249</v>
      </c>
      <c r="AF88" s="97">
        <f t="shared" si="20"/>
        <v>93.948373938829249</v>
      </c>
      <c r="AG88" s="97">
        <f t="shared" si="20"/>
        <v>93.948373938829249</v>
      </c>
      <c r="AH88" s="97">
        <f t="shared" si="20"/>
        <v>93.948373938829249</v>
      </c>
    </row>
    <row r="89" spans="2:34" x14ac:dyDescent="0.25">
      <c r="B89">
        <v>620</v>
      </c>
      <c r="C89" s="28">
        <v>6</v>
      </c>
      <c r="D89" s="35" t="s">
        <v>125</v>
      </c>
      <c r="E89" s="154">
        <f>INDEX('2019 Data Lockdown'!H$5:H$257,MATCH(B89,'2019 Data Lockdown'!B$5:B$257,0))</f>
        <v>235.76910512683102</v>
      </c>
      <c r="F89" s="5">
        <f>INDEX('2019 Data Lockdown'!E$5:E$257,MATCH(B89,'2019 Data Lockdown'!B$5:B$257,0))</f>
        <v>122866.55</v>
      </c>
      <c r="G89" s="5">
        <f>INDEX('2019 Data Lockdown'!F$5:F$257,MATCH(B89,'2019 Data Lockdown'!B$5:B$257,0))</f>
        <v>0</v>
      </c>
      <c r="H89" s="5">
        <f t="shared" si="1"/>
        <v>122866.55</v>
      </c>
      <c r="I89" s="95">
        <f t="shared" si="2"/>
        <v>521.13083236204523</v>
      </c>
      <c r="J89" s="6">
        <f t="shared" si="3"/>
        <v>521.13083236204523</v>
      </c>
      <c r="K89" s="5">
        <f t="shared" si="4"/>
        <v>122866.54999999999</v>
      </c>
      <c r="L89" s="135">
        <f>INDEX('2019 Best Practice Scores'!L$4:L$256,MATCH(B89,'2019 Best Practice Scores'!A$4:A$256,0))</f>
        <v>0.53703703703703698</v>
      </c>
      <c r="M89" s="97">
        <f t="shared" si="5"/>
        <v>28419.335428111845</v>
      </c>
      <c r="N89" s="97">
        <f t="shared" si="6"/>
        <v>16874.765933228799</v>
      </c>
      <c r="O89" s="97">
        <f t="shared" si="7"/>
        <v>4578.6707078624631</v>
      </c>
      <c r="P89" s="97">
        <f t="shared" si="8"/>
        <v>1493.0372472825663</v>
      </c>
      <c r="Q89" s="97">
        <f t="shared" si="9"/>
        <v>51365.809316485669</v>
      </c>
      <c r="R89" s="104">
        <f t="shared" si="10"/>
        <v>0.41806178586837245</v>
      </c>
      <c r="S89" s="166">
        <f t="shared" si="11"/>
        <v>51367.87949915159</v>
      </c>
      <c r="T89" s="97"/>
      <c r="U89" s="97">
        <f>IFERROR(INDEX('Revised 2020 MFAM(2018 PYAs)'!AD$26:AD$300,MATCH(B89,'Revised 2020 MFAM(2018 PYAs)'!B$26:B$300,0)),0)</f>
        <v>-18.438697787554702</v>
      </c>
      <c r="V89" s="97">
        <f>IFERROR(INDEX('Revised 2019 MFAM(2017 PYAs)'!AF$26:AF$300,MATCH(B89,'Revised 2019 MFAM(2017 PYAs)'!B$26:B$300,0)),0)</f>
        <v>6.4057490784907714</v>
      </c>
      <c r="W89" s="97">
        <f t="shared" si="12"/>
        <v>-3.421126907342581E-2</v>
      </c>
      <c r="X89" s="97">
        <f t="shared" si="13"/>
        <v>-12.067159978137356</v>
      </c>
      <c r="Y89" s="97"/>
      <c r="Z89" s="98">
        <f t="shared" si="14"/>
        <v>51355.812339173455</v>
      </c>
      <c r="AA89" s="99">
        <v>0</v>
      </c>
      <c r="AB89" s="100">
        <f t="shared" si="15"/>
        <v>0</v>
      </c>
      <c r="AC89" s="97">
        <f t="shared" si="16"/>
        <v>51355.812339173455</v>
      </c>
      <c r="AD89" s="103"/>
      <c r="AE89" s="97">
        <f t="shared" si="20"/>
        <v>12838.953084793364</v>
      </c>
      <c r="AF89" s="97">
        <f t="shared" si="20"/>
        <v>12838.953084793364</v>
      </c>
      <c r="AG89" s="97">
        <f t="shared" si="20"/>
        <v>12838.953084793364</v>
      </c>
      <c r="AH89" s="97">
        <f t="shared" si="20"/>
        <v>12838.953084793364</v>
      </c>
    </row>
    <row r="90" spans="2:34" x14ac:dyDescent="0.25">
      <c r="B90">
        <v>622</v>
      </c>
      <c r="C90" s="28">
        <v>6</v>
      </c>
      <c r="D90" s="35" t="s">
        <v>126</v>
      </c>
      <c r="E90" s="154">
        <f>INDEX('2019 Data Lockdown'!H$5:H$257,MATCH(B90,'2019 Data Lockdown'!B$5:B$257,0))</f>
        <v>122.59818725735381</v>
      </c>
      <c r="F90" s="5">
        <f>INDEX('2019 Data Lockdown'!E$5:E$257,MATCH(B90,'2019 Data Lockdown'!B$5:B$257,0))</f>
        <v>83536.710000000006</v>
      </c>
      <c r="G90" s="5">
        <f>INDEX('2019 Data Lockdown'!F$5:F$257,MATCH(B90,'2019 Data Lockdown'!B$5:B$257,0))</f>
        <v>396</v>
      </c>
      <c r="H90" s="5">
        <f t="shared" ref="H90:H153" si="21">F90-G90</f>
        <v>83140.710000000006</v>
      </c>
      <c r="I90" s="95">
        <f t="shared" ref="I90:I153" si="22">IFERROR(H90/E90,"n.a.")</f>
        <v>678.15611192907727</v>
      </c>
      <c r="J90" s="6">
        <f t="shared" ref="J90:J153" si="23">MIN(I90,INDEX($L$3:$L$11,MATCH(C90,$I$3:$I$11,0)))</f>
        <v>678.15611192907727</v>
      </c>
      <c r="K90" s="5">
        <f t="shared" ref="K90:K153" si="24">E90*J90</f>
        <v>83140.710000000006</v>
      </c>
      <c r="L90" s="135">
        <f>INDEX('2019 Best Practice Scores'!L$4:L$256,MATCH(B90,'2019 Best Practice Scores'!A$4:A$256,0))</f>
        <v>0.33333333333333337</v>
      </c>
      <c r="M90" s="97">
        <f t="shared" ref="M90:M153" si="25">$E$14*(K90/$K$24)</f>
        <v>19230.650858361147</v>
      </c>
      <c r="N90" s="97">
        <f t="shared" ref="N90:N153" si="26">$E$15*(E90/$E$24)</f>
        <v>8774.7532175307206</v>
      </c>
      <c r="O90" s="97">
        <f t="shared" ref="O90:O153" si="27">IFERROR(L90*$E$16*(K90/$K$24),0)</f>
        <v>1923.065085836115</v>
      </c>
      <c r="P90" s="97">
        <f t="shared" ref="P90:P153" si="28">($O$23+$E$9)*(K90/$K$24)</f>
        <v>1010.3008247201385</v>
      </c>
      <c r="Q90" s="97">
        <f t="shared" ref="Q90:Q153" si="29">M90+N90+O90+P90</f>
        <v>30938.769986448122</v>
      </c>
      <c r="R90" s="104">
        <f t="shared" ref="R90:R153" si="30">IFERROR((Q90/K90),0)</f>
        <v>0.3721254002575648</v>
      </c>
      <c r="S90" s="166">
        <f t="shared" ref="S90:S153" si="31">IF(R90&gt;$R$19,$R$19*K90,Q90+($R$23*Q90/$R$22))</f>
        <v>30940.016903535252</v>
      </c>
      <c r="T90" s="97"/>
      <c r="U90" s="97">
        <f>IFERROR(INDEX('Revised 2020 MFAM(2018 PYAs)'!AD$26:AD$300,MATCH(B90,'Revised 2020 MFAM(2018 PYAs)'!B$26:B$300,0)),0)</f>
        <v>-12.689914988790406</v>
      </c>
      <c r="V90" s="97">
        <f>IFERROR(INDEX('Revised 2019 MFAM(2017 PYAs)'!AF$26:AF$300,MATCH(B90,'Revised 2019 MFAM(2017 PYAs)'!B$26:B$300,0)),0)</f>
        <v>3.7610845507915656</v>
      </c>
      <c r="W90" s="97">
        <f t="shared" ref="W90:W153" si="32">-$W$22*(S90/$E$17)</f>
        <v>-2.0606208660816337E-2</v>
      </c>
      <c r="X90" s="97">
        <f t="shared" ref="X90:X153" si="33">SUM(U90:W90)</f>
        <v>-8.949436646659656</v>
      </c>
      <c r="Y90" s="97"/>
      <c r="Z90" s="98">
        <f t="shared" ref="Z90:Z153" si="34">S90+X90</f>
        <v>30931.067466888591</v>
      </c>
      <c r="AA90" s="99">
        <v>0</v>
      </c>
      <c r="AB90" s="100">
        <f t="shared" ref="AB90:AB153" si="35">-$AA$24*AA90*Z90</f>
        <v>0</v>
      </c>
      <c r="AC90" s="97">
        <f t="shared" ref="AC90:AC153" si="36">Z90+AB90</f>
        <v>30931.067466888591</v>
      </c>
      <c r="AD90" s="103"/>
      <c r="AE90" s="97">
        <f t="shared" si="20"/>
        <v>7732.7668667221478</v>
      </c>
      <c r="AF90" s="97">
        <f t="shared" si="20"/>
        <v>7732.7668667221478</v>
      </c>
      <c r="AG90" s="97">
        <f t="shared" si="20"/>
        <v>7732.7668667221478</v>
      </c>
      <c r="AH90" s="97">
        <f t="shared" si="20"/>
        <v>7732.7668667221478</v>
      </c>
    </row>
    <row r="91" spans="2:34" x14ac:dyDescent="0.25">
      <c r="B91">
        <v>623</v>
      </c>
      <c r="C91" s="28">
        <v>6</v>
      </c>
      <c r="D91" s="35" t="s">
        <v>127</v>
      </c>
      <c r="E91" s="154">
        <f>INDEX('2019 Data Lockdown'!H$5:H$257,MATCH(B91,'2019 Data Lockdown'!B$5:B$257,0))</f>
        <v>230.09002718232705</v>
      </c>
      <c r="F91" s="5">
        <f>INDEX('2019 Data Lockdown'!E$5:E$257,MATCH(B91,'2019 Data Lockdown'!B$5:B$257,0))</f>
        <v>79811.240000000005</v>
      </c>
      <c r="G91" s="5">
        <f>INDEX('2019 Data Lockdown'!F$5:F$257,MATCH(B91,'2019 Data Lockdown'!B$5:B$257,0))</f>
        <v>0</v>
      </c>
      <c r="H91" s="5">
        <f t="shared" si="21"/>
        <v>79811.240000000005</v>
      </c>
      <c r="I91" s="95">
        <f t="shared" si="22"/>
        <v>346.86961871996431</v>
      </c>
      <c r="J91" s="6">
        <f t="shared" si="23"/>
        <v>346.86961871996431</v>
      </c>
      <c r="K91" s="5">
        <f t="shared" si="24"/>
        <v>79811.240000000005</v>
      </c>
      <c r="L91" s="135">
        <f>INDEX('2019 Best Practice Scores'!L$4:L$256,MATCH(B91,'2019 Best Practice Scores'!A$4:A$256,0))</f>
        <v>0.31944444444444442</v>
      </c>
      <c r="M91" s="97">
        <f t="shared" si="25"/>
        <v>18460.536252491322</v>
      </c>
      <c r="N91" s="97">
        <f t="shared" si="26"/>
        <v>16468.295751401904</v>
      </c>
      <c r="O91" s="97">
        <f t="shared" si="27"/>
        <v>1769.1347241970848</v>
      </c>
      <c r="P91" s="97">
        <f t="shared" si="28"/>
        <v>969.84210976712745</v>
      </c>
      <c r="Q91" s="97">
        <f t="shared" si="29"/>
        <v>37667.808837857447</v>
      </c>
      <c r="R91" s="104">
        <f t="shared" si="30"/>
        <v>0.47196120293153498</v>
      </c>
      <c r="S91" s="166">
        <f t="shared" si="31"/>
        <v>37669.326953622724</v>
      </c>
      <c r="T91" s="97"/>
      <c r="U91" s="97">
        <f>IFERROR(INDEX('Revised 2020 MFAM(2018 PYAs)'!AD$26:AD$300,MATCH(B91,'Revised 2020 MFAM(2018 PYAs)'!B$26:B$300,0)),0)</f>
        <v>-12.159790299177985</v>
      </c>
      <c r="V91" s="97">
        <f>IFERROR(INDEX('Revised 2019 MFAM(2017 PYAs)'!AF$26:AF$300,MATCH(B91,'Revised 2019 MFAM(2017 PYAs)'!B$26:B$300,0)),0)</f>
        <v>5.4768309520659386</v>
      </c>
      <c r="W91" s="97">
        <f t="shared" si="32"/>
        <v>-2.5087963388609864E-2</v>
      </c>
      <c r="X91" s="97">
        <f t="shared" si="33"/>
        <v>-6.7080473105006559</v>
      </c>
      <c r="Y91" s="97"/>
      <c r="Z91" s="98">
        <f t="shared" si="34"/>
        <v>37662.618906312222</v>
      </c>
      <c r="AA91" s="99">
        <v>0</v>
      </c>
      <c r="AB91" s="100">
        <f t="shared" si="35"/>
        <v>0</v>
      </c>
      <c r="AC91" s="97">
        <f t="shared" si="36"/>
        <v>37662.618906312222</v>
      </c>
      <c r="AD91" s="103"/>
      <c r="AE91" s="97">
        <f t="shared" si="20"/>
        <v>9415.6547265780555</v>
      </c>
      <c r="AF91" s="97">
        <f t="shared" si="20"/>
        <v>9415.6547265780555</v>
      </c>
      <c r="AG91" s="97">
        <f t="shared" si="20"/>
        <v>9415.6547265780555</v>
      </c>
      <c r="AH91" s="97">
        <f t="shared" si="20"/>
        <v>9415.6547265780555</v>
      </c>
    </row>
    <row r="92" spans="2:34" x14ac:dyDescent="0.25">
      <c r="B92">
        <v>626</v>
      </c>
      <c r="C92" s="28">
        <v>6</v>
      </c>
      <c r="D92" s="35" t="s">
        <v>128</v>
      </c>
      <c r="E92" s="154">
        <f>INDEX('2019 Data Lockdown'!H$5:H$257,MATCH(B92,'2019 Data Lockdown'!B$5:B$257,0))</f>
        <v>21.510599845182803</v>
      </c>
      <c r="F92" s="5">
        <f>INDEX('2019 Data Lockdown'!E$5:E$257,MATCH(B92,'2019 Data Lockdown'!B$5:B$257,0))</f>
        <v>17900.14</v>
      </c>
      <c r="G92" s="5">
        <f>INDEX('2019 Data Lockdown'!F$5:F$257,MATCH(B92,'2019 Data Lockdown'!B$5:B$257,0))</f>
        <v>0</v>
      </c>
      <c r="H92" s="5">
        <f t="shared" si="21"/>
        <v>17900.14</v>
      </c>
      <c r="I92" s="95">
        <f t="shared" si="22"/>
        <v>832.15438569039497</v>
      </c>
      <c r="J92" s="6">
        <f t="shared" si="23"/>
        <v>832.15438569039497</v>
      </c>
      <c r="K92" s="5">
        <f t="shared" si="24"/>
        <v>17900.14</v>
      </c>
      <c r="L92" s="135">
        <f>INDEX('2019 Best Practice Scores'!L$4:L$256,MATCH(B92,'2019 Best Practice Scores'!A$4:A$256,0))</f>
        <v>0.22222222222222221</v>
      </c>
      <c r="M92" s="97">
        <f t="shared" si="25"/>
        <v>4140.34643985822</v>
      </c>
      <c r="N92" s="97">
        <f t="shared" si="26"/>
        <v>1539.5839810120176</v>
      </c>
      <c r="O92" s="97">
        <f t="shared" si="27"/>
        <v>276.02309599054797</v>
      </c>
      <c r="P92" s="97">
        <f t="shared" si="28"/>
        <v>217.51710088362177</v>
      </c>
      <c r="Q92" s="97">
        <f t="shared" si="29"/>
        <v>6173.4706177444068</v>
      </c>
      <c r="R92" s="104">
        <f t="shared" si="30"/>
        <v>0.34488392927342509</v>
      </c>
      <c r="S92" s="166">
        <f t="shared" si="31"/>
        <v>6173.7194255025543</v>
      </c>
      <c r="T92" s="97"/>
      <c r="U92" s="97">
        <f>IFERROR(INDEX('Revised 2020 MFAM(2018 PYAs)'!AD$26:AD$300,MATCH(B92,'Revised 2020 MFAM(2018 PYAs)'!B$26:B$300,0)),0)</f>
        <v>-2.6991204952673797</v>
      </c>
      <c r="V92" s="97">
        <f>IFERROR(INDEX('Revised 2019 MFAM(2017 PYAs)'!AF$26:AF$300,MATCH(B92,'Revised 2019 MFAM(2017 PYAs)'!B$26:B$300,0)),0)</f>
        <v>0.79187419373374723</v>
      </c>
      <c r="W92" s="97">
        <f t="shared" si="32"/>
        <v>-4.1117285453294242E-3</v>
      </c>
      <c r="X92" s="97">
        <f t="shared" si="33"/>
        <v>-1.9113580300789619</v>
      </c>
      <c r="Y92" s="97"/>
      <c r="Z92" s="98">
        <f t="shared" si="34"/>
        <v>6171.8080674724752</v>
      </c>
      <c r="AA92" s="99">
        <v>0</v>
      </c>
      <c r="AB92" s="100">
        <f t="shared" si="35"/>
        <v>0</v>
      </c>
      <c r="AC92" s="97">
        <f t="shared" si="36"/>
        <v>6171.8080674724752</v>
      </c>
      <c r="AD92" s="103"/>
      <c r="AE92" s="97">
        <f t="shared" si="20"/>
        <v>1542.9520168681188</v>
      </c>
      <c r="AF92" s="97">
        <f t="shared" si="20"/>
        <v>1542.9520168681188</v>
      </c>
      <c r="AG92" s="97">
        <f t="shared" si="20"/>
        <v>1542.9520168681188</v>
      </c>
      <c r="AH92" s="97">
        <f t="shared" si="20"/>
        <v>1542.9520168681188</v>
      </c>
    </row>
    <row r="93" spans="2:34" x14ac:dyDescent="0.25">
      <c r="B93">
        <v>627</v>
      </c>
      <c r="C93" s="28">
        <v>6</v>
      </c>
      <c r="D93" s="35" t="s">
        <v>129</v>
      </c>
      <c r="E93" s="154">
        <f>INDEX('2019 Data Lockdown'!H$5:H$257,MATCH(B93,'2019 Data Lockdown'!B$5:B$257,0))</f>
        <v>166.68530619268788</v>
      </c>
      <c r="F93" s="5">
        <f>INDEX('2019 Data Lockdown'!E$5:E$257,MATCH(B93,'2019 Data Lockdown'!B$5:B$257,0))</f>
        <v>81020.789999999994</v>
      </c>
      <c r="G93" s="5">
        <f>INDEX('2019 Data Lockdown'!F$5:F$257,MATCH(B93,'2019 Data Lockdown'!B$5:B$257,0))</f>
        <v>0</v>
      </c>
      <c r="H93" s="5">
        <f t="shared" si="21"/>
        <v>81020.789999999994</v>
      </c>
      <c r="I93" s="95">
        <f t="shared" si="22"/>
        <v>486.07037927110457</v>
      </c>
      <c r="J93" s="6">
        <f t="shared" si="23"/>
        <v>486.07037927110457</v>
      </c>
      <c r="K93" s="5">
        <f t="shared" si="24"/>
        <v>81020.789999999994</v>
      </c>
      <c r="L93" s="135">
        <f>INDEX('2019 Best Practice Scores'!L$4:L$256,MATCH(B93,'2019 Best Practice Scores'!A$4:A$256,0))</f>
        <v>0.34722222222222221</v>
      </c>
      <c r="M93" s="97">
        <f t="shared" si="25"/>
        <v>18740.308144573195</v>
      </c>
      <c r="N93" s="97">
        <f t="shared" si="26"/>
        <v>11930.212505989957</v>
      </c>
      <c r="O93" s="97">
        <f t="shared" si="27"/>
        <v>1952.1154317263743</v>
      </c>
      <c r="P93" s="97">
        <f t="shared" si="28"/>
        <v>984.54019645101835</v>
      </c>
      <c r="Q93" s="97">
        <f t="shared" si="29"/>
        <v>33607.176278740546</v>
      </c>
      <c r="R93" s="104">
        <f t="shared" si="30"/>
        <v>0.41479694629909863</v>
      </c>
      <c r="S93" s="166">
        <f t="shared" si="31"/>
        <v>33608.530739902722</v>
      </c>
      <c r="T93" s="97"/>
      <c r="U93" s="97">
        <f>IFERROR(INDEX('Revised 2020 MFAM(2018 PYAs)'!AD$26:AD$300,MATCH(B93,'Revised 2020 MFAM(2018 PYAs)'!B$26:B$300,0)),0)</f>
        <v>-11.396290784490702</v>
      </c>
      <c r="V93" s="97">
        <f>IFERROR(INDEX('Revised 2019 MFAM(2017 PYAs)'!AF$26:AF$300,MATCH(B93,'Revised 2019 MFAM(2017 PYAs)'!B$26:B$300,0)),0)</f>
        <v>4.2949956535121601</v>
      </c>
      <c r="W93" s="97">
        <f t="shared" si="32"/>
        <v>-2.238345245153258E-2</v>
      </c>
      <c r="X93" s="97">
        <f t="shared" si="33"/>
        <v>-7.1236785834300749</v>
      </c>
      <c r="Y93" s="97"/>
      <c r="Z93" s="98">
        <f t="shared" si="34"/>
        <v>33601.407061319289</v>
      </c>
      <c r="AA93" s="99">
        <v>0</v>
      </c>
      <c r="AB93" s="100">
        <f t="shared" si="35"/>
        <v>0</v>
      </c>
      <c r="AC93" s="97">
        <f t="shared" si="36"/>
        <v>33601.407061319289</v>
      </c>
      <c r="AD93" s="103"/>
      <c r="AE93" s="97">
        <f t="shared" si="20"/>
        <v>8400.3517653298222</v>
      </c>
      <c r="AF93" s="97">
        <f t="shared" si="20"/>
        <v>8400.3517653298222</v>
      </c>
      <c r="AG93" s="97">
        <f t="shared" si="20"/>
        <v>8400.3517653298222</v>
      </c>
      <c r="AH93" s="97">
        <f t="shared" si="20"/>
        <v>8400.3517653298222</v>
      </c>
    </row>
    <row r="94" spans="2:34" x14ac:dyDescent="0.25">
      <c r="B94">
        <v>634</v>
      </c>
      <c r="C94" s="28">
        <v>6</v>
      </c>
      <c r="D94" s="35" t="s">
        <v>130</v>
      </c>
      <c r="E94" s="154">
        <f>INDEX('2019 Data Lockdown'!H$5:H$257,MATCH(B94,'2019 Data Lockdown'!B$5:B$257,0))</f>
        <v>627.63252780769471</v>
      </c>
      <c r="F94" s="5">
        <f>INDEX('2019 Data Lockdown'!E$5:E$257,MATCH(B94,'2019 Data Lockdown'!B$5:B$257,0))</f>
        <v>651840.68999999994</v>
      </c>
      <c r="G94" s="5">
        <f>INDEX('2019 Data Lockdown'!F$5:F$257,MATCH(B94,'2019 Data Lockdown'!B$5:B$257,0))</f>
        <v>0</v>
      </c>
      <c r="H94" s="5">
        <f t="shared" si="21"/>
        <v>651840.68999999994</v>
      </c>
      <c r="I94" s="95">
        <f t="shared" si="22"/>
        <v>1038.5705984310018</v>
      </c>
      <c r="J94" s="6">
        <f t="shared" si="23"/>
        <v>1038.5705984310018</v>
      </c>
      <c r="K94" s="5">
        <f t="shared" si="24"/>
        <v>651840.68999999994</v>
      </c>
      <c r="L94" s="135">
        <f>INDEX('2019 Best Practice Scores'!L$4:L$256,MATCH(B94,'2019 Best Practice Scores'!A$4:A$256,0))</f>
        <v>0.78703703703703698</v>
      </c>
      <c r="M94" s="97">
        <f t="shared" si="25"/>
        <v>150772.35598136246</v>
      </c>
      <c r="N94" s="97">
        <f t="shared" si="26"/>
        <v>44921.712677910436</v>
      </c>
      <c r="O94" s="97">
        <f t="shared" si="27"/>
        <v>35599.028495599465</v>
      </c>
      <c r="P94" s="97">
        <f t="shared" si="28"/>
        <v>7920.9714073062896</v>
      </c>
      <c r="Q94" s="97">
        <f t="shared" si="29"/>
        <v>239214.06856217864</v>
      </c>
      <c r="R94" s="104">
        <f t="shared" si="30"/>
        <v>0.36698241185615255</v>
      </c>
      <c r="S94" s="166">
        <f t="shared" si="31"/>
        <v>239223.7095436948</v>
      </c>
      <c r="T94" s="97"/>
      <c r="U94" s="97">
        <f>IFERROR(INDEX('Revised 2020 MFAM(2018 PYAs)'!AD$26:AD$300,MATCH(B94,'Revised 2020 MFAM(2018 PYAs)'!B$26:B$300,0)),0)</f>
        <v>-105.57174570971983</v>
      </c>
      <c r="V94" s="97">
        <f>IFERROR(INDEX('Revised 2019 MFAM(2017 PYAs)'!AF$26:AF$300,MATCH(B94,'Revised 2019 MFAM(2017 PYAs)'!B$26:B$300,0)),0)</f>
        <v>26.460334645584226</v>
      </c>
      <c r="W94" s="97">
        <f t="shared" si="32"/>
        <v>-0.15932420757367602</v>
      </c>
      <c r="X94" s="97">
        <f t="shared" si="33"/>
        <v>-79.270735271709285</v>
      </c>
      <c r="Y94" s="97"/>
      <c r="Z94" s="98">
        <f t="shared" si="34"/>
        <v>239144.43880842309</v>
      </c>
      <c r="AA94" s="99">
        <v>0</v>
      </c>
      <c r="AB94" s="100">
        <f t="shared" si="35"/>
        <v>0</v>
      </c>
      <c r="AC94" s="97">
        <f t="shared" si="36"/>
        <v>239144.43880842309</v>
      </c>
      <c r="AD94" s="103"/>
      <c r="AE94" s="97">
        <f t="shared" si="20"/>
        <v>59786.109702105772</v>
      </c>
      <c r="AF94" s="97">
        <f t="shared" si="20"/>
        <v>59786.109702105772</v>
      </c>
      <c r="AG94" s="97">
        <f t="shared" si="20"/>
        <v>59786.109702105772</v>
      </c>
      <c r="AH94" s="97">
        <f t="shared" si="20"/>
        <v>59786.109702105772</v>
      </c>
    </row>
    <row r="95" spans="2:34" x14ac:dyDescent="0.25">
      <c r="B95">
        <v>636</v>
      </c>
      <c r="C95" s="28">
        <v>6</v>
      </c>
      <c r="D95" s="35" t="s">
        <v>313</v>
      </c>
      <c r="E95" s="154">
        <f>INDEX('2019 Data Lockdown'!H$5:H$257,MATCH(B95,'2019 Data Lockdown'!B$5:B$257,0))</f>
        <v>71.040896564249138</v>
      </c>
      <c r="F95" s="5">
        <f>INDEX('2019 Data Lockdown'!E$5:E$257,MATCH(B95,'2019 Data Lockdown'!B$5:B$257,0))</f>
        <v>82605.94</v>
      </c>
      <c r="G95" s="5">
        <f>INDEX('2019 Data Lockdown'!F$5:F$257,MATCH(B95,'2019 Data Lockdown'!B$5:B$257,0))</f>
        <v>76356</v>
      </c>
      <c r="H95" s="5">
        <f t="shared" si="21"/>
        <v>6249.9400000000023</v>
      </c>
      <c r="I95" s="95">
        <f t="shared" si="22"/>
        <v>87.976648694848308</v>
      </c>
      <c r="J95" s="6">
        <f t="shared" si="23"/>
        <v>87.976648694848308</v>
      </c>
      <c r="K95" s="5">
        <f t="shared" si="24"/>
        <v>6249.9400000000023</v>
      </c>
      <c r="L95" s="135">
        <f>INDEX('2019 Best Practice Scores'!L$4:L$256,MATCH(B95,'2019 Best Practice Scores'!A$4:A$256,0))</f>
        <v>0.47222222222222215</v>
      </c>
      <c r="M95" s="97">
        <f t="shared" si="25"/>
        <v>1445.6265050623902</v>
      </c>
      <c r="N95" s="97">
        <f t="shared" si="26"/>
        <v>5084.6293052838</v>
      </c>
      <c r="O95" s="97">
        <f t="shared" si="27"/>
        <v>204.7970882171719</v>
      </c>
      <c r="P95" s="97">
        <f t="shared" si="28"/>
        <v>75.947385299588902</v>
      </c>
      <c r="Q95" s="97">
        <f t="shared" si="29"/>
        <v>6811.0002838629516</v>
      </c>
      <c r="R95" s="104">
        <f t="shared" si="30"/>
        <v>1.0897705072149411</v>
      </c>
      <c r="S95" s="166">
        <f t="shared" si="31"/>
        <v>4687.4550000000017</v>
      </c>
      <c r="T95" s="97"/>
      <c r="U95" s="97">
        <f>IFERROR(INDEX('Revised 2020 MFAM(2018 PYAs)'!AD$26:AD$300,MATCH(B95,'Revised 2020 MFAM(2018 PYAs)'!B$26:B$300,0)),0)</f>
        <v>1.3351395037116163</v>
      </c>
      <c r="V95" s="97">
        <f>IFERROR(INDEX('Revised 2019 MFAM(2017 PYAs)'!AF$26:AF$300,MATCH(B95,'Revised 2019 MFAM(2017 PYAs)'!B$26:B$300,0)),0)</f>
        <v>0</v>
      </c>
      <c r="W95" s="97">
        <f t="shared" si="32"/>
        <v>-3.1218688767797758E-3</v>
      </c>
      <c r="X95" s="97">
        <f t="shared" si="33"/>
        <v>1.3320176348348365</v>
      </c>
      <c r="Y95" s="97"/>
      <c r="Z95" s="98">
        <f t="shared" si="34"/>
        <v>4688.787017634837</v>
      </c>
      <c r="AA95" s="99">
        <v>0</v>
      </c>
      <c r="AB95" s="100">
        <f t="shared" si="35"/>
        <v>0</v>
      </c>
      <c r="AC95" s="97">
        <f t="shared" si="36"/>
        <v>4688.787017634837</v>
      </c>
      <c r="AD95" s="103"/>
      <c r="AE95" s="97">
        <f t="shared" si="20"/>
        <v>1172.1967544087092</v>
      </c>
      <c r="AF95" s="97">
        <f t="shared" si="20"/>
        <v>1172.1967544087092</v>
      </c>
      <c r="AG95" s="97">
        <f t="shared" si="20"/>
        <v>1172.1967544087092</v>
      </c>
      <c r="AH95" s="97">
        <f t="shared" si="20"/>
        <v>1172.1967544087092</v>
      </c>
    </row>
    <row r="96" spans="2:34" x14ac:dyDescent="0.25">
      <c r="B96">
        <v>641</v>
      </c>
      <c r="C96" s="28">
        <v>6</v>
      </c>
      <c r="D96" s="35" t="s">
        <v>335</v>
      </c>
      <c r="E96" s="154">
        <f>INDEX('2019 Data Lockdown'!H$5:H$257,MATCH(B96,'2019 Data Lockdown'!B$5:B$257,0))</f>
        <v>7.6885978325592479</v>
      </c>
      <c r="F96" s="5">
        <f>INDEX('2019 Data Lockdown'!E$5:E$257,MATCH(B96,'2019 Data Lockdown'!B$5:B$257,0))</f>
        <v>28951.200000000001</v>
      </c>
      <c r="G96" s="5">
        <f>INDEX('2019 Data Lockdown'!F$5:F$257,MATCH(B96,'2019 Data Lockdown'!B$5:B$257,0))</f>
        <v>0</v>
      </c>
      <c r="H96" s="5">
        <f t="shared" si="21"/>
        <v>28951.200000000001</v>
      </c>
      <c r="I96" s="95">
        <f t="shared" si="22"/>
        <v>3765.4720184997923</v>
      </c>
      <c r="J96" s="6">
        <f t="shared" si="23"/>
        <v>1522.4622318178901</v>
      </c>
      <c r="K96" s="5">
        <f t="shared" si="24"/>
        <v>11705.599815708345</v>
      </c>
      <c r="L96" s="135">
        <f>INDEX('2019 Best Practice Scores'!L$4:L$256,MATCH(B96,'2019 Best Practice Scores'!A$4:A$256,0))</f>
        <v>8.3333333333333329E-2</v>
      </c>
      <c r="M96" s="97">
        <f t="shared" si="25"/>
        <v>2707.534048525491</v>
      </c>
      <c r="N96" s="97">
        <f t="shared" si="26"/>
        <v>550.29809231948639</v>
      </c>
      <c r="O96" s="97">
        <f t="shared" si="27"/>
        <v>67.688351213137267</v>
      </c>
      <c r="P96" s="97">
        <f t="shared" si="28"/>
        <v>142.24291743063108</v>
      </c>
      <c r="Q96" s="97">
        <f t="shared" si="29"/>
        <v>3467.7634094887458</v>
      </c>
      <c r="R96" s="104">
        <f t="shared" si="30"/>
        <v>0.29624824563327168</v>
      </c>
      <c r="S96" s="166">
        <f t="shared" si="31"/>
        <v>3467.903169842868</v>
      </c>
      <c r="T96" s="97"/>
      <c r="U96" s="97">
        <f>IFERROR(INDEX('Revised 2020 MFAM(2018 PYAs)'!AD$26:AD$300,MATCH(B96,'Revised 2020 MFAM(2018 PYAs)'!B$26:B$300,0)),0)</f>
        <v>0</v>
      </c>
      <c r="V96" s="97">
        <f>IFERROR(INDEX('Revised 2019 MFAM(2017 PYAs)'!AF$26:AF$300,MATCH(B96,'Revised 2019 MFAM(2017 PYAs)'!B$26:B$300,0)),0)</f>
        <v>0</v>
      </c>
      <c r="W96" s="97">
        <f t="shared" si="32"/>
        <v>-2.3096411535936611E-3</v>
      </c>
      <c r="X96" s="97">
        <f t="shared" si="33"/>
        <v>-2.3096411535936611E-3</v>
      </c>
      <c r="Y96" s="97"/>
      <c r="Z96" s="98">
        <f t="shared" si="34"/>
        <v>3467.9008602017143</v>
      </c>
      <c r="AA96" s="99">
        <v>0</v>
      </c>
      <c r="AB96" s="100">
        <f t="shared" si="35"/>
        <v>0</v>
      </c>
      <c r="AC96" s="97">
        <f t="shared" si="36"/>
        <v>3467.9008602017143</v>
      </c>
      <c r="AD96" s="103"/>
      <c r="AE96" s="97">
        <f t="shared" si="20"/>
        <v>866.97521505042857</v>
      </c>
      <c r="AF96" s="97">
        <f t="shared" si="20"/>
        <v>866.97521505042857</v>
      </c>
      <c r="AG96" s="97">
        <f t="shared" si="20"/>
        <v>866.97521505042857</v>
      </c>
      <c r="AH96" s="97">
        <f t="shared" si="20"/>
        <v>866.97521505042857</v>
      </c>
    </row>
    <row r="97" spans="2:34" x14ac:dyDescent="0.25">
      <c r="B97">
        <v>694</v>
      </c>
      <c r="C97" s="28">
        <v>6</v>
      </c>
      <c r="D97" s="35" t="s">
        <v>131</v>
      </c>
      <c r="E97" s="154">
        <f>INDEX('2019 Data Lockdown'!H$5:H$257,MATCH(B97,'2019 Data Lockdown'!B$5:B$257,0))</f>
        <v>13.652301912467729</v>
      </c>
      <c r="F97" s="5">
        <f>INDEX('2019 Data Lockdown'!E$5:E$257,MATCH(B97,'2019 Data Lockdown'!B$5:B$257,0))</f>
        <v>89610.08</v>
      </c>
      <c r="G97" s="5">
        <f>INDEX('2019 Data Lockdown'!F$5:F$257,MATCH(B97,'2019 Data Lockdown'!B$5:B$257,0))</f>
        <v>0</v>
      </c>
      <c r="H97" s="5">
        <f t="shared" si="21"/>
        <v>89610.08</v>
      </c>
      <c r="I97" s="95">
        <f t="shared" si="22"/>
        <v>6563.7341288332582</v>
      </c>
      <c r="J97" s="6">
        <f t="shared" si="23"/>
        <v>1522.4622318178901</v>
      </c>
      <c r="K97" s="5">
        <f t="shared" si="24"/>
        <v>20785.114039107269</v>
      </c>
      <c r="L97" s="135">
        <f>INDEX('2019 Best Practice Scores'!L$4:L$256,MATCH(B97,'2019 Best Practice Scores'!A$4:A$256,0))</f>
        <v>0.72916666666666674</v>
      </c>
      <c r="M97" s="97">
        <f t="shared" si="25"/>
        <v>4807.6480359296011</v>
      </c>
      <c r="N97" s="97">
        <f t="shared" si="26"/>
        <v>977.13989752276132</v>
      </c>
      <c r="O97" s="97">
        <f t="shared" si="27"/>
        <v>1051.6730078596004</v>
      </c>
      <c r="P97" s="97">
        <f t="shared" si="28"/>
        <v>252.57443502241202</v>
      </c>
      <c r="Q97" s="97">
        <f t="shared" si="29"/>
        <v>7089.0353763343746</v>
      </c>
      <c r="R97" s="104">
        <f t="shared" si="30"/>
        <v>0.3410630975127838</v>
      </c>
      <c r="S97" s="166">
        <f t="shared" si="31"/>
        <v>7089.3210838575205</v>
      </c>
      <c r="T97" s="97"/>
      <c r="U97" s="97">
        <f>IFERROR(INDEX('Revised 2020 MFAM(2018 PYAs)'!AD$26:AD$300,MATCH(B97,'Revised 2020 MFAM(2018 PYAs)'!B$26:B$300,0)),0)</f>
        <v>-0.24440996847533825</v>
      </c>
      <c r="V97" s="97">
        <f>IFERROR(INDEX('Revised 2019 MFAM(2017 PYAs)'!AF$26:AF$300,MATCH(B97,'Revised 2019 MFAM(2017 PYAs)'!B$26:B$300,0)),0)</f>
        <v>12.069266001664801</v>
      </c>
      <c r="W97" s="97">
        <f t="shared" si="32"/>
        <v>-4.7215239077907844E-3</v>
      </c>
      <c r="X97" s="97">
        <f t="shared" si="33"/>
        <v>11.820134509281672</v>
      </c>
      <c r="Y97" s="97"/>
      <c r="Z97" s="98">
        <f t="shared" si="34"/>
        <v>7101.1412183668026</v>
      </c>
      <c r="AA97" s="99">
        <v>0</v>
      </c>
      <c r="AB97" s="100">
        <f t="shared" si="35"/>
        <v>0</v>
      </c>
      <c r="AC97" s="97">
        <f t="shared" si="36"/>
        <v>7101.1412183668026</v>
      </c>
      <c r="AD97" s="103"/>
      <c r="AE97" s="97">
        <f t="shared" si="20"/>
        <v>1775.2853045917007</v>
      </c>
      <c r="AF97" s="97">
        <f t="shared" si="20"/>
        <v>1775.2853045917007</v>
      </c>
      <c r="AG97" s="97">
        <f t="shared" si="20"/>
        <v>1775.2853045917007</v>
      </c>
      <c r="AH97" s="97">
        <f t="shared" si="20"/>
        <v>1775.2853045917007</v>
      </c>
    </row>
    <row r="98" spans="2:34" x14ac:dyDescent="0.25">
      <c r="B98">
        <v>706</v>
      </c>
      <c r="C98" s="28">
        <v>6</v>
      </c>
      <c r="D98" s="35" t="s">
        <v>239</v>
      </c>
      <c r="E98" s="154">
        <f>INDEX('2019 Data Lockdown'!H$5:H$257,MATCH(B98,'2019 Data Lockdown'!B$5:B$257,0))</f>
        <v>56.018113935987294</v>
      </c>
      <c r="F98" s="5">
        <f>INDEX('2019 Data Lockdown'!E$5:E$257,MATCH(B98,'2019 Data Lockdown'!B$5:B$257,0))</f>
        <v>63477.03</v>
      </c>
      <c r="G98" s="5">
        <f>INDEX('2019 Data Lockdown'!F$5:F$257,MATCH(B98,'2019 Data Lockdown'!B$5:B$257,0))</f>
        <v>0</v>
      </c>
      <c r="H98" s="5">
        <f t="shared" si="21"/>
        <v>63477.03</v>
      </c>
      <c r="I98" s="95">
        <f t="shared" si="22"/>
        <v>1133.1518599954313</v>
      </c>
      <c r="J98" s="6">
        <f t="shared" si="23"/>
        <v>1133.1518599954313</v>
      </c>
      <c r="K98" s="5">
        <f t="shared" si="24"/>
        <v>63477.029999999992</v>
      </c>
      <c r="L98" s="135">
        <f>INDEX('2019 Best Practice Scores'!L$4:L$256,MATCH(B98,'2019 Best Practice Scores'!A$4:A$256,0))</f>
        <v>0.375</v>
      </c>
      <c r="M98" s="97">
        <f t="shared" si="25"/>
        <v>14682.393275877919</v>
      </c>
      <c r="N98" s="97">
        <f t="shared" si="26"/>
        <v>4009.3996207951482</v>
      </c>
      <c r="O98" s="97">
        <f t="shared" si="27"/>
        <v>1651.769243536266</v>
      </c>
      <c r="P98" s="97">
        <f t="shared" si="28"/>
        <v>771.35371780906087</v>
      </c>
      <c r="Q98" s="97">
        <f t="shared" si="29"/>
        <v>21114.915858018394</v>
      </c>
      <c r="R98" s="104">
        <f t="shared" si="30"/>
        <v>0.33263868612029257</v>
      </c>
      <c r="S98" s="166">
        <f t="shared" si="31"/>
        <v>21115.76684690348</v>
      </c>
      <c r="T98" s="97"/>
      <c r="U98" s="97">
        <f>IFERROR(INDEX('Revised 2020 MFAM(2018 PYAs)'!AD$26:AD$300,MATCH(B98,'Revised 2020 MFAM(2018 PYAs)'!B$26:B$300,0)),0)</f>
        <v>-10.023490399453294</v>
      </c>
      <c r="V98" s="97">
        <f>IFERROR(INDEX('Revised 2019 MFAM(2017 PYAs)'!AF$26:AF$300,MATCH(B98,'Revised 2019 MFAM(2017 PYAs)'!B$26:B$300,0)),0)</f>
        <v>1.3605355660602072</v>
      </c>
      <c r="W98" s="97">
        <f t="shared" si="32"/>
        <v>-1.4063208143584562E-2</v>
      </c>
      <c r="X98" s="97">
        <f t="shared" si="33"/>
        <v>-8.6770180415366713</v>
      </c>
      <c r="Y98" s="97"/>
      <c r="Z98" s="98">
        <f t="shared" si="34"/>
        <v>21107.089828861943</v>
      </c>
      <c r="AA98" s="99">
        <v>0</v>
      </c>
      <c r="AB98" s="100">
        <f t="shared" si="35"/>
        <v>0</v>
      </c>
      <c r="AC98" s="97">
        <f t="shared" si="36"/>
        <v>21107.089828861943</v>
      </c>
      <c r="AD98" s="103"/>
      <c r="AE98" s="97">
        <f t="shared" si="20"/>
        <v>5276.7724572154857</v>
      </c>
      <c r="AF98" s="97">
        <f t="shared" si="20"/>
        <v>5276.7724572154857</v>
      </c>
      <c r="AG98" s="97">
        <f t="shared" si="20"/>
        <v>5276.7724572154857</v>
      </c>
      <c r="AH98" s="97">
        <f t="shared" si="20"/>
        <v>5276.7724572154857</v>
      </c>
    </row>
    <row r="99" spans="2:34" x14ac:dyDescent="0.25">
      <c r="B99">
        <v>710</v>
      </c>
      <c r="C99" s="28">
        <v>6</v>
      </c>
      <c r="D99" s="35" t="s">
        <v>133</v>
      </c>
      <c r="E99" s="154">
        <f>INDEX('2019 Data Lockdown'!H$5:H$257,MATCH(B99,'2019 Data Lockdown'!B$5:B$257,0))</f>
        <v>69.210000000000008</v>
      </c>
      <c r="F99" s="5">
        <f>INDEX('2019 Data Lockdown'!E$5:E$257,MATCH(B99,'2019 Data Lockdown'!B$5:B$257,0))</f>
        <v>68111.539999999994</v>
      </c>
      <c r="G99" s="5">
        <f>INDEX('2019 Data Lockdown'!F$5:F$257,MATCH(B99,'2019 Data Lockdown'!B$5:B$257,0))</f>
        <v>0</v>
      </c>
      <c r="H99" s="5">
        <f t="shared" si="21"/>
        <v>68111.539999999994</v>
      </c>
      <c r="I99" s="95">
        <f t="shared" si="22"/>
        <v>984.12859413379545</v>
      </c>
      <c r="J99" s="6">
        <f t="shared" si="23"/>
        <v>984.12859413379545</v>
      </c>
      <c r="K99" s="5">
        <f t="shared" si="24"/>
        <v>68111.539999999994</v>
      </c>
      <c r="L99" s="135">
        <f>INDEX('2019 Best Practice Scores'!L$4:L$256,MATCH(B99,'2019 Best Practice Scores'!A$4:A$256,0))</f>
        <v>0.20138888888888887</v>
      </c>
      <c r="M99" s="97">
        <f t="shared" si="25"/>
        <v>15754.366845860464</v>
      </c>
      <c r="N99" s="97">
        <f t="shared" si="26"/>
        <v>4953.5860502608975</v>
      </c>
      <c r="O99" s="97">
        <f t="shared" si="27"/>
        <v>951.82633027073621</v>
      </c>
      <c r="P99" s="97">
        <f t="shared" si="28"/>
        <v>827.67088511703469</v>
      </c>
      <c r="Q99" s="97">
        <f t="shared" si="29"/>
        <v>22487.45011150913</v>
      </c>
      <c r="R99" s="104">
        <f t="shared" si="30"/>
        <v>0.33015624241514918</v>
      </c>
      <c r="S99" s="166">
        <f t="shared" si="31"/>
        <v>22488.356417280247</v>
      </c>
      <c r="T99" s="97"/>
      <c r="U99" s="97">
        <f>IFERROR(INDEX('Revised 2020 MFAM(2018 PYAs)'!AD$26:AD$300,MATCH(B99,'Revised 2020 MFAM(2018 PYAs)'!B$26:B$300,0)),0)</f>
        <v>-7.3584292665982503</v>
      </c>
      <c r="V99" s="97">
        <f>IFERROR(INDEX('Revised 2019 MFAM(2017 PYAs)'!AF$26:AF$300,MATCH(B99,'Revised 2019 MFAM(2017 PYAs)'!B$26:B$300,0)),0)</f>
        <v>33.08931495676552</v>
      </c>
      <c r="W99" s="97">
        <f t="shared" si="32"/>
        <v>-1.4977359780315315E-2</v>
      </c>
      <c r="X99" s="97">
        <f t="shared" si="33"/>
        <v>25.715908330386956</v>
      </c>
      <c r="Y99" s="97"/>
      <c r="Z99" s="98">
        <f t="shared" si="34"/>
        <v>22514.072325610636</v>
      </c>
      <c r="AA99" s="99">
        <v>0</v>
      </c>
      <c r="AB99" s="100">
        <f t="shared" si="35"/>
        <v>0</v>
      </c>
      <c r="AC99" s="97">
        <f t="shared" si="36"/>
        <v>22514.072325610636</v>
      </c>
      <c r="AD99" s="103"/>
      <c r="AE99" s="97">
        <f t="shared" si="20"/>
        <v>5628.5180814026589</v>
      </c>
      <c r="AF99" s="97">
        <f t="shared" si="20"/>
        <v>5628.5180814026589</v>
      </c>
      <c r="AG99" s="97">
        <f t="shared" si="20"/>
        <v>5628.5180814026589</v>
      </c>
      <c r="AH99" s="97">
        <f t="shared" si="20"/>
        <v>5628.5180814026589</v>
      </c>
    </row>
    <row r="100" spans="2:34" x14ac:dyDescent="0.25">
      <c r="B100">
        <v>743</v>
      </c>
      <c r="C100" s="28">
        <v>6</v>
      </c>
      <c r="D100" s="35" t="s">
        <v>134</v>
      </c>
      <c r="E100" s="154">
        <f>INDEX('2019 Data Lockdown'!H$5:H$257,MATCH(B100,'2019 Data Lockdown'!B$5:B$257,0))</f>
        <v>71.128633854585487</v>
      </c>
      <c r="F100" s="5">
        <f>INDEX('2019 Data Lockdown'!E$5:E$257,MATCH(B100,'2019 Data Lockdown'!B$5:B$257,0))</f>
        <v>137831.6</v>
      </c>
      <c r="G100" s="5">
        <f>INDEX('2019 Data Lockdown'!F$5:F$257,MATCH(B100,'2019 Data Lockdown'!B$5:B$257,0))</f>
        <v>0</v>
      </c>
      <c r="H100" s="5">
        <f t="shared" si="21"/>
        <v>137831.6</v>
      </c>
      <c r="I100" s="95">
        <f t="shared" si="22"/>
        <v>1937.7793798455521</v>
      </c>
      <c r="J100" s="6">
        <f t="shared" si="23"/>
        <v>1522.4622318178901</v>
      </c>
      <c r="K100" s="5">
        <f t="shared" si="24"/>
        <v>108290.65864440976</v>
      </c>
      <c r="L100" s="135">
        <f>INDEX('2019 Best Practice Scores'!L$4:L$256,MATCH(B100,'2019 Best Practice Scores'!A$4:A$256,0))</f>
        <v>0.61342592592592582</v>
      </c>
      <c r="M100" s="97">
        <f t="shared" si="25"/>
        <v>25047.895881724038</v>
      </c>
      <c r="N100" s="97">
        <f t="shared" si="26"/>
        <v>5090.9089500966566</v>
      </c>
      <c r="O100" s="97">
        <f t="shared" si="27"/>
        <v>4609.5086171228259</v>
      </c>
      <c r="P100" s="97">
        <f t="shared" si="28"/>
        <v>1315.9154130140839</v>
      </c>
      <c r="Q100" s="97">
        <f t="shared" si="29"/>
        <v>36064.228861957599</v>
      </c>
      <c r="R100" s="104">
        <f t="shared" si="30"/>
        <v>0.33303176205050561</v>
      </c>
      <c r="S100" s="166">
        <f t="shared" si="31"/>
        <v>36065.682349062023</v>
      </c>
      <c r="T100" s="97"/>
      <c r="U100" s="97">
        <f>IFERROR(INDEX('Revised 2020 MFAM(2018 PYAs)'!AD$26:AD$300,MATCH(B100,'Revised 2020 MFAM(2018 PYAs)'!B$26:B$300,0)),0)</f>
        <v>-1.915298995176272</v>
      </c>
      <c r="V100" s="97">
        <f>IFERROR(INDEX('Revised 2019 MFAM(2017 PYAs)'!AF$26:AF$300,MATCH(B100,'Revised 2019 MFAM(2017 PYAs)'!B$26:B$300,0)),0)</f>
        <v>73.62921900217043</v>
      </c>
      <c r="W100" s="97">
        <f t="shared" si="32"/>
        <v>-2.4019927923652047E-2</v>
      </c>
      <c r="X100" s="97">
        <f t="shared" si="33"/>
        <v>71.689900079070512</v>
      </c>
      <c r="Y100" s="97"/>
      <c r="Z100" s="98">
        <f t="shared" si="34"/>
        <v>36137.372249141095</v>
      </c>
      <c r="AA100" s="99">
        <v>0</v>
      </c>
      <c r="AB100" s="100">
        <f t="shared" si="35"/>
        <v>0</v>
      </c>
      <c r="AC100" s="97">
        <f t="shared" si="36"/>
        <v>36137.372249141095</v>
      </c>
      <c r="AD100" s="103"/>
      <c r="AE100" s="97">
        <f t="shared" si="20"/>
        <v>9034.3430622852738</v>
      </c>
      <c r="AF100" s="97">
        <f t="shared" si="20"/>
        <v>9034.3430622852738</v>
      </c>
      <c r="AG100" s="97">
        <f t="shared" si="20"/>
        <v>9034.3430622852738</v>
      </c>
      <c r="AH100" s="97">
        <f t="shared" si="20"/>
        <v>9034.3430622852738</v>
      </c>
    </row>
    <row r="101" spans="2:34" x14ac:dyDescent="0.25">
      <c r="B101">
        <v>747</v>
      </c>
      <c r="C101" s="28">
        <v>6</v>
      </c>
      <c r="D101" s="35" t="s">
        <v>135</v>
      </c>
      <c r="E101" s="154">
        <f>INDEX('2019 Data Lockdown'!H$5:H$257,MATCH(B101,'2019 Data Lockdown'!B$5:B$257,0))</f>
        <v>38</v>
      </c>
      <c r="F101" s="5">
        <f>INDEX('2019 Data Lockdown'!E$5:E$257,MATCH(B101,'2019 Data Lockdown'!B$5:B$257,0))</f>
        <v>67182.81</v>
      </c>
      <c r="G101" s="5">
        <f>INDEX('2019 Data Lockdown'!F$5:F$257,MATCH(B101,'2019 Data Lockdown'!B$5:B$257,0))</f>
        <v>0</v>
      </c>
      <c r="H101" s="5">
        <f t="shared" si="21"/>
        <v>67182.81</v>
      </c>
      <c r="I101" s="95">
        <f t="shared" si="22"/>
        <v>1767.9686842105264</v>
      </c>
      <c r="J101" s="6">
        <f t="shared" si="23"/>
        <v>1522.4622318178901</v>
      </c>
      <c r="K101" s="5">
        <f t="shared" si="24"/>
        <v>57853.564809079828</v>
      </c>
      <c r="L101" s="135">
        <f>INDEX('2019 Best Practice Scores'!L$4:L$256,MATCH(B101,'2019 Best Practice Scores'!A$4:A$256,0))</f>
        <v>0.29166666666666663</v>
      </c>
      <c r="M101" s="97">
        <f t="shared" si="25"/>
        <v>13381.671936106672</v>
      </c>
      <c r="N101" s="97">
        <f t="shared" si="26"/>
        <v>2719.7842784267318</v>
      </c>
      <c r="O101" s="97">
        <f t="shared" si="27"/>
        <v>1170.8962944093334</v>
      </c>
      <c r="P101" s="97">
        <f t="shared" si="28"/>
        <v>703.01906538461526</v>
      </c>
      <c r="Q101" s="97">
        <f t="shared" si="29"/>
        <v>17975.371574327353</v>
      </c>
      <c r="R101" s="104">
        <f t="shared" si="30"/>
        <v>0.31070464946537241</v>
      </c>
      <c r="S101" s="166">
        <f t="shared" si="31"/>
        <v>17976.096030987181</v>
      </c>
      <c r="T101" s="97"/>
      <c r="U101" s="97">
        <f>IFERROR(INDEX('Revised 2020 MFAM(2018 PYAs)'!AD$26:AD$300,MATCH(B101,'Revised 2020 MFAM(2018 PYAs)'!B$26:B$300,0)),0)</f>
        <v>-0.78222199228184763</v>
      </c>
      <c r="V101" s="97">
        <f>IFERROR(INDEX('Revised 2019 MFAM(2017 PYAs)'!AF$26:AF$300,MATCH(B101,'Revised 2019 MFAM(2017 PYAs)'!B$26:B$300,0)),0)</f>
        <v>26.065494872475028</v>
      </c>
      <c r="W101" s="97">
        <f t="shared" si="32"/>
        <v>-1.1972171407542753E-2</v>
      </c>
      <c r="X101" s="97">
        <f t="shared" si="33"/>
        <v>25.271300708785638</v>
      </c>
      <c r="Y101" s="97"/>
      <c r="Z101" s="98">
        <f t="shared" si="34"/>
        <v>18001.367331695965</v>
      </c>
      <c r="AA101" s="99">
        <v>0</v>
      </c>
      <c r="AB101" s="100">
        <f t="shared" si="35"/>
        <v>0</v>
      </c>
      <c r="AC101" s="97">
        <f t="shared" si="36"/>
        <v>18001.367331695965</v>
      </c>
      <c r="AD101" s="103"/>
      <c r="AE101" s="97">
        <f t="shared" si="20"/>
        <v>4500.3418329239912</v>
      </c>
      <c r="AF101" s="97">
        <f t="shared" si="20"/>
        <v>4500.3418329239912</v>
      </c>
      <c r="AG101" s="97">
        <f t="shared" si="20"/>
        <v>4500.3418329239912</v>
      </c>
      <c r="AH101" s="97">
        <f t="shared" si="20"/>
        <v>4500.3418329239912</v>
      </c>
    </row>
    <row r="102" spans="2:34" x14ac:dyDescent="0.25">
      <c r="B102">
        <v>758</v>
      </c>
      <c r="C102" s="28">
        <v>6</v>
      </c>
      <c r="D102" s="35" t="s">
        <v>136</v>
      </c>
      <c r="E102" s="154">
        <f>INDEX('2019 Data Lockdown'!H$5:H$257,MATCH(B102,'2019 Data Lockdown'!B$5:B$257,0))</f>
        <v>242.43754918347622</v>
      </c>
      <c r="F102" s="5">
        <f>INDEX('2019 Data Lockdown'!E$5:E$257,MATCH(B102,'2019 Data Lockdown'!B$5:B$257,0))</f>
        <v>340319.42</v>
      </c>
      <c r="G102" s="5">
        <f>INDEX('2019 Data Lockdown'!F$5:F$257,MATCH(B102,'2019 Data Lockdown'!B$5:B$257,0))</f>
        <v>142.1</v>
      </c>
      <c r="H102" s="5">
        <f t="shared" si="21"/>
        <v>340177.32</v>
      </c>
      <c r="I102" s="95">
        <f t="shared" si="22"/>
        <v>1403.1544253178147</v>
      </c>
      <c r="J102" s="6">
        <f t="shared" si="23"/>
        <v>1403.1544253178147</v>
      </c>
      <c r="K102" s="5">
        <f t="shared" si="24"/>
        <v>340177.32</v>
      </c>
      <c r="L102" s="135">
        <f>INDEX('2019 Best Practice Scores'!L$4:L$256,MATCH(B102,'2019 Best Practice Scores'!A$4:A$256,0))</f>
        <v>0.62037037037037024</v>
      </c>
      <c r="M102" s="97">
        <f t="shared" si="25"/>
        <v>78683.851399067862</v>
      </c>
      <c r="N102" s="97">
        <f t="shared" si="26"/>
        <v>17352.048283408581</v>
      </c>
      <c r="O102" s="97">
        <f t="shared" si="27"/>
        <v>14643.93901038207</v>
      </c>
      <c r="P102" s="97">
        <f t="shared" si="28"/>
        <v>4133.7321625842078</v>
      </c>
      <c r="Q102" s="97">
        <f t="shared" si="29"/>
        <v>114813.57085544273</v>
      </c>
      <c r="R102" s="104">
        <f t="shared" si="30"/>
        <v>0.3375109512163913</v>
      </c>
      <c r="S102" s="166">
        <f t="shared" si="31"/>
        <v>114818.19815650856</v>
      </c>
      <c r="T102" s="97"/>
      <c r="U102" s="97">
        <f>IFERROR(INDEX('Revised 2020 MFAM(2018 PYAs)'!AD$26:AD$300,MATCH(B102,'Revised 2020 MFAM(2018 PYAs)'!B$26:B$300,0)),0)</f>
        <v>-57.274748802388785</v>
      </c>
      <c r="V102" s="97">
        <f>IFERROR(INDEX('Revised 2019 MFAM(2017 PYAs)'!AF$26:AF$300,MATCH(B102,'Revised 2019 MFAM(2017 PYAs)'!B$26:B$300,0)),0)</f>
        <v>13.515909232737613</v>
      </c>
      <c r="W102" s="97">
        <f t="shared" si="32"/>
        <v>-7.6469504093956517E-2</v>
      </c>
      <c r="X102" s="97">
        <f t="shared" si="33"/>
        <v>-43.83530907374513</v>
      </c>
      <c r="Y102" s="97"/>
      <c r="Z102" s="98">
        <f t="shared" si="34"/>
        <v>114774.36284743481</v>
      </c>
      <c r="AA102" s="99">
        <v>0</v>
      </c>
      <c r="AB102" s="100">
        <f t="shared" si="35"/>
        <v>0</v>
      </c>
      <c r="AC102" s="97">
        <f t="shared" si="36"/>
        <v>114774.36284743481</v>
      </c>
      <c r="AD102" s="103"/>
      <c r="AE102" s="97">
        <f t="shared" si="20"/>
        <v>28693.590711858702</v>
      </c>
      <c r="AF102" s="97">
        <f t="shared" si="20"/>
        <v>28693.590711858702</v>
      </c>
      <c r="AG102" s="97">
        <f t="shared" si="20"/>
        <v>28693.590711858702</v>
      </c>
      <c r="AH102" s="97">
        <f t="shared" si="20"/>
        <v>28693.590711858702</v>
      </c>
    </row>
    <row r="103" spans="2:34" x14ac:dyDescent="0.25">
      <c r="B103">
        <v>765</v>
      </c>
      <c r="C103" s="28">
        <v>6</v>
      </c>
      <c r="D103" s="35" t="s">
        <v>137</v>
      </c>
      <c r="E103" s="154">
        <f>INDEX('2019 Data Lockdown'!H$5:H$257,MATCH(B103,'2019 Data Lockdown'!B$5:B$257,0))</f>
        <v>86.906400000000005</v>
      </c>
      <c r="F103" s="5">
        <f>INDEX('2019 Data Lockdown'!E$5:E$257,MATCH(B103,'2019 Data Lockdown'!B$5:B$257,0))</f>
        <v>83939.95</v>
      </c>
      <c r="G103" s="5">
        <f>INDEX('2019 Data Lockdown'!F$5:F$257,MATCH(B103,'2019 Data Lockdown'!B$5:B$257,0))</f>
        <v>0</v>
      </c>
      <c r="H103" s="5">
        <f t="shared" si="21"/>
        <v>83939.95</v>
      </c>
      <c r="I103" s="95">
        <f t="shared" si="22"/>
        <v>965.86615024900345</v>
      </c>
      <c r="J103" s="6">
        <f t="shared" si="23"/>
        <v>965.86615024900345</v>
      </c>
      <c r="K103" s="5">
        <f t="shared" si="24"/>
        <v>83939.95</v>
      </c>
      <c r="L103" s="135">
        <f>INDEX('2019 Best Practice Scores'!L$4:L$256,MATCH(B103,'2019 Best Practice Scores'!A$4:A$256,0))</f>
        <v>0.36111111111111105</v>
      </c>
      <c r="M103" s="97">
        <f t="shared" si="25"/>
        <v>19415.517037541438</v>
      </c>
      <c r="N103" s="97">
        <f t="shared" si="26"/>
        <v>6220.1752740701286</v>
      </c>
      <c r="O103" s="97">
        <f t="shared" si="27"/>
        <v>2103.3476790669883</v>
      </c>
      <c r="P103" s="97">
        <f t="shared" si="28"/>
        <v>1020.0129480728176</v>
      </c>
      <c r="Q103" s="97">
        <f t="shared" si="29"/>
        <v>28759.052938751371</v>
      </c>
      <c r="R103" s="104">
        <f t="shared" si="30"/>
        <v>0.34261460649847147</v>
      </c>
      <c r="S103" s="166">
        <f t="shared" si="31"/>
        <v>28760.212007277194</v>
      </c>
      <c r="T103" s="97"/>
      <c r="U103" s="97">
        <f>IFERROR(INDEX('Revised 2020 MFAM(2018 PYAs)'!AD$26:AD$300,MATCH(B103,'Revised 2020 MFAM(2018 PYAs)'!B$26:B$300,0)),0)</f>
        <v>-14.286363851220813</v>
      </c>
      <c r="V103" s="97">
        <f>IFERROR(INDEX('Revised 2019 MFAM(2017 PYAs)'!AF$26:AF$300,MATCH(B103,'Revised 2019 MFAM(2017 PYAs)'!B$26:B$300,0)),0)</f>
        <v>62.295292269547645</v>
      </c>
      <c r="W103" s="97">
        <f t="shared" si="32"/>
        <v>-1.9154447510452182E-2</v>
      </c>
      <c r="X103" s="97">
        <f t="shared" si="33"/>
        <v>47.98977397081638</v>
      </c>
      <c r="Y103" s="97"/>
      <c r="Z103" s="98">
        <f t="shared" si="34"/>
        <v>28808.201781248012</v>
      </c>
      <c r="AA103" s="99">
        <v>0</v>
      </c>
      <c r="AB103" s="100">
        <f t="shared" si="35"/>
        <v>0</v>
      </c>
      <c r="AC103" s="97">
        <f t="shared" si="36"/>
        <v>28808.201781248012</v>
      </c>
      <c r="AD103" s="103"/>
      <c r="AE103" s="97">
        <f t="shared" si="20"/>
        <v>7202.0504453120029</v>
      </c>
      <c r="AF103" s="97">
        <f t="shared" si="20"/>
        <v>7202.0504453120029</v>
      </c>
      <c r="AG103" s="97">
        <f t="shared" si="20"/>
        <v>7202.0504453120029</v>
      </c>
      <c r="AH103" s="97">
        <f t="shared" si="20"/>
        <v>7202.0504453120029</v>
      </c>
    </row>
    <row r="104" spans="2:34" x14ac:dyDescent="0.25">
      <c r="B104">
        <v>770</v>
      </c>
      <c r="C104" s="28">
        <v>6</v>
      </c>
      <c r="D104" s="35" t="s">
        <v>138</v>
      </c>
      <c r="E104" s="154">
        <f>INDEX('2019 Data Lockdown'!H$5:H$257,MATCH(B104,'2019 Data Lockdown'!B$5:B$257,0))</f>
        <v>26.529705367571449</v>
      </c>
      <c r="F104" s="5">
        <f>INDEX('2019 Data Lockdown'!E$5:E$257,MATCH(B104,'2019 Data Lockdown'!B$5:B$257,0))</f>
        <v>30839.79</v>
      </c>
      <c r="G104" s="5">
        <f>INDEX('2019 Data Lockdown'!F$5:F$257,MATCH(B104,'2019 Data Lockdown'!B$5:B$257,0))</f>
        <v>0</v>
      </c>
      <c r="H104" s="5">
        <f t="shared" si="21"/>
        <v>30839.79</v>
      </c>
      <c r="I104" s="95">
        <f t="shared" si="22"/>
        <v>1162.4625894902315</v>
      </c>
      <c r="J104" s="6">
        <f t="shared" si="23"/>
        <v>1162.4625894902315</v>
      </c>
      <c r="K104" s="5">
        <f t="shared" si="24"/>
        <v>30839.79</v>
      </c>
      <c r="L104" s="135">
        <f>INDEX('2019 Best Practice Scores'!L$4:L$256,MATCH(B104,'2019 Best Practice Scores'!A$4:A$256,0))</f>
        <v>0.29166666666666663</v>
      </c>
      <c r="M104" s="97">
        <f t="shared" si="25"/>
        <v>7133.3193333948857</v>
      </c>
      <c r="N104" s="97">
        <f t="shared" si="26"/>
        <v>1898.8177781582656</v>
      </c>
      <c r="O104" s="97">
        <f t="shared" si="27"/>
        <v>624.16544167205234</v>
      </c>
      <c r="P104" s="97">
        <f t="shared" si="28"/>
        <v>374.75582384605423</v>
      </c>
      <c r="Q104" s="97">
        <f t="shared" si="29"/>
        <v>10031.058377071258</v>
      </c>
      <c r="R104" s="104">
        <f t="shared" si="30"/>
        <v>0.32526351110274287</v>
      </c>
      <c r="S104" s="166">
        <f t="shared" si="31"/>
        <v>10031.462656171489</v>
      </c>
      <c r="T104" s="97"/>
      <c r="U104" s="97">
        <f>IFERROR(INDEX('Revised 2020 MFAM(2018 PYAs)'!AD$26:AD$300,MATCH(B104,'Revised 2020 MFAM(2018 PYAs)'!B$26:B$300,0)),0)</f>
        <v>-4.0213014884575387</v>
      </c>
      <c r="V104" s="97">
        <f>IFERROR(INDEX('Revised 2019 MFAM(2017 PYAs)'!AF$26:AF$300,MATCH(B104,'Revised 2019 MFAM(2017 PYAs)'!B$26:B$300,0)),0)</f>
        <v>1.0291045969715924</v>
      </c>
      <c r="W104" s="97">
        <f t="shared" si="32"/>
        <v>-6.6810051626907006E-3</v>
      </c>
      <c r="X104" s="97">
        <f t="shared" si="33"/>
        <v>-2.9988778966486369</v>
      </c>
      <c r="Y104" s="97"/>
      <c r="Z104" s="98">
        <f t="shared" si="34"/>
        <v>10028.46377827484</v>
      </c>
      <c r="AA104" s="99">
        <v>0</v>
      </c>
      <c r="AB104" s="100">
        <f t="shared" si="35"/>
        <v>0</v>
      </c>
      <c r="AC104" s="97">
        <f t="shared" si="36"/>
        <v>10028.46377827484</v>
      </c>
      <c r="AD104" s="103"/>
      <c r="AE104" s="97">
        <f t="shared" si="20"/>
        <v>2507.1159445687099</v>
      </c>
      <c r="AF104" s="97">
        <f t="shared" si="20"/>
        <v>2507.1159445687099</v>
      </c>
      <c r="AG104" s="97">
        <f t="shared" si="20"/>
        <v>2507.1159445687099</v>
      </c>
      <c r="AH104" s="97">
        <f t="shared" si="20"/>
        <v>2507.1159445687099</v>
      </c>
    </row>
    <row r="105" spans="2:34" x14ac:dyDescent="0.25">
      <c r="B105">
        <v>774</v>
      </c>
      <c r="C105" s="28">
        <v>6</v>
      </c>
      <c r="D105" s="35" t="s">
        <v>139</v>
      </c>
      <c r="E105" s="154">
        <f>INDEX('2019 Data Lockdown'!H$5:H$257,MATCH(B105,'2019 Data Lockdown'!B$5:B$257,0))</f>
        <v>357.53110369632333</v>
      </c>
      <c r="F105" s="5">
        <f>INDEX('2019 Data Lockdown'!E$5:E$257,MATCH(B105,'2019 Data Lockdown'!B$5:B$257,0))</f>
        <v>291174.90000000002</v>
      </c>
      <c r="G105" s="5">
        <f>INDEX('2019 Data Lockdown'!F$5:F$257,MATCH(B105,'2019 Data Lockdown'!B$5:B$257,0))</f>
        <v>0</v>
      </c>
      <c r="H105" s="5">
        <f t="shared" si="21"/>
        <v>291174.90000000002</v>
      </c>
      <c r="I105" s="95">
        <f t="shared" si="22"/>
        <v>814.40438884812556</v>
      </c>
      <c r="J105" s="6">
        <f t="shared" si="23"/>
        <v>814.40438884812556</v>
      </c>
      <c r="K105" s="5">
        <f t="shared" si="24"/>
        <v>291174.90000000002</v>
      </c>
      <c r="L105" s="135">
        <f>INDEX('2019 Best Practice Scores'!L$4:L$256,MATCH(B105,'2019 Best Practice Scores'!A$4:A$256,0))</f>
        <v>0.6689814814814814</v>
      </c>
      <c r="M105" s="97">
        <f t="shared" si="25"/>
        <v>67349.471042744553</v>
      </c>
      <c r="N105" s="97">
        <f t="shared" si="26"/>
        <v>25589.67039162678</v>
      </c>
      <c r="O105" s="97">
        <f t="shared" si="27"/>
        <v>13516.664674550813</v>
      </c>
      <c r="P105" s="97">
        <f t="shared" si="28"/>
        <v>3538.269538566653</v>
      </c>
      <c r="Q105" s="97">
        <f t="shared" si="29"/>
        <v>109994.0756474888</v>
      </c>
      <c r="R105" s="104">
        <f t="shared" si="30"/>
        <v>0.37775946912831015</v>
      </c>
      <c r="S105" s="166">
        <f t="shared" si="31"/>
        <v>109998.50870971034</v>
      </c>
      <c r="T105" s="97"/>
      <c r="U105" s="97">
        <f>IFERROR(INDEX('Revised 2020 MFAM(2018 PYAs)'!AD$26:AD$300,MATCH(B105,'Revised 2020 MFAM(2018 PYAs)'!B$26:B$300,0)),0)</f>
        <v>-50.410974794416688</v>
      </c>
      <c r="V105" s="97">
        <f>IFERROR(INDEX('Revised 2019 MFAM(2017 PYAs)'!AF$26:AF$300,MATCH(B105,'Revised 2019 MFAM(2017 PYAs)'!B$26:B$300,0)),0)</f>
        <v>14.297692968379124</v>
      </c>
      <c r="W105" s="97">
        <f t="shared" si="32"/>
        <v>-7.3259566402884654E-2</v>
      </c>
      <c r="X105" s="97">
        <f t="shared" si="33"/>
        <v>-36.186541392440446</v>
      </c>
      <c r="Y105" s="97"/>
      <c r="Z105" s="98">
        <f t="shared" si="34"/>
        <v>109962.3221683179</v>
      </c>
      <c r="AA105" s="99">
        <v>0</v>
      </c>
      <c r="AB105" s="100">
        <f t="shared" si="35"/>
        <v>0</v>
      </c>
      <c r="AC105" s="97">
        <f t="shared" si="36"/>
        <v>109962.3221683179</v>
      </c>
      <c r="AD105" s="103"/>
      <c r="AE105" s="97">
        <f t="shared" si="20"/>
        <v>27490.580542079475</v>
      </c>
      <c r="AF105" s="97">
        <f t="shared" si="20"/>
        <v>27490.580542079475</v>
      </c>
      <c r="AG105" s="97">
        <f t="shared" si="20"/>
        <v>27490.580542079475</v>
      </c>
      <c r="AH105" s="97">
        <f t="shared" si="20"/>
        <v>27490.580542079475</v>
      </c>
    </row>
    <row r="106" spans="2:34" x14ac:dyDescent="0.25">
      <c r="B106">
        <v>794</v>
      </c>
      <c r="C106" s="28">
        <v>6</v>
      </c>
      <c r="D106" s="35" t="s">
        <v>140</v>
      </c>
      <c r="E106" s="154">
        <f>INDEX('2019 Data Lockdown'!H$5:H$257,MATCH(B106,'2019 Data Lockdown'!B$5:B$257,0))</f>
        <v>19.658346730975349</v>
      </c>
      <c r="F106" s="5">
        <f>INDEX('2019 Data Lockdown'!E$5:E$257,MATCH(B106,'2019 Data Lockdown'!B$5:B$257,0))</f>
        <v>44067.08</v>
      </c>
      <c r="G106" s="5">
        <f>INDEX('2019 Data Lockdown'!F$5:F$257,MATCH(B106,'2019 Data Lockdown'!B$5:B$257,0))</f>
        <v>0</v>
      </c>
      <c r="H106" s="5">
        <f t="shared" si="21"/>
        <v>44067.08</v>
      </c>
      <c r="I106" s="95">
        <f t="shared" si="22"/>
        <v>2241.6473065135328</v>
      </c>
      <c r="J106" s="6">
        <f t="shared" si="23"/>
        <v>1522.4622318178901</v>
      </c>
      <c r="K106" s="5">
        <f t="shared" si="24"/>
        <v>29929.090437890656</v>
      </c>
      <c r="L106" s="135">
        <f>INDEX('2019 Best Practice Scores'!L$4:L$256,MATCH(B106,'2019 Best Practice Scores'!A$4:A$256,0))</f>
        <v>0.56944444444444442</v>
      </c>
      <c r="M106" s="97">
        <f t="shared" si="25"/>
        <v>6922.6722831617672</v>
      </c>
      <c r="N106" s="97">
        <f t="shared" si="26"/>
        <v>1407.0121678623232</v>
      </c>
      <c r="O106" s="97">
        <f t="shared" si="27"/>
        <v>1182.6231817068017</v>
      </c>
      <c r="P106" s="97">
        <f t="shared" si="28"/>
        <v>363.68927752149989</v>
      </c>
      <c r="Q106" s="97">
        <f t="shared" si="29"/>
        <v>9875.9969102523919</v>
      </c>
      <c r="R106" s="104">
        <f t="shared" si="30"/>
        <v>0.32997985457483997</v>
      </c>
      <c r="S106" s="166">
        <f t="shared" si="31"/>
        <v>9876.3949399512203</v>
      </c>
      <c r="T106" s="97"/>
      <c r="U106" s="97">
        <f>IFERROR(INDEX('Revised 2020 MFAM(2018 PYAs)'!AD$26:AD$300,MATCH(B106,'Revised 2020 MFAM(2018 PYAs)'!B$26:B$300,0)),0)</f>
        <v>-0.4479709530596665</v>
      </c>
      <c r="V106" s="97">
        <f>IFERROR(INDEX('Revised 2019 MFAM(2017 PYAs)'!AF$26:AF$300,MATCH(B106,'Revised 2019 MFAM(2017 PYAs)'!B$26:B$300,0)),0)</f>
        <v>15.735427286409504</v>
      </c>
      <c r="W106" s="97">
        <f t="shared" si="32"/>
        <v>-6.5777292748024178E-3</v>
      </c>
      <c r="X106" s="97">
        <f t="shared" si="33"/>
        <v>15.280878604075035</v>
      </c>
      <c r="Y106" s="97"/>
      <c r="Z106" s="98">
        <f t="shared" si="34"/>
        <v>9891.6758185552953</v>
      </c>
      <c r="AA106" s="99">
        <v>0</v>
      </c>
      <c r="AB106" s="100">
        <f t="shared" si="35"/>
        <v>0</v>
      </c>
      <c r="AC106" s="97">
        <f t="shared" si="36"/>
        <v>9891.6758185552953</v>
      </c>
      <c r="AD106" s="103"/>
      <c r="AE106" s="97">
        <f t="shared" ref="AE106:AH125" si="37">$AC106/4</f>
        <v>2472.9189546388238</v>
      </c>
      <c r="AF106" s="97">
        <f t="shared" si="37"/>
        <v>2472.9189546388238</v>
      </c>
      <c r="AG106" s="97">
        <f t="shared" si="37"/>
        <v>2472.9189546388238</v>
      </c>
      <c r="AH106" s="97">
        <f t="shared" si="37"/>
        <v>2472.9189546388238</v>
      </c>
    </row>
    <row r="107" spans="2:34" x14ac:dyDescent="0.25">
      <c r="B107">
        <v>806</v>
      </c>
      <c r="C107" s="28">
        <v>6</v>
      </c>
      <c r="D107" s="35" t="s">
        <v>141</v>
      </c>
      <c r="E107" s="154">
        <f>INDEX('2019 Data Lockdown'!H$5:H$257,MATCH(B107,'2019 Data Lockdown'!B$5:B$257,0))</f>
        <v>28</v>
      </c>
      <c r="F107" s="5">
        <f>INDEX('2019 Data Lockdown'!E$5:E$257,MATCH(B107,'2019 Data Lockdown'!B$5:B$257,0))</f>
        <v>39624.269999999997</v>
      </c>
      <c r="G107" s="5">
        <f>INDEX('2019 Data Lockdown'!F$5:F$257,MATCH(B107,'2019 Data Lockdown'!B$5:B$257,0))</f>
        <v>0</v>
      </c>
      <c r="H107" s="5">
        <f t="shared" si="21"/>
        <v>39624.269999999997</v>
      </c>
      <c r="I107" s="95">
        <f t="shared" si="22"/>
        <v>1415.1524999999999</v>
      </c>
      <c r="J107" s="6">
        <f t="shared" si="23"/>
        <v>1415.1524999999999</v>
      </c>
      <c r="K107" s="5">
        <f t="shared" si="24"/>
        <v>39624.269999999997</v>
      </c>
      <c r="L107" s="135">
        <f>INDEX('2019 Best Practice Scores'!L$4:L$256,MATCH(B107,'2019 Best Practice Scores'!A$4:A$256,0))</f>
        <v>0.31944444444444442</v>
      </c>
      <c r="M107" s="97">
        <f t="shared" si="25"/>
        <v>9165.1911787550744</v>
      </c>
      <c r="N107" s="97">
        <f t="shared" si="26"/>
        <v>2004.0515735775916</v>
      </c>
      <c r="O107" s="97">
        <f t="shared" si="27"/>
        <v>878.33082129736113</v>
      </c>
      <c r="P107" s="97">
        <f t="shared" si="28"/>
        <v>481.50217456566628</v>
      </c>
      <c r="Q107" s="97">
        <f t="shared" si="29"/>
        <v>12529.075748195693</v>
      </c>
      <c r="R107" s="104">
        <f t="shared" si="30"/>
        <v>0.31619701128110861</v>
      </c>
      <c r="S107" s="166">
        <f t="shared" si="31"/>
        <v>12529.580704231217</v>
      </c>
      <c r="T107" s="97"/>
      <c r="U107" s="97">
        <f>IFERROR(INDEX('Revised 2020 MFAM(2018 PYAs)'!AD$26:AD$300,MATCH(B107,'Revised 2020 MFAM(2018 PYAs)'!B$26:B$300,0)),0)</f>
        <v>-0.49084209963803005</v>
      </c>
      <c r="V107" s="97">
        <f>IFERROR(INDEX('Revised 2019 MFAM(2017 PYAs)'!AF$26:AF$300,MATCH(B107,'Revised 2019 MFAM(2017 PYAs)'!B$26:B$300,0)),0)</f>
        <v>21.159910193457108</v>
      </c>
      <c r="W107" s="97">
        <f t="shared" si="32"/>
        <v>-8.3447644915289523E-3</v>
      </c>
      <c r="X107" s="97">
        <f t="shared" si="33"/>
        <v>20.660723329327549</v>
      </c>
      <c r="Y107" s="97"/>
      <c r="Z107" s="98">
        <f t="shared" si="34"/>
        <v>12550.241427560544</v>
      </c>
      <c r="AA107" s="99">
        <v>0</v>
      </c>
      <c r="AB107" s="100">
        <f t="shared" si="35"/>
        <v>0</v>
      </c>
      <c r="AC107" s="97">
        <f t="shared" si="36"/>
        <v>12550.241427560544</v>
      </c>
      <c r="AD107" s="103"/>
      <c r="AE107" s="97">
        <f t="shared" si="37"/>
        <v>3137.5603568901361</v>
      </c>
      <c r="AF107" s="97">
        <f t="shared" si="37"/>
        <v>3137.5603568901361</v>
      </c>
      <c r="AG107" s="97">
        <f t="shared" si="37"/>
        <v>3137.5603568901361</v>
      </c>
      <c r="AH107" s="97">
        <f t="shared" si="37"/>
        <v>3137.5603568901361</v>
      </c>
    </row>
    <row r="108" spans="2:34" x14ac:dyDescent="0.25">
      <c r="B108">
        <v>809</v>
      </c>
      <c r="C108" s="28">
        <v>6</v>
      </c>
      <c r="D108" s="35" t="s">
        <v>318</v>
      </c>
      <c r="E108" s="154">
        <f>INDEX('2019 Data Lockdown'!H$5:H$257,MATCH(B108,'2019 Data Lockdown'!B$5:B$257,0))</f>
        <v>348.46479174516446</v>
      </c>
      <c r="F108" s="5">
        <f>INDEX('2019 Data Lockdown'!E$5:E$257,MATCH(B108,'2019 Data Lockdown'!B$5:B$257,0))</f>
        <v>495521.19</v>
      </c>
      <c r="G108" s="5">
        <f>INDEX('2019 Data Lockdown'!F$5:F$257,MATCH(B108,'2019 Data Lockdown'!B$5:B$257,0))</f>
        <v>0</v>
      </c>
      <c r="H108" s="5">
        <f t="shared" si="21"/>
        <v>495521.19</v>
      </c>
      <c r="I108" s="95">
        <f t="shared" si="22"/>
        <v>1422.0122139696089</v>
      </c>
      <c r="J108" s="6">
        <f t="shared" si="23"/>
        <v>1422.0122139696089</v>
      </c>
      <c r="K108" s="5">
        <f t="shared" si="24"/>
        <v>495521.19</v>
      </c>
      <c r="L108" s="135">
        <f>INDEX('2019 Best Practice Scores'!L$4:L$256,MATCH(B108,'2019 Best Practice Scores'!A$4:A$256,0))</f>
        <v>0.51851851851851849</v>
      </c>
      <c r="M108" s="97">
        <f t="shared" si="25"/>
        <v>114615.27088004947</v>
      </c>
      <c r="N108" s="97">
        <f t="shared" si="26"/>
        <v>24940.764794045877</v>
      </c>
      <c r="O108" s="97">
        <f t="shared" si="27"/>
        <v>17829.042136896584</v>
      </c>
      <c r="P108" s="97">
        <f t="shared" si="28"/>
        <v>6021.4240042369674</v>
      </c>
      <c r="Q108" s="97">
        <f t="shared" si="29"/>
        <v>163406.5018152289</v>
      </c>
      <c r="R108" s="104">
        <f t="shared" si="30"/>
        <v>0.3297669304822845</v>
      </c>
      <c r="S108" s="166">
        <f t="shared" si="31"/>
        <v>163413.08754437556</v>
      </c>
      <c r="T108" s="97"/>
      <c r="U108" s="97">
        <f>IFERROR(INDEX('Revised 2020 MFAM(2018 PYAs)'!AD$26:AD$300,MATCH(B108,'Revised 2020 MFAM(2018 PYAs)'!B$26:B$300,0)),0)</f>
        <v>-87.161695103684906</v>
      </c>
      <c r="V108" s="97">
        <f>IFERROR(INDEX('Revised 2019 MFAM(2017 PYAs)'!AF$26:AF$300,MATCH(B108,'Revised 2019 MFAM(2017 PYAs)'!B$26:B$300,0)),0)</f>
        <v>0</v>
      </c>
      <c r="W108" s="97">
        <f t="shared" si="32"/>
        <v>-0.10883394764606268</v>
      </c>
      <c r="X108" s="97">
        <f t="shared" si="33"/>
        <v>-87.270529051330968</v>
      </c>
      <c r="Y108" s="97"/>
      <c r="Z108" s="98">
        <f t="shared" si="34"/>
        <v>163325.81701532422</v>
      </c>
      <c r="AA108" s="99">
        <v>0</v>
      </c>
      <c r="AB108" s="100">
        <f t="shared" si="35"/>
        <v>0</v>
      </c>
      <c r="AC108" s="97">
        <f t="shared" si="36"/>
        <v>163325.81701532422</v>
      </c>
      <c r="AD108" s="103"/>
      <c r="AE108" s="97">
        <f t="shared" si="37"/>
        <v>40831.454253831056</v>
      </c>
      <c r="AF108" s="97">
        <f t="shared" si="37"/>
        <v>40831.454253831056</v>
      </c>
      <c r="AG108" s="97">
        <f t="shared" si="37"/>
        <v>40831.454253831056</v>
      </c>
      <c r="AH108" s="97">
        <f t="shared" si="37"/>
        <v>40831.454253831056</v>
      </c>
    </row>
    <row r="109" spans="2:34" x14ac:dyDescent="0.25">
      <c r="B109">
        <v>811</v>
      </c>
      <c r="C109" s="28">
        <v>6</v>
      </c>
      <c r="D109" s="35" t="s">
        <v>142</v>
      </c>
      <c r="E109" s="154">
        <f>INDEX('2019 Data Lockdown'!H$5:H$257,MATCH(B109,'2019 Data Lockdown'!B$5:B$257,0))</f>
        <v>586.72493379030573</v>
      </c>
      <c r="F109" s="5">
        <f>INDEX('2019 Data Lockdown'!E$5:E$257,MATCH(B109,'2019 Data Lockdown'!B$5:B$257,0))</f>
        <v>529013.12</v>
      </c>
      <c r="G109" s="5">
        <f>INDEX('2019 Data Lockdown'!F$5:F$257,MATCH(B109,'2019 Data Lockdown'!B$5:B$257,0))</f>
        <v>7228.6</v>
      </c>
      <c r="H109" s="5">
        <f t="shared" si="21"/>
        <v>521784.52</v>
      </c>
      <c r="I109" s="95">
        <f t="shared" si="22"/>
        <v>889.31710576746127</v>
      </c>
      <c r="J109" s="6">
        <f t="shared" si="23"/>
        <v>889.31710576746127</v>
      </c>
      <c r="K109" s="5">
        <f t="shared" si="24"/>
        <v>521784.52</v>
      </c>
      <c r="L109" s="135">
        <f>INDEX('2019 Best Practice Scores'!L$4:L$256,MATCH(B109,'2019 Best Practice Scores'!A$4:A$256,0))</f>
        <v>0.47222222222222221</v>
      </c>
      <c r="M109" s="97">
        <f t="shared" si="25"/>
        <v>120690.04375134106</v>
      </c>
      <c r="N109" s="97">
        <f t="shared" si="26"/>
        <v>41993.822386416803</v>
      </c>
      <c r="O109" s="97">
        <f t="shared" si="27"/>
        <v>17097.756198106646</v>
      </c>
      <c r="P109" s="97">
        <f t="shared" si="28"/>
        <v>6340.5680668616087</v>
      </c>
      <c r="Q109" s="97">
        <f t="shared" si="29"/>
        <v>186122.19040272612</v>
      </c>
      <c r="R109" s="104">
        <f t="shared" si="30"/>
        <v>0.35670316628543541</v>
      </c>
      <c r="S109" s="166">
        <f t="shared" si="31"/>
        <v>186129.69163627899</v>
      </c>
      <c r="T109" s="97"/>
      <c r="U109" s="97">
        <f>IFERROR(INDEX('Revised 2020 MFAM(2018 PYAs)'!AD$26:AD$300,MATCH(B109,'Revised 2020 MFAM(2018 PYAs)'!B$26:B$300,0)),0)</f>
        <v>-84.274408837605733</v>
      </c>
      <c r="V109" s="97">
        <f>IFERROR(INDEX('Revised 2019 MFAM(2017 PYAs)'!AF$26:AF$300,MATCH(B109,'Revised 2019 MFAM(2017 PYAs)'!B$26:B$300,0)),0)</f>
        <v>25.059870236611459</v>
      </c>
      <c r="W109" s="97">
        <f t="shared" si="32"/>
        <v>-0.12396332153885554</v>
      </c>
      <c r="X109" s="97">
        <f t="shared" si="33"/>
        <v>-59.338501922533126</v>
      </c>
      <c r="Y109" s="97"/>
      <c r="Z109" s="98">
        <f t="shared" si="34"/>
        <v>186070.35313435647</v>
      </c>
      <c r="AA109" s="99">
        <v>0</v>
      </c>
      <c r="AB109" s="100">
        <f t="shared" si="35"/>
        <v>0</v>
      </c>
      <c r="AC109" s="97">
        <f t="shared" si="36"/>
        <v>186070.35313435647</v>
      </c>
      <c r="AD109" s="103"/>
      <c r="AE109" s="97">
        <f t="shared" si="37"/>
        <v>46517.588283589117</v>
      </c>
      <c r="AF109" s="97">
        <f t="shared" si="37"/>
        <v>46517.588283589117</v>
      </c>
      <c r="AG109" s="97">
        <f t="shared" si="37"/>
        <v>46517.588283589117</v>
      </c>
      <c r="AH109" s="97">
        <f t="shared" si="37"/>
        <v>46517.588283589117</v>
      </c>
    </row>
    <row r="110" spans="2:34" x14ac:dyDescent="0.25">
      <c r="B110">
        <v>824</v>
      </c>
      <c r="C110" s="28">
        <v>6</v>
      </c>
      <c r="D110" s="35" t="s">
        <v>143</v>
      </c>
      <c r="E110" s="154">
        <f>INDEX('2019 Data Lockdown'!H$5:H$257,MATCH(B110,'2019 Data Lockdown'!B$5:B$257,0))</f>
        <v>33.61</v>
      </c>
      <c r="F110" s="5">
        <f>INDEX('2019 Data Lockdown'!E$5:E$257,MATCH(B110,'2019 Data Lockdown'!B$5:B$257,0))</f>
        <v>64105.83</v>
      </c>
      <c r="G110" s="5">
        <f>INDEX('2019 Data Lockdown'!F$5:F$257,MATCH(B110,'2019 Data Lockdown'!B$5:B$257,0))</f>
        <v>0</v>
      </c>
      <c r="H110" s="5">
        <f t="shared" si="21"/>
        <v>64105.83</v>
      </c>
      <c r="I110" s="95">
        <f t="shared" si="22"/>
        <v>1907.3439452543887</v>
      </c>
      <c r="J110" s="6">
        <f t="shared" si="23"/>
        <v>1522.4622318178901</v>
      </c>
      <c r="K110" s="5">
        <f t="shared" si="24"/>
        <v>51169.955611399288</v>
      </c>
      <c r="L110" s="135">
        <f>INDEX('2019 Best Practice Scores'!L$4:L$256,MATCH(B110,'2019 Best Practice Scores'!A$4:A$256,0))</f>
        <v>0.27777777777777779</v>
      </c>
      <c r="M110" s="97">
        <f t="shared" si="25"/>
        <v>11835.736678224874</v>
      </c>
      <c r="N110" s="97">
        <f t="shared" si="26"/>
        <v>2405.577620997959</v>
      </c>
      <c r="O110" s="97">
        <f t="shared" si="27"/>
        <v>986.31138985207269</v>
      </c>
      <c r="P110" s="97">
        <f t="shared" si="28"/>
        <v>621.80186283097146</v>
      </c>
      <c r="Q110" s="97">
        <f t="shared" si="29"/>
        <v>15849.427551905877</v>
      </c>
      <c r="R110" s="104">
        <f t="shared" si="30"/>
        <v>0.30974088920989901</v>
      </c>
      <c r="S110" s="166">
        <f t="shared" si="31"/>
        <v>15850.066327204455</v>
      </c>
      <c r="T110" s="97"/>
      <c r="U110" s="97">
        <f>IFERROR(INDEX('Revised 2020 MFAM(2018 PYAs)'!AD$26:AD$300,MATCH(B110,'Revised 2020 MFAM(2018 PYAs)'!B$26:B$300,0)),0)</f>
        <v>-0.76278144828756922</v>
      </c>
      <c r="V110" s="97">
        <f>IFERROR(INDEX('Revised 2019 MFAM(2017 PYAs)'!AF$26:AF$300,MATCH(B110,'Revised 2019 MFAM(2017 PYAs)'!B$26:B$300,0)),0)</f>
        <v>24.172505229202216</v>
      </c>
      <c r="W110" s="97">
        <f t="shared" si="32"/>
        <v>-1.0556224808941035E-2</v>
      </c>
      <c r="X110" s="97">
        <f t="shared" si="33"/>
        <v>23.399167556105706</v>
      </c>
      <c r="Y110" s="97"/>
      <c r="Z110" s="98">
        <f t="shared" si="34"/>
        <v>15873.465494760561</v>
      </c>
      <c r="AA110" s="99">
        <v>0</v>
      </c>
      <c r="AB110" s="100">
        <f t="shared" si="35"/>
        <v>0</v>
      </c>
      <c r="AC110" s="97">
        <f t="shared" si="36"/>
        <v>15873.465494760561</v>
      </c>
      <c r="AD110" s="103"/>
      <c r="AE110" s="97">
        <f t="shared" si="37"/>
        <v>3968.3663736901403</v>
      </c>
      <c r="AF110" s="97">
        <f t="shared" si="37"/>
        <v>3968.3663736901403</v>
      </c>
      <c r="AG110" s="97">
        <f t="shared" si="37"/>
        <v>3968.3663736901403</v>
      </c>
      <c r="AH110" s="97">
        <f t="shared" si="37"/>
        <v>3968.3663736901403</v>
      </c>
    </row>
    <row r="111" spans="2:34" x14ac:dyDescent="0.25">
      <c r="B111">
        <v>826</v>
      </c>
      <c r="C111" s="28">
        <v>6</v>
      </c>
      <c r="D111" s="35" t="s">
        <v>144</v>
      </c>
      <c r="E111" s="154">
        <f>INDEX('2019 Data Lockdown'!H$5:H$257,MATCH(B111,'2019 Data Lockdown'!B$5:B$257,0))</f>
        <v>39.180399999999999</v>
      </c>
      <c r="F111" s="5">
        <f>INDEX('2019 Data Lockdown'!E$5:E$257,MATCH(B111,'2019 Data Lockdown'!B$5:B$257,0))</f>
        <v>36328.44</v>
      </c>
      <c r="G111" s="5">
        <f>INDEX('2019 Data Lockdown'!F$5:F$257,MATCH(B111,'2019 Data Lockdown'!B$5:B$257,0))</f>
        <v>0</v>
      </c>
      <c r="H111" s="5">
        <f t="shared" si="21"/>
        <v>36328.44</v>
      </c>
      <c r="I111" s="95">
        <f t="shared" si="22"/>
        <v>927.20952312891143</v>
      </c>
      <c r="J111" s="6">
        <f t="shared" si="23"/>
        <v>927.20952312891143</v>
      </c>
      <c r="K111" s="5">
        <f t="shared" si="24"/>
        <v>36328.44</v>
      </c>
      <c r="L111" s="135">
        <f>INDEX('2019 Best Practice Scores'!L$4:L$256,MATCH(B111,'2019 Best Practice Scores'!A$4:A$256,0))</f>
        <v>0.40277777777777779</v>
      </c>
      <c r="M111" s="97">
        <f t="shared" si="25"/>
        <v>8402.8575876838368</v>
      </c>
      <c r="N111" s="97">
        <f t="shared" si="26"/>
        <v>2804.2693669071236</v>
      </c>
      <c r="O111" s="97">
        <f t="shared" si="27"/>
        <v>1015.3452918451304</v>
      </c>
      <c r="P111" s="97">
        <f t="shared" si="28"/>
        <v>441.45224274360987</v>
      </c>
      <c r="Q111" s="97">
        <f t="shared" si="29"/>
        <v>12663.924489179701</v>
      </c>
      <c r="R111" s="104">
        <f t="shared" si="30"/>
        <v>0.34859532887125622</v>
      </c>
      <c r="S111" s="166">
        <f t="shared" si="31"/>
        <v>12664.434879988468</v>
      </c>
      <c r="T111" s="97"/>
      <c r="U111" s="97">
        <f>IFERROR(INDEX('Revised 2020 MFAM(2018 PYAs)'!AD$26:AD$300,MATCH(B111,'Revised 2020 MFAM(2018 PYAs)'!B$26:B$300,0)),0)</f>
        <v>-5.7446569767071196</v>
      </c>
      <c r="V111" s="97">
        <f>IFERROR(INDEX('Revised 2019 MFAM(2017 PYAs)'!AF$26:AF$300,MATCH(B111,'Revised 2019 MFAM(2017 PYAs)'!B$26:B$300,0)),0)</f>
        <v>1.3176745181699516</v>
      </c>
      <c r="W111" s="97">
        <f t="shared" si="32"/>
        <v>-8.4345780586352719E-3</v>
      </c>
      <c r="X111" s="97">
        <f t="shared" si="33"/>
        <v>-4.435417036595803</v>
      </c>
      <c r="Y111" s="97"/>
      <c r="Z111" s="98">
        <f t="shared" si="34"/>
        <v>12659.999462951873</v>
      </c>
      <c r="AA111" s="99">
        <v>0</v>
      </c>
      <c r="AB111" s="100">
        <f t="shared" si="35"/>
        <v>0</v>
      </c>
      <c r="AC111" s="97">
        <f t="shared" si="36"/>
        <v>12659.999462951873</v>
      </c>
      <c r="AD111" s="103"/>
      <c r="AE111" s="97">
        <f t="shared" si="37"/>
        <v>3164.9998657379683</v>
      </c>
      <c r="AF111" s="97">
        <f t="shared" si="37"/>
        <v>3164.9998657379683</v>
      </c>
      <c r="AG111" s="97">
        <f t="shared" si="37"/>
        <v>3164.9998657379683</v>
      </c>
      <c r="AH111" s="97">
        <f t="shared" si="37"/>
        <v>3164.9998657379683</v>
      </c>
    </row>
    <row r="112" spans="2:34" x14ac:dyDescent="0.25">
      <c r="B112">
        <v>840</v>
      </c>
      <c r="C112" s="28">
        <v>6</v>
      </c>
      <c r="D112" s="35" t="s">
        <v>145</v>
      </c>
      <c r="E112" s="154">
        <f>INDEX('2019 Data Lockdown'!H$5:H$257,MATCH(B112,'2019 Data Lockdown'!B$5:B$257,0))</f>
        <v>138.55202775991427</v>
      </c>
      <c r="F112" s="5">
        <f>INDEX('2019 Data Lockdown'!E$5:E$257,MATCH(B112,'2019 Data Lockdown'!B$5:B$257,0))</f>
        <v>115261.04</v>
      </c>
      <c r="G112" s="5">
        <f>INDEX('2019 Data Lockdown'!F$5:F$257,MATCH(B112,'2019 Data Lockdown'!B$5:B$257,0))</f>
        <v>0</v>
      </c>
      <c r="H112" s="5">
        <f t="shared" si="21"/>
        <v>115261.04</v>
      </c>
      <c r="I112" s="95">
        <f t="shared" si="22"/>
        <v>831.89717150676881</v>
      </c>
      <c r="J112" s="6">
        <f t="shared" si="23"/>
        <v>831.89717150676881</v>
      </c>
      <c r="K112" s="5">
        <f t="shared" si="24"/>
        <v>115261.04</v>
      </c>
      <c r="L112" s="135">
        <f>INDEX('2019 Best Practice Scores'!L$4:L$256,MATCH(B112,'2019 Best Practice Scores'!A$4:A$256,0))</f>
        <v>0.37962962962962965</v>
      </c>
      <c r="M112" s="97">
        <f t="shared" si="25"/>
        <v>26660.162245566564</v>
      </c>
      <c r="N112" s="97">
        <f t="shared" si="26"/>
        <v>9916.6217590936558</v>
      </c>
      <c r="O112" s="97">
        <f t="shared" si="27"/>
        <v>3036.296255745081</v>
      </c>
      <c r="P112" s="97">
        <f t="shared" si="28"/>
        <v>1400.6173843127017</v>
      </c>
      <c r="Q112" s="97">
        <f t="shared" si="29"/>
        <v>41013.697644718006</v>
      </c>
      <c r="R112" s="104">
        <f t="shared" si="30"/>
        <v>0.35583313880143724</v>
      </c>
      <c r="S112" s="166">
        <f t="shared" si="31"/>
        <v>41015.350608957437</v>
      </c>
      <c r="T112" s="97"/>
      <c r="U112" s="97">
        <f>IFERROR(INDEX('Revised 2020 MFAM(2018 PYAs)'!AD$26:AD$300,MATCH(B112,'Revised 2020 MFAM(2018 PYAs)'!B$26:B$300,0)),0)</f>
        <v>-13.974343234869593</v>
      </c>
      <c r="V112" s="97">
        <f>IFERROR(INDEX('Revised 2019 MFAM(2017 PYAs)'!AF$26:AF$300,MATCH(B112,'Revised 2019 MFAM(2017 PYAs)'!B$26:B$300,0)),0)</f>
        <v>4.2999643657603883</v>
      </c>
      <c r="W112" s="97">
        <f t="shared" si="32"/>
        <v>-2.7316432165495903E-2</v>
      </c>
      <c r="X112" s="97">
        <f t="shared" si="33"/>
        <v>-9.7016953012747003</v>
      </c>
      <c r="Y112" s="97"/>
      <c r="Z112" s="98">
        <f t="shared" si="34"/>
        <v>41005.648913656165</v>
      </c>
      <c r="AA112" s="99">
        <v>0</v>
      </c>
      <c r="AB112" s="100">
        <f t="shared" si="35"/>
        <v>0</v>
      </c>
      <c r="AC112" s="97">
        <f t="shared" si="36"/>
        <v>41005.648913656165</v>
      </c>
      <c r="AD112" s="103"/>
      <c r="AE112" s="97">
        <f t="shared" si="37"/>
        <v>10251.412228414041</v>
      </c>
      <c r="AF112" s="97">
        <f t="shared" si="37"/>
        <v>10251.412228414041</v>
      </c>
      <c r="AG112" s="97">
        <f t="shared" si="37"/>
        <v>10251.412228414041</v>
      </c>
      <c r="AH112" s="97">
        <f t="shared" si="37"/>
        <v>10251.412228414041</v>
      </c>
    </row>
    <row r="113" spans="2:34" x14ac:dyDescent="0.25">
      <c r="B113">
        <v>843</v>
      </c>
      <c r="C113" s="28">
        <v>6</v>
      </c>
      <c r="D113" s="35" t="s">
        <v>146</v>
      </c>
      <c r="E113" s="154">
        <f>INDEX('2019 Data Lockdown'!H$5:H$257,MATCH(B113,'2019 Data Lockdown'!B$5:B$257,0))</f>
        <v>24.72</v>
      </c>
      <c r="F113" s="5">
        <f>INDEX('2019 Data Lockdown'!E$5:E$257,MATCH(B113,'2019 Data Lockdown'!B$5:B$257,0))</f>
        <v>32653.86</v>
      </c>
      <c r="G113" s="5">
        <f>INDEX('2019 Data Lockdown'!F$5:F$257,MATCH(B113,'2019 Data Lockdown'!B$5:B$257,0))</f>
        <v>0</v>
      </c>
      <c r="H113" s="5">
        <f t="shared" si="21"/>
        <v>32653.86</v>
      </c>
      <c r="I113" s="95">
        <f t="shared" si="22"/>
        <v>1320.9490291262136</v>
      </c>
      <c r="J113" s="6">
        <f t="shared" si="23"/>
        <v>1320.9490291262136</v>
      </c>
      <c r="K113" s="5">
        <f t="shared" si="24"/>
        <v>32653.86</v>
      </c>
      <c r="L113" s="135">
        <f>INDEX('2019 Best Practice Scores'!L$4:L$256,MATCH(B113,'2019 Best Practice Scores'!A$4:A$256,0))</f>
        <v>0.19444444444444442</v>
      </c>
      <c r="M113" s="97">
        <f t="shared" si="25"/>
        <v>7552.9181893900686</v>
      </c>
      <c r="N113" s="97">
        <f t="shared" si="26"/>
        <v>1769.2912463870737</v>
      </c>
      <c r="O113" s="97">
        <f t="shared" si="27"/>
        <v>440.58689438108729</v>
      </c>
      <c r="P113" s="97">
        <f t="shared" si="28"/>
        <v>396.79985518882319</v>
      </c>
      <c r="Q113" s="97">
        <f t="shared" si="29"/>
        <v>10159.596185347053</v>
      </c>
      <c r="R113" s="104">
        <f t="shared" si="30"/>
        <v>0.31113002215808644</v>
      </c>
      <c r="S113" s="166">
        <f t="shared" si="31"/>
        <v>10160.00564487267</v>
      </c>
      <c r="T113" s="97"/>
      <c r="U113" s="97">
        <f>IFERROR(INDEX('Revised 2020 MFAM(2018 PYAs)'!AD$26:AD$300,MATCH(B113,'Revised 2020 MFAM(2018 PYAs)'!B$26:B$300,0)),0)</f>
        <v>-0.40026264697280567</v>
      </c>
      <c r="V113" s="97">
        <f>IFERROR(INDEX('Revised 2019 MFAM(2017 PYAs)'!AF$26:AF$300,MATCH(B113,'Revised 2019 MFAM(2017 PYAs)'!B$26:B$300,0)),0)</f>
        <v>14.570806136458486</v>
      </c>
      <c r="W113" s="97">
        <f t="shared" si="32"/>
        <v>-6.7666154471103862E-3</v>
      </c>
      <c r="X113" s="97">
        <f t="shared" si="33"/>
        <v>14.16377687403857</v>
      </c>
      <c r="Y113" s="97"/>
      <c r="Z113" s="98">
        <f t="shared" si="34"/>
        <v>10174.169421746708</v>
      </c>
      <c r="AA113" s="99">
        <v>0</v>
      </c>
      <c r="AB113" s="100">
        <f t="shared" si="35"/>
        <v>0</v>
      </c>
      <c r="AC113" s="97">
        <f t="shared" si="36"/>
        <v>10174.169421746708</v>
      </c>
      <c r="AD113" s="103"/>
      <c r="AE113" s="97">
        <f t="shared" si="37"/>
        <v>2543.5423554366771</v>
      </c>
      <c r="AF113" s="97">
        <f t="shared" si="37"/>
        <v>2543.5423554366771</v>
      </c>
      <c r="AG113" s="97">
        <f t="shared" si="37"/>
        <v>2543.5423554366771</v>
      </c>
      <c r="AH113" s="97">
        <f t="shared" si="37"/>
        <v>2543.5423554366771</v>
      </c>
    </row>
    <row r="114" spans="2:34" x14ac:dyDescent="0.25">
      <c r="B114">
        <v>846</v>
      </c>
      <c r="C114" s="28">
        <v>6</v>
      </c>
      <c r="D114" s="35" t="s">
        <v>147</v>
      </c>
      <c r="E114" s="154">
        <f>INDEX('2019 Data Lockdown'!H$5:H$257,MATCH(B114,'2019 Data Lockdown'!B$5:B$257,0))</f>
        <v>24.695999999999998</v>
      </c>
      <c r="F114" s="5">
        <f>INDEX('2019 Data Lockdown'!E$5:E$257,MATCH(B114,'2019 Data Lockdown'!B$5:B$257,0))</f>
        <v>35434.99</v>
      </c>
      <c r="G114" s="5">
        <f>INDEX('2019 Data Lockdown'!F$5:F$257,MATCH(B114,'2019 Data Lockdown'!B$5:B$257,0))</f>
        <v>0</v>
      </c>
      <c r="H114" s="5">
        <f t="shared" si="21"/>
        <v>35434.99</v>
      </c>
      <c r="I114" s="95">
        <f t="shared" si="22"/>
        <v>1434.8473436993845</v>
      </c>
      <c r="J114" s="6">
        <f t="shared" si="23"/>
        <v>1434.8473436993845</v>
      </c>
      <c r="K114" s="5">
        <f t="shared" si="24"/>
        <v>35434.99</v>
      </c>
      <c r="L114" s="135">
        <f>INDEX('2019 Best Practice Scores'!L$4:L$256,MATCH(B114,'2019 Best Practice Scores'!A$4:A$256,0))</f>
        <v>0.2361111111111111</v>
      </c>
      <c r="M114" s="97">
        <f t="shared" si="25"/>
        <v>8196.2004036231901</v>
      </c>
      <c r="N114" s="97">
        <f t="shared" si="26"/>
        <v>1767.5734878954356</v>
      </c>
      <c r="O114" s="97">
        <f t="shared" si="27"/>
        <v>580.56419525664251</v>
      </c>
      <c r="P114" s="97">
        <f t="shared" si="28"/>
        <v>430.59530789368841</v>
      </c>
      <c r="Q114" s="97">
        <f t="shared" si="29"/>
        <v>10974.933394668957</v>
      </c>
      <c r="R114" s="104">
        <f t="shared" si="30"/>
        <v>0.30972023400229426</v>
      </c>
      <c r="S114" s="166">
        <f t="shared" si="31"/>
        <v>10975.375714515088</v>
      </c>
      <c r="T114" s="97"/>
      <c r="U114" s="97">
        <f>IFERROR(INDEX('Revised 2020 MFAM(2018 PYAs)'!AD$26:AD$300,MATCH(B114,'Revised 2020 MFAM(2018 PYAs)'!B$26:B$300,0)),0)</f>
        <v>-0.52577598649986612</v>
      </c>
      <c r="V114" s="97">
        <f>IFERROR(INDEX('Revised 2019 MFAM(2017 PYAs)'!AF$26:AF$300,MATCH(B114,'Revised 2019 MFAM(2017 PYAs)'!B$26:B$300,0)),0)</f>
        <v>15.350026790588345</v>
      </c>
      <c r="W114" s="97">
        <f t="shared" si="32"/>
        <v>-7.309656061574828E-3</v>
      </c>
      <c r="X114" s="97">
        <f t="shared" si="33"/>
        <v>14.816941148026904</v>
      </c>
      <c r="Y114" s="97"/>
      <c r="Z114" s="98">
        <f t="shared" si="34"/>
        <v>10990.192655663115</v>
      </c>
      <c r="AA114" s="99">
        <v>0</v>
      </c>
      <c r="AB114" s="100">
        <f t="shared" si="35"/>
        <v>0</v>
      </c>
      <c r="AC114" s="97">
        <f t="shared" si="36"/>
        <v>10990.192655663115</v>
      </c>
      <c r="AD114" s="103"/>
      <c r="AE114" s="97">
        <f t="shared" si="37"/>
        <v>2747.5481639157788</v>
      </c>
      <c r="AF114" s="97">
        <f t="shared" si="37"/>
        <v>2747.5481639157788</v>
      </c>
      <c r="AG114" s="97">
        <f t="shared" si="37"/>
        <v>2747.5481639157788</v>
      </c>
      <c r="AH114" s="97">
        <f t="shared" si="37"/>
        <v>2747.5481639157788</v>
      </c>
    </row>
    <row r="115" spans="2:34" x14ac:dyDescent="0.25">
      <c r="B115">
        <v>888</v>
      </c>
      <c r="C115" s="28">
        <v>6</v>
      </c>
      <c r="D115" s="35" t="s">
        <v>148</v>
      </c>
      <c r="E115" s="154">
        <f>INDEX('2019 Data Lockdown'!H$5:H$257,MATCH(B115,'2019 Data Lockdown'!B$5:B$257,0))</f>
        <v>103.64754100869358</v>
      </c>
      <c r="F115" s="5">
        <f>INDEX('2019 Data Lockdown'!E$5:E$257,MATCH(B115,'2019 Data Lockdown'!B$5:B$257,0))</f>
        <v>49302.5</v>
      </c>
      <c r="G115" s="5">
        <f>INDEX('2019 Data Lockdown'!F$5:F$257,MATCH(B115,'2019 Data Lockdown'!B$5:B$257,0))</f>
        <v>0</v>
      </c>
      <c r="H115" s="5">
        <f t="shared" si="21"/>
        <v>49302.5</v>
      </c>
      <c r="I115" s="95">
        <f t="shared" si="22"/>
        <v>475.67457481566964</v>
      </c>
      <c r="J115" s="6">
        <f t="shared" si="23"/>
        <v>475.67457481566964</v>
      </c>
      <c r="K115" s="5">
        <f t="shared" si="24"/>
        <v>49302.5</v>
      </c>
      <c r="L115" s="135">
        <f>INDEX('2019 Best Practice Scores'!L$4:L$256,MATCH(B115,'2019 Best Practice Scores'!A$4:A$256,0))</f>
        <v>0.51851851851851849</v>
      </c>
      <c r="M115" s="97">
        <f t="shared" si="25"/>
        <v>11403.789598914305</v>
      </c>
      <c r="N115" s="97">
        <f t="shared" si="26"/>
        <v>7418.3934877114407</v>
      </c>
      <c r="O115" s="97">
        <f t="shared" si="27"/>
        <v>1773.9228264977808</v>
      </c>
      <c r="P115" s="97">
        <f t="shared" si="28"/>
        <v>599.10910564469123</v>
      </c>
      <c r="Q115" s="97">
        <f t="shared" si="29"/>
        <v>21195.215018768213</v>
      </c>
      <c r="R115" s="104">
        <f t="shared" si="30"/>
        <v>0.4299014252577093</v>
      </c>
      <c r="S115" s="166">
        <f t="shared" si="31"/>
        <v>21196.069243929196</v>
      </c>
      <c r="T115" s="97"/>
      <c r="U115" s="97">
        <f>IFERROR(INDEX('Revised 2020 MFAM(2018 PYAs)'!AD$26:AD$300,MATCH(B115,'Revised 2020 MFAM(2018 PYAs)'!B$26:B$300,0)),0)</f>
        <v>-7.4420190044002084</v>
      </c>
      <c r="V115" s="97">
        <f>IFERROR(INDEX('Revised 2019 MFAM(2017 PYAs)'!AF$26:AF$300,MATCH(B115,'Revised 2019 MFAM(2017 PYAs)'!B$26:B$300,0)),0)</f>
        <v>2.5603203867940465</v>
      </c>
      <c r="W115" s="97">
        <f t="shared" si="32"/>
        <v>-1.411668994853104E-2</v>
      </c>
      <c r="X115" s="97">
        <f t="shared" si="33"/>
        <v>-4.8958153075546926</v>
      </c>
      <c r="Y115" s="97"/>
      <c r="Z115" s="98">
        <f t="shared" si="34"/>
        <v>21191.173428621642</v>
      </c>
      <c r="AA115" s="99">
        <v>0</v>
      </c>
      <c r="AB115" s="100">
        <f t="shared" si="35"/>
        <v>0</v>
      </c>
      <c r="AC115" s="97">
        <f t="shared" si="36"/>
        <v>21191.173428621642</v>
      </c>
      <c r="AD115" s="103"/>
      <c r="AE115" s="97">
        <f t="shared" si="37"/>
        <v>5297.7933571554104</v>
      </c>
      <c r="AF115" s="97">
        <f t="shared" si="37"/>
        <v>5297.7933571554104</v>
      </c>
      <c r="AG115" s="97">
        <f t="shared" si="37"/>
        <v>5297.7933571554104</v>
      </c>
      <c r="AH115" s="97">
        <f t="shared" si="37"/>
        <v>5297.7933571554104</v>
      </c>
    </row>
    <row r="116" spans="2:34" x14ac:dyDescent="0.25">
      <c r="B116">
        <v>889</v>
      </c>
      <c r="C116" s="28">
        <v>6</v>
      </c>
      <c r="D116" s="35" t="s">
        <v>149</v>
      </c>
      <c r="E116" s="154">
        <f>INDEX('2019 Data Lockdown'!H$5:H$257,MATCH(B116,'2019 Data Lockdown'!B$5:B$257,0))</f>
        <v>36.258728414910088</v>
      </c>
      <c r="F116" s="5">
        <f>INDEX('2019 Data Lockdown'!E$5:E$257,MATCH(B116,'2019 Data Lockdown'!B$5:B$257,0))</f>
        <v>52828.79</v>
      </c>
      <c r="G116" s="5">
        <f>INDEX('2019 Data Lockdown'!F$5:F$257,MATCH(B116,'2019 Data Lockdown'!B$5:B$257,0))</f>
        <v>0</v>
      </c>
      <c r="H116" s="5">
        <f t="shared" si="21"/>
        <v>52828.79</v>
      </c>
      <c r="I116" s="95">
        <f t="shared" si="22"/>
        <v>1456.9951101284644</v>
      </c>
      <c r="J116" s="6">
        <f t="shared" si="23"/>
        <v>1456.9951101284644</v>
      </c>
      <c r="K116" s="5">
        <f t="shared" si="24"/>
        <v>52828.79</v>
      </c>
      <c r="L116" s="135">
        <f>INDEX('2019 Best Practice Scores'!L$4:L$256,MATCH(B116,'2019 Best Practice Scores'!A$4:A$256,0))</f>
        <v>0.43055555555555558</v>
      </c>
      <c r="M116" s="97">
        <f t="shared" si="25"/>
        <v>12219.429155219879</v>
      </c>
      <c r="N116" s="97">
        <f t="shared" si="26"/>
        <v>2595.1557762793964</v>
      </c>
      <c r="O116" s="97">
        <f t="shared" si="27"/>
        <v>1578.3429325492343</v>
      </c>
      <c r="P116" s="97">
        <f t="shared" si="28"/>
        <v>641.95951785794239</v>
      </c>
      <c r="Q116" s="97">
        <f t="shared" si="29"/>
        <v>17034.887381906454</v>
      </c>
      <c r="R116" s="104">
        <f t="shared" si="30"/>
        <v>0.32245461957213961</v>
      </c>
      <c r="S116" s="166">
        <f t="shared" si="31"/>
        <v>17035.573934479911</v>
      </c>
      <c r="T116" s="97"/>
      <c r="U116" s="97">
        <f>IFERROR(INDEX('Revised 2020 MFAM(2018 PYAs)'!AD$26:AD$300,MATCH(B116,'Revised 2020 MFAM(2018 PYAs)'!B$26:B$300,0)),0)</f>
        <v>-0.82508048800445977</v>
      </c>
      <c r="V116" s="97">
        <f>IFERROR(INDEX('Revised 2019 MFAM(2017 PYAs)'!AF$26:AF$300,MATCH(B116,'Revised 2019 MFAM(2017 PYAs)'!B$26:B$300,0)),0)</f>
        <v>-1179.7457257087499</v>
      </c>
      <c r="W116" s="97">
        <f t="shared" si="32"/>
        <v>-1.1345778906492672E-2</v>
      </c>
      <c r="X116" s="97">
        <f t="shared" si="33"/>
        <v>-1180.5821519756607</v>
      </c>
      <c r="Y116" s="97"/>
      <c r="Z116" s="98">
        <f t="shared" si="34"/>
        <v>15854.99178250425</v>
      </c>
      <c r="AA116" s="99">
        <v>0</v>
      </c>
      <c r="AB116" s="100">
        <f t="shared" si="35"/>
        <v>0</v>
      </c>
      <c r="AC116" s="97">
        <f t="shared" si="36"/>
        <v>15854.99178250425</v>
      </c>
      <c r="AD116" s="103"/>
      <c r="AE116" s="97">
        <f t="shared" si="37"/>
        <v>3963.7479456260626</v>
      </c>
      <c r="AF116" s="97">
        <f t="shared" si="37"/>
        <v>3963.7479456260626</v>
      </c>
      <c r="AG116" s="97">
        <f t="shared" si="37"/>
        <v>3963.7479456260626</v>
      </c>
      <c r="AH116" s="97">
        <f t="shared" si="37"/>
        <v>3963.7479456260626</v>
      </c>
    </row>
    <row r="117" spans="2:34" x14ac:dyDescent="0.25">
      <c r="B117">
        <v>891</v>
      </c>
      <c r="C117" s="28">
        <v>6</v>
      </c>
      <c r="D117" s="35" t="s">
        <v>150</v>
      </c>
      <c r="E117" s="154">
        <f>INDEX('2019 Data Lockdown'!H$5:H$257,MATCH(B117,'2019 Data Lockdown'!B$5:B$257,0))</f>
        <v>291.1434394945195</v>
      </c>
      <c r="F117" s="5">
        <f>INDEX('2019 Data Lockdown'!E$5:E$257,MATCH(B117,'2019 Data Lockdown'!B$5:B$257,0))</f>
        <v>101210.64</v>
      </c>
      <c r="G117" s="5">
        <f>INDEX('2019 Data Lockdown'!F$5:F$257,MATCH(B117,'2019 Data Lockdown'!B$5:B$257,0))</f>
        <v>0</v>
      </c>
      <c r="H117" s="5">
        <f t="shared" si="21"/>
        <v>101210.64</v>
      </c>
      <c r="I117" s="95">
        <f t="shared" si="22"/>
        <v>347.63153233238216</v>
      </c>
      <c r="J117" s="6">
        <f t="shared" si="23"/>
        <v>347.63153233238216</v>
      </c>
      <c r="K117" s="5">
        <f t="shared" si="24"/>
        <v>101210.64</v>
      </c>
      <c r="L117" s="135">
        <f>INDEX('2019 Best Practice Scores'!L$4:L$256,MATCH(B117,'2019 Best Practice Scores'!A$4:A$256,0))</f>
        <v>0.44444444444444442</v>
      </c>
      <c r="M117" s="97">
        <f t="shared" si="25"/>
        <v>23410.270143125806</v>
      </c>
      <c r="N117" s="97">
        <f t="shared" si="26"/>
        <v>20838.088144849433</v>
      </c>
      <c r="O117" s="97">
        <f t="shared" si="27"/>
        <v>3121.3693524167738</v>
      </c>
      <c r="P117" s="97">
        <f t="shared" si="28"/>
        <v>1229.881162458837</v>
      </c>
      <c r="Q117" s="97">
        <f t="shared" si="29"/>
        <v>48599.608802850846</v>
      </c>
      <c r="R117" s="104">
        <f t="shared" si="30"/>
        <v>0.48018280294295979</v>
      </c>
      <c r="S117" s="166">
        <f t="shared" si="31"/>
        <v>48601.567500067009</v>
      </c>
      <c r="T117" s="97"/>
      <c r="U117" s="97">
        <f>IFERROR(INDEX('Revised 2020 MFAM(2018 PYAs)'!AD$26:AD$300,MATCH(B117,'Revised 2020 MFAM(2018 PYAs)'!B$26:B$300,0)),0)</f>
        <v>-10.099391593546898</v>
      </c>
      <c r="V117" s="97">
        <f>IFERROR(INDEX('Revised 2019 MFAM(2017 PYAs)'!AF$26:AF$300,MATCH(B117,'Revised 2019 MFAM(2017 PYAs)'!B$26:B$300,0)),0)</f>
        <v>7.0270632015744923</v>
      </c>
      <c r="W117" s="97">
        <f t="shared" si="32"/>
        <v>-3.2368891208805331E-2</v>
      </c>
      <c r="X117" s="97">
        <f t="shared" si="33"/>
        <v>-3.1046972831812107</v>
      </c>
      <c r="Y117" s="97"/>
      <c r="Z117" s="98">
        <f t="shared" si="34"/>
        <v>48598.462802783826</v>
      </c>
      <c r="AA117" s="99">
        <v>0</v>
      </c>
      <c r="AB117" s="100">
        <f t="shared" si="35"/>
        <v>0</v>
      </c>
      <c r="AC117" s="97">
        <f t="shared" si="36"/>
        <v>48598.462802783826</v>
      </c>
      <c r="AD117" s="103"/>
      <c r="AE117" s="97">
        <f t="shared" si="37"/>
        <v>12149.615700695957</v>
      </c>
      <c r="AF117" s="97">
        <f t="shared" si="37"/>
        <v>12149.615700695957</v>
      </c>
      <c r="AG117" s="97">
        <f t="shared" si="37"/>
        <v>12149.615700695957</v>
      </c>
      <c r="AH117" s="97">
        <f t="shared" si="37"/>
        <v>12149.615700695957</v>
      </c>
    </row>
    <row r="118" spans="2:34" x14ac:dyDescent="0.25">
      <c r="B118">
        <v>897</v>
      </c>
      <c r="C118" s="28">
        <v>6</v>
      </c>
      <c r="D118" s="35" t="s">
        <v>260</v>
      </c>
      <c r="E118" s="154">
        <f>INDEX('2019 Data Lockdown'!H$5:H$257,MATCH(B118,'2019 Data Lockdown'!B$5:B$257,0))</f>
        <v>72.361426854937321</v>
      </c>
      <c r="F118" s="5">
        <f>INDEX('2019 Data Lockdown'!E$5:E$257,MATCH(B118,'2019 Data Lockdown'!B$5:B$257,0))</f>
        <v>311526.77</v>
      </c>
      <c r="G118" s="5">
        <f>INDEX('2019 Data Lockdown'!F$5:F$257,MATCH(B118,'2019 Data Lockdown'!B$5:B$257,0))</f>
        <v>84</v>
      </c>
      <c r="H118" s="5">
        <f t="shared" si="21"/>
        <v>311442.77</v>
      </c>
      <c r="I118" s="95">
        <f t="shared" si="22"/>
        <v>4303.9887898334036</v>
      </c>
      <c r="J118" s="6">
        <f t="shared" si="23"/>
        <v>1522.4622318178901</v>
      </c>
      <c r="K118" s="5">
        <f t="shared" si="24"/>
        <v>110167.53942709489</v>
      </c>
      <c r="L118" s="135">
        <f>INDEX('2019 Best Practice Scores'!L$4:L$256,MATCH(B118,'2019 Best Practice Scores'!A$4:A$256,0))</f>
        <v>0.46527777777777773</v>
      </c>
      <c r="M118" s="97">
        <f t="shared" si="25"/>
        <v>25482.023026351326</v>
      </c>
      <c r="N118" s="97">
        <f t="shared" si="26"/>
        <v>5179.1439769627477</v>
      </c>
      <c r="O118" s="97">
        <f t="shared" si="27"/>
        <v>3556.8657140948721</v>
      </c>
      <c r="P118" s="97">
        <f t="shared" si="28"/>
        <v>1338.7227020382957</v>
      </c>
      <c r="Q118" s="97">
        <f t="shared" si="29"/>
        <v>35556.75541944724</v>
      </c>
      <c r="R118" s="104">
        <f t="shared" si="30"/>
        <v>0.32275165265878963</v>
      </c>
      <c r="S118" s="166">
        <f t="shared" si="31"/>
        <v>35558.188453983348</v>
      </c>
      <c r="T118" s="97"/>
      <c r="U118" s="97">
        <f>IFERROR(INDEX('Revised 2020 MFAM(2018 PYAs)'!AD$26:AD$300,MATCH(B118,'Revised 2020 MFAM(2018 PYAs)'!B$26:B$300,0)),0)</f>
        <v>-1.6772019698473741</v>
      </c>
      <c r="V118" s="97">
        <f>IFERROR(INDEX('Revised 2019 MFAM(2017 PYAs)'!AF$26:AF$300,MATCH(B118,'Revised 2019 MFAM(2017 PYAs)'!B$26:B$300,0)),0)</f>
        <v>64.569292488522478</v>
      </c>
      <c r="W118" s="97">
        <f t="shared" si="32"/>
        <v>-2.3681934407724564E-2</v>
      </c>
      <c r="X118" s="97">
        <f t="shared" si="33"/>
        <v>62.868408584267378</v>
      </c>
      <c r="Y118" s="97"/>
      <c r="Z118" s="98">
        <f t="shared" si="34"/>
        <v>35621.056862567617</v>
      </c>
      <c r="AA118" s="99">
        <v>0</v>
      </c>
      <c r="AB118" s="100">
        <f t="shared" si="35"/>
        <v>0</v>
      </c>
      <c r="AC118" s="97">
        <f t="shared" si="36"/>
        <v>35621.056862567617</v>
      </c>
      <c r="AD118" s="103"/>
      <c r="AE118" s="97">
        <f t="shared" si="37"/>
        <v>8905.2642156419042</v>
      </c>
      <c r="AF118" s="97">
        <f t="shared" si="37"/>
        <v>8905.2642156419042</v>
      </c>
      <c r="AG118" s="97">
        <f t="shared" si="37"/>
        <v>8905.2642156419042</v>
      </c>
      <c r="AH118" s="97">
        <f t="shared" si="37"/>
        <v>8905.2642156419042</v>
      </c>
    </row>
    <row r="119" spans="2:34" x14ac:dyDescent="0.25">
      <c r="B119">
        <v>904</v>
      </c>
      <c r="C119" s="28">
        <v>6</v>
      </c>
      <c r="D119" s="35" t="s">
        <v>151</v>
      </c>
      <c r="E119" s="154">
        <f>INDEX('2019 Data Lockdown'!H$5:H$257,MATCH(B119,'2019 Data Lockdown'!B$5:B$257,0))</f>
        <v>23.64144748103287</v>
      </c>
      <c r="F119" s="5">
        <f>INDEX('2019 Data Lockdown'!E$5:E$257,MATCH(B119,'2019 Data Lockdown'!B$5:B$257,0))</f>
        <v>14117.02</v>
      </c>
      <c r="G119" s="5">
        <f>INDEX('2019 Data Lockdown'!F$5:F$257,MATCH(B119,'2019 Data Lockdown'!B$5:B$257,0))</f>
        <v>0</v>
      </c>
      <c r="H119" s="5">
        <f t="shared" si="21"/>
        <v>14117.02</v>
      </c>
      <c r="I119" s="95">
        <f t="shared" si="22"/>
        <v>597.13010429356518</v>
      </c>
      <c r="J119" s="6">
        <f t="shared" si="23"/>
        <v>597.13010429356518</v>
      </c>
      <c r="K119" s="5">
        <f t="shared" si="24"/>
        <v>14117.020000000002</v>
      </c>
      <c r="L119" s="135">
        <f>INDEX('2019 Best Practice Scores'!L$4:L$256,MATCH(B119,'2019 Best Practice Scores'!A$4:A$256,0))</f>
        <v>0.18055555555555555</v>
      </c>
      <c r="M119" s="97">
        <f t="shared" si="25"/>
        <v>3265.3014724134728</v>
      </c>
      <c r="N119" s="97">
        <f t="shared" si="26"/>
        <v>1692.095715214854</v>
      </c>
      <c r="O119" s="97">
        <f t="shared" si="27"/>
        <v>176.87049642239643</v>
      </c>
      <c r="P119" s="97">
        <f t="shared" si="28"/>
        <v>171.54576799489317</v>
      </c>
      <c r="Q119" s="97">
        <f t="shared" si="29"/>
        <v>5305.813452045616</v>
      </c>
      <c r="R119" s="104">
        <f t="shared" si="30"/>
        <v>0.37584514664182778</v>
      </c>
      <c r="S119" s="166">
        <f t="shared" si="31"/>
        <v>5306.0272908458455</v>
      </c>
      <c r="T119" s="97"/>
      <c r="U119" s="97">
        <f>IFERROR(INDEX('Revised 2020 MFAM(2018 PYAs)'!AD$26:AD$300,MATCH(B119,'Revised 2020 MFAM(2018 PYAs)'!B$26:B$300,0)),0)</f>
        <v>-1.9774099260703224</v>
      </c>
      <c r="V119" s="97">
        <f>IFERROR(INDEX('Revised 2019 MFAM(2017 PYAs)'!AF$26:AF$300,MATCH(B119,'Revised 2019 MFAM(2017 PYAs)'!B$26:B$300,0)),0)</f>
        <v>0.6847590989946184</v>
      </c>
      <c r="W119" s="97">
        <f t="shared" si="32"/>
        <v>-3.5338411693841862E-3</v>
      </c>
      <c r="X119" s="97">
        <f t="shared" si="33"/>
        <v>-1.2961846682450882</v>
      </c>
      <c r="Y119" s="97"/>
      <c r="Z119" s="98">
        <f t="shared" si="34"/>
        <v>5304.7311061776009</v>
      </c>
      <c r="AA119" s="99">
        <v>0</v>
      </c>
      <c r="AB119" s="100">
        <f t="shared" si="35"/>
        <v>0</v>
      </c>
      <c r="AC119" s="97">
        <f t="shared" si="36"/>
        <v>5304.7311061776009</v>
      </c>
      <c r="AD119" s="103"/>
      <c r="AE119" s="97">
        <f t="shared" si="37"/>
        <v>1326.1827765444002</v>
      </c>
      <c r="AF119" s="97">
        <f t="shared" si="37"/>
        <v>1326.1827765444002</v>
      </c>
      <c r="AG119" s="97">
        <f t="shared" si="37"/>
        <v>1326.1827765444002</v>
      </c>
      <c r="AH119" s="97">
        <f t="shared" si="37"/>
        <v>1326.1827765444002</v>
      </c>
    </row>
    <row r="120" spans="2:34" x14ac:dyDescent="0.25">
      <c r="B120">
        <v>906</v>
      </c>
      <c r="C120" s="28">
        <v>6</v>
      </c>
      <c r="D120" s="35" t="s">
        <v>320</v>
      </c>
      <c r="E120" s="154">
        <f>INDEX('2019 Data Lockdown'!H$5:H$257,MATCH(B120,'2019 Data Lockdown'!B$5:B$257,0))</f>
        <v>251.9</v>
      </c>
      <c r="F120" s="5">
        <f>INDEX('2019 Data Lockdown'!E$5:E$257,MATCH(B120,'2019 Data Lockdown'!B$5:B$257,0))</f>
        <v>183746.4</v>
      </c>
      <c r="G120" s="5">
        <f>INDEX('2019 Data Lockdown'!F$5:F$257,MATCH(B120,'2019 Data Lockdown'!B$5:B$257,0))</f>
        <v>58.4</v>
      </c>
      <c r="H120" s="5">
        <f t="shared" si="21"/>
        <v>183688</v>
      </c>
      <c r="I120" s="95">
        <f t="shared" si="22"/>
        <v>729.21000396982924</v>
      </c>
      <c r="J120" s="6">
        <f t="shared" si="23"/>
        <v>729.21000396982924</v>
      </c>
      <c r="K120" s="5">
        <f t="shared" si="24"/>
        <v>183688</v>
      </c>
      <c r="L120" s="135">
        <f>INDEX('2019 Best Practice Scores'!L$4:L$256,MATCH(B120,'2019 Best Practice Scores'!A$4:A$256,0))</f>
        <v>0.79166666666666674</v>
      </c>
      <c r="M120" s="97">
        <f t="shared" si="25"/>
        <v>42487.486513774573</v>
      </c>
      <c r="N120" s="97">
        <f t="shared" si="26"/>
        <v>18029.306835149833</v>
      </c>
      <c r="O120" s="97">
        <f t="shared" si="27"/>
        <v>10090.778047021462</v>
      </c>
      <c r="P120" s="97">
        <f t="shared" si="28"/>
        <v>2232.1211581088592</v>
      </c>
      <c r="Q120" s="97">
        <f t="shared" si="29"/>
        <v>72839.692554054724</v>
      </c>
      <c r="R120" s="104">
        <f t="shared" si="30"/>
        <v>0.3965402887181238</v>
      </c>
      <c r="S120" s="166">
        <f t="shared" si="31"/>
        <v>72842.628192973352</v>
      </c>
      <c r="T120" s="97"/>
      <c r="U120" s="97">
        <f>IFERROR(INDEX('Revised 2020 MFAM(2018 PYAs)'!AD$26:AD$300,MATCH(B120,'Revised 2020 MFAM(2018 PYAs)'!B$26:B$300,0)),0)</f>
        <v>-735.75881542403658</v>
      </c>
      <c r="V120" s="97">
        <f>IFERROR(INDEX('Revised 2019 MFAM(2017 PYAs)'!AF$26:AF$300,MATCH(B120,'Revised 2019 MFAM(2017 PYAs)'!B$26:B$300,0)),0)</f>
        <v>6.6304302782009472</v>
      </c>
      <c r="W120" s="97">
        <f t="shared" si="32"/>
        <v>-4.8513560953328504E-2</v>
      </c>
      <c r="X120" s="97">
        <f t="shared" si="33"/>
        <v>-729.17689870678896</v>
      </c>
      <c r="Y120" s="97"/>
      <c r="Z120" s="98">
        <f t="shared" si="34"/>
        <v>72113.451294266561</v>
      </c>
      <c r="AA120" s="99">
        <v>0</v>
      </c>
      <c r="AB120" s="100">
        <f t="shared" si="35"/>
        <v>0</v>
      </c>
      <c r="AC120" s="97">
        <f t="shared" si="36"/>
        <v>72113.451294266561</v>
      </c>
      <c r="AD120" s="103"/>
      <c r="AE120" s="97">
        <f t="shared" si="37"/>
        <v>18028.36282356664</v>
      </c>
      <c r="AF120" s="97">
        <f t="shared" si="37"/>
        <v>18028.36282356664</v>
      </c>
      <c r="AG120" s="97">
        <f t="shared" si="37"/>
        <v>18028.36282356664</v>
      </c>
      <c r="AH120" s="97">
        <f t="shared" si="37"/>
        <v>18028.36282356664</v>
      </c>
    </row>
    <row r="121" spans="2:34" x14ac:dyDescent="0.25">
      <c r="B121">
        <v>917</v>
      </c>
      <c r="C121" s="28">
        <v>6</v>
      </c>
      <c r="D121" s="35" t="s">
        <v>153</v>
      </c>
      <c r="E121" s="154">
        <f>INDEX('2019 Data Lockdown'!H$5:H$257,MATCH(B121,'2019 Data Lockdown'!B$5:B$257,0))</f>
        <v>188.10307825939799</v>
      </c>
      <c r="F121" s="5">
        <f>INDEX('2019 Data Lockdown'!E$5:E$257,MATCH(B121,'2019 Data Lockdown'!B$5:B$257,0))</f>
        <v>59201.33</v>
      </c>
      <c r="G121" s="5">
        <f>INDEX('2019 Data Lockdown'!F$5:F$257,MATCH(B121,'2019 Data Lockdown'!B$5:B$257,0))</f>
        <v>0</v>
      </c>
      <c r="H121" s="5">
        <f t="shared" si="21"/>
        <v>59201.33</v>
      </c>
      <c r="I121" s="95">
        <f t="shared" si="22"/>
        <v>314.72812963943181</v>
      </c>
      <c r="J121" s="6">
        <f t="shared" si="23"/>
        <v>314.72812963943181</v>
      </c>
      <c r="K121" s="5">
        <f t="shared" si="24"/>
        <v>59201.33</v>
      </c>
      <c r="L121" s="135">
        <f>INDEX('2019 Best Practice Scores'!L$4:L$256,MATCH(B121,'2019 Best Practice Scores'!A$4:A$256,0))</f>
        <v>0.5625</v>
      </c>
      <c r="M121" s="97">
        <f t="shared" si="25"/>
        <v>13693.413342039317</v>
      </c>
      <c r="N121" s="97">
        <f t="shared" si="26"/>
        <v>13463.152499304837</v>
      </c>
      <c r="O121" s="97">
        <f t="shared" si="27"/>
        <v>2310.7635014691346</v>
      </c>
      <c r="P121" s="97">
        <f t="shared" si="28"/>
        <v>719.39670136963093</v>
      </c>
      <c r="Q121" s="97">
        <f t="shared" si="29"/>
        <v>30186.72604418292</v>
      </c>
      <c r="R121" s="104">
        <f t="shared" si="30"/>
        <v>0.50989945739703679</v>
      </c>
      <c r="S121" s="166">
        <f t="shared" si="31"/>
        <v>30187.942651841386</v>
      </c>
      <c r="T121" s="97"/>
      <c r="U121" s="97">
        <f>IFERROR(INDEX('Revised 2020 MFAM(2018 PYAs)'!AD$26:AD$300,MATCH(B121,'Revised 2020 MFAM(2018 PYAs)'!B$26:B$300,0)),0)</f>
        <v>-8.3774127865290211</v>
      </c>
      <c r="V121" s="97">
        <f>IFERROR(INDEX('Revised 2019 MFAM(2017 PYAs)'!AF$26:AF$300,MATCH(B121,'Revised 2019 MFAM(2017 PYAs)'!B$26:B$300,0)),0)</f>
        <v>2.8048440906895848</v>
      </c>
      <c r="W121" s="97">
        <f t="shared" si="32"/>
        <v>-2.0105323383114358E-2</v>
      </c>
      <c r="X121" s="97">
        <f t="shared" si="33"/>
        <v>-5.5926740192225504</v>
      </c>
      <c r="Y121" s="97"/>
      <c r="Z121" s="98">
        <f t="shared" si="34"/>
        <v>30182.349977822163</v>
      </c>
      <c r="AA121" s="99">
        <v>0</v>
      </c>
      <c r="AB121" s="100">
        <f t="shared" si="35"/>
        <v>0</v>
      </c>
      <c r="AC121" s="97">
        <f t="shared" si="36"/>
        <v>30182.349977822163</v>
      </c>
      <c r="AD121" s="103"/>
      <c r="AE121" s="97">
        <f t="shared" si="37"/>
        <v>7545.5874944555408</v>
      </c>
      <c r="AF121" s="97">
        <f t="shared" si="37"/>
        <v>7545.5874944555408</v>
      </c>
      <c r="AG121" s="97">
        <f t="shared" si="37"/>
        <v>7545.5874944555408</v>
      </c>
      <c r="AH121" s="97">
        <f t="shared" si="37"/>
        <v>7545.5874944555408</v>
      </c>
    </row>
    <row r="122" spans="2:34" x14ac:dyDescent="0.25">
      <c r="B122">
        <v>957</v>
      </c>
      <c r="C122" s="28">
        <v>6</v>
      </c>
      <c r="D122" s="35" t="s">
        <v>154</v>
      </c>
      <c r="E122" s="154">
        <f>INDEX('2019 Data Lockdown'!H$5:H$257,MATCH(B122,'2019 Data Lockdown'!B$5:B$257,0))</f>
        <v>101.14874671311182</v>
      </c>
      <c r="F122" s="5">
        <f>INDEX('2019 Data Lockdown'!E$5:E$257,MATCH(B122,'2019 Data Lockdown'!B$5:B$257,0))</f>
        <v>40203.24</v>
      </c>
      <c r="G122" s="5">
        <f>INDEX('2019 Data Lockdown'!F$5:F$257,MATCH(B122,'2019 Data Lockdown'!B$5:B$257,0))</f>
        <v>0</v>
      </c>
      <c r="H122" s="5">
        <f t="shared" si="21"/>
        <v>40203.24</v>
      </c>
      <c r="I122" s="95">
        <f t="shared" si="22"/>
        <v>397.46651645648603</v>
      </c>
      <c r="J122" s="6">
        <f t="shared" si="23"/>
        <v>397.46651645648603</v>
      </c>
      <c r="K122" s="5">
        <f t="shared" si="24"/>
        <v>40203.24</v>
      </c>
      <c r="L122" s="135">
        <f>INDEX('2019 Best Practice Scores'!L$4:L$256,MATCH(B122,'2019 Best Practice Scores'!A$4:A$256,0))</f>
        <v>0.46296296296296291</v>
      </c>
      <c r="M122" s="97">
        <f t="shared" si="25"/>
        <v>9299.1083647818177</v>
      </c>
      <c r="N122" s="97">
        <f t="shared" si="26"/>
        <v>7239.5466077076071</v>
      </c>
      <c r="O122" s="97">
        <f t="shared" si="27"/>
        <v>1291.5428284419188</v>
      </c>
      <c r="P122" s="97">
        <f t="shared" si="28"/>
        <v>488.53764333287103</v>
      </c>
      <c r="Q122" s="97">
        <f t="shared" si="29"/>
        <v>18318.735444264214</v>
      </c>
      <c r="R122" s="104">
        <f t="shared" si="30"/>
        <v>0.45565321213574367</v>
      </c>
      <c r="S122" s="166">
        <f t="shared" si="31"/>
        <v>18319.473739427533</v>
      </c>
      <c r="T122" s="97"/>
      <c r="U122" s="97">
        <f>IFERROR(INDEX('Revised 2020 MFAM(2018 PYAs)'!AD$26:AD$300,MATCH(B122,'Revised 2020 MFAM(2018 PYAs)'!B$26:B$300,0)),0)</f>
        <v>-5.2216895152596408</v>
      </c>
      <c r="V122" s="97">
        <f>IFERROR(INDEX('Revised 2019 MFAM(2017 PYAs)'!AF$26:AF$300,MATCH(B122,'Revised 2019 MFAM(2017 PYAs)'!B$26:B$300,0)),0)</f>
        <v>2.3712143103111885</v>
      </c>
      <c r="W122" s="97">
        <f t="shared" si="32"/>
        <v>-1.2200862708250684E-2</v>
      </c>
      <c r="X122" s="97">
        <f t="shared" si="33"/>
        <v>-2.8626760676567029</v>
      </c>
      <c r="Y122" s="97"/>
      <c r="Z122" s="98">
        <f t="shared" si="34"/>
        <v>18316.611063359876</v>
      </c>
      <c r="AA122" s="99">
        <v>0</v>
      </c>
      <c r="AB122" s="100">
        <f t="shared" si="35"/>
        <v>0</v>
      </c>
      <c r="AC122" s="97">
        <f t="shared" si="36"/>
        <v>18316.611063359876</v>
      </c>
      <c r="AD122" s="103"/>
      <c r="AE122" s="97">
        <f t="shared" si="37"/>
        <v>4579.1527658399691</v>
      </c>
      <c r="AF122" s="97">
        <f t="shared" si="37"/>
        <v>4579.1527658399691</v>
      </c>
      <c r="AG122" s="97">
        <f t="shared" si="37"/>
        <v>4579.1527658399691</v>
      </c>
      <c r="AH122" s="97">
        <f t="shared" si="37"/>
        <v>4579.1527658399691</v>
      </c>
    </row>
    <row r="123" spans="2:34" x14ac:dyDescent="0.25">
      <c r="B123">
        <v>959</v>
      </c>
      <c r="C123" s="28">
        <v>6</v>
      </c>
      <c r="D123" s="35" t="s">
        <v>155</v>
      </c>
      <c r="E123" s="154">
        <f>INDEX('2019 Data Lockdown'!H$5:H$257,MATCH(B123,'2019 Data Lockdown'!B$5:B$257,0))</f>
        <v>330.53645925433352</v>
      </c>
      <c r="F123" s="5">
        <f>INDEX('2019 Data Lockdown'!E$5:E$257,MATCH(B123,'2019 Data Lockdown'!B$5:B$257,0))</f>
        <v>123075.62</v>
      </c>
      <c r="G123" s="5">
        <f>INDEX('2019 Data Lockdown'!F$5:F$257,MATCH(B123,'2019 Data Lockdown'!B$5:B$257,0))</f>
        <v>0</v>
      </c>
      <c r="H123" s="5">
        <f t="shared" si="21"/>
        <v>123075.62</v>
      </c>
      <c r="I123" s="95">
        <f t="shared" si="22"/>
        <v>372.35111756702952</v>
      </c>
      <c r="J123" s="6">
        <f t="shared" si="23"/>
        <v>372.35111756702952</v>
      </c>
      <c r="K123" s="5">
        <f t="shared" si="24"/>
        <v>123075.62000000001</v>
      </c>
      <c r="L123" s="135">
        <f>INDEX('2019 Best Practice Scores'!L$4:L$256,MATCH(B123,'2019 Best Practice Scores'!A$4:A$256,0))</f>
        <v>0.7685185185185186</v>
      </c>
      <c r="M123" s="97">
        <f t="shared" si="25"/>
        <v>28467.693833698686</v>
      </c>
      <c r="N123" s="97">
        <f t="shared" si="26"/>
        <v>23657.575403336166</v>
      </c>
      <c r="O123" s="97">
        <f t="shared" si="27"/>
        <v>6563.384967213864</v>
      </c>
      <c r="P123" s="97">
        <f t="shared" si="28"/>
        <v>1495.5778028470336</v>
      </c>
      <c r="Q123" s="97">
        <f t="shared" si="29"/>
        <v>60184.232007095743</v>
      </c>
      <c r="R123" s="104">
        <f t="shared" si="30"/>
        <v>0.48900206236698818</v>
      </c>
      <c r="S123" s="166">
        <f t="shared" si="31"/>
        <v>60186.65759632564</v>
      </c>
      <c r="T123" s="97"/>
      <c r="U123" s="97">
        <f>IFERROR(INDEX('Revised 2020 MFAM(2018 PYAs)'!AD$26:AD$300,MATCH(B123,'Revised 2020 MFAM(2018 PYAs)'!B$26:B$300,0)),0)</f>
        <v>-18.228639062195725</v>
      </c>
      <c r="V123" s="97">
        <f>IFERROR(INDEX('Revised 2019 MFAM(2017 PYAs)'!AF$26:AF$300,MATCH(B123,'Revised 2019 MFAM(2017 PYAs)'!B$26:B$300,0)),0)</f>
        <v>8.2193665438826429</v>
      </c>
      <c r="W123" s="97">
        <f t="shared" si="32"/>
        <v>-4.0084620150459049E-2</v>
      </c>
      <c r="X123" s="97">
        <f t="shared" si="33"/>
        <v>-10.049357138463542</v>
      </c>
      <c r="Y123" s="97"/>
      <c r="Z123" s="98">
        <f t="shared" si="34"/>
        <v>60176.608239187175</v>
      </c>
      <c r="AA123" s="99">
        <v>0</v>
      </c>
      <c r="AB123" s="100">
        <f t="shared" si="35"/>
        <v>0</v>
      </c>
      <c r="AC123" s="97">
        <f t="shared" si="36"/>
        <v>60176.608239187175</v>
      </c>
      <c r="AD123" s="103"/>
      <c r="AE123" s="97">
        <f t="shared" si="37"/>
        <v>15044.152059796794</v>
      </c>
      <c r="AF123" s="97">
        <f t="shared" si="37"/>
        <v>15044.152059796794</v>
      </c>
      <c r="AG123" s="97">
        <f t="shared" si="37"/>
        <v>15044.152059796794</v>
      </c>
      <c r="AH123" s="97">
        <f t="shared" si="37"/>
        <v>15044.152059796794</v>
      </c>
    </row>
    <row r="124" spans="2:34" x14ac:dyDescent="0.25">
      <c r="B124">
        <v>969</v>
      </c>
      <c r="C124" s="28">
        <v>6</v>
      </c>
      <c r="D124" s="35" t="s">
        <v>156</v>
      </c>
      <c r="E124" s="154">
        <f>INDEX('2019 Data Lockdown'!H$5:H$257,MATCH(B124,'2019 Data Lockdown'!B$5:B$257,0))</f>
        <v>20.253027862922973</v>
      </c>
      <c r="F124" s="5">
        <f>INDEX('2019 Data Lockdown'!E$5:E$257,MATCH(B124,'2019 Data Lockdown'!B$5:B$257,0))</f>
        <v>87738.63</v>
      </c>
      <c r="G124" s="5">
        <f>INDEX('2019 Data Lockdown'!F$5:F$257,MATCH(B124,'2019 Data Lockdown'!B$5:B$257,0))</f>
        <v>0</v>
      </c>
      <c r="H124" s="5">
        <f t="shared" si="21"/>
        <v>87738.63</v>
      </c>
      <c r="I124" s="95">
        <f t="shared" si="22"/>
        <v>4332.124094917298</v>
      </c>
      <c r="J124" s="6">
        <f t="shared" si="23"/>
        <v>1522.4622318178901</v>
      </c>
      <c r="K124" s="5">
        <f t="shared" si="24"/>
        <v>30834.470001255624</v>
      </c>
      <c r="L124" s="135">
        <f>INDEX('2019 Best Practice Scores'!L$4:L$256,MATCH(B124,'2019 Best Practice Scores'!A$4:A$256,0))</f>
        <v>0.35763888888888884</v>
      </c>
      <c r="M124" s="97">
        <f t="shared" si="25"/>
        <v>7132.0888045911261</v>
      </c>
      <c r="N124" s="97">
        <f t="shared" si="26"/>
        <v>1449.5754413714856</v>
      </c>
      <c r="O124" s="97">
        <f t="shared" si="27"/>
        <v>765.21369465925613</v>
      </c>
      <c r="P124" s="97">
        <f t="shared" si="28"/>
        <v>374.69117682633367</v>
      </c>
      <c r="Q124" s="97">
        <f t="shared" si="29"/>
        <v>9721.5691174482017</v>
      </c>
      <c r="R124" s="104">
        <f t="shared" si="30"/>
        <v>0.31528251067887092</v>
      </c>
      <c r="S124" s="166">
        <f t="shared" si="31"/>
        <v>9721.960923284425</v>
      </c>
      <c r="T124" s="97"/>
      <c r="U124" s="97">
        <f>IFERROR(INDEX('Revised 2020 MFAM(2018 PYAs)'!AD$26:AD$300,MATCH(B124,'Revised 2020 MFAM(2018 PYAs)'!B$26:B$300,0)),0)</f>
        <v>-0.47224798104252841</v>
      </c>
      <c r="V124" s="97">
        <f>IFERROR(INDEX('Revised 2019 MFAM(2017 PYAs)'!AF$26:AF$300,MATCH(B124,'Revised 2019 MFAM(2017 PYAs)'!B$26:B$300,0)),0)</f>
        <v>15.696754174243324</v>
      </c>
      <c r="W124" s="97">
        <f t="shared" si="32"/>
        <v>-6.4748754340406061E-3</v>
      </c>
      <c r="X124" s="97">
        <f t="shared" si="33"/>
        <v>15.218031317766755</v>
      </c>
      <c r="Y124" s="97"/>
      <c r="Z124" s="98">
        <f t="shared" si="34"/>
        <v>9737.1789546021919</v>
      </c>
      <c r="AA124" s="99">
        <v>0</v>
      </c>
      <c r="AB124" s="100">
        <f t="shared" si="35"/>
        <v>0</v>
      </c>
      <c r="AC124" s="97">
        <f t="shared" si="36"/>
        <v>9737.1789546021919</v>
      </c>
      <c r="AD124" s="103"/>
      <c r="AE124" s="97">
        <f t="shared" si="37"/>
        <v>2434.294738650548</v>
      </c>
      <c r="AF124" s="97">
        <f t="shared" si="37"/>
        <v>2434.294738650548</v>
      </c>
      <c r="AG124" s="97">
        <f t="shared" si="37"/>
        <v>2434.294738650548</v>
      </c>
      <c r="AH124" s="97">
        <f t="shared" si="37"/>
        <v>2434.294738650548</v>
      </c>
    </row>
    <row r="125" spans="2:34" x14ac:dyDescent="0.25">
      <c r="B125">
        <v>970</v>
      </c>
      <c r="C125" s="28">
        <v>6</v>
      </c>
      <c r="D125" s="35" t="s">
        <v>157</v>
      </c>
      <c r="E125" s="154">
        <f>INDEX('2019 Data Lockdown'!H$5:H$257,MATCH(B125,'2019 Data Lockdown'!B$5:B$257,0))</f>
        <v>155.95183681022218</v>
      </c>
      <c r="F125" s="5">
        <f>INDEX('2019 Data Lockdown'!E$5:E$257,MATCH(B125,'2019 Data Lockdown'!B$5:B$257,0))</f>
        <v>73920.09</v>
      </c>
      <c r="G125" s="5">
        <f>INDEX('2019 Data Lockdown'!F$5:F$257,MATCH(B125,'2019 Data Lockdown'!B$5:B$257,0))</f>
        <v>161.72</v>
      </c>
      <c r="H125" s="5">
        <f t="shared" si="21"/>
        <v>73758.37</v>
      </c>
      <c r="I125" s="95">
        <f t="shared" si="22"/>
        <v>472.9560838052621</v>
      </c>
      <c r="J125" s="6">
        <f t="shared" si="23"/>
        <v>472.9560838052621</v>
      </c>
      <c r="K125" s="5">
        <f t="shared" si="24"/>
        <v>73758.37</v>
      </c>
      <c r="L125" s="135">
        <f>INDEX('2019 Best Practice Scores'!L$4:L$256,MATCH(B125,'2019 Best Practice Scores'!A$4:A$256,0))</f>
        <v>0.40277777777777773</v>
      </c>
      <c r="M125" s="97">
        <f t="shared" si="25"/>
        <v>17060.492523480003</v>
      </c>
      <c r="N125" s="97">
        <f t="shared" si="26"/>
        <v>11161.982998637197</v>
      </c>
      <c r="O125" s="97">
        <f t="shared" si="27"/>
        <v>2061.4761799204998</v>
      </c>
      <c r="P125" s="97">
        <f t="shared" si="28"/>
        <v>896.28945965235471</v>
      </c>
      <c r="Q125" s="97">
        <f t="shared" si="29"/>
        <v>31180.241161690057</v>
      </c>
      <c r="R125" s="104">
        <f t="shared" si="30"/>
        <v>0.42273495417116808</v>
      </c>
      <c r="S125" s="166">
        <f t="shared" si="31"/>
        <v>31181.497810726276</v>
      </c>
      <c r="T125" s="97"/>
      <c r="U125" s="97">
        <f>IFERROR(INDEX('Revised 2020 MFAM(2018 PYAs)'!AD$26:AD$300,MATCH(B125,'Revised 2020 MFAM(2018 PYAs)'!B$26:B$300,0)),0)</f>
        <v>-10.6167172625901</v>
      </c>
      <c r="V125" s="97">
        <f>IFERROR(INDEX('Revised 2019 MFAM(2017 PYAs)'!AF$26:AF$300,MATCH(B125,'Revised 2019 MFAM(2017 PYAs)'!B$26:B$300,0)),0)</f>
        <v>4.0720358043872693</v>
      </c>
      <c r="W125" s="97">
        <f t="shared" si="32"/>
        <v>-2.0767036173506316E-2</v>
      </c>
      <c r="X125" s="97">
        <f t="shared" si="33"/>
        <v>-6.5654484943763372</v>
      </c>
      <c r="Y125" s="97"/>
      <c r="Z125" s="98">
        <f t="shared" si="34"/>
        <v>31174.932362231899</v>
      </c>
      <c r="AA125" s="99">
        <v>0</v>
      </c>
      <c r="AB125" s="100">
        <f t="shared" si="35"/>
        <v>0</v>
      </c>
      <c r="AC125" s="97">
        <f t="shared" si="36"/>
        <v>31174.932362231899</v>
      </c>
      <c r="AD125" s="103"/>
      <c r="AE125" s="97">
        <f t="shared" si="37"/>
        <v>7793.7330905579747</v>
      </c>
      <c r="AF125" s="97">
        <f t="shared" si="37"/>
        <v>7793.7330905579747</v>
      </c>
      <c r="AG125" s="97">
        <f t="shared" si="37"/>
        <v>7793.7330905579747</v>
      </c>
      <c r="AH125" s="97">
        <f t="shared" si="37"/>
        <v>7793.7330905579747</v>
      </c>
    </row>
    <row r="126" spans="2:34" x14ac:dyDescent="0.25">
      <c r="B126" s="26">
        <v>978</v>
      </c>
      <c r="C126" s="28">
        <v>6</v>
      </c>
      <c r="D126" s="35" t="s">
        <v>270</v>
      </c>
      <c r="E126" s="154">
        <f>INDEX('2019 Data Lockdown'!H$5:H$257,MATCH(B126,'2019 Data Lockdown'!B$5:B$257,0))</f>
        <v>25.008086578565759</v>
      </c>
      <c r="F126" s="5">
        <f>INDEX('2019 Data Lockdown'!E$5:E$257,MATCH(B126,'2019 Data Lockdown'!B$5:B$257,0))</f>
        <v>28052.51</v>
      </c>
      <c r="G126" s="5">
        <f>INDEX('2019 Data Lockdown'!F$5:F$257,MATCH(B126,'2019 Data Lockdown'!B$5:B$257,0))</f>
        <v>0</v>
      </c>
      <c r="H126" s="5">
        <f t="shared" si="21"/>
        <v>28052.51</v>
      </c>
      <c r="I126" s="95">
        <f t="shared" si="22"/>
        <v>1121.7375592438805</v>
      </c>
      <c r="J126" s="6">
        <f t="shared" si="23"/>
        <v>1121.7375592438805</v>
      </c>
      <c r="K126" s="5">
        <f t="shared" si="24"/>
        <v>28052.510000000002</v>
      </c>
      <c r="L126" s="135">
        <f>INDEX('2019 Best Practice Scores'!L$4:L$256,MATCH(B126,'2019 Best Practice Scores'!A$4:A$256,0))</f>
        <v>0.39351851851851855</v>
      </c>
      <c r="M126" s="97">
        <f t="shared" si="25"/>
        <v>6488.6146090246857</v>
      </c>
      <c r="N126" s="97">
        <f t="shared" si="26"/>
        <v>1789.9105449978342</v>
      </c>
      <c r="O126" s="97">
        <f t="shared" si="27"/>
        <v>766.01700245430311</v>
      </c>
      <c r="P126" s="97">
        <f t="shared" si="28"/>
        <v>340.88563819661795</v>
      </c>
      <c r="Q126" s="97">
        <f t="shared" si="29"/>
        <v>9385.4277946734401</v>
      </c>
      <c r="R126" s="104">
        <f t="shared" si="30"/>
        <v>0.33456641828747014</v>
      </c>
      <c r="S126" s="166">
        <f t="shared" si="31"/>
        <v>9385.8060530945841</v>
      </c>
      <c r="T126" s="97"/>
      <c r="U126" s="97">
        <f>IFERROR(INDEX('Revised 2020 MFAM(2018 PYAs)'!AD$26:AD$300,MATCH(B126,'Revised 2020 MFAM(2018 PYAs)'!B$26:B$300,0)),0)</f>
        <v>0</v>
      </c>
      <c r="V126" s="97">
        <f>IFERROR(INDEX('Revised 2019 MFAM(2017 PYAs)'!AF$26:AF$300,MATCH(B126,'Revised 2019 MFAM(2017 PYAs)'!B$26:B$300,0)),0)</f>
        <v>1.9828093960386468</v>
      </c>
      <c r="W126" s="97">
        <f t="shared" si="32"/>
        <v>-6.250994580352707E-3</v>
      </c>
      <c r="X126" s="97">
        <f t="shared" si="33"/>
        <v>1.9765584014582942</v>
      </c>
      <c r="Y126" s="97"/>
      <c r="Z126" s="98">
        <f t="shared" si="34"/>
        <v>9387.7826114960426</v>
      </c>
      <c r="AA126" s="99">
        <v>0</v>
      </c>
      <c r="AB126" s="100">
        <f t="shared" si="35"/>
        <v>0</v>
      </c>
      <c r="AC126" s="97">
        <f t="shared" si="36"/>
        <v>9387.7826114960426</v>
      </c>
      <c r="AD126" s="103"/>
      <c r="AE126" s="97">
        <f t="shared" ref="AE126:AH145" si="38">$AC126/4</f>
        <v>2346.9456528740106</v>
      </c>
      <c r="AF126" s="97">
        <f t="shared" si="38"/>
        <v>2346.9456528740106</v>
      </c>
      <c r="AG126" s="97">
        <f t="shared" si="38"/>
        <v>2346.9456528740106</v>
      </c>
      <c r="AH126" s="97">
        <f t="shared" si="38"/>
        <v>2346.9456528740106</v>
      </c>
    </row>
    <row r="127" spans="2:34" x14ac:dyDescent="0.25">
      <c r="B127" s="26">
        <v>986</v>
      </c>
      <c r="C127" s="28">
        <v>6</v>
      </c>
      <c r="D127" s="35" t="s">
        <v>159</v>
      </c>
      <c r="E127" s="154">
        <f>INDEX('2019 Data Lockdown'!H$5:H$257,MATCH(B127,'2019 Data Lockdown'!B$5:B$257,0))</f>
        <v>7.8194298879459128</v>
      </c>
      <c r="F127" s="5">
        <f>INDEX('2019 Data Lockdown'!E$5:E$257,MATCH(B127,'2019 Data Lockdown'!B$5:B$257,0))</f>
        <v>43562.55</v>
      </c>
      <c r="G127" s="5">
        <f>INDEX('2019 Data Lockdown'!F$5:F$257,MATCH(B127,'2019 Data Lockdown'!B$5:B$257,0))</f>
        <v>0</v>
      </c>
      <c r="H127" s="5">
        <f t="shared" si="21"/>
        <v>43562.55</v>
      </c>
      <c r="I127" s="95">
        <f t="shared" si="22"/>
        <v>5571.0647226537712</v>
      </c>
      <c r="J127" s="6">
        <f t="shared" si="23"/>
        <v>1522.4622318178901</v>
      </c>
      <c r="K127" s="5">
        <f t="shared" si="24"/>
        <v>11904.78667874565</v>
      </c>
      <c r="L127" s="135">
        <f>INDEX('2019 Best Practice Scores'!L$4:L$256,MATCH(B127,'2019 Best Practice Scores'!A$4:A$256,0))</f>
        <v>0.22453703703703703</v>
      </c>
      <c r="M127" s="97">
        <f t="shared" si="25"/>
        <v>2753.606460207357</v>
      </c>
      <c r="N127" s="97">
        <f t="shared" si="26"/>
        <v>559.66217040777349</v>
      </c>
      <c r="O127" s="97">
        <f t="shared" si="27"/>
        <v>185.48599072230112</v>
      </c>
      <c r="P127" s="97">
        <f t="shared" si="28"/>
        <v>144.66337609642795</v>
      </c>
      <c r="Q127" s="97">
        <f t="shared" si="29"/>
        <v>3643.4179974338595</v>
      </c>
      <c r="R127" s="104">
        <f t="shared" si="30"/>
        <v>0.30604647489725106</v>
      </c>
      <c r="S127" s="166">
        <f t="shared" si="31"/>
        <v>3643.5648371485136</v>
      </c>
      <c r="T127" s="97"/>
      <c r="U127" s="97">
        <f>IFERROR(INDEX('Revised 2020 MFAM(2018 PYAs)'!AD$26:AD$300,MATCH(B127,'Revised 2020 MFAM(2018 PYAs)'!B$26:B$300,0)),0)</f>
        <v>-0.17095322924160428</v>
      </c>
      <c r="V127" s="97">
        <f>IFERROR(INDEX('Revised 2019 MFAM(2017 PYAs)'!AF$26:AF$300,MATCH(B127,'Revised 2019 MFAM(2017 PYAs)'!B$26:B$300,0)),0)</f>
        <v>6.2259938660190528</v>
      </c>
      <c r="W127" s="97">
        <f t="shared" si="32"/>
        <v>-2.4266327176736872E-3</v>
      </c>
      <c r="X127" s="97">
        <f t="shared" si="33"/>
        <v>6.0526140040597749</v>
      </c>
      <c r="Y127" s="97"/>
      <c r="Z127" s="98">
        <f t="shared" si="34"/>
        <v>3649.6174511525733</v>
      </c>
      <c r="AA127" s="99">
        <v>0</v>
      </c>
      <c r="AB127" s="100">
        <f t="shared" si="35"/>
        <v>0</v>
      </c>
      <c r="AC127" s="97">
        <f t="shared" si="36"/>
        <v>3649.6174511525733</v>
      </c>
      <c r="AD127" s="103"/>
      <c r="AE127" s="97">
        <f t="shared" si="38"/>
        <v>912.40436278814332</v>
      </c>
      <c r="AF127" s="97">
        <f t="shared" si="38"/>
        <v>912.40436278814332</v>
      </c>
      <c r="AG127" s="97">
        <f t="shared" si="38"/>
        <v>912.40436278814332</v>
      </c>
      <c r="AH127" s="97">
        <f t="shared" si="38"/>
        <v>912.40436278814332</v>
      </c>
    </row>
    <row r="128" spans="2:34" x14ac:dyDescent="0.25">
      <c r="B128" s="26">
        <v>988</v>
      </c>
      <c r="C128" s="28">
        <v>6</v>
      </c>
      <c r="D128" s="35" t="s">
        <v>160</v>
      </c>
      <c r="E128" s="154">
        <f>INDEX('2019 Data Lockdown'!H$5:H$257,MATCH(B128,'2019 Data Lockdown'!B$5:B$257,0))</f>
        <v>133.20495744908894</v>
      </c>
      <c r="F128" s="5">
        <f>INDEX('2019 Data Lockdown'!E$5:E$257,MATCH(B128,'2019 Data Lockdown'!B$5:B$257,0))</f>
        <v>132703.88</v>
      </c>
      <c r="G128" s="5">
        <f>INDEX('2019 Data Lockdown'!F$5:F$257,MATCH(B128,'2019 Data Lockdown'!B$5:B$257,0))</f>
        <v>91</v>
      </c>
      <c r="H128" s="5">
        <f t="shared" si="21"/>
        <v>132612.88</v>
      </c>
      <c r="I128" s="95">
        <f t="shared" si="22"/>
        <v>995.55513953513912</v>
      </c>
      <c r="J128" s="6">
        <f t="shared" si="23"/>
        <v>995.55513953513912</v>
      </c>
      <c r="K128" s="5">
        <f t="shared" si="24"/>
        <v>132612.88</v>
      </c>
      <c r="L128" s="135">
        <f>INDEX('2019 Best Practice Scores'!L$4:L$256,MATCH(B128,'2019 Best Practice Scores'!A$4:A$256,0))</f>
        <v>0.67361111111111116</v>
      </c>
      <c r="M128" s="97">
        <f t="shared" si="25"/>
        <v>30673.685545886536</v>
      </c>
      <c r="N128" s="97">
        <f t="shared" si="26"/>
        <v>9533.9144494351003</v>
      </c>
      <c r="O128" s="97">
        <f t="shared" si="27"/>
        <v>6198.6406207312366</v>
      </c>
      <c r="P128" s="97">
        <f t="shared" si="28"/>
        <v>1611.4717090161098</v>
      </c>
      <c r="Q128" s="97">
        <f t="shared" si="29"/>
        <v>48017.712325068984</v>
      </c>
      <c r="R128" s="104">
        <f t="shared" si="30"/>
        <v>0.36208935606457671</v>
      </c>
      <c r="S128" s="166">
        <f t="shared" si="31"/>
        <v>48019.647570264875</v>
      </c>
      <c r="T128" s="97"/>
      <c r="U128" s="97">
        <f>IFERROR(INDEX('Revised 2020 MFAM(2018 PYAs)'!AD$26:AD$300,MATCH(B128,'Revised 2020 MFAM(2018 PYAs)'!B$26:B$300,0)),0)</f>
        <v>-13.808439769869437</v>
      </c>
      <c r="V128" s="97">
        <f>IFERROR(INDEX('Revised 2019 MFAM(2017 PYAs)'!AF$26:AF$300,MATCH(B128,'Revised 2019 MFAM(2017 PYAs)'!B$26:B$300,0)),0)</f>
        <v>4.120847945123387</v>
      </c>
      <c r="W128" s="97">
        <f t="shared" si="32"/>
        <v>-3.1981329575119857E-2</v>
      </c>
      <c r="X128" s="97">
        <f t="shared" si="33"/>
        <v>-9.7195731543211696</v>
      </c>
      <c r="Y128" s="97"/>
      <c r="Z128" s="98">
        <f t="shared" si="34"/>
        <v>48009.927997110557</v>
      </c>
      <c r="AA128" s="99">
        <v>0</v>
      </c>
      <c r="AB128" s="100">
        <f t="shared" si="35"/>
        <v>0</v>
      </c>
      <c r="AC128" s="97">
        <f t="shared" si="36"/>
        <v>48009.927997110557</v>
      </c>
      <c r="AD128" s="103"/>
      <c r="AE128" s="97">
        <f t="shared" si="38"/>
        <v>12002.481999277639</v>
      </c>
      <c r="AF128" s="97">
        <f t="shared" si="38"/>
        <v>12002.481999277639</v>
      </c>
      <c r="AG128" s="97">
        <f t="shared" si="38"/>
        <v>12002.481999277639</v>
      </c>
      <c r="AH128" s="97">
        <f t="shared" si="38"/>
        <v>12002.481999277639</v>
      </c>
    </row>
    <row r="129" spans="2:34" x14ac:dyDescent="0.25">
      <c r="B129" s="26">
        <v>989</v>
      </c>
      <c r="C129" s="28">
        <v>6</v>
      </c>
      <c r="D129" s="35" t="s">
        <v>161</v>
      </c>
      <c r="E129" s="154">
        <f>INDEX('2019 Data Lockdown'!H$5:H$257,MATCH(B129,'2019 Data Lockdown'!B$5:B$257,0))</f>
        <v>326.70423415609696</v>
      </c>
      <c r="F129" s="5">
        <f>INDEX('2019 Data Lockdown'!E$5:E$257,MATCH(B129,'2019 Data Lockdown'!B$5:B$257,0))</f>
        <v>300886.87</v>
      </c>
      <c r="G129" s="5">
        <f>INDEX('2019 Data Lockdown'!F$5:F$257,MATCH(B129,'2019 Data Lockdown'!B$5:B$257,0))</f>
        <v>37627.469999999994</v>
      </c>
      <c r="H129" s="5">
        <f t="shared" si="21"/>
        <v>263259.40000000002</v>
      </c>
      <c r="I129" s="95">
        <f t="shared" si="22"/>
        <v>805.80345302233377</v>
      </c>
      <c r="J129" s="6">
        <f t="shared" si="23"/>
        <v>805.80345302233377</v>
      </c>
      <c r="K129" s="5">
        <f t="shared" si="24"/>
        <v>263259.40000000002</v>
      </c>
      <c r="L129" s="135">
        <f>INDEX('2019 Best Practice Scores'!L$4:L$256,MATCH(B129,'2019 Best Practice Scores'!A$4:A$256,0))</f>
        <v>0.53703703703703698</v>
      </c>
      <c r="M129" s="97">
        <f t="shared" si="25"/>
        <v>60892.547183944436</v>
      </c>
      <c r="N129" s="97">
        <f t="shared" si="26"/>
        <v>23383.290519821003</v>
      </c>
      <c r="O129" s="97">
        <f t="shared" si="27"/>
        <v>9810.4659351910468</v>
      </c>
      <c r="P129" s="97">
        <f t="shared" si="28"/>
        <v>3199.0488045546986</v>
      </c>
      <c r="Q129" s="97">
        <f t="shared" si="29"/>
        <v>97285.35244351119</v>
      </c>
      <c r="R129" s="104">
        <f t="shared" si="30"/>
        <v>0.36954179962239214</v>
      </c>
      <c r="S129" s="166">
        <f t="shared" si="31"/>
        <v>97289.273309413169</v>
      </c>
      <c r="T129" s="97"/>
      <c r="U129" s="97">
        <f>IFERROR(INDEX('Revised 2020 MFAM(2018 PYAs)'!AD$26:AD$300,MATCH(B129,'Revised 2020 MFAM(2018 PYAs)'!B$26:B$300,0)),0)</f>
        <v>-37.833927097002743</v>
      </c>
      <c r="V129" s="97">
        <f>IFERROR(INDEX('Revised 2019 MFAM(2017 PYAs)'!AF$26:AF$300,MATCH(B129,'Revised 2019 MFAM(2017 PYAs)'!B$26:B$300,0)),0)</f>
        <v>14.931847415529774</v>
      </c>
      <c r="W129" s="97">
        <f t="shared" si="32"/>
        <v>-6.4795150969807327E-2</v>
      </c>
      <c r="X129" s="97">
        <f t="shared" si="33"/>
        <v>-22.966874832442777</v>
      </c>
      <c r="Y129" s="97"/>
      <c r="Z129" s="98">
        <f t="shared" si="34"/>
        <v>97266.306434580722</v>
      </c>
      <c r="AA129" s="99">
        <v>0</v>
      </c>
      <c r="AB129" s="100">
        <f t="shared" si="35"/>
        <v>0</v>
      </c>
      <c r="AC129" s="97">
        <f t="shared" si="36"/>
        <v>97266.306434580722</v>
      </c>
      <c r="AD129" s="103"/>
      <c r="AE129" s="97">
        <f t="shared" si="38"/>
        <v>24316.57660864518</v>
      </c>
      <c r="AF129" s="97">
        <f t="shared" si="38"/>
        <v>24316.57660864518</v>
      </c>
      <c r="AG129" s="97">
        <f t="shared" si="38"/>
        <v>24316.57660864518</v>
      </c>
      <c r="AH129" s="97">
        <f t="shared" si="38"/>
        <v>24316.57660864518</v>
      </c>
    </row>
    <row r="130" spans="2:34" x14ac:dyDescent="0.25">
      <c r="B130">
        <v>39</v>
      </c>
      <c r="C130" s="28">
        <v>7</v>
      </c>
      <c r="D130" s="35" t="s">
        <v>162</v>
      </c>
      <c r="E130" s="154">
        <f>INDEX('2019 Data Lockdown'!H$5:H$257,MATCH(B130,'2019 Data Lockdown'!B$5:B$257,0))</f>
        <v>314.39</v>
      </c>
      <c r="F130" s="5">
        <f>INDEX('2019 Data Lockdown'!E$5:E$257,MATCH(B130,'2019 Data Lockdown'!B$5:B$257,0))</f>
        <v>131981.43</v>
      </c>
      <c r="G130" s="5">
        <f>INDEX('2019 Data Lockdown'!F$5:F$257,MATCH(B130,'2019 Data Lockdown'!B$5:B$257,0))</f>
        <v>1501.53</v>
      </c>
      <c r="H130" s="5">
        <f t="shared" si="21"/>
        <v>130479.9</v>
      </c>
      <c r="I130" s="95">
        <f t="shared" si="22"/>
        <v>415.02560514011259</v>
      </c>
      <c r="J130" s="6">
        <f t="shared" si="23"/>
        <v>415.02560514011259</v>
      </c>
      <c r="K130" s="5">
        <f t="shared" si="24"/>
        <v>130479.9</v>
      </c>
      <c r="L130" s="135">
        <f>INDEX('2019 Best Practice Scores'!L$4:L$256,MATCH(B130,'2019 Best Practice Scores'!A$4:A$256,0))</f>
        <v>0.60185185185185186</v>
      </c>
      <c r="M130" s="97">
        <f t="shared" si="25"/>
        <v>30180.322021953827</v>
      </c>
      <c r="N130" s="97">
        <f t="shared" si="26"/>
        <v>22501.920507752107</v>
      </c>
      <c r="O130" s="97">
        <f t="shared" si="27"/>
        <v>5449.2248095194409</v>
      </c>
      <c r="P130" s="97">
        <f t="shared" si="28"/>
        <v>1585.5523795671363</v>
      </c>
      <c r="Q130" s="97">
        <f t="shared" si="29"/>
        <v>59717.019718792515</v>
      </c>
      <c r="R130" s="104">
        <f t="shared" si="30"/>
        <v>0.45767217570516622</v>
      </c>
      <c r="S130" s="166">
        <f t="shared" si="31"/>
        <v>59719.426478088775</v>
      </c>
      <c r="T130" s="97"/>
      <c r="U130" s="97">
        <f>IFERROR(INDEX('Revised 2020 MFAM(2018 PYAs)'!AD$26:AD$300,MATCH(B130,'Revised 2020 MFAM(2018 PYAs)'!B$26:B$300,0)),0)</f>
        <v>-14.493173602517345</v>
      </c>
      <c r="V130" s="97">
        <f>IFERROR(INDEX('Revised 2019 MFAM(2017 PYAs)'!AF$26:AF$300,MATCH(B130,'Revised 2019 MFAM(2017 PYAs)'!B$26:B$300,0)),0)</f>
        <v>8.7402599125925917</v>
      </c>
      <c r="W130" s="97">
        <f t="shared" si="32"/>
        <v>-3.977344184873953E-2</v>
      </c>
      <c r="X130" s="97">
        <f t="shared" si="33"/>
        <v>-5.7926871317734925</v>
      </c>
      <c r="Y130" s="97"/>
      <c r="Z130" s="98">
        <f t="shared" si="34"/>
        <v>59713.633790956999</v>
      </c>
      <c r="AA130" s="99">
        <v>0</v>
      </c>
      <c r="AB130" s="100">
        <f t="shared" si="35"/>
        <v>0</v>
      </c>
      <c r="AC130" s="97">
        <f t="shared" si="36"/>
        <v>59713.633790956999</v>
      </c>
      <c r="AD130" s="103"/>
      <c r="AE130" s="97">
        <f t="shared" si="38"/>
        <v>14928.40844773925</v>
      </c>
      <c r="AF130" s="97">
        <f t="shared" si="38"/>
        <v>14928.40844773925</v>
      </c>
      <c r="AG130" s="97">
        <f t="shared" si="38"/>
        <v>14928.40844773925</v>
      </c>
      <c r="AH130" s="97">
        <f t="shared" si="38"/>
        <v>14928.40844773925</v>
      </c>
    </row>
    <row r="131" spans="2:34" x14ac:dyDescent="0.25">
      <c r="B131">
        <v>59</v>
      </c>
      <c r="C131" s="28">
        <v>7</v>
      </c>
      <c r="D131" s="35" t="s">
        <v>163</v>
      </c>
      <c r="E131" s="154">
        <f>INDEX('2019 Data Lockdown'!H$5:H$257,MATCH(B131,'2019 Data Lockdown'!B$5:B$257,0))</f>
        <v>199.24752698257859</v>
      </c>
      <c r="F131" s="5">
        <f>INDEX('2019 Data Lockdown'!E$5:E$257,MATCH(B131,'2019 Data Lockdown'!B$5:B$257,0))</f>
        <v>176388.86</v>
      </c>
      <c r="G131" s="5">
        <f>INDEX('2019 Data Lockdown'!F$5:F$257,MATCH(B131,'2019 Data Lockdown'!B$5:B$257,0))</f>
        <v>0</v>
      </c>
      <c r="H131" s="5">
        <f t="shared" si="21"/>
        <v>176388.86</v>
      </c>
      <c r="I131" s="95">
        <f t="shared" si="22"/>
        <v>885.27502785729791</v>
      </c>
      <c r="J131" s="6">
        <f t="shared" si="23"/>
        <v>791.19656515655265</v>
      </c>
      <c r="K131" s="5">
        <f t="shared" si="24"/>
        <v>157643.95896455372</v>
      </c>
      <c r="L131" s="135">
        <f>INDEX('2019 Best Practice Scores'!L$4:L$256,MATCH(B131,'2019 Best Practice Scores'!A$4:A$256,0))</f>
        <v>0.22222222222222221</v>
      </c>
      <c r="M131" s="97">
        <f t="shared" si="25"/>
        <v>36463.435719723158</v>
      </c>
      <c r="N131" s="97">
        <f t="shared" si="26"/>
        <v>14260.797142174295</v>
      </c>
      <c r="O131" s="97">
        <f t="shared" si="27"/>
        <v>2430.8957146482103</v>
      </c>
      <c r="P131" s="97">
        <f t="shared" si="28"/>
        <v>1915.6418288229231</v>
      </c>
      <c r="Q131" s="97">
        <f t="shared" si="29"/>
        <v>55070.770405368596</v>
      </c>
      <c r="R131" s="104">
        <f t="shared" si="30"/>
        <v>0.34933638286609681</v>
      </c>
      <c r="S131" s="166">
        <f t="shared" si="31"/>
        <v>55072.989908104159</v>
      </c>
      <c r="T131" s="97"/>
      <c r="U131" s="97">
        <f>IFERROR(INDEX('Revised 2020 MFAM(2018 PYAs)'!AD$26:AD$300,MATCH(B131,'Revised 2020 MFAM(2018 PYAs)'!B$26:B$300,0)),0)</f>
        <v>-234.60710054988158</v>
      </c>
      <c r="V131" s="97">
        <f>IFERROR(INDEX('Revised 2019 MFAM(2017 PYAs)'!AF$26:AF$300,MATCH(B131,'Revised 2019 MFAM(2017 PYAs)'!B$26:B$300,0)),0)</f>
        <v>7.7416391299848328</v>
      </c>
      <c r="W131" s="97">
        <f t="shared" si="32"/>
        <v>-3.6678891455025592E-2</v>
      </c>
      <c r="X131" s="97">
        <f t="shared" si="33"/>
        <v>-226.90214031135179</v>
      </c>
      <c r="Y131" s="97"/>
      <c r="Z131" s="98">
        <f t="shared" si="34"/>
        <v>54846.087767792807</v>
      </c>
      <c r="AA131" s="99">
        <v>0</v>
      </c>
      <c r="AB131" s="100">
        <f t="shared" si="35"/>
        <v>0</v>
      </c>
      <c r="AC131" s="97">
        <f t="shared" si="36"/>
        <v>54846.087767792807</v>
      </c>
      <c r="AD131" s="103"/>
      <c r="AE131" s="97">
        <f t="shared" si="38"/>
        <v>13711.521941948202</v>
      </c>
      <c r="AF131" s="97">
        <f t="shared" si="38"/>
        <v>13711.521941948202</v>
      </c>
      <c r="AG131" s="97">
        <f t="shared" si="38"/>
        <v>13711.521941948202</v>
      </c>
      <c r="AH131" s="97">
        <f t="shared" si="38"/>
        <v>13711.521941948202</v>
      </c>
    </row>
    <row r="132" spans="2:34" x14ac:dyDescent="0.25">
      <c r="B132">
        <v>100</v>
      </c>
      <c r="C132" s="28">
        <v>7</v>
      </c>
      <c r="D132" s="35" t="s">
        <v>272</v>
      </c>
      <c r="E132" s="154">
        <f>INDEX('2019 Data Lockdown'!H$5:H$257,MATCH(B132,'2019 Data Lockdown'!B$5:B$257,0))</f>
        <v>28.459906979550897</v>
      </c>
      <c r="F132" s="5">
        <f>INDEX('2019 Data Lockdown'!E$5:E$257,MATCH(B132,'2019 Data Lockdown'!B$5:B$257,0))</f>
        <v>31057.59</v>
      </c>
      <c r="G132" s="5">
        <f>INDEX('2019 Data Lockdown'!F$5:F$257,MATCH(B132,'2019 Data Lockdown'!B$5:B$257,0))</f>
        <v>0</v>
      </c>
      <c r="H132" s="5">
        <f t="shared" si="21"/>
        <v>31057.59</v>
      </c>
      <c r="I132" s="95">
        <f t="shared" si="22"/>
        <v>1091.2751760684109</v>
      </c>
      <c r="J132" s="6">
        <f t="shared" si="23"/>
        <v>791.19656515655265</v>
      </c>
      <c r="K132" s="5">
        <f t="shared" si="24"/>
        <v>22517.380646895668</v>
      </c>
      <c r="L132" s="135">
        <f>INDEX('2019 Best Practice Scores'!L$4:L$256,MATCH(B132,'2019 Best Practice Scores'!A$4:A$256,0))</f>
        <v>6.0185185185185182E-2</v>
      </c>
      <c r="M132" s="97">
        <f t="shared" si="25"/>
        <v>5208.3255659624374</v>
      </c>
      <c r="N132" s="97">
        <f t="shared" si="26"/>
        <v>2036.9686202228879</v>
      </c>
      <c r="O132" s="97">
        <f t="shared" si="27"/>
        <v>94.039211607655119</v>
      </c>
      <c r="P132" s="97">
        <f t="shared" si="28"/>
        <v>273.62441622276236</v>
      </c>
      <c r="Q132" s="97">
        <f t="shared" si="29"/>
        <v>7612.9578140157428</v>
      </c>
      <c r="R132" s="104">
        <f t="shared" si="30"/>
        <v>0.33809251321890738</v>
      </c>
      <c r="S132" s="166">
        <f t="shared" si="31"/>
        <v>7613.2646370467182</v>
      </c>
      <c r="T132" s="97"/>
      <c r="U132" s="97">
        <f>IFERROR(INDEX('Revised 2020 MFAM(2018 PYAs)'!AD$26:AD$300,MATCH(B132,'Revised 2020 MFAM(2018 PYAs)'!B$26:B$300,0)),0)</f>
        <v>-30.957364331477947</v>
      </c>
      <c r="V132" s="97">
        <f>IFERROR(INDEX('Revised 2019 MFAM(2017 PYAs)'!AF$26:AF$300,MATCH(B132,'Revised 2019 MFAM(2017 PYAs)'!B$26:B$300,0)),0)</f>
        <v>1.2154544836375862</v>
      </c>
      <c r="W132" s="97">
        <f t="shared" si="32"/>
        <v>-5.0704729797052383E-3</v>
      </c>
      <c r="X132" s="97">
        <f t="shared" si="33"/>
        <v>-29.746980320820068</v>
      </c>
      <c r="Y132" s="97"/>
      <c r="Z132" s="98">
        <f t="shared" si="34"/>
        <v>7583.5176567258977</v>
      </c>
      <c r="AA132" s="99">
        <v>0</v>
      </c>
      <c r="AB132" s="100">
        <f t="shared" si="35"/>
        <v>0</v>
      </c>
      <c r="AC132" s="97">
        <f t="shared" si="36"/>
        <v>7583.5176567258977</v>
      </c>
      <c r="AD132" s="103"/>
      <c r="AE132" s="97">
        <f t="shared" si="38"/>
        <v>1895.8794141814744</v>
      </c>
      <c r="AF132" s="97">
        <f t="shared" si="38"/>
        <v>1895.8794141814744</v>
      </c>
      <c r="AG132" s="97">
        <f t="shared" si="38"/>
        <v>1895.8794141814744</v>
      </c>
      <c r="AH132" s="97">
        <f t="shared" si="38"/>
        <v>1895.8794141814744</v>
      </c>
    </row>
    <row r="133" spans="2:34" x14ac:dyDescent="0.25">
      <c r="B133">
        <v>128</v>
      </c>
      <c r="C133" s="28">
        <v>7</v>
      </c>
      <c r="D133" s="35" t="s">
        <v>164</v>
      </c>
      <c r="E133" s="154">
        <f>INDEX('2019 Data Lockdown'!H$5:H$257,MATCH(B133,'2019 Data Lockdown'!B$5:B$257,0))</f>
        <v>124.30075709261769</v>
      </c>
      <c r="F133" s="5">
        <f>INDEX('2019 Data Lockdown'!E$5:E$257,MATCH(B133,'2019 Data Lockdown'!B$5:B$257,0))</f>
        <v>94207.63</v>
      </c>
      <c r="G133" s="5">
        <f>INDEX('2019 Data Lockdown'!F$5:F$257,MATCH(B133,'2019 Data Lockdown'!B$5:B$257,0))</f>
        <v>265.42</v>
      </c>
      <c r="H133" s="5">
        <f t="shared" si="21"/>
        <v>93942.21</v>
      </c>
      <c r="I133" s="95">
        <f t="shared" si="22"/>
        <v>755.76538870155684</v>
      </c>
      <c r="J133" s="6">
        <f t="shared" si="23"/>
        <v>755.76538870155684</v>
      </c>
      <c r="K133" s="5">
        <f t="shared" si="24"/>
        <v>93942.21</v>
      </c>
      <c r="L133" s="135">
        <f>INDEX('2019 Best Practice Scores'!L$4:L$256,MATCH(B133,'2019 Best Practice Scores'!A$4:A$256,0))</f>
        <v>9.722222222222221E-2</v>
      </c>
      <c r="M133" s="97">
        <f t="shared" si="25"/>
        <v>21729.064394240118</v>
      </c>
      <c r="N133" s="97">
        <f t="shared" si="26"/>
        <v>8896.6117088695155</v>
      </c>
      <c r="O133" s="97">
        <f t="shared" si="27"/>
        <v>633.76437816533678</v>
      </c>
      <c r="P133" s="97">
        <f t="shared" si="28"/>
        <v>1141.5573939533647</v>
      </c>
      <c r="Q133" s="97">
        <f t="shared" si="29"/>
        <v>32400.997875228331</v>
      </c>
      <c r="R133" s="104">
        <f t="shared" si="30"/>
        <v>0.34490350903207756</v>
      </c>
      <c r="S133" s="166">
        <f t="shared" si="31"/>
        <v>32402.30372410042</v>
      </c>
      <c r="T133" s="97"/>
      <c r="U133" s="97">
        <f>IFERROR(INDEX('Revised 2020 MFAM(2018 PYAs)'!AD$26:AD$300,MATCH(B133,'Revised 2020 MFAM(2018 PYAs)'!B$26:B$300,0)),0)</f>
        <v>-14.07382094294735</v>
      </c>
      <c r="V133" s="97">
        <f>IFERROR(INDEX('Revised 2019 MFAM(2017 PYAs)'!AF$26:AF$300,MATCH(B133,'Revised 2019 MFAM(2017 PYAs)'!B$26:B$300,0)),0)</f>
        <v>4.6217802649116493</v>
      </c>
      <c r="W133" s="97">
        <f t="shared" si="32"/>
        <v>-2.1580099122494933E-2</v>
      </c>
      <c r="X133" s="97">
        <f t="shared" si="33"/>
        <v>-9.4736207771581959</v>
      </c>
      <c r="Y133" s="97"/>
      <c r="Z133" s="98">
        <f t="shared" si="34"/>
        <v>32392.830103323264</v>
      </c>
      <c r="AA133" s="99">
        <v>0</v>
      </c>
      <c r="AB133" s="100">
        <f t="shared" si="35"/>
        <v>0</v>
      </c>
      <c r="AC133" s="97">
        <f t="shared" si="36"/>
        <v>32392.830103323264</v>
      </c>
      <c r="AD133" s="103"/>
      <c r="AE133" s="97">
        <f t="shared" si="38"/>
        <v>8098.2075258308159</v>
      </c>
      <c r="AF133" s="97">
        <f t="shared" si="38"/>
        <v>8098.2075258308159</v>
      </c>
      <c r="AG133" s="97">
        <f t="shared" si="38"/>
        <v>8098.2075258308159</v>
      </c>
      <c r="AH133" s="97">
        <f t="shared" si="38"/>
        <v>8098.2075258308159</v>
      </c>
    </row>
    <row r="134" spans="2:34" x14ac:dyDescent="0.25">
      <c r="B134">
        <v>152</v>
      </c>
      <c r="C134" s="28">
        <v>7</v>
      </c>
      <c r="D134" s="35" t="s">
        <v>165</v>
      </c>
      <c r="E134" s="154">
        <f>INDEX('2019 Data Lockdown'!H$5:H$257,MATCH(B134,'2019 Data Lockdown'!B$5:B$257,0))</f>
        <v>416.02</v>
      </c>
      <c r="F134" s="5">
        <f>INDEX('2019 Data Lockdown'!E$5:E$257,MATCH(B134,'2019 Data Lockdown'!B$5:B$257,0))</f>
        <v>201392.59</v>
      </c>
      <c r="G134" s="5">
        <f>INDEX('2019 Data Lockdown'!F$5:F$257,MATCH(B134,'2019 Data Lockdown'!B$5:B$257,0))</f>
        <v>0</v>
      </c>
      <c r="H134" s="5">
        <f t="shared" si="21"/>
        <v>201392.59</v>
      </c>
      <c r="I134" s="95">
        <f t="shared" si="22"/>
        <v>484.09352915725208</v>
      </c>
      <c r="J134" s="6">
        <f t="shared" si="23"/>
        <v>484.09352915725208</v>
      </c>
      <c r="K134" s="5">
        <f t="shared" si="24"/>
        <v>201392.59</v>
      </c>
      <c r="L134" s="135">
        <f>INDEX('2019 Best Practice Scores'!L$4:L$256,MATCH(B134,'2019 Best Practice Scores'!A$4:A$256,0))</f>
        <v>0.62037037037037035</v>
      </c>
      <c r="M134" s="97">
        <f t="shared" si="25"/>
        <v>46582.601757322911</v>
      </c>
      <c r="N134" s="97">
        <f t="shared" si="26"/>
        <v>29775.911987133913</v>
      </c>
      <c r="O134" s="97">
        <f t="shared" si="27"/>
        <v>8669.5397715017643</v>
      </c>
      <c r="P134" s="97">
        <f t="shared" si="28"/>
        <v>2447.2619943890872</v>
      </c>
      <c r="Q134" s="97">
        <f t="shared" si="29"/>
        <v>87475.315510347675</v>
      </c>
      <c r="R134" s="104">
        <f t="shared" si="30"/>
        <v>0.43435220486686066</v>
      </c>
      <c r="S134" s="166">
        <f t="shared" si="31"/>
        <v>87478.841004918388</v>
      </c>
      <c r="T134" s="97"/>
      <c r="U134" s="97">
        <f>IFERROR(INDEX('Revised 2020 MFAM(2018 PYAs)'!AD$26:AD$300,MATCH(B134,'Revised 2020 MFAM(2018 PYAs)'!B$26:B$300,0)),0)</f>
        <v>-18.396491654966667</v>
      </c>
      <c r="V134" s="97">
        <f>IFERROR(INDEX('Revised 2019 MFAM(2017 PYAs)'!AF$26:AF$300,MATCH(B134,'Revised 2019 MFAM(2017 PYAs)'!B$26:B$300,0)),0)</f>
        <v>7.6046214477391914</v>
      </c>
      <c r="W134" s="97">
        <f t="shared" si="32"/>
        <v>-5.8261353145794691E-2</v>
      </c>
      <c r="X134" s="97">
        <f t="shared" si="33"/>
        <v>-10.850131560373271</v>
      </c>
      <c r="Y134" s="97"/>
      <c r="Z134" s="98">
        <f t="shared" si="34"/>
        <v>87467.990873358009</v>
      </c>
      <c r="AA134" s="99">
        <v>0</v>
      </c>
      <c r="AB134" s="100">
        <f t="shared" si="35"/>
        <v>0</v>
      </c>
      <c r="AC134" s="97">
        <f t="shared" si="36"/>
        <v>87467.990873358009</v>
      </c>
      <c r="AD134" s="103"/>
      <c r="AE134" s="97">
        <f t="shared" si="38"/>
        <v>21866.997718339502</v>
      </c>
      <c r="AF134" s="97">
        <f t="shared" si="38"/>
        <v>21866.997718339502</v>
      </c>
      <c r="AG134" s="97">
        <f t="shared" si="38"/>
        <v>21866.997718339502</v>
      </c>
      <c r="AH134" s="97">
        <f t="shared" si="38"/>
        <v>21866.997718339502</v>
      </c>
    </row>
    <row r="135" spans="2:34" x14ac:dyDescent="0.25">
      <c r="B135">
        <v>162</v>
      </c>
      <c r="C135" s="28">
        <v>7</v>
      </c>
      <c r="D135" s="35" t="s">
        <v>166</v>
      </c>
      <c r="E135" s="154">
        <f>INDEX('2019 Data Lockdown'!H$5:H$257,MATCH(B135,'2019 Data Lockdown'!B$5:B$257,0))</f>
        <v>817.57999999999993</v>
      </c>
      <c r="F135" s="5">
        <f>INDEX('2019 Data Lockdown'!E$5:E$257,MATCH(B135,'2019 Data Lockdown'!B$5:B$257,0))</f>
        <v>406976.46</v>
      </c>
      <c r="G135" s="5">
        <f>INDEX('2019 Data Lockdown'!F$5:F$257,MATCH(B135,'2019 Data Lockdown'!B$5:B$257,0))</f>
        <v>20849.919999999998</v>
      </c>
      <c r="H135" s="5">
        <f t="shared" si="21"/>
        <v>386126.54000000004</v>
      </c>
      <c r="I135" s="95">
        <f t="shared" si="22"/>
        <v>472.27982582744204</v>
      </c>
      <c r="J135" s="6">
        <f t="shared" si="23"/>
        <v>472.27982582744204</v>
      </c>
      <c r="K135" s="5">
        <f t="shared" si="24"/>
        <v>386126.54000000004</v>
      </c>
      <c r="L135" s="135">
        <f>INDEX('2019 Best Practice Scores'!L$4:L$256,MATCH(B135,'2019 Best Practice Scores'!A$4:A$256,0))</f>
        <v>0.86111111111111116</v>
      </c>
      <c r="M135" s="97">
        <f t="shared" si="25"/>
        <v>89312.019080508471</v>
      </c>
      <c r="N135" s="97">
        <f t="shared" si="26"/>
        <v>58516.874483055974</v>
      </c>
      <c r="O135" s="97">
        <f t="shared" si="27"/>
        <v>23072.271595798018</v>
      </c>
      <c r="P135" s="97">
        <f t="shared" si="28"/>
        <v>4692.0932213392643</v>
      </c>
      <c r="Q135" s="97">
        <f t="shared" si="29"/>
        <v>175593.25838070174</v>
      </c>
      <c r="R135" s="104">
        <f t="shared" si="30"/>
        <v>0.45475573468920766</v>
      </c>
      <c r="S135" s="166">
        <f t="shared" si="31"/>
        <v>175600.33526948417</v>
      </c>
      <c r="T135" s="97"/>
      <c r="U135" s="97">
        <f>IFERROR(INDEX('Revised 2020 MFAM(2018 PYAs)'!AD$26:AD$300,MATCH(B135,'Revised 2020 MFAM(2018 PYAs)'!B$26:B$300,0)),0)</f>
        <v>-60.58009454634157</v>
      </c>
      <c r="V135" s="97">
        <f>IFERROR(INDEX('Revised 2019 MFAM(2017 PYAs)'!AF$26:AF$300,MATCH(B135,'Revised 2019 MFAM(2017 PYAs)'!B$26:B$300,0)),0)</f>
        <v>21.266365622665035</v>
      </c>
      <c r="W135" s="97">
        <f t="shared" si="32"/>
        <v>-0.11695071663192425</v>
      </c>
      <c r="X135" s="97">
        <f t="shared" si="33"/>
        <v>-39.430679640308462</v>
      </c>
      <c r="Y135" s="97"/>
      <c r="Z135" s="98">
        <f t="shared" si="34"/>
        <v>175560.90458984388</v>
      </c>
      <c r="AA135" s="99">
        <v>0</v>
      </c>
      <c r="AB135" s="100">
        <f t="shared" si="35"/>
        <v>0</v>
      </c>
      <c r="AC135" s="97">
        <f t="shared" si="36"/>
        <v>175560.90458984388</v>
      </c>
      <c r="AD135" s="103"/>
      <c r="AE135" s="97">
        <f t="shared" si="38"/>
        <v>43890.22614746097</v>
      </c>
      <c r="AF135" s="97">
        <f t="shared" si="38"/>
        <v>43890.22614746097</v>
      </c>
      <c r="AG135" s="97">
        <f t="shared" si="38"/>
        <v>43890.22614746097</v>
      </c>
      <c r="AH135" s="97">
        <f t="shared" si="38"/>
        <v>43890.22614746097</v>
      </c>
    </row>
    <row r="136" spans="2:34" x14ac:dyDescent="0.25">
      <c r="B136">
        <v>166</v>
      </c>
      <c r="C136" s="28">
        <v>7</v>
      </c>
      <c r="D136" s="35" t="s">
        <v>167</v>
      </c>
      <c r="E136" s="154">
        <f>INDEX('2019 Data Lockdown'!H$5:H$257,MATCH(B136,'2019 Data Lockdown'!B$5:B$257,0))</f>
        <v>812.39060000000006</v>
      </c>
      <c r="F136" s="5">
        <f>INDEX('2019 Data Lockdown'!E$5:E$257,MATCH(B136,'2019 Data Lockdown'!B$5:B$257,0))</f>
        <v>468737.5</v>
      </c>
      <c r="G136" s="5">
        <f>INDEX('2019 Data Lockdown'!F$5:F$257,MATCH(B136,'2019 Data Lockdown'!B$5:B$257,0))</f>
        <v>69372.91</v>
      </c>
      <c r="H136" s="5">
        <f t="shared" si="21"/>
        <v>399364.58999999997</v>
      </c>
      <c r="I136" s="95">
        <f t="shared" si="22"/>
        <v>491.59184018131174</v>
      </c>
      <c r="J136" s="6">
        <f t="shared" si="23"/>
        <v>491.59184018131174</v>
      </c>
      <c r="K136" s="5">
        <f t="shared" si="24"/>
        <v>399364.58999999997</v>
      </c>
      <c r="L136" s="135">
        <f>INDEX('2019 Best Practice Scores'!L$4:L$256,MATCH(B136,'2019 Best Practice Scores'!A$4:A$256,0))</f>
        <v>0.8379629629629628</v>
      </c>
      <c r="M136" s="97">
        <f t="shared" si="25"/>
        <v>92374.012628501107</v>
      </c>
      <c r="N136" s="97">
        <f t="shared" si="26"/>
        <v>58145.452153201571</v>
      </c>
      <c r="O136" s="97">
        <f t="shared" si="27"/>
        <v>23221.800396887076</v>
      </c>
      <c r="P136" s="97">
        <f t="shared" si="28"/>
        <v>4852.9580110756815</v>
      </c>
      <c r="Q136" s="97">
        <f t="shared" si="29"/>
        <v>178594.22318966541</v>
      </c>
      <c r="R136" s="104">
        <f t="shared" si="30"/>
        <v>0.44719593990460055</v>
      </c>
      <c r="S136" s="166">
        <f t="shared" si="31"/>
        <v>178601.42102554109</v>
      </c>
      <c r="T136" s="97"/>
      <c r="U136" s="97">
        <f>IFERROR(INDEX('Revised 2020 MFAM(2018 PYAs)'!AD$26:AD$300,MATCH(B136,'Revised 2020 MFAM(2018 PYAs)'!B$26:B$300,0)),0)</f>
        <v>-55.613768644019729</v>
      </c>
      <c r="V136" s="97">
        <f>IFERROR(INDEX('Revised 2019 MFAM(2017 PYAs)'!AF$26:AF$300,MATCH(B136,'Revised 2019 MFAM(2017 PYAs)'!B$26:B$300,0)),0)</f>
        <v>20.279493883310352</v>
      </c>
      <c r="W136" s="97">
        <f t="shared" si="32"/>
        <v>-0.11894945501306735</v>
      </c>
      <c r="X136" s="97">
        <f t="shared" si="33"/>
        <v>-35.453224215722443</v>
      </c>
      <c r="Y136" s="97"/>
      <c r="Z136" s="98">
        <f t="shared" si="34"/>
        <v>178565.96780132537</v>
      </c>
      <c r="AA136" s="99">
        <v>0</v>
      </c>
      <c r="AB136" s="100">
        <f t="shared" si="35"/>
        <v>0</v>
      </c>
      <c r="AC136" s="97">
        <f t="shared" si="36"/>
        <v>178565.96780132537</v>
      </c>
      <c r="AD136" s="103"/>
      <c r="AE136" s="97">
        <f t="shared" si="38"/>
        <v>44641.491950331343</v>
      </c>
      <c r="AF136" s="97">
        <f t="shared" si="38"/>
        <v>44641.491950331343</v>
      </c>
      <c r="AG136" s="97">
        <f t="shared" si="38"/>
        <v>44641.491950331343</v>
      </c>
      <c r="AH136" s="97">
        <f t="shared" si="38"/>
        <v>44641.491950331343</v>
      </c>
    </row>
    <row r="137" spans="2:34" x14ac:dyDescent="0.25">
      <c r="B137">
        <v>192</v>
      </c>
      <c r="C137" s="28">
        <v>7</v>
      </c>
      <c r="D137" s="35" t="s">
        <v>168</v>
      </c>
      <c r="E137" s="154">
        <f>INDEX('2019 Data Lockdown'!H$5:H$257,MATCH(B137,'2019 Data Lockdown'!B$5:B$257,0))</f>
        <v>176.93</v>
      </c>
      <c r="F137" s="5">
        <f>INDEX('2019 Data Lockdown'!E$5:E$257,MATCH(B137,'2019 Data Lockdown'!B$5:B$257,0))</f>
        <v>131883.44</v>
      </c>
      <c r="G137" s="5">
        <f>INDEX('2019 Data Lockdown'!F$5:F$257,MATCH(B137,'2019 Data Lockdown'!B$5:B$257,0))</f>
        <v>15209.029999999999</v>
      </c>
      <c r="H137" s="5">
        <f t="shared" si="21"/>
        <v>116674.41</v>
      </c>
      <c r="I137" s="95">
        <f t="shared" si="22"/>
        <v>659.43825241620982</v>
      </c>
      <c r="J137" s="6">
        <f t="shared" si="23"/>
        <v>659.43825241620982</v>
      </c>
      <c r="K137" s="5">
        <f t="shared" si="24"/>
        <v>116674.41</v>
      </c>
      <c r="L137" s="135">
        <f>INDEX('2019 Best Practice Scores'!L$4:L$256,MATCH(B137,'2019 Best Practice Scores'!A$4:A$256,0))</f>
        <v>0.68981481481481488</v>
      </c>
      <c r="M137" s="97">
        <f t="shared" si="25"/>
        <v>26987.078205313384</v>
      </c>
      <c r="N137" s="97">
        <f t="shared" si="26"/>
        <v>12663.458746895831</v>
      </c>
      <c r="O137" s="97">
        <f t="shared" si="27"/>
        <v>5584.825906377353</v>
      </c>
      <c r="P137" s="97">
        <f t="shared" si="28"/>
        <v>1417.7922301449623</v>
      </c>
      <c r="Q137" s="97">
        <f t="shared" si="29"/>
        <v>46653.155088731532</v>
      </c>
      <c r="R137" s="104">
        <f t="shared" si="30"/>
        <v>0.39985764735156176</v>
      </c>
      <c r="S137" s="166">
        <f t="shared" si="31"/>
        <v>46655.035338537004</v>
      </c>
      <c r="T137" s="97"/>
      <c r="U137" s="97">
        <f>IFERROR(INDEX('Revised 2020 MFAM(2018 PYAs)'!AD$26:AD$300,MATCH(B137,'Revised 2020 MFAM(2018 PYAs)'!B$26:B$300,0)),0)</f>
        <v>-16.086542944423854</v>
      </c>
      <c r="V137" s="97">
        <f>IFERROR(INDEX('Revised 2019 MFAM(2017 PYAs)'!AF$26:AF$300,MATCH(B137,'Revised 2019 MFAM(2017 PYAs)'!B$26:B$300,0)),0)</f>
        <v>4.3999373690530774</v>
      </c>
      <c r="W137" s="97">
        <f t="shared" si="32"/>
        <v>-3.1072490886512875E-2</v>
      </c>
      <c r="X137" s="97">
        <f t="shared" si="33"/>
        <v>-11.717678066257291</v>
      </c>
      <c r="Y137" s="97"/>
      <c r="Z137" s="98">
        <f t="shared" si="34"/>
        <v>46643.317660470748</v>
      </c>
      <c r="AA137" s="99">
        <v>0</v>
      </c>
      <c r="AB137" s="100">
        <f t="shared" si="35"/>
        <v>0</v>
      </c>
      <c r="AC137" s="97">
        <f t="shared" si="36"/>
        <v>46643.317660470748</v>
      </c>
      <c r="AD137" s="103"/>
      <c r="AE137" s="97">
        <f t="shared" si="38"/>
        <v>11660.829415117687</v>
      </c>
      <c r="AF137" s="97">
        <f t="shared" si="38"/>
        <v>11660.829415117687</v>
      </c>
      <c r="AG137" s="97">
        <f t="shared" si="38"/>
        <v>11660.829415117687</v>
      </c>
      <c r="AH137" s="97">
        <f t="shared" si="38"/>
        <v>11660.829415117687</v>
      </c>
    </row>
    <row r="138" spans="2:34" x14ac:dyDescent="0.25">
      <c r="B138">
        <v>205</v>
      </c>
      <c r="C138" s="28">
        <v>7</v>
      </c>
      <c r="D138" s="35" t="s">
        <v>169</v>
      </c>
      <c r="E138" s="154">
        <f>INDEX('2019 Data Lockdown'!H$5:H$257,MATCH(B138,'2019 Data Lockdown'!B$5:B$257,0))</f>
        <v>569.83868095153036</v>
      </c>
      <c r="F138" s="5">
        <f>INDEX('2019 Data Lockdown'!E$5:E$257,MATCH(B138,'2019 Data Lockdown'!B$5:B$257,0))</f>
        <v>404989.35</v>
      </c>
      <c r="G138" s="5">
        <f>INDEX('2019 Data Lockdown'!F$5:F$257,MATCH(B138,'2019 Data Lockdown'!B$5:B$257,0))</f>
        <v>12086.56</v>
      </c>
      <c r="H138" s="5">
        <f t="shared" si="21"/>
        <v>392902.79</v>
      </c>
      <c r="I138" s="95">
        <f t="shared" si="22"/>
        <v>689.49827930936772</v>
      </c>
      <c r="J138" s="6">
        <f t="shared" si="23"/>
        <v>689.49827930936772</v>
      </c>
      <c r="K138" s="5">
        <f t="shared" si="24"/>
        <v>392902.79</v>
      </c>
      <c r="L138" s="135">
        <f>INDEX('2019 Best Practice Scores'!L$4:L$256,MATCH(B138,'2019 Best Practice Scores'!A$4:A$256,0))</f>
        <v>0.56018518518518523</v>
      </c>
      <c r="M138" s="97">
        <f t="shared" si="25"/>
        <v>90879.382383984819</v>
      </c>
      <c r="N138" s="97">
        <f t="shared" si="26"/>
        <v>40785.21804451049</v>
      </c>
      <c r="O138" s="97">
        <f t="shared" si="27"/>
        <v>15272.785095086338</v>
      </c>
      <c r="P138" s="97">
        <f t="shared" si="28"/>
        <v>4774.4361669733562</v>
      </c>
      <c r="Q138" s="97">
        <f t="shared" si="29"/>
        <v>151711.82169055502</v>
      </c>
      <c r="R138" s="104">
        <f t="shared" si="30"/>
        <v>0.38613068054455668</v>
      </c>
      <c r="S138" s="166">
        <f t="shared" si="31"/>
        <v>151717.93609209292</v>
      </c>
      <c r="T138" s="97"/>
      <c r="U138" s="97">
        <f>IFERROR(INDEX('Revised 2020 MFAM(2018 PYAs)'!AD$26:AD$300,MATCH(B138,'Revised 2020 MFAM(2018 PYAs)'!B$26:B$300,0)),0)</f>
        <v>-67.248243079520762</v>
      </c>
      <c r="V138" s="97">
        <f>IFERROR(INDEX('Revised 2019 MFAM(2017 PYAs)'!AF$26:AF$300,MATCH(B138,'Revised 2019 MFAM(2017 PYAs)'!B$26:B$300,0)),0)</f>
        <v>20.295381872158032</v>
      </c>
      <c r="W138" s="97">
        <f t="shared" si="32"/>
        <v>-0.10104491728137502</v>
      </c>
      <c r="X138" s="97">
        <f t="shared" si="33"/>
        <v>-47.053906124644108</v>
      </c>
      <c r="Y138" s="97"/>
      <c r="Z138" s="98">
        <f t="shared" si="34"/>
        <v>151670.88218596828</v>
      </c>
      <c r="AA138" s="99">
        <v>0</v>
      </c>
      <c r="AB138" s="100">
        <f t="shared" si="35"/>
        <v>0</v>
      </c>
      <c r="AC138" s="97">
        <f t="shared" si="36"/>
        <v>151670.88218596828</v>
      </c>
      <c r="AD138" s="103"/>
      <c r="AE138" s="97">
        <f t="shared" si="38"/>
        <v>37917.72054649207</v>
      </c>
      <c r="AF138" s="97">
        <f t="shared" si="38"/>
        <v>37917.72054649207</v>
      </c>
      <c r="AG138" s="97">
        <f t="shared" si="38"/>
        <v>37917.72054649207</v>
      </c>
      <c r="AH138" s="97">
        <f t="shared" si="38"/>
        <v>37917.72054649207</v>
      </c>
    </row>
    <row r="139" spans="2:34" x14ac:dyDescent="0.25">
      <c r="B139">
        <v>212</v>
      </c>
      <c r="C139" s="28">
        <v>7</v>
      </c>
      <c r="D139" s="35" t="s">
        <v>170</v>
      </c>
      <c r="E139" s="154">
        <f>INDEX('2019 Data Lockdown'!H$5:H$257,MATCH(B139,'2019 Data Lockdown'!B$5:B$257,0))</f>
        <v>406.1665486930608</v>
      </c>
      <c r="F139" s="5">
        <f>INDEX('2019 Data Lockdown'!E$5:E$257,MATCH(B139,'2019 Data Lockdown'!B$5:B$257,0))</f>
        <v>252873.52</v>
      </c>
      <c r="G139" s="5">
        <f>INDEX('2019 Data Lockdown'!F$5:F$257,MATCH(B139,'2019 Data Lockdown'!B$5:B$257,0))</f>
        <v>851</v>
      </c>
      <c r="H139" s="5">
        <f t="shared" si="21"/>
        <v>252022.52</v>
      </c>
      <c r="I139" s="95">
        <f t="shared" si="22"/>
        <v>620.49058646248307</v>
      </c>
      <c r="J139" s="6">
        <f t="shared" si="23"/>
        <v>620.49058646248307</v>
      </c>
      <c r="K139" s="5">
        <f t="shared" si="24"/>
        <v>252022.52</v>
      </c>
      <c r="L139" s="135">
        <f>INDEX('2019 Best Practice Scores'!L$4:L$256,MATCH(B139,'2019 Best Practice Scores'!A$4:A$256,0))</f>
        <v>0.26851851851851849</v>
      </c>
      <c r="M139" s="97">
        <f t="shared" si="25"/>
        <v>58293.429182458742</v>
      </c>
      <c r="N139" s="97">
        <f t="shared" si="26"/>
        <v>29070.668251532425</v>
      </c>
      <c r="O139" s="97">
        <f t="shared" si="27"/>
        <v>4695.8595730313982</v>
      </c>
      <c r="P139" s="97">
        <f t="shared" si="28"/>
        <v>3062.5016289137729</v>
      </c>
      <c r="Q139" s="97">
        <f t="shared" si="29"/>
        <v>95122.458635936331</v>
      </c>
      <c r="R139" s="104">
        <f t="shared" si="30"/>
        <v>0.37743634432326262</v>
      </c>
      <c r="S139" s="166">
        <f t="shared" si="31"/>
        <v>95126.292331299614</v>
      </c>
      <c r="T139" s="97"/>
      <c r="U139" s="97">
        <f>IFERROR(INDEX('Revised 2020 MFAM(2018 PYAs)'!AD$26:AD$300,MATCH(B139,'Revised 2020 MFAM(2018 PYAs)'!B$26:B$300,0)),0)</f>
        <v>-36.341556076120469</v>
      </c>
      <c r="V139" s="97">
        <f>IFERROR(INDEX('Revised 2019 MFAM(2017 PYAs)'!AF$26:AF$300,MATCH(B139,'Revised 2019 MFAM(2017 PYAs)'!B$26:B$300,0)),0)</f>
        <v>12.404335569837713</v>
      </c>
      <c r="W139" s="97">
        <f t="shared" si="32"/>
        <v>-6.3354594634516773E-2</v>
      </c>
      <c r="X139" s="97">
        <f t="shared" si="33"/>
        <v>-24.000575100917274</v>
      </c>
      <c r="Y139" s="97"/>
      <c r="Z139" s="98">
        <f t="shared" si="34"/>
        <v>95102.291756198698</v>
      </c>
      <c r="AA139" s="99">
        <v>0</v>
      </c>
      <c r="AB139" s="100">
        <f t="shared" si="35"/>
        <v>0</v>
      </c>
      <c r="AC139" s="97">
        <f t="shared" si="36"/>
        <v>95102.291756198698</v>
      </c>
      <c r="AD139" s="103"/>
      <c r="AE139" s="97">
        <f t="shared" si="38"/>
        <v>23775.572939049674</v>
      </c>
      <c r="AF139" s="97">
        <f t="shared" si="38"/>
        <v>23775.572939049674</v>
      </c>
      <c r="AG139" s="97">
        <f t="shared" si="38"/>
        <v>23775.572939049674</v>
      </c>
      <c r="AH139" s="97">
        <f t="shared" si="38"/>
        <v>23775.572939049674</v>
      </c>
    </row>
    <row r="140" spans="2:34" x14ac:dyDescent="0.25">
      <c r="B140">
        <v>216</v>
      </c>
      <c r="C140" s="28">
        <v>7</v>
      </c>
      <c r="D140" s="35" t="s">
        <v>171</v>
      </c>
      <c r="E140" s="154">
        <f>INDEX('2019 Data Lockdown'!H$5:H$257,MATCH(B140,'2019 Data Lockdown'!B$5:B$257,0))</f>
        <v>734.36593752530666</v>
      </c>
      <c r="F140" s="5">
        <f>INDEX('2019 Data Lockdown'!E$5:E$257,MATCH(B140,'2019 Data Lockdown'!B$5:B$257,0))</f>
        <v>322813.15000000002</v>
      </c>
      <c r="G140" s="5">
        <f>INDEX('2019 Data Lockdown'!F$5:F$257,MATCH(B140,'2019 Data Lockdown'!B$5:B$257,0))</f>
        <v>665</v>
      </c>
      <c r="H140" s="5">
        <f t="shared" si="21"/>
        <v>322148.15000000002</v>
      </c>
      <c r="I140" s="95">
        <f t="shared" si="22"/>
        <v>438.6752347005455</v>
      </c>
      <c r="J140" s="6">
        <f t="shared" si="23"/>
        <v>438.6752347005455</v>
      </c>
      <c r="K140" s="5">
        <f t="shared" si="24"/>
        <v>322148.15000000002</v>
      </c>
      <c r="L140" s="135">
        <f>INDEX('2019 Best Practice Scores'!L$4:L$256,MATCH(B140,'2019 Best Practice Scores'!A$4:A$256,0))</f>
        <v>0.6064814814814814</v>
      </c>
      <c r="M140" s="97">
        <f t="shared" si="25"/>
        <v>74513.660002626348</v>
      </c>
      <c r="N140" s="97">
        <f t="shared" si="26"/>
        <v>52560.971881406222</v>
      </c>
      <c r="O140" s="97">
        <f t="shared" si="27"/>
        <v>13557.34647270007</v>
      </c>
      <c r="P140" s="97">
        <f t="shared" si="28"/>
        <v>3914.6471280683909</v>
      </c>
      <c r="Q140" s="97">
        <f t="shared" si="29"/>
        <v>144546.62548480101</v>
      </c>
      <c r="R140" s="104">
        <f t="shared" si="30"/>
        <v>0.44869612159747307</v>
      </c>
      <c r="S140" s="166">
        <f t="shared" si="31"/>
        <v>144552.45110932592</v>
      </c>
      <c r="T140" s="97"/>
      <c r="U140" s="97">
        <f>IFERROR(INDEX('Revised 2020 MFAM(2018 PYAs)'!AD$26:AD$300,MATCH(B140,'Revised 2020 MFAM(2018 PYAs)'!B$26:B$300,0)),0)</f>
        <v>-49.73258317244472</v>
      </c>
      <c r="V140" s="97">
        <f>IFERROR(INDEX('Revised 2019 MFAM(2017 PYAs)'!AF$26:AF$300,MATCH(B140,'Revised 2019 MFAM(2017 PYAs)'!B$26:B$300,0)),0)</f>
        <v>19.996941620280268</v>
      </c>
      <c r="W140" s="97">
        <f t="shared" si="32"/>
        <v>-9.627266782943722E-2</v>
      </c>
      <c r="X140" s="97">
        <f t="shared" si="33"/>
        <v>-29.831914219993891</v>
      </c>
      <c r="Y140" s="97"/>
      <c r="Z140" s="98">
        <f t="shared" si="34"/>
        <v>144522.61919510592</v>
      </c>
      <c r="AA140" s="99">
        <v>0</v>
      </c>
      <c r="AB140" s="100">
        <f t="shared" si="35"/>
        <v>0</v>
      </c>
      <c r="AC140" s="97">
        <f t="shared" si="36"/>
        <v>144522.61919510592</v>
      </c>
      <c r="AD140" s="103"/>
      <c r="AE140" s="97">
        <f t="shared" si="38"/>
        <v>36130.654798776479</v>
      </c>
      <c r="AF140" s="97">
        <f t="shared" si="38"/>
        <v>36130.654798776479</v>
      </c>
      <c r="AG140" s="97">
        <f t="shared" si="38"/>
        <v>36130.654798776479</v>
      </c>
      <c r="AH140" s="97">
        <f t="shared" si="38"/>
        <v>36130.654798776479</v>
      </c>
    </row>
    <row r="141" spans="2:34" x14ac:dyDescent="0.25">
      <c r="B141">
        <v>218</v>
      </c>
      <c r="C141" s="28">
        <v>7</v>
      </c>
      <c r="D141" s="35" t="s">
        <v>276</v>
      </c>
      <c r="E141" s="154">
        <f>INDEX('2019 Data Lockdown'!H$5:H$257,MATCH(B141,'2019 Data Lockdown'!B$5:B$257,0))</f>
        <v>234.26633373228532</v>
      </c>
      <c r="F141" s="5">
        <f>INDEX('2019 Data Lockdown'!E$5:E$257,MATCH(B141,'2019 Data Lockdown'!B$5:B$257,0))</f>
        <v>202407.39</v>
      </c>
      <c r="G141" s="5">
        <f>INDEX('2019 Data Lockdown'!F$5:F$257,MATCH(B141,'2019 Data Lockdown'!B$5:B$257,0))</f>
        <v>240</v>
      </c>
      <c r="H141" s="5">
        <f t="shared" si="21"/>
        <v>202167.39</v>
      </c>
      <c r="I141" s="95">
        <f t="shared" si="22"/>
        <v>862.98097886755124</v>
      </c>
      <c r="J141" s="6">
        <f t="shared" si="23"/>
        <v>791.19656515655265</v>
      </c>
      <c r="K141" s="5">
        <f t="shared" si="24"/>
        <v>185350.71858080279</v>
      </c>
      <c r="L141" s="135">
        <f>INDEX('2019 Best Practice Scores'!L$4:L$256,MATCH(B141,'2019 Best Practice Scores'!A$4:A$256,0))</f>
        <v>0.4236111111111111</v>
      </c>
      <c r="M141" s="97">
        <f t="shared" si="25"/>
        <v>42872.077413986131</v>
      </c>
      <c r="N141" s="97">
        <f t="shared" si="26"/>
        <v>16767.207669729985</v>
      </c>
      <c r="O141" s="97">
        <f t="shared" si="27"/>
        <v>5448.3265046940705</v>
      </c>
      <c r="P141" s="97">
        <f t="shared" si="28"/>
        <v>2252.3260126676255</v>
      </c>
      <c r="Q141" s="97">
        <f t="shared" si="29"/>
        <v>67339.937601077821</v>
      </c>
      <c r="R141" s="104">
        <f t="shared" si="30"/>
        <v>0.36331090657046083</v>
      </c>
      <c r="S141" s="166">
        <f t="shared" si="31"/>
        <v>67342.651584823063</v>
      </c>
      <c r="T141" s="97"/>
      <c r="U141" s="97">
        <f>IFERROR(INDEX('Revised 2020 MFAM(2018 PYAs)'!AD$26:AD$300,MATCH(B141,'Revised 2020 MFAM(2018 PYAs)'!B$26:B$300,0)),0)</f>
        <v>-30.358642559702275</v>
      </c>
      <c r="V141" s="97">
        <f>IFERROR(INDEX('Revised 2019 MFAM(2017 PYAs)'!AF$26:AF$300,MATCH(B141,'Revised 2019 MFAM(2017 PYAs)'!B$26:B$300,0)),0)</f>
        <v>10.479493752660346</v>
      </c>
      <c r="W141" s="97">
        <f t="shared" si="32"/>
        <v>-4.4850548551929201E-2</v>
      </c>
      <c r="X141" s="97">
        <f t="shared" si="33"/>
        <v>-19.923999355593857</v>
      </c>
      <c r="Y141" s="97"/>
      <c r="Z141" s="98">
        <f t="shared" si="34"/>
        <v>67322.727585467466</v>
      </c>
      <c r="AA141" s="99">
        <v>0</v>
      </c>
      <c r="AB141" s="100">
        <f t="shared" si="35"/>
        <v>0</v>
      </c>
      <c r="AC141" s="97">
        <f t="shared" si="36"/>
        <v>67322.727585467466</v>
      </c>
      <c r="AD141" s="103"/>
      <c r="AE141" s="97">
        <f t="shared" si="38"/>
        <v>16830.681896366867</v>
      </c>
      <c r="AF141" s="97">
        <f t="shared" si="38"/>
        <v>16830.681896366867</v>
      </c>
      <c r="AG141" s="97">
        <f t="shared" si="38"/>
        <v>16830.681896366867</v>
      </c>
      <c r="AH141" s="97">
        <f t="shared" si="38"/>
        <v>16830.681896366867</v>
      </c>
    </row>
    <row r="142" spans="2:34" x14ac:dyDescent="0.25">
      <c r="B142">
        <v>229</v>
      </c>
      <c r="C142" s="28">
        <v>7</v>
      </c>
      <c r="D142" s="35" t="s">
        <v>172</v>
      </c>
      <c r="E142" s="154">
        <f>INDEX('2019 Data Lockdown'!H$5:H$257,MATCH(B142,'2019 Data Lockdown'!B$5:B$257,0))</f>
        <v>828.46</v>
      </c>
      <c r="F142" s="5">
        <f>INDEX('2019 Data Lockdown'!E$5:E$257,MATCH(B142,'2019 Data Lockdown'!B$5:B$257,0))</f>
        <v>520124.41</v>
      </c>
      <c r="G142" s="5">
        <f>INDEX('2019 Data Lockdown'!F$5:F$257,MATCH(B142,'2019 Data Lockdown'!B$5:B$257,0))</f>
        <v>81188.479999999996</v>
      </c>
      <c r="H142" s="5">
        <f t="shared" si="21"/>
        <v>438935.93</v>
      </c>
      <c r="I142" s="95">
        <f t="shared" si="22"/>
        <v>529.82151220336527</v>
      </c>
      <c r="J142" s="6">
        <f t="shared" si="23"/>
        <v>529.82151220336527</v>
      </c>
      <c r="K142" s="5">
        <f t="shared" si="24"/>
        <v>438935.93</v>
      </c>
      <c r="L142" s="135">
        <f>INDEX('2019 Best Practice Scores'!L$4:L$256,MATCH(B142,'2019 Best Practice Scores'!A$4:A$256,0))</f>
        <v>0.79976851851851838</v>
      </c>
      <c r="M142" s="97">
        <f t="shared" si="25"/>
        <v>101526.96096797884</v>
      </c>
      <c r="N142" s="97">
        <f t="shared" si="26"/>
        <v>59295.591665931846</v>
      </c>
      <c r="O142" s="97">
        <f t="shared" si="27"/>
        <v>24359.42014891436</v>
      </c>
      <c r="P142" s="97">
        <f t="shared" si="28"/>
        <v>5333.8169962501033</v>
      </c>
      <c r="Q142" s="97">
        <f t="shared" si="29"/>
        <v>190515.78977907513</v>
      </c>
      <c r="R142" s="104">
        <f t="shared" si="30"/>
        <v>0.43404008821760193</v>
      </c>
      <c r="S142" s="166">
        <f t="shared" si="31"/>
        <v>190523.46808670493</v>
      </c>
      <c r="T142" s="97"/>
      <c r="U142" s="97">
        <f>IFERROR(INDEX('Revised 2020 MFAM(2018 PYAs)'!AD$26:AD$300,MATCH(B142,'Revised 2020 MFAM(2018 PYAs)'!B$26:B$300,0)),0)</f>
        <v>-54.768347906472627</v>
      </c>
      <c r="V142" s="97">
        <f>IFERROR(INDEX('Revised 2019 MFAM(2017 PYAs)'!AF$26:AF$300,MATCH(B142,'Revised 2019 MFAM(2017 PYAs)'!B$26:B$300,0)),0)</f>
        <v>19.828307189891348</v>
      </c>
      <c r="W142" s="97">
        <f t="shared" si="32"/>
        <v>-0.12688959900756996</v>
      </c>
      <c r="X142" s="97">
        <f t="shared" si="33"/>
        <v>-35.066930315588849</v>
      </c>
      <c r="Y142" s="97"/>
      <c r="Z142" s="98">
        <f t="shared" si="34"/>
        <v>190488.40115638933</v>
      </c>
      <c r="AA142" s="99">
        <v>0</v>
      </c>
      <c r="AB142" s="100">
        <f t="shared" si="35"/>
        <v>0</v>
      </c>
      <c r="AC142" s="97">
        <f t="shared" si="36"/>
        <v>190488.40115638933</v>
      </c>
      <c r="AD142" s="103"/>
      <c r="AE142" s="97">
        <f t="shared" si="38"/>
        <v>47622.100289097332</v>
      </c>
      <c r="AF142" s="97">
        <f t="shared" si="38"/>
        <v>47622.100289097332</v>
      </c>
      <c r="AG142" s="97">
        <f t="shared" si="38"/>
        <v>47622.100289097332</v>
      </c>
      <c r="AH142" s="97">
        <f t="shared" si="38"/>
        <v>47622.100289097332</v>
      </c>
    </row>
    <row r="143" spans="2:34" x14ac:dyDescent="0.25">
      <c r="B143">
        <v>236</v>
      </c>
      <c r="C143" s="28">
        <v>7</v>
      </c>
      <c r="D143" s="35" t="s">
        <v>173</v>
      </c>
      <c r="E143" s="154">
        <f>INDEX('2019 Data Lockdown'!H$5:H$257,MATCH(B143,'2019 Data Lockdown'!B$5:B$257,0))</f>
        <v>1063.22</v>
      </c>
      <c r="F143" s="5">
        <f>INDEX('2019 Data Lockdown'!E$5:E$257,MATCH(B143,'2019 Data Lockdown'!B$5:B$257,0))</f>
        <v>641009.56000000006</v>
      </c>
      <c r="G143" s="5">
        <f>INDEX('2019 Data Lockdown'!F$5:F$257,MATCH(B143,'2019 Data Lockdown'!B$5:B$257,0))</f>
        <v>131330.90000000002</v>
      </c>
      <c r="H143" s="5">
        <f t="shared" si="21"/>
        <v>509678.66000000003</v>
      </c>
      <c r="I143" s="95">
        <f t="shared" si="22"/>
        <v>479.37271684129342</v>
      </c>
      <c r="J143" s="6">
        <f t="shared" si="23"/>
        <v>479.37271684129342</v>
      </c>
      <c r="K143" s="5">
        <f t="shared" si="24"/>
        <v>509678.66000000003</v>
      </c>
      <c r="L143" s="135">
        <f>INDEX('2019 Best Practice Scores'!L$4:L$256,MATCH(B143,'2019 Best Practice Scores'!A$4:A$256,0))</f>
        <v>0.78703703703703698</v>
      </c>
      <c r="M143" s="97">
        <f t="shared" si="25"/>
        <v>117889.92853702308</v>
      </c>
      <c r="N143" s="97">
        <f t="shared" si="26"/>
        <v>76098.132644970246</v>
      </c>
      <c r="O143" s="97">
        <f t="shared" si="27"/>
        <v>27835.122015686004</v>
      </c>
      <c r="P143" s="97">
        <f t="shared" si="28"/>
        <v>6193.4613084282673</v>
      </c>
      <c r="Q143" s="97">
        <f t="shared" si="29"/>
        <v>228016.64450610761</v>
      </c>
      <c r="R143" s="104">
        <f t="shared" si="30"/>
        <v>0.44737334010827057</v>
      </c>
      <c r="S143" s="166">
        <f t="shared" si="31"/>
        <v>228025.83420079519</v>
      </c>
      <c r="T143" s="97"/>
      <c r="U143" s="97">
        <f>IFERROR(INDEX('Revised 2020 MFAM(2018 PYAs)'!AD$26:AD$300,MATCH(B143,'Revised 2020 MFAM(2018 PYAs)'!B$26:B$300,0)),0)</f>
        <v>-74.966979807417374</v>
      </c>
      <c r="V143" s="97">
        <f>IFERROR(INDEX('Revised 2019 MFAM(2017 PYAs)'!AF$26:AF$300,MATCH(B143,'Revised 2019 MFAM(2017 PYAs)'!B$26:B$300,0)),0)</f>
        <v>28.19779899288551</v>
      </c>
      <c r="W143" s="97">
        <f t="shared" si="32"/>
        <v>-0.15186636562766098</v>
      </c>
      <c r="X143" s="97">
        <f t="shared" si="33"/>
        <v>-46.921047180159526</v>
      </c>
      <c r="Y143" s="97"/>
      <c r="Z143" s="98">
        <f t="shared" si="34"/>
        <v>227978.91315361502</v>
      </c>
      <c r="AA143" s="99">
        <v>0</v>
      </c>
      <c r="AB143" s="100">
        <f t="shared" si="35"/>
        <v>0</v>
      </c>
      <c r="AC143" s="97">
        <f t="shared" si="36"/>
        <v>227978.91315361502</v>
      </c>
      <c r="AD143" s="103"/>
      <c r="AE143" s="97">
        <f t="shared" si="38"/>
        <v>56994.728288403756</v>
      </c>
      <c r="AF143" s="97">
        <f t="shared" si="38"/>
        <v>56994.728288403756</v>
      </c>
      <c r="AG143" s="97">
        <f t="shared" si="38"/>
        <v>56994.728288403756</v>
      </c>
      <c r="AH143" s="97">
        <f t="shared" si="38"/>
        <v>56994.728288403756</v>
      </c>
    </row>
    <row r="144" spans="2:34" x14ac:dyDescent="0.25">
      <c r="B144">
        <v>238</v>
      </c>
      <c r="C144" s="28">
        <v>7</v>
      </c>
      <c r="D144" s="35" t="s">
        <v>311</v>
      </c>
      <c r="E144" s="154">
        <f>INDEX('2019 Data Lockdown'!H$5:H$257,MATCH(B144,'2019 Data Lockdown'!B$5:B$257,0))</f>
        <v>59.944851964987492</v>
      </c>
      <c r="F144" s="5">
        <f>INDEX('2019 Data Lockdown'!E$5:E$257,MATCH(B144,'2019 Data Lockdown'!B$5:B$257,0))</f>
        <v>35866.36</v>
      </c>
      <c r="G144" s="5">
        <f>INDEX('2019 Data Lockdown'!F$5:F$257,MATCH(B144,'2019 Data Lockdown'!B$5:B$257,0))</f>
        <v>24</v>
      </c>
      <c r="H144" s="5">
        <f t="shared" si="21"/>
        <v>35842.36</v>
      </c>
      <c r="I144" s="95">
        <f t="shared" si="22"/>
        <v>597.92223727459964</v>
      </c>
      <c r="J144" s="6">
        <f t="shared" si="23"/>
        <v>597.92223727459964</v>
      </c>
      <c r="K144" s="5">
        <f t="shared" si="24"/>
        <v>35842.36</v>
      </c>
      <c r="L144" s="135">
        <f>INDEX('2019 Best Practice Scores'!L$4:L$256,MATCH(B144,'2019 Best Practice Scores'!A$4:A$256,0))</f>
        <v>0.65277777777777779</v>
      </c>
      <c r="M144" s="97">
        <f t="shared" si="25"/>
        <v>8290.426087288517</v>
      </c>
      <c r="N144" s="97">
        <f t="shared" si="26"/>
        <v>4290.4491038681781</v>
      </c>
      <c r="O144" s="97">
        <f t="shared" si="27"/>
        <v>1623.5417754273346</v>
      </c>
      <c r="P144" s="97">
        <f t="shared" si="28"/>
        <v>435.54554523188585</v>
      </c>
      <c r="Q144" s="97">
        <f t="shared" si="29"/>
        <v>14639.962511815915</v>
      </c>
      <c r="R144" s="104">
        <f t="shared" si="30"/>
        <v>0.40845420089011758</v>
      </c>
      <c r="S144" s="166">
        <f t="shared" si="31"/>
        <v>14640.552542363959</v>
      </c>
      <c r="T144" s="97"/>
      <c r="U144" s="97">
        <f>IFERROR(INDEX('Revised 2020 MFAM(2018 PYAs)'!AD$26:AD$300,MATCH(B144,'Revised 2020 MFAM(2018 PYAs)'!B$26:B$300,0)),0)</f>
        <v>-72.874991170223439</v>
      </c>
      <c r="V144" s="97">
        <f>IFERROR(INDEX('Revised 2019 MFAM(2017 PYAs)'!AF$26:AF$300,MATCH(B144,'Revised 2019 MFAM(2017 PYAs)'!B$26:B$300,0)),0)</f>
        <v>0</v>
      </c>
      <c r="W144" s="97">
        <f t="shared" si="32"/>
        <v>-9.7506824750029693E-3</v>
      </c>
      <c r="X144" s="97">
        <f t="shared" si="33"/>
        <v>-72.88474185269844</v>
      </c>
      <c r="Y144" s="97"/>
      <c r="Z144" s="98">
        <f t="shared" si="34"/>
        <v>14567.667800511261</v>
      </c>
      <c r="AA144" s="99">
        <v>0</v>
      </c>
      <c r="AB144" s="100">
        <f t="shared" si="35"/>
        <v>0</v>
      </c>
      <c r="AC144" s="97">
        <f t="shared" si="36"/>
        <v>14567.667800511261</v>
      </c>
      <c r="AD144" s="103"/>
      <c r="AE144" s="97">
        <f t="shared" si="38"/>
        <v>3641.9169501278152</v>
      </c>
      <c r="AF144" s="97">
        <f t="shared" si="38"/>
        <v>3641.9169501278152</v>
      </c>
      <c r="AG144" s="97">
        <f t="shared" si="38"/>
        <v>3641.9169501278152</v>
      </c>
      <c r="AH144" s="97">
        <f t="shared" si="38"/>
        <v>3641.9169501278152</v>
      </c>
    </row>
    <row r="145" spans="2:34" x14ac:dyDescent="0.25">
      <c r="B145">
        <v>239</v>
      </c>
      <c r="C145" s="28">
        <v>7</v>
      </c>
      <c r="D145" s="35" t="s">
        <v>174</v>
      </c>
      <c r="E145" s="154">
        <f>INDEX('2019 Data Lockdown'!H$5:H$257,MATCH(B145,'2019 Data Lockdown'!B$5:B$257,0))</f>
        <v>2925.25</v>
      </c>
      <c r="F145" s="5">
        <f>INDEX('2019 Data Lockdown'!E$5:E$257,MATCH(B145,'2019 Data Lockdown'!B$5:B$257,0))</f>
        <v>1822993.26</v>
      </c>
      <c r="G145" s="5">
        <f>INDEX('2019 Data Lockdown'!F$5:F$257,MATCH(B145,'2019 Data Lockdown'!B$5:B$257,0))</f>
        <v>204609.35</v>
      </c>
      <c r="H145" s="5">
        <f t="shared" si="21"/>
        <v>1618383.91</v>
      </c>
      <c r="I145" s="95">
        <f t="shared" si="22"/>
        <v>553.24635843090334</v>
      </c>
      <c r="J145" s="6">
        <f t="shared" si="23"/>
        <v>553.24635843090334</v>
      </c>
      <c r="K145" s="5">
        <f t="shared" si="24"/>
        <v>1618383.91</v>
      </c>
      <c r="L145" s="135">
        <f>INDEX('2019 Best Practice Scores'!L$4:L$256,MATCH(B145,'2019 Best Practice Scores'!A$4:A$256,0))</f>
        <v>0.86111111111111116</v>
      </c>
      <c r="M145" s="97">
        <f t="shared" si="25"/>
        <v>374336.18173334544</v>
      </c>
      <c r="N145" s="97">
        <f t="shared" si="26"/>
        <v>209369.70948599465</v>
      </c>
      <c r="O145" s="97">
        <f t="shared" si="27"/>
        <v>96703.513614447569</v>
      </c>
      <c r="P145" s="97">
        <f t="shared" si="28"/>
        <v>19666.113014752969</v>
      </c>
      <c r="Q145" s="97">
        <f t="shared" si="29"/>
        <v>700075.51784854056</v>
      </c>
      <c r="R145" s="104">
        <f t="shared" si="30"/>
        <v>0.43257691424313566</v>
      </c>
      <c r="S145" s="166">
        <f t="shared" si="31"/>
        <v>700103.73280750203</v>
      </c>
      <c r="T145" s="97"/>
      <c r="U145" s="97">
        <f>IFERROR(INDEX('Revised 2020 MFAM(2018 PYAs)'!AD$26:AD$300,MATCH(B145,'Revised 2020 MFAM(2018 PYAs)'!B$26:B$300,0)),0)</f>
        <v>-225.00680932379328</v>
      </c>
      <c r="V145" s="97">
        <f>IFERROR(INDEX('Revised 2019 MFAM(2017 PYAs)'!AF$26:AF$300,MATCH(B145,'Revised 2019 MFAM(2017 PYAs)'!B$26:B$300,0)),0)</f>
        <v>81.06205931561999</v>
      </c>
      <c r="W145" s="97">
        <f t="shared" si="32"/>
        <v>-0.46627264773082278</v>
      </c>
      <c r="X145" s="97">
        <f t="shared" si="33"/>
        <v>-144.41102265590411</v>
      </c>
      <c r="Y145" s="97"/>
      <c r="Z145" s="98">
        <f t="shared" si="34"/>
        <v>699959.32178484614</v>
      </c>
      <c r="AA145" s="99">
        <v>0</v>
      </c>
      <c r="AB145" s="100">
        <f t="shared" si="35"/>
        <v>0</v>
      </c>
      <c r="AC145" s="97">
        <f t="shared" si="36"/>
        <v>699959.32178484614</v>
      </c>
      <c r="AD145" s="103"/>
      <c r="AE145" s="97">
        <f t="shared" si="38"/>
        <v>174989.83044621153</v>
      </c>
      <c r="AF145" s="97">
        <f t="shared" si="38"/>
        <v>174989.83044621153</v>
      </c>
      <c r="AG145" s="97">
        <f t="shared" si="38"/>
        <v>174989.83044621153</v>
      </c>
      <c r="AH145" s="97">
        <f t="shared" si="38"/>
        <v>174989.83044621153</v>
      </c>
    </row>
    <row r="146" spans="2:34" x14ac:dyDescent="0.25">
      <c r="B146">
        <v>249</v>
      </c>
      <c r="C146" s="28">
        <v>7</v>
      </c>
      <c r="D146" s="35" t="s">
        <v>175</v>
      </c>
      <c r="E146" s="154">
        <f>INDEX('2019 Data Lockdown'!H$5:H$257,MATCH(B146,'2019 Data Lockdown'!B$5:B$257,0))</f>
        <v>1034.1301694779929</v>
      </c>
      <c r="F146" s="5">
        <f>INDEX('2019 Data Lockdown'!E$5:E$257,MATCH(B146,'2019 Data Lockdown'!B$5:B$257,0))</f>
        <v>679586.79</v>
      </c>
      <c r="G146" s="5">
        <f>INDEX('2019 Data Lockdown'!F$5:F$257,MATCH(B146,'2019 Data Lockdown'!B$5:B$257,0))</f>
        <v>0</v>
      </c>
      <c r="H146" s="5">
        <f t="shared" si="21"/>
        <v>679586.79</v>
      </c>
      <c r="I146" s="95">
        <f t="shared" si="22"/>
        <v>657.15788017580132</v>
      </c>
      <c r="J146" s="6">
        <f t="shared" si="23"/>
        <v>657.15788017580132</v>
      </c>
      <c r="K146" s="5">
        <f t="shared" si="24"/>
        <v>679586.79</v>
      </c>
      <c r="L146" s="135">
        <f>INDEX('2019 Best Practice Scores'!L$4:L$256,MATCH(B146,'2019 Best Practice Scores'!A$4:A$256,0))</f>
        <v>0.67592592592592604</v>
      </c>
      <c r="M146" s="97">
        <f t="shared" si="25"/>
        <v>157190.09720321608</v>
      </c>
      <c r="N146" s="97">
        <f t="shared" si="26"/>
        <v>74016.078336658335</v>
      </c>
      <c r="O146" s="97">
        <f t="shared" si="27"/>
        <v>31874.658599541042</v>
      </c>
      <c r="P146" s="97">
        <f t="shared" si="28"/>
        <v>8258.1336436255078</v>
      </c>
      <c r="Q146" s="97">
        <f t="shared" si="29"/>
        <v>271338.96778304095</v>
      </c>
      <c r="R146" s="104">
        <f t="shared" si="30"/>
        <v>0.39927051522446594</v>
      </c>
      <c r="S146" s="166">
        <f t="shared" si="31"/>
        <v>271349.90348589793</v>
      </c>
      <c r="T146" s="97"/>
      <c r="U146" s="97">
        <f>IFERROR(INDEX('Revised 2020 MFAM(2018 PYAs)'!AD$26:AD$300,MATCH(B146,'Revised 2020 MFAM(2018 PYAs)'!B$26:B$300,0)),0)</f>
        <v>-100.86747103484231</v>
      </c>
      <c r="V146" s="97">
        <f>IFERROR(INDEX('Revised 2019 MFAM(2017 PYAs)'!AF$26:AF$300,MATCH(B146,'Revised 2019 MFAM(2017 PYAs)'!B$26:B$300,0)),0)</f>
        <v>32.66909855659469</v>
      </c>
      <c r="W146" s="97">
        <f t="shared" si="32"/>
        <v>-0.18072041617675699</v>
      </c>
      <c r="X146" s="97">
        <f t="shared" si="33"/>
        <v>-68.379092894424375</v>
      </c>
      <c r="Y146" s="97"/>
      <c r="Z146" s="98">
        <f t="shared" si="34"/>
        <v>271281.52439300349</v>
      </c>
      <c r="AA146" s="99">
        <v>0</v>
      </c>
      <c r="AB146" s="100">
        <f t="shared" si="35"/>
        <v>0</v>
      </c>
      <c r="AC146" s="97">
        <f t="shared" si="36"/>
        <v>271281.52439300349</v>
      </c>
      <c r="AD146" s="103"/>
      <c r="AE146" s="97">
        <f t="shared" ref="AE146:AH165" si="39">$AC146/4</f>
        <v>67820.381098250873</v>
      </c>
      <c r="AF146" s="97">
        <f t="shared" si="39"/>
        <v>67820.381098250873</v>
      </c>
      <c r="AG146" s="97">
        <f t="shared" si="39"/>
        <v>67820.381098250873</v>
      </c>
      <c r="AH146" s="97">
        <f t="shared" si="39"/>
        <v>67820.381098250873</v>
      </c>
    </row>
    <row r="147" spans="2:34" x14ac:dyDescent="0.25">
      <c r="B147">
        <v>271</v>
      </c>
      <c r="C147" s="28">
        <v>7</v>
      </c>
      <c r="D147" s="35" t="s">
        <v>176</v>
      </c>
      <c r="E147" s="154">
        <f>INDEX('2019 Data Lockdown'!H$5:H$257,MATCH(B147,'2019 Data Lockdown'!B$5:B$257,0))</f>
        <v>759.30399999999997</v>
      </c>
      <c r="F147" s="5">
        <f>INDEX('2019 Data Lockdown'!E$5:E$257,MATCH(B147,'2019 Data Lockdown'!B$5:B$257,0))</f>
        <v>826410.04</v>
      </c>
      <c r="G147" s="5">
        <f>INDEX('2019 Data Lockdown'!F$5:F$257,MATCH(B147,'2019 Data Lockdown'!B$5:B$257,0))</f>
        <v>100875.81000000001</v>
      </c>
      <c r="H147" s="5">
        <f t="shared" si="21"/>
        <v>725534.23</v>
      </c>
      <c r="I147" s="95">
        <f t="shared" si="22"/>
        <v>955.5253627005784</v>
      </c>
      <c r="J147" s="6">
        <f t="shared" si="23"/>
        <v>791.19656515655265</v>
      </c>
      <c r="K147" s="5">
        <f t="shared" si="24"/>
        <v>600758.71670963103</v>
      </c>
      <c r="L147" s="135">
        <f>INDEX('2019 Best Practice Scores'!L$4:L$256,MATCH(B147,'2019 Best Practice Scores'!A$4:A$256,0))</f>
        <v>0.65509259259259256</v>
      </c>
      <c r="M147" s="97">
        <f t="shared" si="25"/>
        <v>138956.969830544</v>
      </c>
      <c r="N147" s="97">
        <f t="shared" si="26"/>
        <v>54345.870572277119</v>
      </c>
      <c r="O147" s="97">
        <f t="shared" si="27"/>
        <v>27308.904487530519</v>
      </c>
      <c r="P147" s="97">
        <f t="shared" si="28"/>
        <v>7300.2386790965857</v>
      </c>
      <c r="Q147" s="97">
        <f t="shared" si="29"/>
        <v>227911.98356944823</v>
      </c>
      <c r="R147" s="104">
        <f t="shared" si="30"/>
        <v>0.3793735774950171</v>
      </c>
      <c r="S147" s="166">
        <f t="shared" si="31"/>
        <v>227921.16904601367</v>
      </c>
      <c r="T147" s="97"/>
      <c r="U147" s="97">
        <f>IFERROR(INDEX('Revised 2020 MFAM(2018 PYAs)'!AD$26:AD$300,MATCH(B147,'Revised 2020 MFAM(2018 PYAs)'!B$26:B$300,0)),0)</f>
        <v>-1182.3582669809111</v>
      </c>
      <c r="V147" s="97">
        <f>IFERROR(INDEX('Revised 2019 MFAM(2017 PYAs)'!AF$26:AF$300,MATCH(B147,'Revised 2019 MFAM(2017 PYAs)'!B$26:B$300,0)),0)</f>
        <v>-1250.9156812981528</v>
      </c>
      <c r="W147" s="97">
        <f t="shared" si="32"/>
        <v>-0.15179665810210696</v>
      </c>
      <c r="X147" s="97">
        <f t="shared" si="33"/>
        <v>-2433.4257449371662</v>
      </c>
      <c r="Y147" s="97"/>
      <c r="Z147" s="98">
        <f t="shared" si="34"/>
        <v>225487.74330107649</v>
      </c>
      <c r="AA147" s="99">
        <v>0</v>
      </c>
      <c r="AB147" s="100">
        <f t="shared" si="35"/>
        <v>0</v>
      </c>
      <c r="AC147" s="97">
        <f t="shared" si="36"/>
        <v>225487.74330107649</v>
      </c>
      <c r="AD147" s="103"/>
      <c r="AE147" s="97">
        <f t="shared" si="39"/>
        <v>56371.935825269124</v>
      </c>
      <c r="AF147" s="97">
        <f t="shared" si="39"/>
        <v>56371.935825269124</v>
      </c>
      <c r="AG147" s="97">
        <f t="shared" si="39"/>
        <v>56371.935825269124</v>
      </c>
      <c r="AH147" s="97">
        <f t="shared" si="39"/>
        <v>56371.935825269124</v>
      </c>
    </row>
    <row r="148" spans="2:34" x14ac:dyDescent="0.25">
      <c r="B148">
        <v>275</v>
      </c>
      <c r="C148" s="28">
        <v>7</v>
      </c>
      <c r="D148" s="35" t="s">
        <v>177</v>
      </c>
      <c r="E148" s="154">
        <f>INDEX('2019 Data Lockdown'!H$5:H$257,MATCH(B148,'2019 Data Lockdown'!B$5:B$257,0))</f>
        <v>690.47</v>
      </c>
      <c r="F148" s="5">
        <f>INDEX('2019 Data Lockdown'!E$5:E$257,MATCH(B148,'2019 Data Lockdown'!B$5:B$257,0))</f>
        <v>404511.52</v>
      </c>
      <c r="G148" s="5">
        <f>INDEX('2019 Data Lockdown'!F$5:F$257,MATCH(B148,'2019 Data Lockdown'!B$5:B$257,0))</f>
        <v>70724.679999999993</v>
      </c>
      <c r="H148" s="5">
        <f t="shared" si="21"/>
        <v>333786.84000000003</v>
      </c>
      <c r="I148" s="95">
        <f t="shared" si="22"/>
        <v>483.41975755644705</v>
      </c>
      <c r="J148" s="6">
        <f t="shared" si="23"/>
        <v>483.41975755644705</v>
      </c>
      <c r="K148" s="5">
        <f t="shared" si="24"/>
        <v>333786.84000000003</v>
      </c>
      <c r="L148" s="135">
        <f>INDEX('2019 Best Practice Scores'!L$4:L$256,MATCH(B148,'2019 Best Practice Scores'!A$4:A$256,0))</f>
        <v>0.54629629629629628</v>
      </c>
      <c r="M148" s="97">
        <f t="shared" si="25"/>
        <v>77205.717646092453</v>
      </c>
      <c r="N148" s="97">
        <f t="shared" si="26"/>
        <v>49419.196071718558</v>
      </c>
      <c r="O148" s="97">
        <f t="shared" si="27"/>
        <v>12653.159280887372</v>
      </c>
      <c r="P148" s="97">
        <f t="shared" si="28"/>
        <v>4056.0769776049415</v>
      </c>
      <c r="Q148" s="97">
        <f t="shared" si="29"/>
        <v>143334.14997630334</v>
      </c>
      <c r="R148" s="104">
        <f t="shared" si="30"/>
        <v>0.42941821785515366</v>
      </c>
      <c r="S148" s="166">
        <f t="shared" si="31"/>
        <v>143339.9267347476</v>
      </c>
      <c r="T148" s="97"/>
      <c r="U148" s="97">
        <f>IFERROR(INDEX('Revised 2020 MFAM(2018 PYAs)'!AD$26:AD$300,MATCH(B148,'Revised 2020 MFAM(2018 PYAs)'!B$26:B$300,0)),0)</f>
        <v>-38.883219655530411</v>
      </c>
      <c r="V148" s="97">
        <f>IFERROR(INDEX('Revised 2019 MFAM(2017 PYAs)'!AF$26:AF$300,MATCH(B148,'Revised 2019 MFAM(2017 PYAs)'!B$26:B$300,0)),0)</f>
        <v>16.146611026182654</v>
      </c>
      <c r="W148" s="97">
        <f t="shared" si="32"/>
        <v>-9.5465120427417796E-2</v>
      </c>
      <c r="X148" s="97">
        <f t="shared" si="33"/>
        <v>-22.832073749775173</v>
      </c>
      <c r="Y148" s="97"/>
      <c r="Z148" s="98">
        <f t="shared" si="34"/>
        <v>143317.09466099783</v>
      </c>
      <c r="AA148" s="99">
        <v>0</v>
      </c>
      <c r="AB148" s="100">
        <f t="shared" si="35"/>
        <v>0</v>
      </c>
      <c r="AC148" s="97">
        <f t="shared" si="36"/>
        <v>143317.09466099783</v>
      </c>
      <c r="AD148" s="103"/>
      <c r="AE148" s="97">
        <f t="shared" si="39"/>
        <v>35829.273665249457</v>
      </c>
      <c r="AF148" s="97">
        <f t="shared" si="39"/>
        <v>35829.273665249457</v>
      </c>
      <c r="AG148" s="97">
        <f t="shared" si="39"/>
        <v>35829.273665249457</v>
      </c>
      <c r="AH148" s="97">
        <f t="shared" si="39"/>
        <v>35829.273665249457</v>
      </c>
    </row>
    <row r="149" spans="2:34" x14ac:dyDescent="0.25">
      <c r="B149">
        <v>282</v>
      </c>
      <c r="C149" s="28">
        <v>7</v>
      </c>
      <c r="D149" s="35" t="s">
        <v>178</v>
      </c>
      <c r="E149" s="154">
        <f>INDEX('2019 Data Lockdown'!H$5:H$257,MATCH(B149,'2019 Data Lockdown'!B$5:B$257,0))</f>
        <v>110.63436611728881</v>
      </c>
      <c r="F149" s="5">
        <f>INDEX('2019 Data Lockdown'!E$5:E$257,MATCH(B149,'2019 Data Lockdown'!B$5:B$257,0))</f>
        <v>58517.06</v>
      </c>
      <c r="G149" s="5">
        <f>INDEX('2019 Data Lockdown'!F$5:F$257,MATCH(B149,'2019 Data Lockdown'!B$5:B$257,0))</f>
        <v>0</v>
      </c>
      <c r="H149" s="5">
        <f t="shared" si="21"/>
        <v>58517.06</v>
      </c>
      <c r="I149" s="95">
        <f t="shared" si="22"/>
        <v>528.92299249912321</v>
      </c>
      <c r="J149" s="6">
        <f t="shared" si="23"/>
        <v>528.92299249912321</v>
      </c>
      <c r="K149" s="5">
        <f t="shared" si="24"/>
        <v>58517.06</v>
      </c>
      <c r="L149" s="135">
        <f>INDEX('2019 Best Practice Scores'!L$4:L$256,MATCH(B149,'2019 Best Practice Scores'!A$4:A$256,0))</f>
        <v>0.2361111111111111</v>
      </c>
      <c r="M149" s="97">
        <f t="shared" si="25"/>
        <v>13535.140006836251</v>
      </c>
      <c r="N149" s="97">
        <f t="shared" si="26"/>
        <v>7918.4634110397146</v>
      </c>
      <c r="O149" s="97">
        <f t="shared" si="27"/>
        <v>958.73908381756758</v>
      </c>
      <c r="P149" s="97">
        <f t="shared" si="28"/>
        <v>711.08165877098986</v>
      </c>
      <c r="Q149" s="97">
        <f t="shared" si="29"/>
        <v>23123.424160464521</v>
      </c>
      <c r="R149" s="104">
        <f t="shared" si="30"/>
        <v>0.39515697064180128</v>
      </c>
      <c r="S149" s="166">
        <f t="shared" si="31"/>
        <v>23124.356097730004</v>
      </c>
      <c r="T149" s="97"/>
      <c r="U149" s="97">
        <f>IFERROR(INDEX('Revised 2020 MFAM(2018 PYAs)'!AD$26:AD$300,MATCH(B149,'Revised 2020 MFAM(2018 PYAs)'!B$26:B$300,0)),0)</f>
        <v>-7.5680910318988026</v>
      </c>
      <c r="V149" s="97">
        <f>IFERROR(INDEX('Revised 2019 MFAM(2017 PYAs)'!AF$26:AF$300,MATCH(B149,'Revised 2019 MFAM(2017 PYAs)'!B$26:B$300,0)),0)</f>
        <v>3.4542269731064152</v>
      </c>
      <c r="W149" s="97">
        <f t="shared" si="32"/>
        <v>-1.5400938803055368E-2</v>
      </c>
      <c r="X149" s="97">
        <f t="shared" si="33"/>
        <v>-4.1292649975954427</v>
      </c>
      <c r="Y149" s="97"/>
      <c r="Z149" s="98">
        <f t="shared" si="34"/>
        <v>23120.226832732409</v>
      </c>
      <c r="AA149" s="99">
        <v>0</v>
      </c>
      <c r="AB149" s="100">
        <f t="shared" si="35"/>
        <v>0</v>
      </c>
      <c r="AC149" s="97">
        <f t="shared" si="36"/>
        <v>23120.226832732409</v>
      </c>
      <c r="AD149" s="103"/>
      <c r="AE149" s="97">
        <f t="shared" si="39"/>
        <v>5780.0567081831023</v>
      </c>
      <c r="AF149" s="97">
        <f t="shared" si="39"/>
        <v>5780.0567081831023</v>
      </c>
      <c r="AG149" s="97">
        <f t="shared" si="39"/>
        <v>5780.0567081831023</v>
      </c>
      <c r="AH149" s="97">
        <f t="shared" si="39"/>
        <v>5780.0567081831023</v>
      </c>
    </row>
    <row r="150" spans="2:34" x14ac:dyDescent="0.25">
      <c r="B150">
        <v>287</v>
      </c>
      <c r="C150" s="28">
        <v>7</v>
      </c>
      <c r="D150" s="35" t="s">
        <v>179</v>
      </c>
      <c r="E150" s="154">
        <f>INDEX('2019 Data Lockdown'!H$5:H$257,MATCH(B150,'2019 Data Lockdown'!B$5:B$257,0))</f>
        <v>159.07256423396998</v>
      </c>
      <c r="F150" s="5">
        <f>INDEX('2019 Data Lockdown'!E$5:E$257,MATCH(B150,'2019 Data Lockdown'!B$5:B$257,0))</f>
        <v>122709.58</v>
      </c>
      <c r="G150" s="5">
        <f>INDEX('2019 Data Lockdown'!F$5:F$257,MATCH(B150,'2019 Data Lockdown'!B$5:B$257,0))</f>
        <v>1002.5</v>
      </c>
      <c r="H150" s="5">
        <f t="shared" si="21"/>
        <v>121707.08</v>
      </c>
      <c r="I150" s="95">
        <f t="shared" si="22"/>
        <v>765.1041559937928</v>
      </c>
      <c r="J150" s="6">
        <f t="shared" si="23"/>
        <v>765.1041559937928</v>
      </c>
      <c r="K150" s="5">
        <f t="shared" si="24"/>
        <v>121707.08</v>
      </c>
      <c r="L150" s="135">
        <f>INDEX('2019 Best Practice Scores'!L$4:L$256,MATCH(B150,'2019 Best Practice Scores'!A$4:A$256,0))</f>
        <v>0.26388888888888884</v>
      </c>
      <c r="M150" s="97">
        <f t="shared" si="25"/>
        <v>28151.147163292553</v>
      </c>
      <c r="N150" s="97">
        <f t="shared" si="26"/>
        <v>11385.343666646788</v>
      </c>
      <c r="O150" s="97">
        <f t="shared" si="27"/>
        <v>2228.6324837606599</v>
      </c>
      <c r="P150" s="97">
        <f t="shared" si="28"/>
        <v>1478.9477176497514</v>
      </c>
      <c r="Q150" s="97">
        <f t="shared" si="29"/>
        <v>43244.071031349755</v>
      </c>
      <c r="R150" s="104">
        <f t="shared" si="30"/>
        <v>0.35531269858211828</v>
      </c>
      <c r="S150" s="166">
        <f t="shared" si="31"/>
        <v>43245.813885739561</v>
      </c>
      <c r="T150" s="97"/>
      <c r="U150" s="97">
        <f>IFERROR(INDEX('Revised 2020 MFAM(2018 PYAs)'!AD$26:AD$300,MATCH(B150,'Revised 2020 MFAM(2018 PYAs)'!B$26:B$300,0)),0)</f>
        <v>-15.497380439570406</v>
      </c>
      <c r="V150" s="97">
        <f>IFERROR(INDEX('Revised 2019 MFAM(2017 PYAs)'!AF$26:AF$300,MATCH(B150,'Revised 2019 MFAM(2017 PYAs)'!B$26:B$300,0)),0)</f>
        <v>-5.3191151949285995</v>
      </c>
      <c r="W150" s="97">
        <f t="shared" si="32"/>
        <v>-2.8801932055006595E-2</v>
      </c>
      <c r="X150" s="97">
        <f t="shared" si="33"/>
        <v>-20.845297566554013</v>
      </c>
      <c r="Y150" s="97"/>
      <c r="Z150" s="98">
        <f t="shared" si="34"/>
        <v>43224.968588173004</v>
      </c>
      <c r="AA150" s="99">
        <v>0</v>
      </c>
      <c r="AB150" s="100">
        <f t="shared" si="35"/>
        <v>0</v>
      </c>
      <c r="AC150" s="97">
        <f t="shared" si="36"/>
        <v>43224.968588173004</v>
      </c>
      <c r="AD150" s="103"/>
      <c r="AE150" s="97">
        <f t="shared" si="39"/>
        <v>10806.242147043251</v>
      </c>
      <c r="AF150" s="97">
        <f t="shared" si="39"/>
        <v>10806.242147043251</v>
      </c>
      <c r="AG150" s="97">
        <f t="shared" si="39"/>
        <v>10806.242147043251</v>
      </c>
      <c r="AH150" s="97">
        <f t="shared" si="39"/>
        <v>10806.242147043251</v>
      </c>
    </row>
    <row r="151" spans="2:34" x14ac:dyDescent="0.25">
      <c r="B151">
        <v>290</v>
      </c>
      <c r="C151" s="28">
        <v>7</v>
      </c>
      <c r="D151" s="35" t="s">
        <v>180</v>
      </c>
      <c r="E151" s="154">
        <f>INDEX('2019 Data Lockdown'!H$5:H$257,MATCH(B151,'2019 Data Lockdown'!B$5:B$257,0))</f>
        <v>274.8776164213059</v>
      </c>
      <c r="F151" s="5">
        <f>INDEX('2019 Data Lockdown'!E$5:E$257,MATCH(B151,'2019 Data Lockdown'!B$5:B$257,0))</f>
        <v>123807.44</v>
      </c>
      <c r="G151" s="5">
        <f>INDEX('2019 Data Lockdown'!F$5:F$257,MATCH(B151,'2019 Data Lockdown'!B$5:B$257,0))</f>
        <v>4228.57</v>
      </c>
      <c r="H151" s="5">
        <f t="shared" si="21"/>
        <v>119578.87</v>
      </c>
      <c r="I151" s="95">
        <f t="shared" si="22"/>
        <v>435.02585462150194</v>
      </c>
      <c r="J151" s="6">
        <f t="shared" si="23"/>
        <v>435.02585462150194</v>
      </c>
      <c r="K151" s="5">
        <f t="shared" si="24"/>
        <v>119578.87</v>
      </c>
      <c r="L151" s="135">
        <f>INDEX('2019 Best Practice Scores'!L$4:L$256,MATCH(B151,'2019 Best Practice Scores'!A$4:A$256,0))</f>
        <v>0.58333333333333326</v>
      </c>
      <c r="M151" s="97">
        <f t="shared" si="25"/>
        <v>27658.886952100311</v>
      </c>
      <c r="N151" s="97">
        <f t="shared" si="26"/>
        <v>19673.889990370564</v>
      </c>
      <c r="O151" s="97">
        <f t="shared" si="27"/>
        <v>4840.305216617553</v>
      </c>
      <c r="P151" s="97">
        <f t="shared" si="28"/>
        <v>1453.0863518016893</v>
      </c>
      <c r="Q151" s="97">
        <f t="shared" si="29"/>
        <v>53626.168510890122</v>
      </c>
      <c r="R151" s="104">
        <f t="shared" si="30"/>
        <v>0.44845856555501923</v>
      </c>
      <c r="S151" s="166">
        <f t="shared" si="31"/>
        <v>53628.329792216522</v>
      </c>
      <c r="T151" s="97"/>
      <c r="U151" s="97">
        <f>IFERROR(INDEX('Revised 2020 MFAM(2018 PYAs)'!AD$26:AD$300,MATCH(B151,'Revised 2020 MFAM(2018 PYAs)'!B$26:B$300,0)),0)</f>
        <v>283.04359002008277</v>
      </c>
      <c r="V151" s="97">
        <f>IFERROR(INDEX('Revised 2019 MFAM(2017 PYAs)'!AF$26:AF$300,MATCH(B151,'Revised 2019 MFAM(2017 PYAs)'!B$26:B$300,0)),0)</f>
        <v>9.8781050951947691</v>
      </c>
      <c r="W151" s="97">
        <f t="shared" si="32"/>
        <v>-3.5716740468335659E-2</v>
      </c>
      <c r="X151" s="97">
        <f t="shared" si="33"/>
        <v>292.88597837480921</v>
      </c>
      <c r="Y151" s="97"/>
      <c r="Z151" s="98">
        <f t="shared" si="34"/>
        <v>53921.215770591334</v>
      </c>
      <c r="AA151" s="99">
        <v>0</v>
      </c>
      <c r="AB151" s="100">
        <f t="shared" si="35"/>
        <v>0</v>
      </c>
      <c r="AC151" s="97">
        <f t="shared" si="36"/>
        <v>53921.215770591334</v>
      </c>
      <c r="AD151" s="103"/>
      <c r="AE151" s="97">
        <f t="shared" si="39"/>
        <v>13480.303942647834</v>
      </c>
      <c r="AF151" s="97">
        <f t="shared" si="39"/>
        <v>13480.303942647834</v>
      </c>
      <c r="AG151" s="97">
        <f t="shared" si="39"/>
        <v>13480.303942647834</v>
      </c>
      <c r="AH151" s="97">
        <f t="shared" si="39"/>
        <v>13480.303942647834</v>
      </c>
    </row>
    <row r="152" spans="2:34" x14ac:dyDescent="0.25">
      <c r="B152">
        <v>294</v>
      </c>
      <c r="C152" s="28">
        <v>7</v>
      </c>
      <c r="D152" s="35" t="s">
        <v>181</v>
      </c>
      <c r="E152" s="154">
        <f>INDEX('2019 Data Lockdown'!H$5:H$257,MATCH(B152,'2019 Data Lockdown'!B$5:B$257,0))</f>
        <v>1039.1314711563653</v>
      </c>
      <c r="F152" s="5">
        <f>INDEX('2019 Data Lockdown'!E$5:E$257,MATCH(B152,'2019 Data Lockdown'!B$5:B$257,0))</f>
        <v>583456.06000000006</v>
      </c>
      <c r="G152" s="5">
        <f>INDEX('2019 Data Lockdown'!F$5:F$257,MATCH(B152,'2019 Data Lockdown'!B$5:B$257,0))</f>
        <v>1414</v>
      </c>
      <c r="H152" s="5">
        <f t="shared" si="21"/>
        <v>582042.06000000006</v>
      </c>
      <c r="I152" s="95">
        <f t="shared" si="22"/>
        <v>560.12359952133158</v>
      </c>
      <c r="J152" s="6">
        <f t="shared" si="23"/>
        <v>560.12359952133158</v>
      </c>
      <c r="K152" s="5">
        <f t="shared" si="24"/>
        <v>582042.06000000006</v>
      </c>
      <c r="L152" s="135">
        <f>INDEX('2019 Best Practice Scores'!L$4:L$256,MATCH(B152,'2019 Best Practice Scores'!A$4:A$256,0))</f>
        <v>0.875</v>
      </c>
      <c r="M152" s="97">
        <f t="shared" si="25"/>
        <v>134627.76106604445</v>
      </c>
      <c r="N152" s="97">
        <f t="shared" si="26"/>
        <v>74374.03785446113</v>
      </c>
      <c r="O152" s="97">
        <f t="shared" si="27"/>
        <v>35339.787279836666</v>
      </c>
      <c r="P152" s="97">
        <f t="shared" si="28"/>
        <v>7072.7995134971598</v>
      </c>
      <c r="Q152" s="97">
        <f t="shared" si="29"/>
        <v>251414.38571383938</v>
      </c>
      <c r="R152" s="104">
        <f t="shared" si="30"/>
        <v>0.43195226426392513</v>
      </c>
      <c r="S152" s="166">
        <f t="shared" si="31"/>
        <v>251424.51840152004</v>
      </c>
      <c r="T152" s="97"/>
      <c r="U152" s="97">
        <f>IFERROR(INDEX('Revised 2020 MFAM(2018 PYAs)'!AD$26:AD$300,MATCH(B152,'Revised 2020 MFAM(2018 PYAs)'!B$26:B$300,0)),0)</f>
        <v>-106.60843311529607</v>
      </c>
      <c r="V152" s="97">
        <f>IFERROR(INDEX('Revised 2019 MFAM(2017 PYAs)'!AF$26:AF$300,MATCH(B152,'Revised 2019 MFAM(2017 PYAs)'!B$26:B$300,0)),0)</f>
        <v>35.849847244506236</v>
      </c>
      <c r="W152" s="97">
        <f t="shared" si="32"/>
        <v>-0.16745000834291726</v>
      </c>
      <c r="X152" s="97">
        <f t="shared" si="33"/>
        <v>-70.926035879132741</v>
      </c>
      <c r="Y152" s="97"/>
      <c r="Z152" s="98">
        <f t="shared" si="34"/>
        <v>251353.59236564091</v>
      </c>
      <c r="AA152" s="99">
        <v>0</v>
      </c>
      <c r="AB152" s="100">
        <f t="shared" si="35"/>
        <v>0</v>
      </c>
      <c r="AC152" s="97">
        <f t="shared" si="36"/>
        <v>251353.59236564091</v>
      </c>
      <c r="AD152" s="103"/>
      <c r="AE152" s="97">
        <f t="shared" si="39"/>
        <v>62838.398091410229</v>
      </c>
      <c r="AF152" s="97">
        <f t="shared" si="39"/>
        <v>62838.398091410229</v>
      </c>
      <c r="AG152" s="97">
        <f t="shared" si="39"/>
        <v>62838.398091410229</v>
      </c>
      <c r="AH152" s="97">
        <f t="shared" si="39"/>
        <v>62838.398091410229</v>
      </c>
    </row>
    <row r="153" spans="2:34" x14ac:dyDescent="0.25">
      <c r="B153">
        <v>296</v>
      </c>
      <c r="C153" s="28">
        <v>7</v>
      </c>
      <c r="D153" s="35" t="s">
        <v>182</v>
      </c>
      <c r="E153" s="154">
        <f>INDEX('2019 Data Lockdown'!H$5:H$257,MATCH(B153,'2019 Data Lockdown'!B$5:B$257,0))</f>
        <v>799.83</v>
      </c>
      <c r="F153" s="5">
        <f>INDEX('2019 Data Lockdown'!E$5:E$257,MATCH(B153,'2019 Data Lockdown'!B$5:B$257,0))</f>
        <v>880549.01</v>
      </c>
      <c r="G153" s="5">
        <f>INDEX('2019 Data Lockdown'!F$5:F$257,MATCH(B153,'2019 Data Lockdown'!B$5:B$257,0))</f>
        <v>140281.66999999998</v>
      </c>
      <c r="H153" s="5">
        <f t="shared" si="21"/>
        <v>740267.34000000008</v>
      </c>
      <c r="I153" s="95">
        <f t="shared" si="22"/>
        <v>925.53085030569002</v>
      </c>
      <c r="J153" s="6">
        <f t="shared" si="23"/>
        <v>791.19656515655265</v>
      </c>
      <c r="K153" s="5">
        <f t="shared" si="24"/>
        <v>632822.74870916549</v>
      </c>
      <c r="L153" s="135">
        <f>INDEX('2019 Best Practice Scores'!L$4:L$256,MATCH(B153,'2019 Best Practice Scores'!A$4:A$256,0))</f>
        <v>0.52777777777777779</v>
      </c>
      <c r="M153" s="97">
        <f t="shared" si="25"/>
        <v>146373.45935167471</v>
      </c>
      <c r="N153" s="97">
        <f t="shared" si="26"/>
        <v>57246.448931948755</v>
      </c>
      <c r="O153" s="97">
        <f t="shared" si="27"/>
        <v>23175.797730681828</v>
      </c>
      <c r="P153" s="97">
        <f t="shared" si="28"/>
        <v>7689.8711223723603</v>
      </c>
      <c r="Q153" s="97">
        <f t="shared" si="29"/>
        <v>234485.57713667766</v>
      </c>
      <c r="R153" s="104">
        <f t="shared" si="30"/>
        <v>0.37053910848651117</v>
      </c>
      <c r="S153" s="166">
        <f t="shared" si="31"/>
        <v>234495.02754705097</v>
      </c>
      <c r="T153" s="97"/>
      <c r="U153" s="97">
        <f>IFERROR(INDEX('Revised 2020 MFAM(2018 PYAs)'!AD$26:AD$300,MATCH(B153,'Revised 2020 MFAM(2018 PYAs)'!B$26:B$300,0)),0)</f>
        <v>-985.20272129512159</v>
      </c>
      <c r="V153" s="97">
        <f>IFERROR(INDEX('Revised 2019 MFAM(2017 PYAs)'!AF$26:AF$300,MATCH(B153,'Revised 2019 MFAM(2017 PYAs)'!B$26:B$300,0)),0)</f>
        <v>-26.31566549508716</v>
      </c>
      <c r="W153" s="97">
        <f t="shared" si="32"/>
        <v>-0.15617488130739479</v>
      </c>
      <c r="X153" s="97">
        <f t="shared" si="33"/>
        <v>-1011.6745616715161</v>
      </c>
      <c r="Y153" s="97"/>
      <c r="Z153" s="98">
        <f t="shared" si="34"/>
        <v>233483.35298537946</v>
      </c>
      <c r="AA153" s="99">
        <v>0</v>
      </c>
      <c r="AB153" s="100">
        <f t="shared" si="35"/>
        <v>0</v>
      </c>
      <c r="AC153" s="97">
        <f t="shared" si="36"/>
        <v>233483.35298537946</v>
      </c>
      <c r="AD153" s="103"/>
      <c r="AE153" s="97">
        <f t="shared" si="39"/>
        <v>58370.838246344865</v>
      </c>
      <c r="AF153" s="97">
        <f t="shared" si="39"/>
        <v>58370.838246344865</v>
      </c>
      <c r="AG153" s="97">
        <f t="shared" si="39"/>
        <v>58370.838246344865</v>
      </c>
      <c r="AH153" s="97">
        <f t="shared" si="39"/>
        <v>58370.838246344865</v>
      </c>
    </row>
    <row r="154" spans="2:34" x14ac:dyDescent="0.25">
      <c r="B154">
        <v>301</v>
      </c>
      <c r="C154" s="28">
        <v>7</v>
      </c>
      <c r="D154" s="35" t="s">
        <v>183</v>
      </c>
      <c r="E154" s="154">
        <f>INDEX('2019 Data Lockdown'!H$5:H$257,MATCH(B154,'2019 Data Lockdown'!B$5:B$257,0))</f>
        <v>570.3041310256192</v>
      </c>
      <c r="F154" s="5">
        <f>INDEX('2019 Data Lockdown'!E$5:E$257,MATCH(B154,'2019 Data Lockdown'!B$5:B$257,0))</f>
        <v>272819.37</v>
      </c>
      <c r="G154" s="5">
        <f>INDEX('2019 Data Lockdown'!F$5:F$257,MATCH(B154,'2019 Data Lockdown'!B$5:B$257,0))</f>
        <v>512.72</v>
      </c>
      <c r="H154" s="5">
        <f t="shared" ref="H154:H217" si="40">F154-G154</f>
        <v>272306.65000000002</v>
      </c>
      <c r="I154" s="95">
        <f t="shared" ref="I154:I217" si="41">IFERROR(H154/E154,"n.a.")</f>
        <v>477.47620118109836</v>
      </c>
      <c r="J154" s="6">
        <f t="shared" ref="J154:J217" si="42">MIN(I154,INDEX($L$3:$L$11,MATCH(C154,$I$3:$I$11,0)))</f>
        <v>477.47620118109836</v>
      </c>
      <c r="K154" s="5">
        <f t="shared" ref="K154:K217" si="43">E154*J154</f>
        <v>272306.65000000002</v>
      </c>
      <c r="L154" s="135">
        <f>INDEX('2019 Best Practice Scores'!L$4:L$256,MATCH(B154,'2019 Best Practice Scores'!A$4:A$256,0))</f>
        <v>0.67361111111111116</v>
      </c>
      <c r="M154" s="97">
        <f t="shared" ref="M154:M217" si="44">$E$14*(K154/$K$24)</f>
        <v>62985.198377064007</v>
      </c>
      <c r="N154" s="97">
        <f t="shared" ref="N154:N217" si="45">$E$15*(E154/$E$24)</f>
        <v>40818.531828560474</v>
      </c>
      <c r="O154" s="97">
        <f t="shared" ref="O154:O217" si="46">IFERROR(L154*$E$16*(K154/$K$24),0)</f>
        <v>12728.258838698352</v>
      </c>
      <c r="P154" s="97">
        <f t="shared" ref="P154:P217" si="47">($O$23+$E$9)*(K154/$K$24)</f>
        <v>3308.9882570377154</v>
      </c>
      <c r="Q154" s="97">
        <f t="shared" ref="Q154:Q217" si="48">M154+N154+O154+P154</f>
        <v>119840.97730136054</v>
      </c>
      <c r="R154" s="104">
        <f t="shared" ref="R154:R217" si="49">IFERROR((Q154/K154),0)</f>
        <v>0.44009566898700614</v>
      </c>
      <c r="S154" s="166">
        <f t="shared" ref="S154:S217" si="50">IF(R154&gt;$R$19,$R$19*K154,Q154+($R$23*Q154/$R$22))</f>
        <v>119845.80722066246</v>
      </c>
      <c r="T154" s="97"/>
      <c r="U154" s="97">
        <f>IFERROR(INDEX('Revised 2020 MFAM(2018 PYAs)'!AD$26:AD$300,MATCH(B154,'Revised 2020 MFAM(2018 PYAs)'!B$26:B$300,0)),0)</f>
        <v>-32.075247952525388</v>
      </c>
      <c r="V154" s="97">
        <f>IFERROR(INDEX('Revised 2019 MFAM(2017 PYAs)'!AF$26:AF$300,MATCH(B154,'Revised 2019 MFAM(2017 PYAs)'!B$26:B$300,0)),0)</f>
        <v>14.725094460372929</v>
      </c>
      <c r="W154" s="97">
        <f t="shared" ref="W154:W217" si="51">-$W$22*(S154/$E$17)</f>
        <v>-7.9817917307949612E-2</v>
      </c>
      <c r="X154" s="97">
        <f t="shared" ref="X154:X217" si="52">SUM(U154:W154)</f>
        <v>-17.429971409460407</v>
      </c>
      <c r="Y154" s="97"/>
      <c r="Z154" s="98">
        <f t="shared" ref="Z154:Z217" si="53">S154+X154</f>
        <v>119828.377249253</v>
      </c>
      <c r="AA154" s="99">
        <v>0</v>
      </c>
      <c r="AB154" s="100">
        <f t="shared" ref="AB154:AB217" si="54">-$AA$24*AA154*Z154</f>
        <v>0</v>
      </c>
      <c r="AC154" s="97">
        <f t="shared" ref="AC154:AC217" si="55">Z154+AB154</f>
        <v>119828.377249253</v>
      </c>
      <c r="AD154" s="103"/>
      <c r="AE154" s="97">
        <f t="shared" si="39"/>
        <v>29957.094312313249</v>
      </c>
      <c r="AF154" s="97">
        <f t="shared" si="39"/>
        <v>29957.094312313249</v>
      </c>
      <c r="AG154" s="97">
        <f t="shared" si="39"/>
        <v>29957.094312313249</v>
      </c>
      <c r="AH154" s="97">
        <f t="shared" si="39"/>
        <v>29957.094312313249</v>
      </c>
    </row>
    <row r="155" spans="2:34" x14ac:dyDescent="0.25">
      <c r="B155">
        <v>321</v>
      </c>
      <c r="C155" s="28">
        <v>7</v>
      </c>
      <c r="D155" s="35" t="s">
        <v>184</v>
      </c>
      <c r="E155" s="154">
        <f>INDEX('2019 Data Lockdown'!H$5:H$257,MATCH(B155,'2019 Data Lockdown'!B$5:B$257,0))</f>
        <v>367.13</v>
      </c>
      <c r="F155" s="5">
        <f>INDEX('2019 Data Lockdown'!E$5:E$257,MATCH(B155,'2019 Data Lockdown'!B$5:B$257,0))</f>
        <v>499165.92</v>
      </c>
      <c r="G155" s="5">
        <f>INDEX('2019 Data Lockdown'!F$5:F$257,MATCH(B155,'2019 Data Lockdown'!B$5:B$257,0))</f>
        <v>29784.109999999997</v>
      </c>
      <c r="H155" s="5">
        <f t="shared" si="40"/>
        <v>469381.81</v>
      </c>
      <c r="I155" s="95">
        <f t="shared" si="41"/>
        <v>1278.5166289870074</v>
      </c>
      <c r="J155" s="6">
        <f t="shared" si="42"/>
        <v>791.19656515655265</v>
      </c>
      <c r="K155" s="5">
        <f t="shared" si="43"/>
        <v>290471.99496592517</v>
      </c>
      <c r="L155" s="135">
        <f>INDEX('2019 Best Practice Scores'!L$4:L$256,MATCH(B155,'2019 Best Practice Scores'!A$4:A$256,0))</f>
        <v>0.49999999999999994</v>
      </c>
      <c r="M155" s="97">
        <f t="shared" si="44"/>
        <v>67186.887378293308</v>
      </c>
      <c r="N155" s="97">
        <f t="shared" si="45"/>
        <v>26276.694793126473</v>
      </c>
      <c r="O155" s="97">
        <f t="shared" si="46"/>
        <v>10078.033106743993</v>
      </c>
      <c r="P155" s="97">
        <f t="shared" si="47"/>
        <v>3529.7280486560453</v>
      </c>
      <c r="Q155" s="97">
        <f t="shared" si="48"/>
        <v>107071.34332681983</v>
      </c>
      <c r="R155" s="104">
        <f t="shared" si="49"/>
        <v>0.36861158797556443</v>
      </c>
      <c r="S155" s="166">
        <f t="shared" si="50"/>
        <v>107075.65859493148</v>
      </c>
      <c r="T155" s="97"/>
      <c r="U155" s="97">
        <f>IFERROR(INDEX('Revised 2020 MFAM(2018 PYAs)'!AD$26:AD$300,MATCH(B155,'Revised 2020 MFAM(2018 PYAs)'!B$26:B$300,0)),0)</f>
        <v>-2427.7655776758475</v>
      </c>
      <c r="V155" s="97">
        <f>IFERROR(INDEX('Revised 2019 MFAM(2017 PYAs)'!AF$26:AF$300,MATCH(B155,'Revised 2019 MFAM(2017 PYAs)'!B$26:B$300,0)),0)</f>
        <v>-12.836695143952966</v>
      </c>
      <c r="W155" s="97">
        <f t="shared" si="51"/>
        <v>-7.1312933356845742E-2</v>
      </c>
      <c r="X155" s="97">
        <f t="shared" si="52"/>
        <v>-2440.6735857531571</v>
      </c>
      <c r="Y155" s="97"/>
      <c r="Z155" s="98">
        <f t="shared" si="53"/>
        <v>104634.98500917832</v>
      </c>
      <c r="AA155" s="99">
        <v>0</v>
      </c>
      <c r="AB155" s="100">
        <f t="shared" si="54"/>
        <v>0</v>
      </c>
      <c r="AC155" s="97">
        <f t="shared" si="55"/>
        <v>104634.98500917832</v>
      </c>
      <c r="AD155" s="103"/>
      <c r="AE155" s="97">
        <f t="shared" si="39"/>
        <v>26158.746252294579</v>
      </c>
      <c r="AF155" s="97">
        <f t="shared" si="39"/>
        <v>26158.746252294579</v>
      </c>
      <c r="AG155" s="97">
        <f t="shared" si="39"/>
        <v>26158.746252294579</v>
      </c>
      <c r="AH155" s="97">
        <f t="shared" si="39"/>
        <v>26158.746252294579</v>
      </c>
    </row>
    <row r="156" spans="2:34" x14ac:dyDescent="0.25">
      <c r="B156">
        <v>325</v>
      </c>
      <c r="C156" s="28">
        <v>7</v>
      </c>
      <c r="D156" s="35" t="s">
        <v>185</v>
      </c>
      <c r="E156" s="154">
        <f>INDEX('2019 Data Lockdown'!H$5:H$257,MATCH(B156,'2019 Data Lockdown'!B$5:B$257,0))</f>
        <v>334.4714798023104</v>
      </c>
      <c r="F156" s="5">
        <f>INDEX('2019 Data Lockdown'!E$5:E$257,MATCH(B156,'2019 Data Lockdown'!B$5:B$257,0))</f>
        <v>167952.06</v>
      </c>
      <c r="G156" s="5">
        <f>INDEX('2019 Data Lockdown'!F$5:F$257,MATCH(B156,'2019 Data Lockdown'!B$5:B$257,0))</f>
        <v>0</v>
      </c>
      <c r="H156" s="5">
        <f t="shared" si="40"/>
        <v>167952.06</v>
      </c>
      <c r="I156" s="95">
        <f t="shared" si="41"/>
        <v>502.14164776999274</v>
      </c>
      <c r="J156" s="6">
        <f t="shared" si="42"/>
        <v>502.14164776999274</v>
      </c>
      <c r="K156" s="5">
        <f t="shared" si="43"/>
        <v>167952.06</v>
      </c>
      <c r="L156" s="135">
        <f>INDEX('2019 Best Practice Scores'!L$4:L$256,MATCH(B156,'2019 Best Practice Scores'!A$4:A$256,0))</f>
        <v>0.24305555555555555</v>
      </c>
      <c r="M156" s="97">
        <f t="shared" si="44"/>
        <v>38847.724860691269</v>
      </c>
      <c r="N156" s="97">
        <f t="shared" si="45"/>
        <v>23939.217693380207</v>
      </c>
      <c r="O156" s="97">
        <f t="shared" si="46"/>
        <v>2832.6466044254048</v>
      </c>
      <c r="P156" s="97">
        <f t="shared" si="47"/>
        <v>2040.9027626952693</v>
      </c>
      <c r="Q156" s="97">
        <f t="shared" si="48"/>
        <v>67660.491921192151</v>
      </c>
      <c r="R156" s="104">
        <f t="shared" si="49"/>
        <v>0.40285598117219967</v>
      </c>
      <c r="S156" s="166">
        <f t="shared" si="50"/>
        <v>67663.218824153621</v>
      </c>
      <c r="T156" s="97"/>
      <c r="U156" s="97">
        <f>IFERROR(INDEX('Revised 2020 MFAM(2018 PYAs)'!AD$26:AD$300,MATCH(B156,'Revised 2020 MFAM(2018 PYAs)'!B$26:B$300,0)),0)</f>
        <v>2380.5217613907225</v>
      </c>
      <c r="V156" s="97">
        <f>IFERROR(INDEX('Revised 2019 MFAM(2017 PYAs)'!AF$26:AF$300,MATCH(B156,'Revised 2019 MFAM(2017 PYAs)'!B$26:B$300,0)),0)</f>
        <v>10.020980354995118</v>
      </c>
      <c r="W156" s="97">
        <f t="shared" si="51"/>
        <v>-4.5064047964164897E-2</v>
      </c>
      <c r="X156" s="97">
        <f t="shared" si="52"/>
        <v>2390.4976776977533</v>
      </c>
      <c r="Y156" s="97"/>
      <c r="Z156" s="98">
        <f t="shared" si="53"/>
        <v>70053.716501851377</v>
      </c>
      <c r="AA156" s="99">
        <v>0</v>
      </c>
      <c r="AB156" s="100">
        <f t="shared" si="54"/>
        <v>0</v>
      </c>
      <c r="AC156" s="97">
        <f t="shared" si="55"/>
        <v>70053.716501851377</v>
      </c>
      <c r="AD156" s="103"/>
      <c r="AE156" s="97">
        <f t="shared" si="39"/>
        <v>17513.429125462844</v>
      </c>
      <c r="AF156" s="97">
        <f t="shared" si="39"/>
        <v>17513.429125462844</v>
      </c>
      <c r="AG156" s="97">
        <f t="shared" si="39"/>
        <v>17513.429125462844</v>
      </c>
      <c r="AH156" s="97">
        <f t="shared" si="39"/>
        <v>17513.429125462844</v>
      </c>
    </row>
    <row r="157" spans="2:34" x14ac:dyDescent="0.25">
      <c r="B157">
        <v>346</v>
      </c>
      <c r="C157" s="28">
        <v>7</v>
      </c>
      <c r="D157" s="35" t="s">
        <v>186</v>
      </c>
      <c r="E157" s="154">
        <f>INDEX('2019 Data Lockdown'!H$5:H$257,MATCH(B157,'2019 Data Lockdown'!B$5:B$257,0))</f>
        <v>223.88000000000002</v>
      </c>
      <c r="F157" s="5">
        <f>INDEX('2019 Data Lockdown'!E$5:E$257,MATCH(B157,'2019 Data Lockdown'!B$5:B$257,0))</f>
        <v>141740.18</v>
      </c>
      <c r="G157" s="5">
        <f>INDEX('2019 Data Lockdown'!F$5:F$257,MATCH(B157,'2019 Data Lockdown'!B$5:B$257,0))</f>
        <v>18678.990000000002</v>
      </c>
      <c r="H157" s="5">
        <f t="shared" si="40"/>
        <v>123061.18999999999</v>
      </c>
      <c r="I157" s="95">
        <f t="shared" si="41"/>
        <v>549.67478113274956</v>
      </c>
      <c r="J157" s="6">
        <f t="shared" si="42"/>
        <v>549.67478113274956</v>
      </c>
      <c r="K157" s="5">
        <f t="shared" si="43"/>
        <v>123061.18999999999</v>
      </c>
      <c r="L157" s="135">
        <f>INDEX('2019 Best Practice Scores'!L$4:L$256,MATCH(B157,'2019 Best Practice Scores'!A$4:A$256,0))</f>
        <v>0.5532407407407407</v>
      </c>
      <c r="M157" s="97">
        <f t="shared" si="44"/>
        <v>28464.356139181928</v>
      </c>
      <c r="N157" s="97">
        <f t="shared" si="45"/>
        <v>16023.823796162544</v>
      </c>
      <c r="O157" s="97">
        <f t="shared" si="46"/>
        <v>4724.2924425447773</v>
      </c>
      <c r="P157" s="97">
        <f t="shared" si="47"/>
        <v>1495.4024538405031</v>
      </c>
      <c r="Q157" s="97">
        <f t="shared" si="48"/>
        <v>50707.874831729758</v>
      </c>
      <c r="R157" s="104">
        <f t="shared" si="49"/>
        <v>0.41205415640568538</v>
      </c>
      <c r="S157" s="166">
        <f t="shared" si="50"/>
        <v>50709.918497835664</v>
      </c>
      <c r="T157" s="97"/>
      <c r="U157" s="97">
        <f>IFERROR(INDEX('Revised 2020 MFAM(2018 PYAs)'!AD$26:AD$300,MATCH(B157,'Revised 2020 MFAM(2018 PYAs)'!B$26:B$300,0)),0)</f>
        <v>-13.927539447424351</v>
      </c>
      <c r="V157" s="97">
        <f>IFERROR(INDEX('Revised 2019 MFAM(2017 PYAs)'!AF$26:AF$300,MATCH(B157,'Revised 2019 MFAM(2017 PYAs)'!B$26:B$300,0)),0)</f>
        <v>4.8185642493263003</v>
      </c>
      <c r="W157" s="97">
        <f t="shared" si="51"/>
        <v>-3.3773063699263708E-2</v>
      </c>
      <c r="X157" s="97">
        <f t="shared" si="52"/>
        <v>-9.1427482617973155</v>
      </c>
      <c r="Y157" s="97"/>
      <c r="Z157" s="98">
        <f t="shared" si="53"/>
        <v>50700.77574957387</v>
      </c>
      <c r="AA157" s="99">
        <v>0</v>
      </c>
      <c r="AB157" s="100">
        <f t="shared" si="54"/>
        <v>0</v>
      </c>
      <c r="AC157" s="97">
        <f t="shared" si="55"/>
        <v>50700.77574957387</v>
      </c>
      <c r="AD157" s="103"/>
      <c r="AE157" s="97">
        <f t="shared" si="39"/>
        <v>12675.193937393467</v>
      </c>
      <c r="AF157" s="97">
        <f t="shared" si="39"/>
        <v>12675.193937393467</v>
      </c>
      <c r="AG157" s="97">
        <f t="shared" si="39"/>
        <v>12675.193937393467</v>
      </c>
      <c r="AH157" s="97">
        <f t="shared" si="39"/>
        <v>12675.193937393467</v>
      </c>
    </row>
    <row r="158" spans="2:34" x14ac:dyDescent="0.25">
      <c r="B158">
        <v>358</v>
      </c>
      <c r="C158" s="28">
        <v>7</v>
      </c>
      <c r="D158" s="35" t="s">
        <v>187</v>
      </c>
      <c r="E158" s="154">
        <f>INDEX('2019 Data Lockdown'!H$5:H$257,MATCH(B158,'2019 Data Lockdown'!B$5:B$257,0))</f>
        <v>394.71</v>
      </c>
      <c r="F158" s="5">
        <f>INDEX('2019 Data Lockdown'!E$5:E$257,MATCH(B158,'2019 Data Lockdown'!B$5:B$257,0))</f>
        <v>249358.72</v>
      </c>
      <c r="G158" s="5">
        <f>INDEX('2019 Data Lockdown'!F$5:F$257,MATCH(B158,'2019 Data Lockdown'!B$5:B$257,0))</f>
        <v>33885.050000000003</v>
      </c>
      <c r="H158" s="5">
        <f t="shared" si="40"/>
        <v>215473.66999999998</v>
      </c>
      <c r="I158" s="95">
        <f t="shared" si="41"/>
        <v>545.90375212181095</v>
      </c>
      <c r="J158" s="6">
        <f t="shared" si="42"/>
        <v>545.90375212181095</v>
      </c>
      <c r="K158" s="5">
        <f t="shared" si="43"/>
        <v>215473.66999999998</v>
      </c>
      <c r="L158" s="135">
        <f>INDEX('2019 Best Practice Scores'!L$4:L$256,MATCH(B158,'2019 Best Practice Scores'!A$4:A$256,0))</f>
        <v>0.78703703703703698</v>
      </c>
      <c r="M158" s="97">
        <f t="shared" si="44"/>
        <v>49839.590219276775</v>
      </c>
      <c r="N158" s="97">
        <f t="shared" si="45"/>
        <v>28250.685593100396</v>
      </c>
      <c r="O158" s="97">
        <f t="shared" si="46"/>
        <v>11767.681023995905</v>
      </c>
      <c r="P158" s="97">
        <f t="shared" si="47"/>
        <v>2618.3710303469261</v>
      </c>
      <c r="Q158" s="97">
        <f t="shared" si="48"/>
        <v>92476.327866719992</v>
      </c>
      <c r="R158" s="104">
        <f t="shared" si="49"/>
        <v>0.42917692851623124</v>
      </c>
      <c r="S158" s="166">
        <f t="shared" si="50"/>
        <v>92480.054915772766</v>
      </c>
      <c r="T158" s="97"/>
      <c r="U158" s="97">
        <f>IFERROR(INDEX('Revised 2020 MFAM(2018 PYAs)'!AD$26:AD$300,MATCH(B158,'Revised 2020 MFAM(2018 PYAs)'!B$26:B$300,0)),0)</f>
        <v>-32.592662020615535</v>
      </c>
      <c r="V158" s="97">
        <f>IFERROR(INDEX('Revised 2019 MFAM(2017 PYAs)'!AF$26:AF$300,MATCH(B158,'Revised 2019 MFAM(2017 PYAs)'!B$26:B$300,0)),0)</f>
        <v>10.690688497023075</v>
      </c>
      <c r="W158" s="97">
        <f t="shared" si="51"/>
        <v>-6.1592187053408597E-2</v>
      </c>
      <c r="X158" s="97">
        <f t="shared" si="52"/>
        <v>-21.96356571064587</v>
      </c>
      <c r="Y158" s="97"/>
      <c r="Z158" s="98">
        <f t="shared" si="53"/>
        <v>92458.091350062125</v>
      </c>
      <c r="AA158" s="99">
        <v>0</v>
      </c>
      <c r="AB158" s="100">
        <f t="shared" si="54"/>
        <v>0</v>
      </c>
      <c r="AC158" s="97">
        <f t="shared" si="55"/>
        <v>92458.091350062125</v>
      </c>
      <c r="AD158" s="103"/>
      <c r="AE158" s="97">
        <f t="shared" si="39"/>
        <v>23114.522837515531</v>
      </c>
      <c r="AF158" s="97">
        <f t="shared" si="39"/>
        <v>23114.522837515531</v>
      </c>
      <c r="AG158" s="97">
        <f t="shared" si="39"/>
        <v>23114.522837515531</v>
      </c>
      <c r="AH158" s="97">
        <f t="shared" si="39"/>
        <v>23114.522837515531</v>
      </c>
    </row>
    <row r="159" spans="2:34" x14ac:dyDescent="0.25">
      <c r="B159">
        <v>361</v>
      </c>
      <c r="C159" s="28">
        <v>7</v>
      </c>
      <c r="D159" s="35" t="s">
        <v>188</v>
      </c>
      <c r="E159" s="154">
        <f>INDEX('2019 Data Lockdown'!H$5:H$257,MATCH(B159,'2019 Data Lockdown'!B$5:B$257,0))</f>
        <v>1529.9173871204</v>
      </c>
      <c r="F159" s="5">
        <f>INDEX('2019 Data Lockdown'!E$5:E$257,MATCH(B159,'2019 Data Lockdown'!B$5:B$257,0))</f>
        <v>950847.24</v>
      </c>
      <c r="G159" s="5">
        <f>INDEX('2019 Data Lockdown'!F$5:F$257,MATCH(B159,'2019 Data Lockdown'!B$5:B$257,0))</f>
        <v>8401.06</v>
      </c>
      <c r="H159" s="5">
        <f t="shared" si="40"/>
        <v>942446.17999999993</v>
      </c>
      <c r="I159" s="95">
        <f t="shared" si="41"/>
        <v>616.01115716049583</v>
      </c>
      <c r="J159" s="6">
        <f t="shared" si="42"/>
        <v>616.01115716049583</v>
      </c>
      <c r="K159" s="5">
        <f t="shared" si="43"/>
        <v>942446.17999999982</v>
      </c>
      <c r="L159" s="135">
        <f>INDEX('2019 Best Practice Scores'!L$4:L$256,MATCH(B159,'2019 Best Practice Scores'!A$4:A$256,0))</f>
        <v>0.3611111111111111</v>
      </c>
      <c r="M159" s="97">
        <f t="shared" si="44"/>
        <v>217990.12108961039</v>
      </c>
      <c r="N159" s="97">
        <f t="shared" si="45"/>
        <v>109501.19096794125</v>
      </c>
      <c r="O159" s="97">
        <f t="shared" si="46"/>
        <v>23615.596451374455</v>
      </c>
      <c r="P159" s="97">
        <f t="shared" si="47"/>
        <v>11452.321647341525</v>
      </c>
      <c r="Q159" s="97">
        <f t="shared" si="48"/>
        <v>362559.23015626764</v>
      </c>
      <c r="R159" s="104">
        <f t="shared" si="49"/>
        <v>0.38470019599025562</v>
      </c>
      <c r="S159" s="166">
        <f t="shared" si="50"/>
        <v>362573.84228530107</v>
      </c>
      <c r="T159" s="97"/>
      <c r="U159" s="97">
        <f>IFERROR(INDEX('Revised 2020 MFAM(2018 PYAs)'!AD$26:AD$300,MATCH(B159,'Revised 2020 MFAM(2018 PYAs)'!B$26:B$300,0)),0)</f>
        <v>-139.93920715636341</v>
      </c>
      <c r="V159" s="97">
        <f>IFERROR(INDEX('Revised 2019 MFAM(2017 PYAs)'!AF$26:AF$300,MATCH(B159,'Revised 2019 MFAM(2017 PYAs)'!B$26:B$300,0)),0)</f>
        <v>45.875987938954495</v>
      </c>
      <c r="W159" s="97">
        <f t="shared" si="51"/>
        <v>-0.24147602350634623</v>
      </c>
      <c r="X159" s="97">
        <f t="shared" si="52"/>
        <v>-94.304695240915265</v>
      </c>
      <c r="Y159" s="97"/>
      <c r="Z159" s="98">
        <f t="shared" si="53"/>
        <v>362479.53759006015</v>
      </c>
      <c r="AA159" s="99">
        <v>0</v>
      </c>
      <c r="AB159" s="100">
        <f t="shared" si="54"/>
        <v>0</v>
      </c>
      <c r="AC159" s="97">
        <f t="shared" si="55"/>
        <v>362479.53759006015</v>
      </c>
      <c r="AD159" s="103"/>
      <c r="AE159" s="97">
        <f t="shared" si="39"/>
        <v>90619.884397515038</v>
      </c>
      <c r="AF159" s="97">
        <f t="shared" si="39"/>
        <v>90619.884397515038</v>
      </c>
      <c r="AG159" s="97">
        <f t="shared" si="39"/>
        <v>90619.884397515038</v>
      </c>
      <c r="AH159" s="97">
        <f t="shared" si="39"/>
        <v>90619.884397515038</v>
      </c>
    </row>
    <row r="160" spans="2:34" x14ac:dyDescent="0.25">
      <c r="B160">
        <v>376</v>
      </c>
      <c r="C160" s="28">
        <v>7</v>
      </c>
      <c r="D160" s="35" t="s">
        <v>189</v>
      </c>
      <c r="E160" s="154">
        <f>INDEX('2019 Data Lockdown'!H$5:H$257,MATCH(B160,'2019 Data Lockdown'!B$5:B$257,0))</f>
        <v>640.18588281699169</v>
      </c>
      <c r="F160" s="5">
        <f>INDEX('2019 Data Lockdown'!E$5:E$257,MATCH(B160,'2019 Data Lockdown'!B$5:B$257,0))</f>
        <v>292314.15999999997</v>
      </c>
      <c r="G160" s="5">
        <f>INDEX('2019 Data Lockdown'!F$5:F$257,MATCH(B160,'2019 Data Lockdown'!B$5:B$257,0))</f>
        <v>428</v>
      </c>
      <c r="H160" s="5">
        <f t="shared" si="40"/>
        <v>291886.15999999997</v>
      </c>
      <c r="I160" s="95">
        <f t="shared" si="41"/>
        <v>455.93970100624779</v>
      </c>
      <c r="J160" s="6">
        <f t="shared" si="42"/>
        <v>455.93970100624779</v>
      </c>
      <c r="K160" s="5">
        <f t="shared" si="43"/>
        <v>291886.15999999997</v>
      </c>
      <c r="L160" s="135">
        <f>INDEX('2019 Best Practice Scores'!L$4:L$256,MATCH(B160,'2019 Best Practice Scores'!A$4:A$256,0))</f>
        <v>0.64814814814814814</v>
      </c>
      <c r="M160" s="97">
        <f t="shared" si="44"/>
        <v>67513.987231378458</v>
      </c>
      <c r="N160" s="97">
        <f t="shared" si="45"/>
        <v>45820.197351483992</v>
      </c>
      <c r="O160" s="97">
        <f t="shared" si="46"/>
        <v>13127.719739434699</v>
      </c>
      <c r="P160" s="97">
        <f t="shared" si="47"/>
        <v>3546.9125555025244</v>
      </c>
      <c r="Q160" s="97">
        <f t="shared" si="48"/>
        <v>130008.81687779968</v>
      </c>
      <c r="R160" s="104">
        <f t="shared" si="49"/>
        <v>0.44540932285997969</v>
      </c>
      <c r="S160" s="166">
        <f t="shared" si="50"/>
        <v>130014.05658885844</v>
      </c>
      <c r="T160" s="97"/>
      <c r="U160" s="97">
        <f>IFERROR(INDEX('Revised 2020 MFAM(2018 PYAs)'!AD$26:AD$300,MATCH(B160,'Revised 2020 MFAM(2018 PYAs)'!B$26:B$300,0)),0)</f>
        <v>-42.568500685956678</v>
      </c>
      <c r="V160" s="97">
        <f>IFERROR(INDEX('Revised 2019 MFAM(2017 PYAs)'!AF$26:AF$300,MATCH(B160,'Revised 2019 MFAM(2017 PYAs)'!B$26:B$300,0)),0)</f>
        <v>18.453544856572989</v>
      </c>
      <c r="W160" s="97">
        <f t="shared" si="51"/>
        <v>-8.6590023116732126E-2</v>
      </c>
      <c r="X160" s="97">
        <f t="shared" si="52"/>
        <v>-24.20154585250042</v>
      </c>
      <c r="Y160" s="97"/>
      <c r="Z160" s="98">
        <f t="shared" si="53"/>
        <v>129989.85504300594</v>
      </c>
      <c r="AA160" s="99">
        <v>0</v>
      </c>
      <c r="AB160" s="100">
        <f t="shared" si="54"/>
        <v>0</v>
      </c>
      <c r="AC160" s="97">
        <f t="shared" si="55"/>
        <v>129989.85504300594</v>
      </c>
      <c r="AD160" s="103"/>
      <c r="AE160" s="97">
        <f t="shared" si="39"/>
        <v>32497.463760751485</v>
      </c>
      <c r="AF160" s="97">
        <f t="shared" si="39"/>
        <v>32497.463760751485</v>
      </c>
      <c r="AG160" s="97">
        <f t="shared" si="39"/>
        <v>32497.463760751485</v>
      </c>
      <c r="AH160" s="97">
        <f t="shared" si="39"/>
        <v>32497.463760751485</v>
      </c>
    </row>
    <row r="161" spans="2:34" x14ac:dyDescent="0.25">
      <c r="B161">
        <v>382</v>
      </c>
      <c r="C161" s="28">
        <v>7</v>
      </c>
      <c r="D161" s="35" t="s">
        <v>190</v>
      </c>
      <c r="E161" s="154">
        <f>INDEX('2019 Data Lockdown'!H$5:H$257,MATCH(B161,'2019 Data Lockdown'!B$5:B$257,0))</f>
        <v>165.19</v>
      </c>
      <c r="F161" s="5">
        <f>INDEX('2019 Data Lockdown'!E$5:E$257,MATCH(B161,'2019 Data Lockdown'!B$5:B$257,0))</f>
        <v>102492.26</v>
      </c>
      <c r="G161" s="5">
        <f>INDEX('2019 Data Lockdown'!F$5:F$257,MATCH(B161,'2019 Data Lockdown'!B$5:B$257,0))</f>
        <v>19148.469999999998</v>
      </c>
      <c r="H161" s="5">
        <f t="shared" si="40"/>
        <v>83343.789999999994</v>
      </c>
      <c r="I161" s="95">
        <f t="shared" si="41"/>
        <v>504.53290150735512</v>
      </c>
      <c r="J161" s="6">
        <f t="shared" si="42"/>
        <v>504.53290150735512</v>
      </c>
      <c r="K161" s="5">
        <f t="shared" si="43"/>
        <v>83343.789999999994</v>
      </c>
      <c r="L161" s="135">
        <f>INDEX('2019 Best Practice Scores'!L$4:L$256,MATCH(B161,'2019 Best Practice Scores'!A$4:A$256,0))</f>
        <v>0.65046296296296302</v>
      </c>
      <c r="M161" s="97">
        <f t="shared" si="44"/>
        <v>19277.623762204712</v>
      </c>
      <c r="N161" s="97">
        <f t="shared" si="45"/>
        <v>11823.18855140294</v>
      </c>
      <c r="O161" s="97">
        <f t="shared" si="46"/>
        <v>3761.81408137467</v>
      </c>
      <c r="P161" s="97">
        <f t="shared" si="47"/>
        <v>1012.768591611763</v>
      </c>
      <c r="Q161" s="97">
        <f t="shared" si="48"/>
        <v>35875.394986594089</v>
      </c>
      <c r="R161" s="104">
        <f t="shared" si="49"/>
        <v>0.43045072688191993</v>
      </c>
      <c r="S161" s="166">
        <f t="shared" si="50"/>
        <v>35876.840863176636</v>
      </c>
      <c r="T161" s="97"/>
      <c r="U161" s="97">
        <f>IFERROR(INDEX('Revised 2020 MFAM(2018 PYAs)'!AD$26:AD$300,MATCH(B161,'Revised 2020 MFAM(2018 PYAs)'!B$26:B$300,0)),0)</f>
        <v>-11.95073192743439</v>
      </c>
      <c r="V161" s="97">
        <f>IFERROR(INDEX('Revised 2019 MFAM(2017 PYAs)'!AF$26:AF$300,MATCH(B161,'Revised 2019 MFAM(2017 PYAs)'!B$26:B$300,0)),0)</f>
        <v>4.6392732359672664</v>
      </c>
      <c r="W161" s="97">
        <f t="shared" si="51"/>
        <v>-2.3894158533347407E-2</v>
      </c>
      <c r="X161" s="97">
        <f t="shared" si="52"/>
        <v>-7.3353528500004712</v>
      </c>
      <c r="Y161" s="97"/>
      <c r="Z161" s="98">
        <f t="shared" si="53"/>
        <v>35869.505510326635</v>
      </c>
      <c r="AA161" s="99">
        <v>0</v>
      </c>
      <c r="AB161" s="100">
        <f t="shared" si="54"/>
        <v>0</v>
      </c>
      <c r="AC161" s="97">
        <f t="shared" si="55"/>
        <v>35869.505510326635</v>
      </c>
      <c r="AD161" s="103"/>
      <c r="AE161" s="97">
        <f t="shared" si="39"/>
        <v>8967.3763775816587</v>
      </c>
      <c r="AF161" s="97">
        <f t="shared" si="39"/>
        <v>8967.3763775816587</v>
      </c>
      <c r="AG161" s="97">
        <f t="shared" si="39"/>
        <v>8967.3763775816587</v>
      </c>
      <c r="AH161" s="97">
        <f t="shared" si="39"/>
        <v>8967.3763775816587</v>
      </c>
    </row>
    <row r="162" spans="2:34" x14ac:dyDescent="0.25">
      <c r="B162">
        <v>389</v>
      </c>
      <c r="C162" s="28">
        <v>7</v>
      </c>
      <c r="D162" s="35" t="s">
        <v>191</v>
      </c>
      <c r="E162" s="154">
        <f>INDEX('2019 Data Lockdown'!H$5:H$257,MATCH(B162,'2019 Data Lockdown'!B$5:B$257,0))</f>
        <v>867.99901008098129</v>
      </c>
      <c r="F162" s="5">
        <f>INDEX('2019 Data Lockdown'!E$5:E$257,MATCH(B162,'2019 Data Lockdown'!B$5:B$257,0))</f>
        <v>170757.02</v>
      </c>
      <c r="G162" s="5">
        <f>INDEX('2019 Data Lockdown'!F$5:F$257,MATCH(B162,'2019 Data Lockdown'!B$5:B$257,0))</f>
        <v>807.5</v>
      </c>
      <c r="H162" s="5">
        <f t="shared" si="40"/>
        <v>169949.52</v>
      </c>
      <c r="I162" s="95">
        <f t="shared" si="41"/>
        <v>195.79460117603622</v>
      </c>
      <c r="J162" s="6">
        <f t="shared" si="42"/>
        <v>195.79460117603622</v>
      </c>
      <c r="K162" s="5">
        <f t="shared" si="43"/>
        <v>169949.52</v>
      </c>
      <c r="L162" s="135">
        <f>INDEX('2019 Best Practice Scores'!L$4:L$256,MATCH(B162,'2019 Best Practice Scores'!A$4:A$256,0))</f>
        <v>0.52546296296296291</v>
      </c>
      <c r="M162" s="97">
        <f t="shared" si="44"/>
        <v>39309.742275066754</v>
      </c>
      <c r="N162" s="97">
        <f t="shared" si="45"/>
        <v>62125.527929163654</v>
      </c>
      <c r="O162" s="97">
        <f t="shared" si="46"/>
        <v>6196.7440947501045</v>
      </c>
      <c r="P162" s="97">
        <f t="shared" si="47"/>
        <v>2065.1752939900525</v>
      </c>
      <c r="Q162" s="97">
        <f t="shared" si="48"/>
        <v>109697.18959297056</v>
      </c>
      <c r="R162" s="104">
        <f t="shared" si="49"/>
        <v>0.64546925224013918</v>
      </c>
      <c r="S162" s="166">
        <f t="shared" si="50"/>
        <v>109701.61068987174</v>
      </c>
      <c r="T162" s="97"/>
      <c r="U162" s="97">
        <f>IFERROR(INDEX('Revised 2020 MFAM(2018 PYAs)'!AD$26:AD$300,MATCH(B162,'Revised 2020 MFAM(2018 PYAs)'!B$26:B$300,0)),0)</f>
        <v>-16.677014997243532</v>
      </c>
      <c r="V162" s="97">
        <f>IFERROR(INDEX('Revised 2019 MFAM(2017 PYAs)'!AF$26:AF$300,MATCH(B162,'Revised 2019 MFAM(2017 PYAs)'!B$26:B$300,0)),0)</f>
        <v>15.579830045709969</v>
      </c>
      <c r="W162" s="97">
        <f t="shared" si="51"/>
        <v>-7.3061830811244483E-2</v>
      </c>
      <c r="X162" s="97">
        <f t="shared" si="52"/>
        <v>-1.1702467823448079</v>
      </c>
      <c r="Y162" s="97"/>
      <c r="Z162" s="98">
        <f t="shared" si="53"/>
        <v>109700.44044308939</v>
      </c>
      <c r="AA162" s="99">
        <v>0</v>
      </c>
      <c r="AB162" s="100">
        <f t="shared" si="54"/>
        <v>0</v>
      </c>
      <c r="AC162" s="97">
        <f t="shared" si="55"/>
        <v>109700.44044308939</v>
      </c>
      <c r="AD162" s="103"/>
      <c r="AE162" s="97">
        <f t="shared" si="39"/>
        <v>27425.110110772348</v>
      </c>
      <c r="AF162" s="97">
        <f t="shared" si="39"/>
        <v>27425.110110772348</v>
      </c>
      <c r="AG162" s="97">
        <f t="shared" si="39"/>
        <v>27425.110110772348</v>
      </c>
      <c r="AH162" s="97">
        <f t="shared" si="39"/>
        <v>27425.110110772348</v>
      </c>
    </row>
    <row r="163" spans="2:34" x14ac:dyDescent="0.25">
      <c r="B163">
        <v>420</v>
      </c>
      <c r="C163" s="28">
        <v>7</v>
      </c>
      <c r="D163" s="35" t="s">
        <v>283</v>
      </c>
      <c r="E163" s="154">
        <f>INDEX('2019 Data Lockdown'!H$5:H$257,MATCH(B163,'2019 Data Lockdown'!B$5:B$257,0))</f>
        <v>342.99823535503288</v>
      </c>
      <c r="F163" s="5">
        <f>INDEX('2019 Data Lockdown'!E$5:E$257,MATCH(B163,'2019 Data Lockdown'!B$5:B$257,0))</f>
        <v>176959.11</v>
      </c>
      <c r="G163" s="5">
        <f>INDEX('2019 Data Lockdown'!F$5:F$257,MATCH(B163,'2019 Data Lockdown'!B$5:B$257,0))</f>
        <v>167</v>
      </c>
      <c r="H163" s="5">
        <f t="shared" si="40"/>
        <v>176792.11</v>
      </c>
      <c r="I163" s="95">
        <f t="shared" si="41"/>
        <v>515.43154388827929</v>
      </c>
      <c r="J163" s="6">
        <f t="shared" si="42"/>
        <v>515.43154388827929</v>
      </c>
      <c r="K163" s="5">
        <f t="shared" si="43"/>
        <v>176792.11</v>
      </c>
      <c r="L163" s="135">
        <f>INDEX('2019 Best Practice Scores'!L$4:L$256,MATCH(B163,'2019 Best Practice Scores'!A$4:A$256,0))</f>
        <v>0.51388888888888884</v>
      </c>
      <c r="M163" s="97">
        <f t="shared" si="44"/>
        <v>40892.450183826651</v>
      </c>
      <c r="N163" s="97">
        <f t="shared" si="45"/>
        <v>24549.505474913956</v>
      </c>
      <c r="O163" s="97">
        <f t="shared" si="46"/>
        <v>6304.2527366732747</v>
      </c>
      <c r="P163" s="97">
        <f t="shared" si="47"/>
        <v>2148.3243832896474</v>
      </c>
      <c r="Q163" s="97">
        <f t="shared" si="48"/>
        <v>73894.53277870352</v>
      </c>
      <c r="R163" s="104">
        <f t="shared" si="49"/>
        <v>0.41797415494788498</v>
      </c>
      <c r="S163" s="166">
        <f t="shared" si="50"/>
        <v>73897.510930569537</v>
      </c>
      <c r="T163" s="97"/>
      <c r="U163" s="97">
        <f>IFERROR(INDEX('Revised 2020 MFAM(2018 PYAs)'!AD$26:AD$300,MATCH(B163,'Revised 2020 MFAM(2018 PYAs)'!B$26:B$300,0)),0)</f>
        <v>-27.710110485102632</v>
      </c>
      <c r="V163" s="97">
        <f>IFERROR(INDEX('Revised 2019 MFAM(2017 PYAs)'!AF$26:AF$300,MATCH(B163,'Revised 2019 MFAM(2017 PYAs)'!B$26:B$300,0)),0)</f>
        <v>10.946291809144896</v>
      </c>
      <c r="W163" s="97">
        <f t="shared" si="51"/>
        <v>-4.9216118223137761E-2</v>
      </c>
      <c r="X163" s="97">
        <f t="shared" si="52"/>
        <v>-16.813034794180876</v>
      </c>
      <c r="Y163" s="97"/>
      <c r="Z163" s="98">
        <f t="shared" si="53"/>
        <v>73880.69789577536</v>
      </c>
      <c r="AA163" s="99">
        <v>0</v>
      </c>
      <c r="AB163" s="100">
        <f t="shared" si="54"/>
        <v>0</v>
      </c>
      <c r="AC163" s="97">
        <f t="shared" si="55"/>
        <v>73880.69789577536</v>
      </c>
      <c r="AD163" s="103"/>
      <c r="AE163" s="97">
        <f t="shared" si="39"/>
        <v>18470.17447394384</v>
      </c>
      <c r="AF163" s="97">
        <f t="shared" si="39"/>
        <v>18470.17447394384</v>
      </c>
      <c r="AG163" s="97">
        <f t="shared" si="39"/>
        <v>18470.17447394384</v>
      </c>
      <c r="AH163" s="97">
        <f t="shared" si="39"/>
        <v>18470.17447394384</v>
      </c>
    </row>
    <row r="164" spans="2:34" x14ac:dyDescent="0.25">
      <c r="B164">
        <v>434</v>
      </c>
      <c r="C164" s="28">
        <v>7</v>
      </c>
      <c r="D164" s="35" t="s">
        <v>192</v>
      </c>
      <c r="E164" s="154">
        <f>INDEX('2019 Data Lockdown'!H$5:H$257,MATCH(B164,'2019 Data Lockdown'!B$5:B$257,0))</f>
        <v>253.47632993519809</v>
      </c>
      <c r="F164" s="5">
        <f>INDEX('2019 Data Lockdown'!E$5:E$257,MATCH(B164,'2019 Data Lockdown'!B$5:B$257,0))</f>
        <v>134168.73000000001</v>
      </c>
      <c r="G164" s="5">
        <f>INDEX('2019 Data Lockdown'!F$5:F$257,MATCH(B164,'2019 Data Lockdown'!B$5:B$257,0))</f>
        <v>0</v>
      </c>
      <c r="H164" s="5">
        <f t="shared" si="40"/>
        <v>134168.73000000001</v>
      </c>
      <c r="I164" s="95">
        <f t="shared" si="41"/>
        <v>529.3146308150375</v>
      </c>
      <c r="J164" s="6">
        <f t="shared" si="42"/>
        <v>529.3146308150375</v>
      </c>
      <c r="K164" s="5">
        <f t="shared" si="43"/>
        <v>134168.73000000001</v>
      </c>
      <c r="L164" s="135">
        <f>INDEX('2019 Best Practice Scores'!L$4:L$256,MATCH(B164,'2019 Best Practice Scores'!A$4:A$256,0))</f>
        <v>0.40509259259259256</v>
      </c>
      <c r="M164" s="97">
        <f t="shared" si="44"/>
        <v>31033.557480321317</v>
      </c>
      <c r="N164" s="97">
        <f t="shared" si="45"/>
        <v>18142.129923975233</v>
      </c>
      <c r="O164" s="97">
        <f t="shared" si="46"/>
        <v>3771.4392771223816</v>
      </c>
      <c r="P164" s="97">
        <f t="shared" si="47"/>
        <v>1630.3779288227586</v>
      </c>
      <c r="Q164" s="97">
        <f t="shared" si="48"/>
        <v>54577.504610241689</v>
      </c>
      <c r="R164" s="104">
        <f t="shared" si="49"/>
        <v>0.40678259837625119</v>
      </c>
      <c r="S164" s="166">
        <f t="shared" si="50"/>
        <v>54579.704233016004</v>
      </c>
      <c r="T164" s="97"/>
      <c r="U164" s="97">
        <f>IFERROR(INDEX('Revised 2020 MFAM(2018 PYAs)'!AD$26:AD$300,MATCH(B164,'Revised 2020 MFAM(2018 PYAs)'!B$26:B$300,0)),0)</f>
        <v>-18.8505035880371</v>
      </c>
      <c r="V164" s="97">
        <f>IFERROR(INDEX('Revised 2019 MFAM(2017 PYAs)'!AF$26:AF$300,MATCH(B164,'Revised 2019 MFAM(2017 PYAs)'!B$26:B$300,0)),0)</f>
        <v>7.8658396002356312</v>
      </c>
      <c r="W164" s="97">
        <f t="shared" si="51"/>
        <v>-3.6350360685894159E-2</v>
      </c>
      <c r="X164" s="97">
        <f t="shared" si="52"/>
        <v>-11.021014348487363</v>
      </c>
      <c r="Y164" s="97"/>
      <c r="Z164" s="98">
        <f t="shared" si="53"/>
        <v>54568.683218667516</v>
      </c>
      <c r="AA164" s="99">
        <v>0</v>
      </c>
      <c r="AB164" s="100">
        <f t="shared" si="54"/>
        <v>0</v>
      </c>
      <c r="AC164" s="97">
        <f t="shared" si="55"/>
        <v>54568.683218667516</v>
      </c>
      <c r="AD164" s="103"/>
      <c r="AE164" s="97">
        <f t="shared" si="39"/>
        <v>13642.170804666879</v>
      </c>
      <c r="AF164" s="97">
        <f t="shared" si="39"/>
        <v>13642.170804666879</v>
      </c>
      <c r="AG164" s="97">
        <f t="shared" si="39"/>
        <v>13642.170804666879</v>
      </c>
      <c r="AH164" s="97">
        <f t="shared" si="39"/>
        <v>13642.170804666879</v>
      </c>
    </row>
    <row r="165" spans="2:34" x14ac:dyDescent="0.25">
      <c r="B165">
        <v>437</v>
      </c>
      <c r="C165" s="28">
        <v>7</v>
      </c>
      <c r="D165" s="35" t="s">
        <v>193</v>
      </c>
      <c r="E165" s="154">
        <f>INDEX('2019 Data Lockdown'!H$5:H$257,MATCH(B165,'2019 Data Lockdown'!B$5:B$257,0))</f>
        <v>305.36634845286437</v>
      </c>
      <c r="F165" s="5">
        <f>INDEX('2019 Data Lockdown'!E$5:E$257,MATCH(B165,'2019 Data Lockdown'!B$5:B$257,0))</f>
        <v>243556.24</v>
      </c>
      <c r="G165" s="5">
        <f>INDEX('2019 Data Lockdown'!F$5:F$257,MATCH(B165,'2019 Data Lockdown'!B$5:B$257,0))</f>
        <v>0</v>
      </c>
      <c r="H165" s="5">
        <f t="shared" si="40"/>
        <v>243556.24</v>
      </c>
      <c r="I165" s="95">
        <f t="shared" si="41"/>
        <v>797.58703352211307</v>
      </c>
      <c r="J165" s="6">
        <f t="shared" si="42"/>
        <v>791.19656515655265</v>
      </c>
      <c r="K165" s="5">
        <f t="shared" si="43"/>
        <v>241604.80601030527</v>
      </c>
      <c r="L165" s="135">
        <f>INDEX('2019 Best Practice Scores'!L$4:L$256,MATCH(B165,'2019 Best Practice Scores'!A$4:A$256,0))</f>
        <v>0.41782407407407401</v>
      </c>
      <c r="M165" s="97">
        <f t="shared" si="44"/>
        <v>55883.78629538112</v>
      </c>
      <c r="N165" s="97">
        <f t="shared" si="45"/>
        <v>21856.068254807356</v>
      </c>
      <c r="O165" s="97">
        <f t="shared" si="46"/>
        <v>7004.877379386312</v>
      </c>
      <c r="P165" s="97">
        <f t="shared" si="47"/>
        <v>2935.908711491164</v>
      </c>
      <c r="Q165" s="97">
        <f t="shared" si="48"/>
        <v>87680.640641065955</v>
      </c>
      <c r="R165" s="104">
        <f t="shared" si="49"/>
        <v>0.36290933979734691</v>
      </c>
      <c r="S165" s="166">
        <f t="shared" si="50"/>
        <v>87684.174410801264</v>
      </c>
      <c r="T165" s="97"/>
      <c r="U165" s="97">
        <f>IFERROR(INDEX('Revised 2020 MFAM(2018 PYAs)'!AD$26:AD$300,MATCH(B165,'Revised 2020 MFAM(2018 PYAs)'!B$26:B$300,0)),0)</f>
        <v>120.16912203056563</v>
      </c>
      <c r="V165" s="97">
        <f>IFERROR(INDEX('Revised 2019 MFAM(2017 PYAs)'!AF$26:AF$300,MATCH(B165,'Revised 2019 MFAM(2017 PYAs)'!B$26:B$300,0)),0)</f>
        <v>-9.6637873160798335</v>
      </c>
      <c r="W165" s="97">
        <f t="shared" si="51"/>
        <v>-5.839810623871803E-2</v>
      </c>
      <c r="X165" s="97">
        <f t="shared" si="52"/>
        <v>110.44693660824709</v>
      </c>
      <c r="Y165" s="97"/>
      <c r="Z165" s="98">
        <f t="shared" si="53"/>
        <v>87794.621347409513</v>
      </c>
      <c r="AA165" s="99">
        <v>0</v>
      </c>
      <c r="AB165" s="100">
        <f t="shared" si="54"/>
        <v>0</v>
      </c>
      <c r="AC165" s="97">
        <f t="shared" si="55"/>
        <v>87794.621347409513</v>
      </c>
      <c r="AD165" s="103"/>
      <c r="AE165" s="97">
        <f t="shared" si="39"/>
        <v>21948.655336852378</v>
      </c>
      <c r="AF165" s="97">
        <f t="shared" si="39"/>
        <v>21948.655336852378</v>
      </c>
      <c r="AG165" s="97">
        <f t="shared" si="39"/>
        <v>21948.655336852378</v>
      </c>
      <c r="AH165" s="97">
        <f t="shared" si="39"/>
        <v>21948.655336852378</v>
      </c>
    </row>
    <row r="166" spans="2:34" x14ac:dyDescent="0.25">
      <c r="B166">
        <v>502</v>
      </c>
      <c r="C166" s="28">
        <v>7</v>
      </c>
      <c r="D166" s="35" t="s">
        <v>194</v>
      </c>
      <c r="E166" s="154">
        <f>INDEX('2019 Data Lockdown'!H$5:H$257,MATCH(B166,'2019 Data Lockdown'!B$5:B$257,0))</f>
        <v>497.74545729062561</v>
      </c>
      <c r="F166" s="5">
        <f>INDEX('2019 Data Lockdown'!E$5:E$257,MATCH(B166,'2019 Data Lockdown'!B$5:B$257,0))</f>
        <v>294346.69</v>
      </c>
      <c r="G166" s="5">
        <f>INDEX('2019 Data Lockdown'!F$5:F$257,MATCH(B166,'2019 Data Lockdown'!B$5:B$257,0))</f>
        <v>0</v>
      </c>
      <c r="H166" s="5">
        <f t="shared" si="40"/>
        <v>294346.69</v>
      </c>
      <c r="I166" s="95">
        <f t="shared" si="41"/>
        <v>591.35987217686591</v>
      </c>
      <c r="J166" s="6">
        <f t="shared" si="42"/>
        <v>591.35987217686591</v>
      </c>
      <c r="K166" s="5">
        <f t="shared" si="43"/>
        <v>294346.69</v>
      </c>
      <c r="L166" s="135">
        <f>INDEX('2019 Best Practice Scores'!L$4:L$256,MATCH(B166,'2019 Best Practice Scores'!A$4:A$256,0))</f>
        <v>0.31018518518518517</v>
      </c>
      <c r="M166" s="97">
        <f t="shared" si="44"/>
        <v>68083.113876514442</v>
      </c>
      <c r="N166" s="97">
        <f t="shared" si="45"/>
        <v>35625.270247299144</v>
      </c>
      <c r="O166" s="97">
        <f t="shared" si="46"/>
        <v>6335.5119857312038</v>
      </c>
      <c r="P166" s="97">
        <f t="shared" si="47"/>
        <v>3576.8121737310512</v>
      </c>
      <c r="Q166" s="97">
        <f t="shared" si="48"/>
        <v>113620.70828327586</v>
      </c>
      <c r="R166" s="104">
        <f t="shared" si="49"/>
        <v>0.38600980457186679</v>
      </c>
      <c r="S166" s="166">
        <f t="shared" si="50"/>
        <v>113625.28750871605</v>
      </c>
      <c r="T166" s="97"/>
      <c r="U166" s="97">
        <f>IFERROR(INDEX('Revised 2020 MFAM(2018 PYAs)'!AD$26:AD$300,MATCH(B166,'Revised 2020 MFAM(2018 PYAs)'!B$26:B$300,0)),0)</f>
        <v>-47.97481945315667</v>
      </c>
      <c r="V166" s="97">
        <f>IFERROR(INDEX('Revised 2019 MFAM(2017 PYAs)'!AF$26:AF$300,MATCH(B166,'Revised 2019 MFAM(2017 PYAs)'!B$26:B$300,0)),0)</f>
        <v>16.021428875552374</v>
      </c>
      <c r="W166" s="97">
        <f t="shared" si="51"/>
        <v>-7.5675019533758589E-2</v>
      </c>
      <c r="X166" s="97">
        <f t="shared" si="52"/>
        <v>-32.029065597138057</v>
      </c>
      <c r="Y166" s="97"/>
      <c r="Z166" s="98">
        <f t="shared" si="53"/>
        <v>113593.25844311892</v>
      </c>
      <c r="AA166" s="99">
        <v>0</v>
      </c>
      <c r="AB166" s="100">
        <f t="shared" si="54"/>
        <v>0</v>
      </c>
      <c r="AC166" s="97">
        <f t="shared" si="55"/>
        <v>113593.25844311892</v>
      </c>
      <c r="AD166" s="103"/>
      <c r="AE166" s="97">
        <f t="shared" ref="AE166:AH185" si="56">$AC166/4</f>
        <v>28398.314610779729</v>
      </c>
      <c r="AF166" s="97">
        <f t="shared" si="56"/>
        <v>28398.314610779729</v>
      </c>
      <c r="AG166" s="97">
        <f t="shared" si="56"/>
        <v>28398.314610779729</v>
      </c>
      <c r="AH166" s="97">
        <f t="shared" si="56"/>
        <v>28398.314610779729</v>
      </c>
    </row>
    <row r="167" spans="2:34" x14ac:dyDescent="0.25">
      <c r="B167">
        <v>503</v>
      </c>
      <c r="C167" s="28">
        <v>7</v>
      </c>
      <c r="D167" s="35" t="s">
        <v>195</v>
      </c>
      <c r="E167" s="154">
        <f>INDEX('2019 Data Lockdown'!H$5:H$257,MATCH(B167,'2019 Data Lockdown'!B$5:B$257,0))</f>
        <v>391.2185740323925</v>
      </c>
      <c r="F167" s="5">
        <f>INDEX('2019 Data Lockdown'!E$5:E$257,MATCH(B167,'2019 Data Lockdown'!B$5:B$257,0))</f>
        <v>213000.07</v>
      </c>
      <c r="G167" s="5">
        <f>INDEX('2019 Data Lockdown'!F$5:F$257,MATCH(B167,'2019 Data Lockdown'!B$5:B$257,0))</f>
        <v>33972.22</v>
      </c>
      <c r="H167" s="5">
        <f t="shared" si="40"/>
        <v>179027.85</v>
      </c>
      <c r="I167" s="95">
        <f t="shared" si="41"/>
        <v>457.61592593805807</v>
      </c>
      <c r="J167" s="6">
        <f t="shared" si="42"/>
        <v>457.61592593805807</v>
      </c>
      <c r="K167" s="5">
        <f t="shared" si="43"/>
        <v>179027.85</v>
      </c>
      <c r="L167" s="135">
        <f>INDEX('2019 Best Practice Scores'!L$4:L$256,MATCH(B167,'2019 Best Practice Scores'!A$4:A$256,0))</f>
        <v>0.73611111111111116</v>
      </c>
      <c r="M167" s="97">
        <f t="shared" si="44"/>
        <v>41409.582348683951</v>
      </c>
      <c r="N167" s="97">
        <f t="shared" si="45"/>
        <v>28000.792817942773</v>
      </c>
      <c r="O167" s="97">
        <f t="shared" si="46"/>
        <v>9144.6161020010386</v>
      </c>
      <c r="P167" s="97">
        <f t="shared" si="47"/>
        <v>2175.4924212563651</v>
      </c>
      <c r="Q167" s="97">
        <f t="shared" si="48"/>
        <v>80730.483689884117</v>
      </c>
      <c r="R167" s="104">
        <f t="shared" si="49"/>
        <v>0.45093812884355206</v>
      </c>
      <c r="S167" s="166">
        <f t="shared" si="50"/>
        <v>80733.737349276824</v>
      </c>
      <c r="T167" s="97"/>
      <c r="U167" s="97">
        <f>IFERROR(INDEX('Revised 2020 MFAM(2018 PYAs)'!AD$26:AD$300,MATCH(B167,'Revised 2020 MFAM(2018 PYAs)'!B$26:B$300,0)),0)</f>
        <v>-23.842943564559391</v>
      </c>
      <c r="V167" s="97">
        <f>IFERROR(INDEX('Revised 2019 MFAM(2017 PYAs)'!AF$26:AF$300,MATCH(B167,'Revised 2019 MFAM(2017 PYAs)'!B$26:B$300,0)),0)</f>
        <v>8.7945542827801546</v>
      </c>
      <c r="W167" s="97">
        <f t="shared" si="51"/>
        <v>-5.3769079796354355E-2</v>
      </c>
      <c r="X167" s="97">
        <f t="shared" si="52"/>
        <v>-15.10215836157559</v>
      </c>
      <c r="Y167" s="97"/>
      <c r="Z167" s="98">
        <f t="shared" si="53"/>
        <v>80718.635190915244</v>
      </c>
      <c r="AA167" s="99">
        <v>0</v>
      </c>
      <c r="AB167" s="100">
        <f t="shared" si="54"/>
        <v>0</v>
      </c>
      <c r="AC167" s="97">
        <f t="shared" si="55"/>
        <v>80718.635190915244</v>
      </c>
      <c r="AD167" s="103"/>
      <c r="AE167" s="97">
        <f t="shared" si="56"/>
        <v>20179.658797728811</v>
      </c>
      <c r="AF167" s="97">
        <f t="shared" si="56"/>
        <v>20179.658797728811</v>
      </c>
      <c r="AG167" s="97">
        <f t="shared" si="56"/>
        <v>20179.658797728811</v>
      </c>
      <c r="AH167" s="97">
        <f t="shared" si="56"/>
        <v>20179.658797728811</v>
      </c>
    </row>
    <row r="168" spans="2:34" x14ac:dyDescent="0.25">
      <c r="B168">
        <v>510</v>
      </c>
      <c r="C168" s="28">
        <v>7</v>
      </c>
      <c r="D168" s="35" t="s">
        <v>196</v>
      </c>
      <c r="E168" s="154">
        <f>INDEX('2019 Data Lockdown'!H$5:H$257,MATCH(B168,'2019 Data Lockdown'!B$5:B$257,0))</f>
        <v>507.29892721805413</v>
      </c>
      <c r="F168" s="5">
        <f>INDEX('2019 Data Lockdown'!E$5:E$257,MATCH(B168,'2019 Data Lockdown'!B$5:B$257,0))</f>
        <v>259881.62</v>
      </c>
      <c r="G168" s="5">
        <f>INDEX('2019 Data Lockdown'!F$5:F$257,MATCH(B168,'2019 Data Lockdown'!B$5:B$257,0))</f>
        <v>1071</v>
      </c>
      <c r="H168" s="5">
        <f t="shared" si="40"/>
        <v>258810.62</v>
      </c>
      <c r="I168" s="95">
        <f t="shared" si="41"/>
        <v>510.17379717176988</v>
      </c>
      <c r="J168" s="6">
        <f t="shared" si="42"/>
        <v>510.17379717176988</v>
      </c>
      <c r="K168" s="5">
        <f t="shared" si="43"/>
        <v>258810.62</v>
      </c>
      <c r="L168" s="135">
        <f>INDEX('2019 Best Practice Scores'!L$4:L$256,MATCH(B168,'2019 Best Practice Scores'!A$4:A$256,0))</f>
        <v>0.37731481481481488</v>
      </c>
      <c r="M168" s="97">
        <f t="shared" si="44"/>
        <v>59863.533420101667</v>
      </c>
      <c r="N168" s="97">
        <f t="shared" si="45"/>
        <v>36309.043334484486</v>
      </c>
      <c r="O168" s="97">
        <f t="shared" si="46"/>
        <v>6776.219407969842</v>
      </c>
      <c r="P168" s="97">
        <f t="shared" si="47"/>
        <v>3144.9885721727705</v>
      </c>
      <c r="Q168" s="97">
        <f t="shared" si="48"/>
        <v>106093.78473472878</v>
      </c>
      <c r="R168" s="104">
        <f t="shared" si="49"/>
        <v>0.40992825076006839</v>
      </c>
      <c r="S168" s="166">
        <f t="shared" si="50"/>
        <v>106098.0606045543</v>
      </c>
      <c r="T168" s="97"/>
      <c r="U168" s="97">
        <f>IFERROR(INDEX('Revised 2020 MFAM(2018 PYAs)'!AD$26:AD$300,MATCH(B168,'Revised 2020 MFAM(2018 PYAs)'!B$26:B$300,0)),0)</f>
        <v>-34.95743467376451</v>
      </c>
      <c r="V168" s="97">
        <f>IFERROR(INDEX('Revised 2019 MFAM(2017 PYAs)'!AF$26:AF$300,MATCH(B168,'Revised 2019 MFAM(2017 PYAs)'!B$26:B$300,0)),0)</f>
        <v>12.299701499592629</v>
      </c>
      <c r="W168" s="97">
        <f t="shared" si="51"/>
        <v>-7.0661848121859813E-2</v>
      </c>
      <c r="X168" s="97">
        <f t="shared" si="52"/>
        <v>-22.728395022293739</v>
      </c>
      <c r="Y168" s="97"/>
      <c r="Z168" s="98">
        <f t="shared" si="53"/>
        <v>106075.332209532</v>
      </c>
      <c r="AA168" s="99">
        <v>0</v>
      </c>
      <c r="AB168" s="100">
        <f t="shared" si="54"/>
        <v>0</v>
      </c>
      <c r="AC168" s="97">
        <f t="shared" si="55"/>
        <v>106075.332209532</v>
      </c>
      <c r="AD168" s="103"/>
      <c r="AE168" s="97">
        <f t="shared" si="56"/>
        <v>26518.833052383001</v>
      </c>
      <c r="AF168" s="97">
        <f t="shared" si="56"/>
        <v>26518.833052383001</v>
      </c>
      <c r="AG168" s="97">
        <f t="shared" si="56"/>
        <v>26518.833052383001</v>
      </c>
      <c r="AH168" s="97">
        <f t="shared" si="56"/>
        <v>26518.833052383001</v>
      </c>
    </row>
    <row r="169" spans="2:34" x14ac:dyDescent="0.25">
      <c r="B169">
        <v>531</v>
      </c>
      <c r="C169" s="28">
        <v>7</v>
      </c>
      <c r="D169" s="35" t="s">
        <v>197</v>
      </c>
      <c r="E169" s="154">
        <f>INDEX('2019 Data Lockdown'!H$5:H$257,MATCH(B169,'2019 Data Lockdown'!B$5:B$257,0))</f>
        <v>1984.57</v>
      </c>
      <c r="F169" s="5">
        <f>INDEX('2019 Data Lockdown'!E$5:E$257,MATCH(B169,'2019 Data Lockdown'!B$5:B$257,0))</f>
        <v>629818.71</v>
      </c>
      <c r="G169" s="5">
        <f>INDEX('2019 Data Lockdown'!F$5:F$257,MATCH(B169,'2019 Data Lockdown'!B$5:B$257,0))</f>
        <v>2609.7399999999998</v>
      </c>
      <c r="H169" s="5">
        <f t="shared" si="40"/>
        <v>627208.97</v>
      </c>
      <c r="I169" s="95">
        <f t="shared" si="41"/>
        <v>316.04275485369624</v>
      </c>
      <c r="J169" s="6">
        <f t="shared" si="42"/>
        <v>316.04275485369624</v>
      </c>
      <c r="K169" s="5">
        <f t="shared" si="43"/>
        <v>627208.97</v>
      </c>
      <c r="L169" s="135">
        <f>INDEX('2019 Best Practice Scores'!L$4:L$256,MATCH(B169,'2019 Best Practice Scores'!A$4:A$256,0))</f>
        <v>0.89814814814814814</v>
      </c>
      <c r="M169" s="97">
        <f t="shared" si="44"/>
        <v>145074.97851897476</v>
      </c>
      <c r="N169" s="97">
        <f t="shared" si="45"/>
        <v>142042.16540624574</v>
      </c>
      <c r="O169" s="97">
        <f t="shared" si="46"/>
        <v>39089.646989834866</v>
      </c>
      <c r="P169" s="97">
        <f t="shared" si="47"/>
        <v>7621.6541771518268</v>
      </c>
      <c r="Q169" s="97">
        <f t="shared" si="48"/>
        <v>333828.44509220717</v>
      </c>
      <c r="R169" s="104">
        <f t="shared" si="49"/>
        <v>0.53224437318268458</v>
      </c>
      <c r="S169" s="166">
        <f t="shared" si="50"/>
        <v>333841.89929198747</v>
      </c>
      <c r="T169" s="97"/>
      <c r="U169" s="97">
        <f>IFERROR(INDEX('Revised 2020 MFAM(2018 PYAs)'!AD$26:AD$300,MATCH(B169,'Revised 2020 MFAM(2018 PYAs)'!B$26:B$300,0)),0)</f>
        <v>-91.202951068698894</v>
      </c>
      <c r="V169" s="97">
        <f>IFERROR(INDEX('Revised 2019 MFAM(2017 PYAs)'!AF$26:AF$300,MATCH(B169,'Revised 2019 MFAM(2017 PYAs)'!B$26:B$300,0)),0)</f>
        <v>53.093359060178045</v>
      </c>
      <c r="W169" s="97">
        <f t="shared" si="51"/>
        <v>-0.22234040330300847</v>
      </c>
      <c r="X169" s="97">
        <f t="shared" si="52"/>
        <v>-38.331932411823857</v>
      </c>
      <c r="Y169" s="97"/>
      <c r="Z169" s="98">
        <f t="shared" si="53"/>
        <v>333803.56735957565</v>
      </c>
      <c r="AA169" s="99">
        <v>0</v>
      </c>
      <c r="AB169" s="100">
        <f t="shared" si="54"/>
        <v>0</v>
      </c>
      <c r="AC169" s="97">
        <f t="shared" si="55"/>
        <v>333803.56735957565</v>
      </c>
      <c r="AD169" s="103"/>
      <c r="AE169" s="97">
        <f t="shared" si="56"/>
        <v>83450.891839893913</v>
      </c>
      <c r="AF169" s="97">
        <f t="shared" si="56"/>
        <v>83450.891839893913</v>
      </c>
      <c r="AG169" s="97">
        <f t="shared" si="56"/>
        <v>83450.891839893913</v>
      </c>
      <c r="AH169" s="97">
        <f t="shared" si="56"/>
        <v>83450.891839893913</v>
      </c>
    </row>
    <row r="170" spans="2:34" x14ac:dyDescent="0.25">
      <c r="B170">
        <v>551</v>
      </c>
      <c r="C170" s="28">
        <v>7</v>
      </c>
      <c r="D170" s="35" t="s">
        <v>199</v>
      </c>
      <c r="E170" s="154">
        <f>INDEX('2019 Data Lockdown'!H$5:H$257,MATCH(B170,'2019 Data Lockdown'!B$5:B$257,0))</f>
        <v>153.38752675955698</v>
      </c>
      <c r="F170" s="5">
        <f>INDEX('2019 Data Lockdown'!E$5:E$257,MATCH(B170,'2019 Data Lockdown'!B$5:B$257,0))</f>
        <v>117853.72</v>
      </c>
      <c r="G170" s="5">
        <f>INDEX('2019 Data Lockdown'!F$5:F$257,MATCH(B170,'2019 Data Lockdown'!B$5:B$257,0))</f>
        <v>72</v>
      </c>
      <c r="H170" s="5">
        <f t="shared" si="40"/>
        <v>117781.72</v>
      </c>
      <c r="I170" s="95">
        <f t="shared" si="41"/>
        <v>767.87025965044108</v>
      </c>
      <c r="J170" s="6">
        <f t="shared" si="42"/>
        <v>767.87025965044108</v>
      </c>
      <c r="K170" s="5">
        <f t="shared" si="43"/>
        <v>117781.72</v>
      </c>
      <c r="L170" s="135">
        <f>INDEX('2019 Best Practice Scores'!L$4:L$256,MATCH(B170,'2019 Best Practice Scores'!A$4:A$256,0))</f>
        <v>0.49074074074074076</v>
      </c>
      <c r="M170" s="97">
        <f t="shared" si="44"/>
        <v>27243.201733750557</v>
      </c>
      <c r="N170" s="97">
        <f t="shared" si="45"/>
        <v>10978.446941773755</v>
      </c>
      <c r="O170" s="97">
        <f t="shared" si="46"/>
        <v>4010.8046996910543</v>
      </c>
      <c r="P170" s="97">
        <f t="shared" si="47"/>
        <v>1431.2479271942282</v>
      </c>
      <c r="Q170" s="97">
        <f t="shared" si="48"/>
        <v>43663.701302409594</v>
      </c>
      <c r="R170" s="104">
        <f t="shared" si="49"/>
        <v>0.37071713082819296</v>
      </c>
      <c r="S170" s="166">
        <f t="shared" si="50"/>
        <v>43665.461069047538</v>
      </c>
      <c r="T170" s="97"/>
      <c r="U170" s="97">
        <f>IFERROR(INDEX('Revised 2020 MFAM(2018 PYAs)'!AD$26:AD$300,MATCH(B170,'Revised 2020 MFAM(2018 PYAs)'!B$26:B$300,0)),0)</f>
        <v>-13.704582705031498</v>
      </c>
      <c r="V170" s="97">
        <f>IFERROR(INDEX('Revised 2019 MFAM(2017 PYAs)'!AF$26:AF$300,MATCH(B170,'Revised 2019 MFAM(2017 PYAs)'!B$26:B$300,0)),0)</f>
        <v>4.6533961472814553</v>
      </c>
      <c r="W170" s="97">
        <f t="shared" si="51"/>
        <v>-2.9081419213986784E-2</v>
      </c>
      <c r="X170" s="97">
        <f t="shared" si="52"/>
        <v>-9.0802679769640307</v>
      </c>
      <c r="Y170" s="97"/>
      <c r="Z170" s="98">
        <f t="shared" si="53"/>
        <v>43656.380801070576</v>
      </c>
      <c r="AA170" s="99">
        <v>0</v>
      </c>
      <c r="AB170" s="100">
        <f t="shared" si="54"/>
        <v>0</v>
      </c>
      <c r="AC170" s="97">
        <f t="shared" si="55"/>
        <v>43656.380801070576</v>
      </c>
      <c r="AD170" s="103"/>
      <c r="AE170" s="97">
        <f t="shared" si="56"/>
        <v>10914.095200267644</v>
      </c>
      <c r="AF170" s="97">
        <f t="shared" si="56"/>
        <v>10914.095200267644</v>
      </c>
      <c r="AG170" s="97">
        <f t="shared" si="56"/>
        <v>10914.095200267644</v>
      </c>
      <c r="AH170" s="97">
        <f t="shared" si="56"/>
        <v>10914.095200267644</v>
      </c>
    </row>
    <row r="171" spans="2:34" x14ac:dyDescent="0.25">
      <c r="B171">
        <v>555</v>
      </c>
      <c r="C171" s="28">
        <v>7</v>
      </c>
      <c r="D171" s="35" t="s">
        <v>200</v>
      </c>
      <c r="E171" s="154">
        <f>INDEX('2019 Data Lockdown'!H$5:H$257,MATCH(B171,'2019 Data Lockdown'!B$5:B$257,0))</f>
        <v>517.66739217631118</v>
      </c>
      <c r="F171" s="5">
        <f>INDEX('2019 Data Lockdown'!E$5:E$257,MATCH(B171,'2019 Data Lockdown'!B$5:B$257,0))</f>
        <v>492608.68</v>
      </c>
      <c r="G171" s="5">
        <f>INDEX('2019 Data Lockdown'!F$5:F$257,MATCH(B171,'2019 Data Lockdown'!B$5:B$257,0))</f>
        <v>497.7</v>
      </c>
      <c r="H171" s="5">
        <f t="shared" si="40"/>
        <v>492110.98</v>
      </c>
      <c r="I171" s="95">
        <f t="shared" si="41"/>
        <v>950.63159750342743</v>
      </c>
      <c r="J171" s="6">
        <f t="shared" si="42"/>
        <v>791.19656515655265</v>
      </c>
      <c r="K171" s="5">
        <f t="shared" si="43"/>
        <v>409576.66258344747</v>
      </c>
      <c r="L171" s="135">
        <f>INDEX('2019 Best Practice Scores'!L$4:L$256,MATCH(B171,'2019 Best Practice Scores'!A$4:A$256,0))</f>
        <v>0.65625</v>
      </c>
      <c r="M171" s="97">
        <f t="shared" si="44"/>
        <v>94736.090152165736</v>
      </c>
      <c r="N171" s="97">
        <f t="shared" si="45"/>
        <v>37051.148281455171</v>
      </c>
      <c r="O171" s="97">
        <f t="shared" si="46"/>
        <v>18651.16774870763</v>
      </c>
      <c r="P171" s="97">
        <f t="shared" si="47"/>
        <v>4977.052036170714</v>
      </c>
      <c r="Q171" s="97">
        <f t="shared" si="48"/>
        <v>155415.45821849923</v>
      </c>
      <c r="R171" s="104">
        <f t="shared" si="49"/>
        <v>0.37945389084963982</v>
      </c>
      <c r="S171" s="166">
        <f t="shared" si="50"/>
        <v>155421.72188672333</v>
      </c>
      <c r="T171" s="97"/>
      <c r="U171" s="97">
        <f>IFERROR(INDEX('Revised 2020 MFAM(2018 PYAs)'!AD$26:AD$300,MATCH(B171,'Revised 2020 MFAM(2018 PYAs)'!B$26:B$300,0)),0)</f>
        <v>-693.14997681221575</v>
      </c>
      <c r="V171" s="97">
        <f>IFERROR(INDEX('Revised 2019 MFAM(2017 PYAs)'!AF$26:AF$300,MATCH(B171,'Revised 2019 MFAM(2017 PYAs)'!B$26:B$300,0)),0)</f>
        <v>-21.62787660441245</v>
      </c>
      <c r="W171" s="97">
        <f t="shared" si="51"/>
        <v>-0.10351165746309746</v>
      </c>
      <c r="X171" s="97">
        <f t="shared" si="52"/>
        <v>-714.88136507409126</v>
      </c>
      <c r="Y171" s="97"/>
      <c r="Z171" s="98">
        <f t="shared" si="53"/>
        <v>154706.84052164925</v>
      </c>
      <c r="AA171" s="99">
        <v>0</v>
      </c>
      <c r="AB171" s="100">
        <f t="shared" si="54"/>
        <v>0</v>
      </c>
      <c r="AC171" s="97">
        <f t="shared" si="55"/>
        <v>154706.84052164925</v>
      </c>
      <c r="AD171" s="103"/>
      <c r="AE171" s="97">
        <f t="shared" si="56"/>
        <v>38676.710130412313</v>
      </c>
      <c r="AF171" s="97">
        <f t="shared" si="56"/>
        <v>38676.710130412313</v>
      </c>
      <c r="AG171" s="97">
        <f t="shared" si="56"/>
        <v>38676.710130412313</v>
      </c>
      <c r="AH171" s="97">
        <f t="shared" si="56"/>
        <v>38676.710130412313</v>
      </c>
    </row>
    <row r="172" spans="2:34" x14ac:dyDescent="0.25">
      <c r="B172">
        <v>556</v>
      </c>
      <c r="C172" s="28">
        <v>7</v>
      </c>
      <c r="D172" s="35" t="s">
        <v>201</v>
      </c>
      <c r="E172" s="154">
        <f>INDEX('2019 Data Lockdown'!H$5:H$257,MATCH(B172,'2019 Data Lockdown'!B$5:B$257,0))</f>
        <v>429.57419276527332</v>
      </c>
      <c r="F172" s="5">
        <f>INDEX('2019 Data Lockdown'!E$5:E$257,MATCH(B172,'2019 Data Lockdown'!B$5:B$257,0))</f>
        <v>251644.37</v>
      </c>
      <c r="G172" s="5">
        <f>INDEX('2019 Data Lockdown'!F$5:F$257,MATCH(B172,'2019 Data Lockdown'!B$5:B$257,0))</f>
        <v>73939.33</v>
      </c>
      <c r="H172" s="5">
        <f t="shared" si="40"/>
        <v>177705.03999999998</v>
      </c>
      <c r="I172" s="95">
        <f t="shared" si="41"/>
        <v>413.67717845448192</v>
      </c>
      <c r="J172" s="6">
        <f t="shared" si="42"/>
        <v>413.67717845448192</v>
      </c>
      <c r="K172" s="5">
        <f t="shared" si="43"/>
        <v>177705.03999999998</v>
      </c>
      <c r="L172" s="135">
        <f>INDEX('2019 Best Practice Scores'!L$4:L$256,MATCH(B172,'2019 Best Practice Scores'!A$4:A$256,0))</f>
        <v>0.84259259259259256</v>
      </c>
      <c r="M172" s="97">
        <f t="shared" si="44"/>
        <v>41103.61313983368</v>
      </c>
      <c r="N172" s="97">
        <f t="shared" si="45"/>
        <v>30746.029892127488</v>
      </c>
      <c r="O172" s="97">
        <f t="shared" si="46"/>
        <v>10390.079988124624</v>
      </c>
      <c r="P172" s="97">
        <f t="shared" si="47"/>
        <v>2159.4180332225355</v>
      </c>
      <c r="Q172" s="97">
        <f t="shared" si="48"/>
        <v>84399.141053308325</v>
      </c>
      <c r="R172" s="104">
        <f t="shared" si="49"/>
        <v>0.47493948991715901</v>
      </c>
      <c r="S172" s="166">
        <f t="shared" si="50"/>
        <v>84402.542569631201</v>
      </c>
      <c r="T172" s="97"/>
      <c r="U172" s="97">
        <f>IFERROR(INDEX('Revised 2020 MFAM(2018 PYAs)'!AD$26:AD$300,MATCH(B172,'Revised 2020 MFAM(2018 PYAs)'!B$26:B$300,0)),0)</f>
        <v>-22.826691763169947</v>
      </c>
      <c r="V172" s="97">
        <f>IFERROR(INDEX('Revised 2019 MFAM(2017 PYAs)'!AF$26:AF$300,MATCH(B172,'Revised 2019 MFAM(2017 PYAs)'!B$26:B$300,0)),0)</f>
        <v>9.9550210934394272</v>
      </c>
      <c r="W172" s="97">
        <f t="shared" si="51"/>
        <v>-5.6212522737650109E-2</v>
      </c>
      <c r="X172" s="97">
        <f t="shared" si="52"/>
        <v>-12.927883192468171</v>
      </c>
      <c r="Y172" s="97"/>
      <c r="Z172" s="98">
        <f t="shared" si="53"/>
        <v>84389.614686438726</v>
      </c>
      <c r="AA172" s="99">
        <v>0</v>
      </c>
      <c r="AB172" s="100">
        <f t="shared" si="54"/>
        <v>0</v>
      </c>
      <c r="AC172" s="97">
        <f t="shared" si="55"/>
        <v>84389.614686438726</v>
      </c>
      <c r="AD172" s="103"/>
      <c r="AE172" s="97">
        <f t="shared" si="56"/>
        <v>21097.403671609682</v>
      </c>
      <c r="AF172" s="97">
        <f t="shared" si="56"/>
        <v>21097.403671609682</v>
      </c>
      <c r="AG172" s="97">
        <f t="shared" si="56"/>
        <v>21097.403671609682</v>
      </c>
      <c r="AH172" s="97">
        <f t="shared" si="56"/>
        <v>21097.403671609682</v>
      </c>
    </row>
    <row r="173" spans="2:34" x14ac:dyDescent="0.25">
      <c r="B173">
        <v>558</v>
      </c>
      <c r="C173" s="28">
        <v>7</v>
      </c>
      <c r="D173" s="35" t="s">
        <v>202</v>
      </c>
      <c r="E173" s="154">
        <f>INDEX('2019 Data Lockdown'!H$5:H$257,MATCH(B173,'2019 Data Lockdown'!B$5:B$257,0))</f>
        <v>390.35157563140439</v>
      </c>
      <c r="F173" s="5">
        <f>INDEX('2019 Data Lockdown'!E$5:E$257,MATCH(B173,'2019 Data Lockdown'!B$5:B$257,0))</f>
        <v>237481.28</v>
      </c>
      <c r="G173" s="5">
        <f>INDEX('2019 Data Lockdown'!F$5:F$257,MATCH(B173,'2019 Data Lockdown'!B$5:B$257,0))</f>
        <v>9049.75</v>
      </c>
      <c r="H173" s="5">
        <f t="shared" si="40"/>
        <v>228431.53</v>
      </c>
      <c r="I173" s="95">
        <f t="shared" si="41"/>
        <v>585.19433316108882</v>
      </c>
      <c r="J173" s="6">
        <f t="shared" si="42"/>
        <v>585.19433316108882</v>
      </c>
      <c r="K173" s="5">
        <f t="shared" si="43"/>
        <v>228431.53000000003</v>
      </c>
      <c r="L173" s="135">
        <f>INDEX('2019 Best Practice Scores'!L$4:L$256,MATCH(B173,'2019 Best Practice Scores'!A$4:A$256,0))</f>
        <v>0.34722222222222221</v>
      </c>
      <c r="M173" s="97">
        <f t="shared" si="44"/>
        <v>52836.775130633963</v>
      </c>
      <c r="N173" s="97">
        <f t="shared" si="45"/>
        <v>27938.738906878862</v>
      </c>
      <c r="O173" s="97">
        <f t="shared" si="46"/>
        <v>5503.8307427743712</v>
      </c>
      <c r="P173" s="97">
        <f t="shared" si="47"/>
        <v>2775.831035735479</v>
      </c>
      <c r="Q173" s="97">
        <f t="shared" si="48"/>
        <v>89055.175816022675</v>
      </c>
      <c r="R173" s="104">
        <f t="shared" si="49"/>
        <v>0.38985500738896539</v>
      </c>
      <c r="S173" s="166">
        <f t="shared" si="50"/>
        <v>89058.76498328663</v>
      </c>
      <c r="T173" s="97"/>
      <c r="U173" s="97">
        <f>IFERROR(INDEX('Revised 2020 MFAM(2018 PYAs)'!AD$26:AD$300,MATCH(B173,'Revised 2020 MFAM(2018 PYAs)'!B$26:B$300,0)),0)</f>
        <v>-32.107344126940006</v>
      </c>
      <c r="V173" s="97">
        <f>IFERROR(INDEX('Revised 2019 MFAM(2017 PYAs)'!AF$26:AF$300,MATCH(B173,'Revised 2019 MFAM(2017 PYAs)'!B$26:B$300,0)),0)</f>
        <v>8.0120318141562166</v>
      </c>
      <c r="W173" s="97">
        <f t="shared" si="51"/>
        <v>-5.9313590553032924E-2</v>
      </c>
      <c r="X173" s="97">
        <f t="shared" si="52"/>
        <v>-24.154625903336822</v>
      </c>
      <c r="Y173" s="97"/>
      <c r="Z173" s="98">
        <f t="shared" si="53"/>
        <v>89034.610357383295</v>
      </c>
      <c r="AA173" s="99">
        <v>0</v>
      </c>
      <c r="AB173" s="100">
        <f t="shared" si="54"/>
        <v>0</v>
      </c>
      <c r="AC173" s="97">
        <f t="shared" si="55"/>
        <v>89034.610357383295</v>
      </c>
      <c r="AD173" s="103"/>
      <c r="AE173" s="97">
        <f t="shared" si="56"/>
        <v>22258.652589345824</v>
      </c>
      <c r="AF173" s="97">
        <f t="shared" si="56"/>
        <v>22258.652589345824</v>
      </c>
      <c r="AG173" s="97">
        <f t="shared" si="56"/>
        <v>22258.652589345824</v>
      </c>
      <c r="AH173" s="97">
        <f t="shared" si="56"/>
        <v>22258.652589345824</v>
      </c>
    </row>
    <row r="174" spans="2:34" x14ac:dyDescent="0.25">
      <c r="B174">
        <v>600</v>
      </c>
      <c r="C174" s="28">
        <v>7</v>
      </c>
      <c r="D174" s="35" t="s">
        <v>203</v>
      </c>
      <c r="E174" s="154">
        <f>INDEX('2019 Data Lockdown'!H$5:H$257,MATCH(B174,'2019 Data Lockdown'!B$5:B$257,0))</f>
        <v>754.93</v>
      </c>
      <c r="F174" s="5">
        <f>INDEX('2019 Data Lockdown'!E$5:E$257,MATCH(B174,'2019 Data Lockdown'!B$5:B$257,0))</f>
        <v>289349.82</v>
      </c>
      <c r="G174" s="5">
        <f>INDEX('2019 Data Lockdown'!F$5:F$257,MATCH(B174,'2019 Data Lockdown'!B$5:B$257,0))</f>
        <v>0</v>
      </c>
      <c r="H174" s="5">
        <f t="shared" si="40"/>
        <v>289349.82</v>
      </c>
      <c r="I174" s="95">
        <f t="shared" si="41"/>
        <v>383.28033062668067</v>
      </c>
      <c r="J174" s="6">
        <f t="shared" si="42"/>
        <v>383.28033062668067</v>
      </c>
      <c r="K174" s="5">
        <f t="shared" si="43"/>
        <v>289349.82</v>
      </c>
      <c r="L174" s="135">
        <f>INDEX('2019 Best Practice Scores'!L$4:L$256,MATCH(B174,'2019 Best Practice Scores'!A$4:A$256,0))</f>
        <v>0.9004629629629628</v>
      </c>
      <c r="M174" s="97">
        <f t="shared" si="44"/>
        <v>66927.325546650289</v>
      </c>
      <c r="N174" s="97">
        <f t="shared" si="45"/>
        <v>54032.809087176109</v>
      </c>
      <c r="O174" s="97">
        <f t="shared" si="46"/>
        <v>18079.673359477052</v>
      </c>
      <c r="P174" s="97">
        <f t="shared" si="47"/>
        <v>3516.0917170255539</v>
      </c>
      <c r="Q174" s="97">
        <f t="shared" si="48"/>
        <v>142555.89971032902</v>
      </c>
      <c r="R174" s="104">
        <f t="shared" si="49"/>
        <v>0.49267664901374059</v>
      </c>
      <c r="S174" s="166">
        <f t="shared" si="50"/>
        <v>142561.64510315808</v>
      </c>
      <c r="T174" s="97"/>
      <c r="U174" s="97">
        <f>IFERROR(INDEX('Revised 2020 MFAM(2018 PYAs)'!AD$26:AD$300,MATCH(B174,'Revised 2020 MFAM(2018 PYAs)'!B$26:B$300,0)),0)</f>
        <v>-37.883892138910596</v>
      </c>
      <c r="V174" s="97">
        <f>IFERROR(INDEX('Revised 2019 MFAM(2017 PYAs)'!AF$26:AF$300,MATCH(B174,'Revised 2019 MFAM(2017 PYAs)'!B$26:B$300,0)),0)</f>
        <v>17.046651267926791</v>
      </c>
      <c r="W174" s="97">
        <f t="shared" si="51"/>
        <v>-9.4946780901378883E-2</v>
      </c>
      <c r="X174" s="97">
        <f t="shared" si="52"/>
        <v>-20.932187651885183</v>
      </c>
      <c r="Y174" s="97"/>
      <c r="Z174" s="98">
        <f t="shared" si="53"/>
        <v>142540.71291550618</v>
      </c>
      <c r="AA174" s="99">
        <v>0</v>
      </c>
      <c r="AB174" s="100">
        <f t="shared" si="54"/>
        <v>0</v>
      </c>
      <c r="AC174" s="97">
        <f t="shared" si="55"/>
        <v>142540.71291550618</v>
      </c>
      <c r="AD174" s="103"/>
      <c r="AE174" s="97">
        <f t="shared" si="56"/>
        <v>35635.178228876546</v>
      </c>
      <c r="AF174" s="97">
        <f t="shared" si="56"/>
        <v>35635.178228876546</v>
      </c>
      <c r="AG174" s="97">
        <f t="shared" si="56"/>
        <v>35635.178228876546</v>
      </c>
      <c r="AH174" s="97">
        <f t="shared" si="56"/>
        <v>35635.178228876546</v>
      </c>
    </row>
    <row r="175" spans="2:34" x14ac:dyDescent="0.25">
      <c r="B175">
        <v>604</v>
      </c>
      <c r="C175" s="28">
        <v>7</v>
      </c>
      <c r="D175" s="35" t="s">
        <v>204</v>
      </c>
      <c r="E175" s="154">
        <f>INDEX('2019 Data Lockdown'!H$5:H$257,MATCH(B175,'2019 Data Lockdown'!B$5:B$257,0))</f>
        <v>515.30042961563572</v>
      </c>
      <c r="F175" s="5">
        <f>INDEX('2019 Data Lockdown'!E$5:E$257,MATCH(B175,'2019 Data Lockdown'!B$5:B$257,0))</f>
        <v>227300.68</v>
      </c>
      <c r="G175" s="5">
        <f>INDEX('2019 Data Lockdown'!F$5:F$257,MATCH(B175,'2019 Data Lockdown'!B$5:B$257,0))</f>
        <v>4684.6499999999996</v>
      </c>
      <c r="H175" s="5">
        <f t="shared" si="40"/>
        <v>222616.03</v>
      </c>
      <c r="I175" s="95">
        <f t="shared" si="41"/>
        <v>432.01211799114941</v>
      </c>
      <c r="J175" s="6">
        <f t="shared" si="42"/>
        <v>432.01211799114941</v>
      </c>
      <c r="K175" s="5">
        <f t="shared" si="43"/>
        <v>222616.03</v>
      </c>
      <c r="L175" s="135">
        <f>INDEX('2019 Best Practice Scores'!L$4:L$256,MATCH(B175,'2019 Best Practice Scores'!A$4:A$256,0))</f>
        <v>0.55092592592592593</v>
      </c>
      <c r="M175" s="97">
        <f t="shared" si="44"/>
        <v>51491.635666864655</v>
      </c>
      <c r="N175" s="97">
        <f t="shared" si="45"/>
        <v>36881.737029872274</v>
      </c>
      <c r="O175" s="97">
        <f t="shared" si="46"/>
        <v>8510.4231171623524</v>
      </c>
      <c r="P175" s="97">
        <f t="shared" si="47"/>
        <v>2705.1628342471827</v>
      </c>
      <c r="Q175" s="97">
        <f t="shared" si="48"/>
        <v>99588.958648146465</v>
      </c>
      <c r="R175" s="104">
        <f t="shared" si="49"/>
        <v>0.4473575359696535</v>
      </c>
      <c r="S175" s="166">
        <f t="shared" si="50"/>
        <v>99592.972355681777</v>
      </c>
      <c r="T175" s="97"/>
      <c r="U175" s="97">
        <f>IFERROR(INDEX('Revised 2020 MFAM(2018 PYAs)'!AD$26:AD$300,MATCH(B175,'Revised 2020 MFAM(2018 PYAs)'!B$26:B$300,0)),0)</f>
        <v>-29.17100271077652</v>
      </c>
      <c r="V175" s="97">
        <f>IFERROR(INDEX('Revised 2019 MFAM(2017 PYAs)'!AF$26:AF$300,MATCH(B175,'Revised 2019 MFAM(2017 PYAs)'!B$26:B$300,0)),0)</f>
        <v>13.704584961262299</v>
      </c>
      <c r="W175" s="97">
        <f t="shared" si="51"/>
        <v>-6.6329426254372881E-2</v>
      </c>
      <c r="X175" s="97">
        <f t="shared" si="52"/>
        <v>-15.532747175768595</v>
      </c>
      <c r="Y175" s="97"/>
      <c r="Z175" s="98">
        <f t="shared" si="53"/>
        <v>99577.439608506014</v>
      </c>
      <c r="AA175" s="99">
        <v>0</v>
      </c>
      <c r="AB175" s="100">
        <f t="shared" si="54"/>
        <v>0</v>
      </c>
      <c r="AC175" s="97">
        <f t="shared" si="55"/>
        <v>99577.439608506014</v>
      </c>
      <c r="AD175" s="103"/>
      <c r="AE175" s="97">
        <f t="shared" si="56"/>
        <v>24894.359902126504</v>
      </c>
      <c r="AF175" s="97">
        <f t="shared" si="56"/>
        <v>24894.359902126504</v>
      </c>
      <c r="AG175" s="97">
        <f t="shared" si="56"/>
        <v>24894.359902126504</v>
      </c>
      <c r="AH175" s="97">
        <f t="shared" si="56"/>
        <v>24894.359902126504</v>
      </c>
    </row>
    <row r="176" spans="2:34" x14ac:dyDescent="0.25">
      <c r="B176">
        <v>612</v>
      </c>
      <c r="C176" s="28">
        <v>7</v>
      </c>
      <c r="D176" s="35" t="s">
        <v>205</v>
      </c>
      <c r="E176" s="154">
        <f>INDEX('2019 Data Lockdown'!H$5:H$257,MATCH(B176,'2019 Data Lockdown'!B$5:B$257,0))</f>
        <v>465.4674142756993</v>
      </c>
      <c r="F176" s="5">
        <f>INDEX('2019 Data Lockdown'!E$5:E$257,MATCH(B176,'2019 Data Lockdown'!B$5:B$257,0))</f>
        <v>309970.14</v>
      </c>
      <c r="G176" s="5">
        <f>INDEX('2019 Data Lockdown'!F$5:F$257,MATCH(B176,'2019 Data Lockdown'!B$5:B$257,0))</f>
        <v>6701.21</v>
      </c>
      <c r="H176" s="5">
        <f t="shared" si="40"/>
        <v>303268.93</v>
      </c>
      <c r="I176" s="95">
        <f t="shared" si="41"/>
        <v>651.53632821302483</v>
      </c>
      <c r="J176" s="6">
        <f t="shared" si="42"/>
        <v>651.53632821302483</v>
      </c>
      <c r="K176" s="5">
        <f t="shared" si="43"/>
        <v>303268.93</v>
      </c>
      <c r="L176" s="135">
        <f>INDEX('2019 Best Practice Scores'!L$4:L$256,MATCH(B176,'2019 Best Practice Scores'!A$4:A$256,0))</f>
        <v>0.79166666666666674</v>
      </c>
      <c r="M176" s="97">
        <f t="shared" si="44"/>
        <v>70146.849948945193</v>
      </c>
      <c r="N176" s="97">
        <f t="shared" si="45"/>
        <v>33315.025143868137</v>
      </c>
      <c r="O176" s="97">
        <f t="shared" si="46"/>
        <v>16659.876862874484</v>
      </c>
      <c r="P176" s="97">
        <f t="shared" si="47"/>
        <v>3685.2325424090554</v>
      </c>
      <c r="Q176" s="97">
        <f t="shared" si="48"/>
        <v>123806.98449809688</v>
      </c>
      <c r="R176" s="104">
        <f t="shared" si="49"/>
        <v>0.40824157126183974</v>
      </c>
      <c r="S176" s="166">
        <f t="shared" si="50"/>
        <v>123811.97425834088</v>
      </c>
      <c r="T176" s="97"/>
      <c r="U176" s="97">
        <f>IFERROR(INDEX('Revised 2020 MFAM(2018 PYAs)'!AD$26:AD$300,MATCH(B176,'Revised 2020 MFAM(2018 PYAs)'!B$26:B$300,0)),0)</f>
        <v>-46.336078631633427</v>
      </c>
      <c r="V176" s="97">
        <f>IFERROR(INDEX('Revised 2019 MFAM(2017 PYAs)'!AF$26:AF$300,MATCH(B176,'Revised 2019 MFAM(2017 PYAs)'!B$26:B$300,0)),0)</f>
        <v>12.825764191118651</v>
      </c>
      <c r="W176" s="97">
        <f t="shared" si="51"/>
        <v>-8.2459404732370345E-2</v>
      </c>
      <c r="X176" s="97">
        <f t="shared" si="52"/>
        <v>-33.592773845247144</v>
      </c>
      <c r="Y176" s="97"/>
      <c r="Z176" s="98">
        <f t="shared" si="53"/>
        <v>123778.38148449564</v>
      </c>
      <c r="AA176" s="99">
        <v>0</v>
      </c>
      <c r="AB176" s="100">
        <f t="shared" si="54"/>
        <v>0</v>
      </c>
      <c r="AC176" s="97">
        <f t="shared" si="55"/>
        <v>123778.38148449564</v>
      </c>
      <c r="AD176" s="103"/>
      <c r="AE176" s="97">
        <f t="shared" si="56"/>
        <v>30944.595371123909</v>
      </c>
      <c r="AF176" s="97">
        <f t="shared" si="56"/>
        <v>30944.595371123909</v>
      </c>
      <c r="AG176" s="97">
        <f t="shared" si="56"/>
        <v>30944.595371123909</v>
      </c>
      <c r="AH176" s="97">
        <f t="shared" si="56"/>
        <v>30944.595371123909</v>
      </c>
    </row>
    <row r="177" spans="2:34" x14ac:dyDescent="0.25">
      <c r="B177">
        <v>635</v>
      </c>
      <c r="C177" s="28">
        <v>7</v>
      </c>
      <c r="D177" s="35" t="s">
        <v>312</v>
      </c>
      <c r="E177" s="154">
        <f>INDEX('2019 Data Lockdown'!H$5:H$257,MATCH(B177,'2019 Data Lockdown'!B$5:B$257,0))</f>
        <v>58.100000000000016</v>
      </c>
      <c r="F177" s="5">
        <f>INDEX('2019 Data Lockdown'!E$5:E$257,MATCH(B177,'2019 Data Lockdown'!B$5:B$257,0))</f>
        <v>38338.959999999999</v>
      </c>
      <c r="G177" s="5">
        <f>INDEX('2019 Data Lockdown'!F$5:F$257,MATCH(B177,'2019 Data Lockdown'!B$5:B$257,0))</f>
        <v>0</v>
      </c>
      <c r="H177" s="5">
        <f t="shared" si="40"/>
        <v>38338.959999999999</v>
      </c>
      <c r="I177" s="95">
        <f t="shared" si="41"/>
        <v>659.8788296041306</v>
      </c>
      <c r="J177" s="6">
        <f t="shared" si="42"/>
        <v>659.8788296041306</v>
      </c>
      <c r="K177" s="5">
        <f t="shared" si="43"/>
        <v>38338.959999999999</v>
      </c>
      <c r="L177" s="135">
        <f>INDEX('2019 Best Practice Scores'!L$4:L$256,MATCH(B177,'2019 Best Practice Scores'!A$4:A$256,0))</f>
        <v>0.4143518518518518</v>
      </c>
      <c r="M177" s="97">
        <f t="shared" si="44"/>
        <v>8867.8958122040767</v>
      </c>
      <c r="N177" s="97">
        <f t="shared" si="45"/>
        <v>4158.4070151735041</v>
      </c>
      <c r="O177" s="97">
        <f t="shared" si="46"/>
        <v>1102.3287155448122</v>
      </c>
      <c r="P177" s="97">
        <f t="shared" si="47"/>
        <v>465.8834752182463</v>
      </c>
      <c r="Q177" s="97">
        <f t="shared" si="48"/>
        <v>14594.515018140641</v>
      </c>
      <c r="R177" s="104">
        <f t="shared" si="49"/>
        <v>0.3806706029099548</v>
      </c>
      <c r="S177" s="166">
        <f t="shared" si="50"/>
        <v>14595.103217030333</v>
      </c>
      <c r="T177" s="97"/>
      <c r="U177" s="97">
        <f>IFERROR(INDEX('Revised 2020 MFAM(2018 PYAs)'!AD$26:AD$300,MATCH(B177,'Revised 2020 MFAM(2018 PYAs)'!B$26:B$300,0)),0)</f>
        <v>-5.7050596790904819</v>
      </c>
      <c r="V177" s="97">
        <f>IFERROR(INDEX('Revised 2019 MFAM(2017 PYAs)'!AF$26:AF$300,MATCH(B177,'Revised 2019 MFAM(2017 PYAs)'!B$26:B$300,0)),0)</f>
        <v>0</v>
      </c>
      <c r="W177" s="97">
        <f t="shared" si="51"/>
        <v>-9.7204129931136116E-3</v>
      </c>
      <c r="X177" s="97">
        <f t="shared" si="52"/>
        <v>-5.7147800920835952</v>
      </c>
      <c r="Y177" s="97"/>
      <c r="Z177" s="98">
        <f t="shared" si="53"/>
        <v>14589.38843693825</v>
      </c>
      <c r="AA177" s="99">
        <v>0</v>
      </c>
      <c r="AB177" s="100">
        <f t="shared" si="54"/>
        <v>0</v>
      </c>
      <c r="AC177" s="97">
        <f t="shared" si="55"/>
        <v>14589.38843693825</v>
      </c>
      <c r="AD177" s="103"/>
      <c r="AE177" s="97">
        <f t="shared" si="56"/>
        <v>3647.3471092345626</v>
      </c>
      <c r="AF177" s="97">
        <f t="shared" si="56"/>
        <v>3647.3471092345626</v>
      </c>
      <c r="AG177" s="97">
        <f t="shared" si="56"/>
        <v>3647.3471092345626</v>
      </c>
      <c r="AH177" s="97">
        <f t="shared" si="56"/>
        <v>3647.3471092345626</v>
      </c>
    </row>
    <row r="178" spans="2:34" x14ac:dyDescent="0.25">
      <c r="B178">
        <v>642</v>
      </c>
      <c r="C178" s="28">
        <v>7</v>
      </c>
      <c r="D178" s="35" t="s">
        <v>336</v>
      </c>
      <c r="E178" s="154">
        <f>INDEX('2019 Data Lockdown'!H$5:H$257,MATCH(B178,'2019 Data Lockdown'!B$5:B$257,0))</f>
        <v>131.41386363582231</v>
      </c>
      <c r="F178" s="5">
        <f>INDEX('2019 Data Lockdown'!E$5:E$257,MATCH(B178,'2019 Data Lockdown'!B$5:B$257,0))</f>
        <v>57394.98</v>
      </c>
      <c r="G178" s="5">
        <f>INDEX('2019 Data Lockdown'!F$5:F$257,MATCH(B178,'2019 Data Lockdown'!B$5:B$257,0))</f>
        <v>0</v>
      </c>
      <c r="H178" s="5">
        <f t="shared" si="40"/>
        <v>57394.98</v>
      </c>
      <c r="I178" s="95">
        <f t="shared" si="41"/>
        <v>436.74981019547937</v>
      </c>
      <c r="J178" s="6">
        <f t="shared" si="42"/>
        <v>436.74981019547937</v>
      </c>
      <c r="K178" s="5">
        <f t="shared" si="43"/>
        <v>57394.98</v>
      </c>
      <c r="L178" s="135">
        <f>INDEX('2019 Best Practice Scores'!L$4:L$256,MATCH(B178,'2019 Best Practice Scores'!A$4:A$256,0))</f>
        <v>0.31944444444444442</v>
      </c>
      <c r="M178" s="97">
        <f t="shared" si="44"/>
        <v>13275.600141045476</v>
      </c>
      <c r="N178" s="97">
        <f t="shared" si="45"/>
        <v>9405.7200074743123</v>
      </c>
      <c r="O178" s="97">
        <f t="shared" si="46"/>
        <v>1272.2450135168579</v>
      </c>
      <c r="P178" s="97">
        <f t="shared" si="47"/>
        <v>697.44648113777066</v>
      </c>
      <c r="Q178" s="97">
        <f t="shared" si="48"/>
        <v>24651.011643174414</v>
      </c>
      <c r="R178" s="104">
        <f t="shared" si="49"/>
        <v>0.42949769549835914</v>
      </c>
      <c r="S178" s="166">
        <f t="shared" si="50"/>
        <v>24652.005146395335</v>
      </c>
      <c r="T178" s="97"/>
      <c r="U178" s="97">
        <f>IFERROR(INDEX('Revised 2020 MFAM(2018 PYAs)'!AD$26:AD$300,MATCH(B178,'Revised 2020 MFAM(2018 PYAs)'!B$26:B$300,0)),0)</f>
        <v>0</v>
      </c>
      <c r="V178" s="97">
        <f>IFERROR(INDEX('Revised 2019 MFAM(2017 PYAs)'!AF$26:AF$300,MATCH(B178,'Revised 2019 MFAM(2017 PYAs)'!B$26:B$300,0)),0)</f>
        <v>0</v>
      </c>
      <c r="W178" s="97">
        <f t="shared" si="51"/>
        <v>-1.6418360841169981E-2</v>
      </c>
      <c r="X178" s="97">
        <f t="shared" si="52"/>
        <v>-1.6418360841169981E-2</v>
      </c>
      <c r="Y178" s="97"/>
      <c r="Z178" s="98">
        <f t="shared" si="53"/>
        <v>24651.988728034496</v>
      </c>
      <c r="AA178" s="99">
        <v>0</v>
      </c>
      <c r="AB178" s="100">
        <f t="shared" si="54"/>
        <v>0</v>
      </c>
      <c r="AC178" s="97">
        <f t="shared" si="55"/>
        <v>24651.988728034496</v>
      </c>
      <c r="AD178" s="103"/>
      <c r="AE178" s="97">
        <f t="shared" si="56"/>
        <v>6162.9971820086239</v>
      </c>
      <c r="AF178" s="97">
        <f t="shared" si="56"/>
        <v>6162.9971820086239</v>
      </c>
      <c r="AG178" s="97">
        <f t="shared" si="56"/>
        <v>6162.9971820086239</v>
      </c>
      <c r="AH178" s="97">
        <f t="shared" si="56"/>
        <v>6162.9971820086239</v>
      </c>
    </row>
    <row r="179" spans="2:34" x14ac:dyDescent="0.25">
      <c r="B179">
        <v>643</v>
      </c>
      <c r="C179" s="28">
        <v>7</v>
      </c>
      <c r="D179" s="35" t="s">
        <v>337</v>
      </c>
      <c r="E179" s="154">
        <f>INDEX('2019 Data Lockdown'!H$5:H$257,MATCH(B179,'2019 Data Lockdown'!B$5:B$257,0))</f>
        <v>8.1079758961533877</v>
      </c>
      <c r="F179" s="5">
        <f>INDEX('2019 Data Lockdown'!E$5:E$257,MATCH(B179,'2019 Data Lockdown'!B$5:B$257,0))</f>
        <v>25324.71</v>
      </c>
      <c r="G179" s="5">
        <f>INDEX('2019 Data Lockdown'!F$5:F$257,MATCH(B179,'2019 Data Lockdown'!B$5:B$257,0))</f>
        <v>0</v>
      </c>
      <c r="H179" s="5">
        <f t="shared" si="40"/>
        <v>25324.71</v>
      </c>
      <c r="I179" s="95">
        <f t="shared" si="41"/>
        <v>3123.4318311200986</v>
      </c>
      <c r="J179" s="6">
        <f t="shared" si="42"/>
        <v>791.19656515655265</v>
      </c>
      <c r="K179" s="5">
        <f t="shared" si="43"/>
        <v>6415.0026794086825</v>
      </c>
      <c r="L179" s="135">
        <f>INDEX('2019 Best Practice Scores'!L$4:L$256,MATCH(B179,'2019 Best Practice Scores'!A$4:A$256,0))</f>
        <v>0.61342592592592582</v>
      </c>
      <c r="M179" s="97">
        <f t="shared" si="44"/>
        <v>1483.8059090806375</v>
      </c>
      <c r="N179" s="97">
        <f t="shared" si="45"/>
        <v>580.31435190054924</v>
      </c>
      <c r="O179" s="97">
        <f t="shared" si="46"/>
        <v>273.06150410164503</v>
      </c>
      <c r="P179" s="97">
        <f t="shared" si="47"/>
        <v>77.95317718105234</v>
      </c>
      <c r="Q179" s="97">
        <f t="shared" si="48"/>
        <v>2415.1349422638841</v>
      </c>
      <c r="R179" s="104">
        <f t="shared" si="49"/>
        <v>0.37648229672859695</v>
      </c>
      <c r="S179" s="166">
        <f t="shared" si="50"/>
        <v>2415.2322788105066</v>
      </c>
      <c r="T179" s="97"/>
      <c r="U179" s="97">
        <f>IFERROR(INDEX('Revised 2020 MFAM(2018 PYAs)'!AD$26:AD$300,MATCH(B179,'Revised 2020 MFAM(2018 PYAs)'!B$26:B$300,0)),0)</f>
        <v>0</v>
      </c>
      <c r="V179" s="97">
        <f>IFERROR(INDEX('Revised 2019 MFAM(2017 PYAs)'!AF$26:AF$300,MATCH(B179,'Revised 2019 MFAM(2017 PYAs)'!B$26:B$300,0)),0)</f>
        <v>0</v>
      </c>
      <c r="W179" s="97">
        <f t="shared" si="51"/>
        <v>-1.6085569848483692E-3</v>
      </c>
      <c r="X179" s="97">
        <f t="shared" si="52"/>
        <v>-1.6085569848483692E-3</v>
      </c>
      <c r="Y179" s="97"/>
      <c r="Z179" s="98">
        <f t="shared" si="53"/>
        <v>2415.2306702535216</v>
      </c>
      <c r="AA179" s="99">
        <v>0</v>
      </c>
      <c r="AB179" s="100">
        <f t="shared" si="54"/>
        <v>0</v>
      </c>
      <c r="AC179" s="97">
        <f t="shared" si="55"/>
        <v>2415.2306702535216</v>
      </c>
      <c r="AD179" s="103"/>
      <c r="AE179" s="97">
        <f t="shared" si="56"/>
        <v>603.80766756338039</v>
      </c>
      <c r="AF179" s="97">
        <f t="shared" si="56"/>
        <v>603.80766756338039</v>
      </c>
      <c r="AG179" s="97">
        <f t="shared" si="56"/>
        <v>603.80766756338039</v>
      </c>
      <c r="AH179" s="97">
        <f t="shared" si="56"/>
        <v>603.80766756338039</v>
      </c>
    </row>
    <row r="180" spans="2:34" x14ac:dyDescent="0.25">
      <c r="B180">
        <v>711</v>
      </c>
      <c r="C180" s="28">
        <v>7</v>
      </c>
      <c r="D180" s="35" t="s">
        <v>206</v>
      </c>
      <c r="E180" s="154">
        <f>INDEX('2019 Data Lockdown'!H$5:H$257,MATCH(B180,'2019 Data Lockdown'!B$5:B$257,0))</f>
        <v>456.7</v>
      </c>
      <c r="F180" s="5">
        <f>INDEX('2019 Data Lockdown'!E$5:E$257,MATCH(B180,'2019 Data Lockdown'!B$5:B$257,0))</f>
        <v>239906.51</v>
      </c>
      <c r="G180" s="5">
        <f>INDEX('2019 Data Lockdown'!F$5:F$257,MATCH(B180,'2019 Data Lockdown'!B$5:B$257,0))</f>
        <v>6079.57</v>
      </c>
      <c r="H180" s="5">
        <f t="shared" si="40"/>
        <v>233826.94</v>
      </c>
      <c r="I180" s="95">
        <f t="shared" si="41"/>
        <v>511.99242391066349</v>
      </c>
      <c r="J180" s="6">
        <f t="shared" si="42"/>
        <v>511.99242391066349</v>
      </c>
      <c r="K180" s="5">
        <f t="shared" si="43"/>
        <v>233826.94</v>
      </c>
      <c r="L180" s="135">
        <f>INDEX('2019 Best Practice Scores'!L$4:L$256,MATCH(B180,'2019 Best Practice Scores'!A$4:A$256,0))</f>
        <v>0.75462962962962965</v>
      </c>
      <c r="M180" s="97">
        <f t="shared" si="44"/>
        <v>54084.746743430027</v>
      </c>
      <c r="N180" s="97">
        <f t="shared" si="45"/>
        <v>32687.512630460213</v>
      </c>
      <c r="O180" s="97">
        <f t="shared" si="46"/>
        <v>12244.185721082074</v>
      </c>
      <c r="P180" s="97">
        <f t="shared" si="47"/>
        <v>2841.3944302831469</v>
      </c>
      <c r="Q180" s="97">
        <f t="shared" si="48"/>
        <v>101857.83952525546</v>
      </c>
      <c r="R180" s="104">
        <f t="shared" si="49"/>
        <v>0.43561207928075124</v>
      </c>
      <c r="S180" s="166">
        <f t="shared" si="50"/>
        <v>101861.94467489838</v>
      </c>
      <c r="T180" s="97"/>
      <c r="U180" s="97">
        <f>IFERROR(INDEX('Revised 2020 MFAM(2018 PYAs)'!AD$26:AD$300,MATCH(B180,'Revised 2020 MFAM(2018 PYAs)'!B$26:B$300,0)),0)</f>
        <v>-33.493278243127861</v>
      </c>
      <c r="V180" s="97">
        <f>IFERROR(INDEX('Revised 2019 MFAM(2017 PYAs)'!AF$26:AF$300,MATCH(B180,'Revised 2019 MFAM(2017 PYAs)'!B$26:B$300,0)),0)</f>
        <v>10.692740205777227</v>
      </c>
      <c r="W180" s="97">
        <f t="shared" si="51"/>
        <v>-6.784057336205436E-2</v>
      </c>
      <c r="X180" s="97">
        <f t="shared" si="52"/>
        <v>-22.868378610712689</v>
      </c>
      <c r="Y180" s="97"/>
      <c r="Z180" s="98">
        <f t="shared" si="53"/>
        <v>101839.07629628766</v>
      </c>
      <c r="AA180" s="99">
        <v>0</v>
      </c>
      <c r="AB180" s="100">
        <f t="shared" si="54"/>
        <v>0</v>
      </c>
      <c r="AC180" s="97">
        <f t="shared" si="55"/>
        <v>101839.07629628766</v>
      </c>
      <c r="AD180" s="103"/>
      <c r="AE180" s="97">
        <f t="shared" si="56"/>
        <v>25459.769074071915</v>
      </c>
      <c r="AF180" s="97">
        <f t="shared" si="56"/>
        <v>25459.769074071915</v>
      </c>
      <c r="AG180" s="97">
        <f t="shared" si="56"/>
        <v>25459.769074071915</v>
      </c>
      <c r="AH180" s="97">
        <f t="shared" si="56"/>
        <v>25459.769074071915</v>
      </c>
    </row>
    <row r="181" spans="2:34" x14ac:dyDescent="0.25">
      <c r="B181">
        <v>712</v>
      </c>
      <c r="C181" s="28">
        <v>7</v>
      </c>
      <c r="D181" s="35" t="s">
        <v>207</v>
      </c>
      <c r="E181" s="154">
        <f>INDEX('2019 Data Lockdown'!H$5:H$257,MATCH(B181,'2019 Data Lockdown'!B$5:B$257,0))</f>
        <v>732.75000000000011</v>
      </c>
      <c r="F181" s="5">
        <f>INDEX('2019 Data Lockdown'!E$5:E$257,MATCH(B181,'2019 Data Lockdown'!B$5:B$257,0))</f>
        <v>294954.17</v>
      </c>
      <c r="G181" s="5">
        <f>INDEX('2019 Data Lockdown'!F$5:F$257,MATCH(B181,'2019 Data Lockdown'!B$5:B$257,0))</f>
        <v>0</v>
      </c>
      <c r="H181" s="5">
        <f t="shared" si="40"/>
        <v>294954.17</v>
      </c>
      <c r="I181" s="95">
        <f t="shared" si="41"/>
        <v>402.53042647560551</v>
      </c>
      <c r="J181" s="6">
        <f t="shared" si="42"/>
        <v>402.53042647560551</v>
      </c>
      <c r="K181" s="5">
        <f t="shared" si="43"/>
        <v>294954.17</v>
      </c>
      <c r="L181" s="135">
        <f>INDEX('2019 Best Practice Scores'!L$4:L$256,MATCH(B181,'2019 Best Practice Scores'!A$4:A$256,0))</f>
        <v>0.84027777777777768</v>
      </c>
      <c r="M181" s="97">
        <f t="shared" si="44"/>
        <v>68223.625495713219</v>
      </c>
      <c r="N181" s="97">
        <f t="shared" si="45"/>
        <v>52445.31394782073</v>
      </c>
      <c r="O181" s="97">
        <f t="shared" si="46"/>
        <v>17198.038927044374</v>
      </c>
      <c r="P181" s="97">
        <f t="shared" si="47"/>
        <v>3584.1940874169095</v>
      </c>
      <c r="Q181" s="97">
        <f t="shared" si="48"/>
        <v>141451.17245799524</v>
      </c>
      <c r="R181" s="104">
        <f t="shared" si="49"/>
        <v>0.47957000390262411</v>
      </c>
      <c r="S181" s="166">
        <f t="shared" si="50"/>
        <v>141456.8733272932</v>
      </c>
      <c r="T181" s="97"/>
      <c r="U181" s="97">
        <f>IFERROR(INDEX('Revised 2020 MFAM(2018 PYAs)'!AD$26:AD$300,MATCH(B181,'Revised 2020 MFAM(2018 PYAs)'!B$26:B$300,0)),0)</f>
        <v>-45.640895883436315</v>
      </c>
      <c r="V181" s="97">
        <f>IFERROR(INDEX('Revised 2019 MFAM(2017 PYAs)'!AF$26:AF$300,MATCH(B181,'Revised 2019 MFAM(2017 PYAs)'!B$26:B$300,0)),0)</f>
        <v>16.175025839082082</v>
      </c>
      <c r="W181" s="97">
        <f t="shared" si="51"/>
        <v>-9.4210997278279085E-2</v>
      </c>
      <c r="X181" s="97">
        <f t="shared" si="52"/>
        <v>-29.560081041632511</v>
      </c>
      <c r="Y181" s="97"/>
      <c r="Z181" s="98">
        <f t="shared" si="53"/>
        <v>141427.31324625158</v>
      </c>
      <c r="AA181" s="99">
        <v>0</v>
      </c>
      <c r="AB181" s="100">
        <f t="shared" si="54"/>
        <v>0</v>
      </c>
      <c r="AC181" s="97">
        <f t="shared" si="55"/>
        <v>141427.31324625158</v>
      </c>
      <c r="AD181" s="103"/>
      <c r="AE181" s="97">
        <f t="shared" si="56"/>
        <v>35356.828311562895</v>
      </c>
      <c r="AF181" s="97">
        <f t="shared" si="56"/>
        <v>35356.828311562895</v>
      </c>
      <c r="AG181" s="97">
        <f t="shared" si="56"/>
        <v>35356.828311562895</v>
      </c>
      <c r="AH181" s="97">
        <f t="shared" si="56"/>
        <v>35356.828311562895</v>
      </c>
    </row>
    <row r="182" spans="2:34" x14ac:dyDescent="0.25">
      <c r="B182">
        <v>718</v>
      </c>
      <c r="C182" s="28">
        <v>7</v>
      </c>
      <c r="D182" s="35" t="s">
        <v>208</v>
      </c>
      <c r="E182" s="154">
        <f>INDEX('2019 Data Lockdown'!H$5:H$257,MATCH(B182,'2019 Data Lockdown'!B$5:B$257,0))</f>
        <v>33.193832100901929</v>
      </c>
      <c r="F182" s="5">
        <f>INDEX('2019 Data Lockdown'!E$5:E$257,MATCH(B182,'2019 Data Lockdown'!B$5:B$257,0))</f>
        <v>24351.48</v>
      </c>
      <c r="G182" s="5">
        <f>INDEX('2019 Data Lockdown'!F$5:F$257,MATCH(B182,'2019 Data Lockdown'!B$5:B$257,0))</f>
        <v>0</v>
      </c>
      <c r="H182" s="5">
        <f t="shared" si="40"/>
        <v>24351.48</v>
      </c>
      <c r="I182" s="95">
        <f t="shared" si="41"/>
        <v>733.61460424264578</v>
      </c>
      <c r="J182" s="6">
        <f t="shared" si="42"/>
        <v>733.61460424264578</v>
      </c>
      <c r="K182" s="5">
        <f t="shared" si="43"/>
        <v>24351.48</v>
      </c>
      <c r="L182" s="135">
        <f>INDEX('2019 Best Practice Scores'!L$4:L$256,MATCH(B182,'2019 Best Practice Scores'!A$4:A$256,0))</f>
        <v>0.20833333333333331</v>
      </c>
      <c r="M182" s="97">
        <f t="shared" si="44"/>
        <v>5632.5572606291707</v>
      </c>
      <c r="N182" s="97">
        <f t="shared" si="45"/>
        <v>2375.7911233886744</v>
      </c>
      <c r="O182" s="97">
        <f t="shared" si="46"/>
        <v>352.03482878932311</v>
      </c>
      <c r="P182" s="97">
        <f t="shared" si="47"/>
        <v>295.91183822168415</v>
      </c>
      <c r="Q182" s="97">
        <f t="shared" si="48"/>
        <v>8656.295051028852</v>
      </c>
      <c r="R182" s="104">
        <f t="shared" si="49"/>
        <v>0.35547305753197966</v>
      </c>
      <c r="S182" s="166">
        <f t="shared" si="50"/>
        <v>8656.6439234053269</v>
      </c>
      <c r="T182" s="97"/>
      <c r="U182" s="97">
        <f>IFERROR(INDEX('Revised 2020 MFAM(2018 PYAs)'!AD$26:AD$300,MATCH(B182,'Revised 2020 MFAM(2018 PYAs)'!B$26:B$300,0)),0)</f>
        <v>-30.265548982981272</v>
      </c>
      <c r="V182" s="97">
        <f>IFERROR(INDEX('Revised 2019 MFAM(2017 PYAs)'!AF$26:AF$300,MATCH(B182,'Revised 2019 MFAM(2017 PYAs)'!B$26:B$300,0)),0)</f>
        <v>1.0850003151945202</v>
      </c>
      <c r="W182" s="97">
        <f t="shared" si="51"/>
        <v>-5.7653688924680551E-3</v>
      </c>
      <c r="X182" s="97">
        <f t="shared" si="52"/>
        <v>-29.186314036679221</v>
      </c>
      <c r="Y182" s="97"/>
      <c r="Z182" s="98">
        <f t="shared" si="53"/>
        <v>8627.4576093686483</v>
      </c>
      <c r="AA182" s="99">
        <v>0</v>
      </c>
      <c r="AB182" s="100">
        <f t="shared" si="54"/>
        <v>0</v>
      </c>
      <c r="AC182" s="97">
        <f t="shared" si="55"/>
        <v>8627.4576093686483</v>
      </c>
      <c r="AD182" s="103"/>
      <c r="AE182" s="97">
        <f t="shared" si="56"/>
        <v>2156.8644023421621</v>
      </c>
      <c r="AF182" s="97">
        <f t="shared" si="56"/>
        <v>2156.8644023421621</v>
      </c>
      <c r="AG182" s="97">
        <f t="shared" si="56"/>
        <v>2156.8644023421621</v>
      </c>
      <c r="AH182" s="97">
        <f t="shared" si="56"/>
        <v>2156.8644023421621</v>
      </c>
    </row>
    <row r="183" spans="2:34" x14ac:dyDescent="0.25">
      <c r="B183">
        <v>736</v>
      </c>
      <c r="C183" s="28">
        <v>7</v>
      </c>
      <c r="D183" s="35" t="s">
        <v>209</v>
      </c>
      <c r="E183" s="154">
        <f>INDEX('2019 Data Lockdown'!H$5:H$257,MATCH(B183,'2019 Data Lockdown'!B$5:B$257,0))</f>
        <v>122.59818725735381</v>
      </c>
      <c r="F183" s="5">
        <f>INDEX('2019 Data Lockdown'!E$5:E$257,MATCH(B183,'2019 Data Lockdown'!B$5:B$257,0))</f>
        <v>112946.17</v>
      </c>
      <c r="G183" s="5">
        <f>INDEX('2019 Data Lockdown'!F$5:F$257,MATCH(B183,'2019 Data Lockdown'!B$5:B$257,0))</f>
        <v>198</v>
      </c>
      <c r="H183" s="5">
        <f t="shared" si="40"/>
        <v>112748.17</v>
      </c>
      <c r="I183" s="95">
        <f t="shared" si="41"/>
        <v>919.65609379951923</v>
      </c>
      <c r="J183" s="6">
        <f t="shared" si="42"/>
        <v>791.19656515655265</v>
      </c>
      <c r="K183" s="5">
        <f t="shared" si="43"/>
        <v>96999.264652438185</v>
      </c>
      <c r="L183" s="135">
        <f>INDEX('2019 Best Practice Scores'!L$4:L$256,MATCH(B183,'2019 Best Practice Scores'!A$4:A$256,0))</f>
        <v>0.17592592592592593</v>
      </c>
      <c r="M183" s="97">
        <f t="shared" si="44"/>
        <v>22436.168659719297</v>
      </c>
      <c r="N183" s="97">
        <f t="shared" si="45"/>
        <v>8774.7532175307206</v>
      </c>
      <c r="O183" s="97">
        <f t="shared" si="46"/>
        <v>1184.1311237074074</v>
      </c>
      <c r="P183" s="97">
        <f t="shared" si="47"/>
        <v>1178.7057997893605</v>
      </c>
      <c r="Q183" s="97">
        <f t="shared" si="48"/>
        <v>33573.758800746786</v>
      </c>
      <c r="R183" s="104">
        <f t="shared" si="49"/>
        <v>0.34612384868118556</v>
      </c>
      <c r="S183" s="166">
        <f t="shared" si="50"/>
        <v>33575.111915093155</v>
      </c>
      <c r="T183" s="97"/>
      <c r="U183" s="97">
        <f>IFERROR(INDEX('Revised 2020 MFAM(2018 PYAs)'!AD$26:AD$300,MATCH(B183,'Revised 2020 MFAM(2018 PYAs)'!B$26:B$300,0)),0)</f>
        <v>-8.0429733204618969</v>
      </c>
      <c r="V183" s="97">
        <f>IFERROR(INDEX('Revised 2019 MFAM(2017 PYAs)'!AF$26:AF$300,MATCH(B183,'Revised 2019 MFAM(2017 PYAs)'!B$26:B$300,0)),0)</f>
        <v>3.2455154657873209</v>
      </c>
      <c r="W183" s="97">
        <f t="shared" si="51"/>
        <v>-2.2361195344195752E-2</v>
      </c>
      <c r="X183" s="97">
        <f t="shared" si="52"/>
        <v>-4.8198190500187721</v>
      </c>
      <c r="Y183" s="97"/>
      <c r="Z183" s="98">
        <f t="shared" si="53"/>
        <v>33570.292096043137</v>
      </c>
      <c r="AA183" s="99">
        <v>0</v>
      </c>
      <c r="AB183" s="100">
        <f t="shared" si="54"/>
        <v>0</v>
      </c>
      <c r="AC183" s="97">
        <f t="shared" si="55"/>
        <v>33570.292096043137</v>
      </c>
      <c r="AD183" s="103"/>
      <c r="AE183" s="97">
        <f t="shared" si="56"/>
        <v>8392.5730240107841</v>
      </c>
      <c r="AF183" s="97">
        <f t="shared" si="56"/>
        <v>8392.5730240107841</v>
      </c>
      <c r="AG183" s="97">
        <f t="shared" si="56"/>
        <v>8392.5730240107841</v>
      </c>
      <c r="AH183" s="97">
        <f t="shared" si="56"/>
        <v>8392.5730240107841</v>
      </c>
    </row>
    <row r="184" spans="2:34" x14ac:dyDescent="0.25">
      <c r="B184">
        <v>757</v>
      </c>
      <c r="C184" s="28">
        <v>7</v>
      </c>
      <c r="D184" s="35" t="s">
        <v>210</v>
      </c>
      <c r="E184" s="154">
        <f>INDEX('2019 Data Lockdown'!H$5:H$257,MATCH(B184,'2019 Data Lockdown'!B$5:B$257,0))</f>
        <v>525.4</v>
      </c>
      <c r="F184" s="5">
        <f>INDEX('2019 Data Lockdown'!E$5:E$257,MATCH(B184,'2019 Data Lockdown'!B$5:B$257,0))</f>
        <v>282725.34000000003</v>
      </c>
      <c r="G184" s="5">
        <f>INDEX('2019 Data Lockdown'!F$5:F$257,MATCH(B184,'2019 Data Lockdown'!B$5:B$257,0))</f>
        <v>29075.73</v>
      </c>
      <c r="H184" s="5">
        <f t="shared" si="40"/>
        <v>253649.61000000002</v>
      </c>
      <c r="I184" s="95">
        <f t="shared" si="41"/>
        <v>482.77428625808915</v>
      </c>
      <c r="J184" s="6">
        <f t="shared" si="42"/>
        <v>482.77428625808915</v>
      </c>
      <c r="K184" s="5">
        <f t="shared" si="43"/>
        <v>253649.61000000002</v>
      </c>
      <c r="L184" s="135">
        <f>INDEX('2019 Best Practice Scores'!L$4:L$256,MATCH(B184,'2019 Best Practice Scores'!A$4:A$256,0))</f>
        <v>0.91666666666666674</v>
      </c>
      <c r="M184" s="97">
        <f t="shared" si="44"/>
        <v>58669.77910423751</v>
      </c>
      <c r="N184" s="97">
        <f t="shared" si="45"/>
        <v>37604.596312773807</v>
      </c>
      <c r="O184" s="97">
        <f t="shared" si="46"/>
        <v>16134.189253665318</v>
      </c>
      <c r="P184" s="97">
        <f t="shared" si="47"/>
        <v>3082.2735357076158</v>
      </c>
      <c r="Q184" s="97">
        <f t="shared" si="48"/>
        <v>115490.83820638426</v>
      </c>
      <c r="R184" s="104">
        <f t="shared" si="49"/>
        <v>0.45531644305064867</v>
      </c>
      <c r="S184" s="166">
        <f t="shared" si="50"/>
        <v>115495.49280317752</v>
      </c>
      <c r="T184" s="97"/>
      <c r="U184" s="97">
        <f>IFERROR(INDEX('Revised 2020 MFAM(2018 PYAs)'!AD$26:AD$300,MATCH(B184,'Revised 2020 MFAM(2018 PYAs)'!B$26:B$300,0)),0)</f>
        <v>2485.3622887944075</v>
      </c>
      <c r="V184" s="97">
        <f>IFERROR(INDEX('Revised 2019 MFAM(2017 PYAs)'!AF$26:AF$300,MATCH(B184,'Revised 2019 MFAM(2017 PYAs)'!B$26:B$300,0)),0)</f>
        <v>13.568369193657418</v>
      </c>
      <c r="W184" s="97">
        <f t="shared" si="51"/>
        <v>-7.6920585774281E-2</v>
      </c>
      <c r="X184" s="97">
        <f t="shared" si="52"/>
        <v>2498.8537374022908</v>
      </c>
      <c r="Y184" s="97"/>
      <c r="Z184" s="98">
        <f t="shared" si="53"/>
        <v>117994.34654057981</v>
      </c>
      <c r="AA184" s="99">
        <v>0</v>
      </c>
      <c r="AB184" s="100">
        <f t="shared" si="54"/>
        <v>0</v>
      </c>
      <c r="AC184" s="97">
        <f t="shared" si="55"/>
        <v>117994.34654057981</v>
      </c>
      <c r="AD184" s="103"/>
      <c r="AE184" s="97">
        <f t="shared" si="56"/>
        <v>29498.586635144951</v>
      </c>
      <c r="AF184" s="97">
        <f t="shared" si="56"/>
        <v>29498.586635144951</v>
      </c>
      <c r="AG184" s="97">
        <f t="shared" si="56"/>
        <v>29498.586635144951</v>
      </c>
      <c r="AH184" s="97">
        <f t="shared" si="56"/>
        <v>29498.586635144951</v>
      </c>
    </row>
    <row r="185" spans="2:34" x14ac:dyDescent="0.25">
      <c r="B185">
        <v>786</v>
      </c>
      <c r="C185" s="28">
        <v>7</v>
      </c>
      <c r="D185" s="35" t="s">
        <v>211</v>
      </c>
      <c r="E185" s="154">
        <f>INDEX('2019 Data Lockdown'!H$5:H$257,MATCH(B185,'2019 Data Lockdown'!B$5:B$257,0))</f>
        <v>3077.6600000000003</v>
      </c>
      <c r="F185" s="5">
        <f>INDEX('2019 Data Lockdown'!E$5:E$257,MATCH(B185,'2019 Data Lockdown'!B$5:B$257,0))</f>
        <v>1688120.75</v>
      </c>
      <c r="G185" s="5">
        <f>INDEX('2019 Data Lockdown'!F$5:F$257,MATCH(B185,'2019 Data Lockdown'!B$5:B$257,0))</f>
        <v>214655.14</v>
      </c>
      <c r="H185" s="5">
        <f t="shared" si="40"/>
        <v>1473465.6099999999</v>
      </c>
      <c r="I185" s="95">
        <f t="shared" si="41"/>
        <v>478.76165983247006</v>
      </c>
      <c r="J185" s="6">
        <f t="shared" si="42"/>
        <v>478.76165983247006</v>
      </c>
      <c r="K185" s="5">
        <f t="shared" si="43"/>
        <v>1473465.6099999999</v>
      </c>
      <c r="L185" s="135">
        <f>INDEX('2019 Best Practice Scores'!L$4:L$256,MATCH(B185,'2019 Best Practice Scores'!A$4:A$256,0))</f>
        <v>0.91666666666666674</v>
      </c>
      <c r="M185" s="97">
        <f t="shared" si="44"/>
        <v>340816.2222539612</v>
      </c>
      <c r="N185" s="97">
        <f t="shared" si="45"/>
        <v>220278.19164060042</v>
      </c>
      <c r="O185" s="97">
        <f t="shared" si="46"/>
        <v>93724.461119839325</v>
      </c>
      <c r="P185" s="97">
        <f t="shared" si="47"/>
        <v>17905.109554389925</v>
      </c>
      <c r="Q185" s="97">
        <f t="shared" si="48"/>
        <v>672723.98456879088</v>
      </c>
      <c r="R185" s="104">
        <f t="shared" si="49"/>
        <v>0.45655899941145617</v>
      </c>
      <c r="S185" s="166">
        <f t="shared" si="50"/>
        <v>672751.09718612011</v>
      </c>
      <c r="T185" s="97"/>
      <c r="U185" s="97">
        <f>IFERROR(INDEX('Revised 2020 MFAM(2018 PYAs)'!AD$26:AD$300,MATCH(B185,'Revised 2020 MFAM(2018 PYAs)'!B$26:B$300,0)),0)</f>
        <v>-209.10089967469685</v>
      </c>
      <c r="V185" s="97">
        <f>IFERROR(INDEX('Revised 2019 MFAM(2017 PYAs)'!AF$26:AF$300,MATCH(B185,'Revised 2019 MFAM(2017 PYAs)'!B$26:B$300,0)),0)</f>
        <v>76.685159610235132</v>
      </c>
      <c r="W185" s="97">
        <f t="shared" si="51"/>
        <v>-0.44805565325422725</v>
      </c>
      <c r="X185" s="97">
        <f t="shared" si="52"/>
        <v>-132.86379571771593</v>
      </c>
      <c r="Y185" s="97"/>
      <c r="Z185" s="98">
        <f t="shared" si="53"/>
        <v>672618.2333904024</v>
      </c>
      <c r="AA185" s="99">
        <v>0</v>
      </c>
      <c r="AB185" s="100">
        <f t="shared" si="54"/>
        <v>0</v>
      </c>
      <c r="AC185" s="97">
        <f t="shared" si="55"/>
        <v>672618.2333904024</v>
      </c>
      <c r="AD185" s="103"/>
      <c r="AE185" s="97">
        <f t="shared" si="56"/>
        <v>168154.5583476006</v>
      </c>
      <c r="AF185" s="97">
        <f t="shared" si="56"/>
        <v>168154.5583476006</v>
      </c>
      <c r="AG185" s="97">
        <f t="shared" si="56"/>
        <v>168154.5583476006</v>
      </c>
      <c r="AH185" s="97">
        <f t="shared" si="56"/>
        <v>168154.5583476006</v>
      </c>
    </row>
    <row r="186" spans="2:34" x14ac:dyDescent="0.25">
      <c r="B186">
        <v>854</v>
      </c>
      <c r="C186" s="28">
        <v>7</v>
      </c>
      <c r="D186" s="35" t="s">
        <v>212</v>
      </c>
      <c r="E186" s="154">
        <f>INDEX('2019 Data Lockdown'!H$5:H$257,MATCH(B186,'2019 Data Lockdown'!B$5:B$257,0))</f>
        <v>929.24</v>
      </c>
      <c r="F186" s="5">
        <f>INDEX('2019 Data Lockdown'!E$5:E$257,MATCH(B186,'2019 Data Lockdown'!B$5:B$257,0))</f>
        <v>538668.79</v>
      </c>
      <c r="G186" s="5">
        <f>INDEX('2019 Data Lockdown'!F$5:F$257,MATCH(B186,'2019 Data Lockdown'!B$5:B$257,0))</f>
        <v>37955.19</v>
      </c>
      <c r="H186" s="5">
        <f t="shared" si="40"/>
        <v>500713.60000000003</v>
      </c>
      <c r="I186" s="95">
        <f t="shared" si="41"/>
        <v>538.84206448280315</v>
      </c>
      <c r="J186" s="6">
        <f t="shared" si="42"/>
        <v>538.84206448280315</v>
      </c>
      <c r="K186" s="5">
        <f t="shared" si="43"/>
        <v>500713.60000000003</v>
      </c>
      <c r="L186" s="135">
        <f>INDEX('2019 Best Practice Scores'!L$4:L$256,MATCH(B186,'2019 Best Practice Scores'!A$4:A$256,0))</f>
        <v>0.87962962962962954</v>
      </c>
      <c r="M186" s="97">
        <f t="shared" si="44"/>
        <v>115816.28809319888</v>
      </c>
      <c r="N186" s="97">
        <f t="shared" si="45"/>
        <v>66508.745865401463</v>
      </c>
      <c r="O186" s="97">
        <f t="shared" si="46"/>
        <v>30562.6315801497</v>
      </c>
      <c r="P186" s="97">
        <f t="shared" si="47"/>
        <v>6084.5206040288758</v>
      </c>
      <c r="Q186" s="97">
        <f t="shared" si="48"/>
        <v>218972.1861427789</v>
      </c>
      <c r="R186" s="104">
        <f t="shared" si="49"/>
        <v>0.43732022885493599</v>
      </c>
      <c r="S186" s="166">
        <f t="shared" si="50"/>
        <v>218981.01132104639</v>
      </c>
      <c r="T186" s="97"/>
      <c r="U186" s="97">
        <f>IFERROR(INDEX('Revised 2020 MFAM(2018 PYAs)'!AD$26:AD$300,MATCH(B186,'Revised 2020 MFAM(2018 PYAs)'!B$26:B$300,0)),0)</f>
        <v>-76.38453448144719</v>
      </c>
      <c r="V186" s="97">
        <f>IFERROR(INDEX('Revised 2019 MFAM(2017 PYAs)'!AF$26:AF$300,MATCH(B186,'Revised 2019 MFAM(2017 PYAs)'!B$26:B$300,0)),0)</f>
        <v>25.261022731370758</v>
      </c>
      <c r="W186" s="97">
        <f t="shared" si="51"/>
        <v>-0.14584246757546138</v>
      </c>
      <c r="X186" s="97">
        <f t="shared" si="52"/>
        <v>-51.269354217651895</v>
      </c>
      <c r="Y186" s="97"/>
      <c r="Z186" s="98">
        <f t="shared" si="53"/>
        <v>218929.74196682873</v>
      </c>
      <c r="AA186" s="99">
        <v>0</v>
      </c>
      <c r="AB186" s="100">
        <f t="shared" si="54"/>
        <v>0</v>
      </c>
      <c r="AC186" s="97">
        <f t="shared" si="55"/>
        <v>218929.74196682873</v>
      </c>
      <c r="AD186" s="103"/>
      <c r="AE186" s="97">
        <f t="shared" ref="AE186:AH205" si="57">$AC186/4</f>
        <v>54732.435491707183</v>
      </c>
      <c r="AF186" s="97">
        <f t="shared" si="57"/>
        <v>54732.435491707183</v>
      </c>
      <c r="AG186" s="97">
        <f t="shared" si="57"/>
        <v>54732.435491707183</v>
      </c>
      <c r="AH186" s="97">
        <f t="shared" si="57"/>
        <v>54732.435491707183</v>
      </c>
    </row>
    <row r="187" spans="2:34" x14ac:dyDescent="0.25">
      <c r="B187">
        <v>855</v>
      </c>
      <c r="C187" s="28">
        <v>7</v>
      </c>
      <c r="D187" s="35" t="s">
        <v>213</v>
      </c>
      <c r="E187" s="154">
        <f>INDEX('2019 Data Lockdown'!H$5:H$257,MATCH(B187,'2019 Data Lockdown'!B$5:B$257,0))</f>
        <v>155.11353756998295</v>
      </c>
      <c r="F187" s="5">
        <f>INDEX('2019 Data Lockdown'!E$5:E$257,MATCH(B187,'2019 Data Lockdown'!B$5:B$257,0))</f>
        <v>140023.82</v>
      </c>
      <c r="G187" s="5">
        <f>INDEX('2019 Data Lockdown'!F$5:F$257,MATCH(B187,'2019 Data Lockdown'!B$5:B$257,0))</f>
        <v>7037</v>
      </c>
      <c r="H187" s="5">
        <f t="shared" si="40"/>
        <v>132986.82</v>
      </c>
      <c r="I187" s="95">
        <f t="shared" si="41"/>
        <v>857.35147352951071</v>
      </c>
      <c r="J187" s="6">
        <f t="shared" si="42"/>
        <v>791.19656515655265</v>
      </c>
      <c r="K187" s="5">
        <f t="shared" si="43"/>
        <v>122725.29813465239</v>
      </c>
      <c r="L187" s="135">
        <f>INDEX('2019 Best Practice Scores'!L$4:L$256,MATCH(B187,'2019 Best Practice Scores'!A$4:A$256,0))</f>
        <v>0.38425925925925924</v>
      </c>
      <c r="M187" s="97">
        <f t="shared" si="44"/>
        <v>28386.663523991807</v>
      </c>
      <c r="N187" s="97">
        <f t="shared" si="45"/>
        <v>11101.983180368257</v>
      </c>
      <c r="O187" s="97">
        <f t="shared" si="46"/>
        <v>3272.3514895712769</v>
      </c>
      <c r="P187" s="97">
        <f t="shared" si="47"/>
        <v>1491.3207972299513</v>
      </c>
      <c r="Q187" s="97">
        <f t="shared" si="48"/>
        <v>44252.318991161294</v>
      </c>
      <c r="R187" s="104">
        <f t="shared" si="49"/>
        <v>0.36058025251328624</v>
      </c>
      <c r="S187" s="166">
        <f t="shared" si="50"/>
        <v>44254.102480702713</v>
      </c>
      <c r="T187" s="97"/>
      <c r="U187" s="97">
        <f>IFERROR(INDEX('Revised 2020 MFAM(2018 PYAs)'!AD$26:AD$300,MATCH(B187,'Revised 2020 MFAM(2018 PYAs)'!B$26:B$300,0)),0)</f>
        <v>-21.153480488261266</v>
      </c>
      <c r="V187" s="97">
        <f>IFERROR(INDEX('Revised 2019 MFAM(2017 PYAs)'!AF$26:AF$300,MATCH(B187,'Revised 2019 MFAM(2017 PYAs)'!B$26:B$300,0)),0)</f>
        <v>6.7552386844472494</v>
      </c>
      <c r="W187" s="97">
        <f t="shared" si="51"/>
        <v>-2.9473457388780998E-2</v>
      </c>
      <c r="X187" s="97">
        <f t="shared" si="52"/>
        <v>-14.427715261202797</v>
      </c>
      <c r="Y187" s="97"/>
      <c r="Z187" s="98">
        <f t="shared" si="53"/>
        <v>44239.674765441508</v>
      </c>
      <c r="AA187" s="99">
        <v>0</v>
      </c>
      <c r="AB187" s="100">
        <f t="shared" si="54"/>
        <v>0</v>
      </c>
      <c r="AC187" s="97">
        <f t="shared" si="55"/>
        <v>44239.674765441508</v>
      </c>
      <c r="AD187" s="103"/>
      <c r="AE187" s="97">
        <f t="shared" si="57"/>
        <v>11059.918691360377</v>
      </c>
      <c r="AF187" s="97">
        <f t="shared" si="57"/>
        <v>11059.918691360377</v>
      </c>
      <c r="AG187" s="97">
        <f t="shared" si="57"/>
        <v>11059.918691360377</v>
      </c>
      <c r="AH187" s="97">
        <f t="shared" si="57"/>
        <v>11059.918691360377</v>
      </c>
    </row>
    <row r="188" spans="2:34" x14ac:dyDescent="0.25">
      <c r="B188">
        <v>862</v>
      </c>
      <c r="C188" s="28">
        <v>7</v>
      </c>
      <c r="D188" s="35" t="s">
        <v>214</v>
      </c>
      <c r="E188" s="154">
        <f>INDEX('2019 Data Lockdown'!H$5:H$257,MATCH(B188,'2019 Data Lockdown'!B$5:B$257,0))</f>
        <v>12.345441747052517</v>
      </c>
      <c r="F188" s="5">
        <f>INDEX('2019 Data Lockdown'!E$5:E$257,MATCH(B188,'2019 Data Lockdown'!B$5:B$257,0))</f>
        <v>11467.29</v>
      </c>
      <c r="G188" s="5">
        <f>INDEX('2019 Data Lockdown'!F$5:F$257,MATCH(B188,'2019 Data Lockdown'!B$5:B$257,0))</f>
        <v>8232.5</v>
      </c>
      <c r="H188" s="5">
        <f t="shared" si="40"/>
        <v>3234.7900000000009</v>
      </c>
      <c r="I188" s="95">
        <f t="shared" si="41"/>
        <v>262.02302568657046</v>
      </c>
      <c r="J188" s="6">
        <f t="shared" si="42"/>
        <v>262.02302568657046</v>
      </c>
      <c r="K188" s="5">
        <f t="shared" si="43"/>
        <v>3234.7900000000009</v>
      </c>
      <c r="L188" s="135">
        <f>INDEX('2019 Best Practice Scores'!L$4:L$256,MATCH(B188,'2019 Best Practice Scores'!A$4:A$256,0))</f>
        <v>0.33333333333333337</v>
      </c>
      <c r="M188" s="97">
        <f t="shared" si="44"/>
        <v>748.21488883265579</v>
      </c>
      <c r="N188" s="97">
        <f t="shared" si="45"/>
        <v>883.60364141753882</v>
      </c>
      <c r="O188" s="97">
        <f t="shared" si="46"/>
        <v>74.821488883265587</v>
      </c>
      <c r="P188" s="97">
        <f t="shared" si="47"/>
        <v>39.308192157565863</v>
      </c>
      <c r="Q188" s="97">
        <f t="shared" si="48"/>
        <v>1745.9482112910262</v>
      </c>
      <c r="R188" s="104">
        <f t="shared" si="49"/>
        <v>0.53974082128701573</v>
      </c>
      <c r="S188" s="166">
        <f t="shared" si="50"/>
        <v>1746.0185777813183</v>
      </c>
      <c r="T188" s="97"/>
      <c r="U188" s="97">
        <f>IFERROR(INDEX('Revised 2020 MFAM(2018 PYAs)'!AD$26:AD$300,MATCH(B188,'Revised 2020 MFAM(2018 PYAs)'!B$26:B$300,0)),0)</f>
        <v>-0.29201814192310849</v>
      </c>
      <c r="V188" s="97">
        <f>IFERROR(INDEX('Revised 2019 MFAM(2017 PYAs)'!AF$26:AF$300,MATCH(B188,'Revised 2019 MFAM(2017 PYAs)'!B$26:B$300,0)),0)</f>
        <v>0.24308383823495205</v>
      </c>
      <c r="W188" s="97">
        <f t="shared" si="51"/>
        <v>-1.1628572554306727E-3</v>
      </c>
      <c r="X188" s="97">
        <f t="shared" si="52"/>
        <v>-5.0097160943587106E-2</v>
      </c>
      <c r="Y188" s="97"/>
      <c r="Z188" s="98">
        <f t="shared" si="53"/>
        <v>1745.9684806203747</v>
      </c>
      <c r="AA188" s="99">
        <v>0</v>
      </c>
      <c r="AB188" s="100">
        <f t="shared" si="54"/>
        <v>0</v>
      </c>
      <c r="AC188" s="97">
        <f t="shared" si="55"/>
        <v>1745.9684806203747</v>
      </c>
      <c r="AD188" s="103"/>
      <c r="AE188" s="97">
        <f t="shared" si="57"/>
        <v>436.49212015509369</v>
      </c>
      <c r="AF188" s="97">
        <f t="shared" si="57"/>
        <v>436.49212015509369</v>
      </c>
      <c r="AG188" s="97">
        <f t="shared" si="57"/>
        <v>436.49212015509369</v>
      </c>
      <c r="AH188" s="97">
        <f t="shared" si="57"/>
        <v>436.49212015509369</v>
      </c>
    </row>
    <row r="189" spans="2:34" x14ac:dyDescent="0.25">
      <c r="B189">
        <v>958</v>
      </c>
      <c r="C189" s="28">
        <v>7</v>
      </c>
      <c r="D189" s="35" t="s">
        <v>215</v>
      </c>
      <c r="E189" s="154">
        <f>INDEX('2019 Data Lockdown'!H$5:H$257,MATCH(B189,'2019 Data Lockdown'!B$5:B$257,0))</f>
        <v>508.60074662379418</v>
      </c>
      <c r="F189" s="5">
        <f>INDEX('2019 Data Lockdown'!E$5:E$257,MATCH(B189,'2019 Data Lockdown'!B$5:B$257,0))</f>
        <v>99405.3</v>
      </c>
      <c r="G189" s="5">
        <f>INDEX('2019 Data Lockdown'!F$5:F$257,MATCH(B189,'2019 Data Lockdown'!B$5:B$257,0))</f>
        <v>311.52</v>
      </c>
      <c r="H189" s="5">
        <f t="shared" si="40"/>
        <v>99093.78</v>
      </c>
      <c r="I189" s="95">
        <f t="shared" si="41"/>
        <v>194.83608834199859</v>
      </c>
      <c r="J189" s="6">
        <f t="shared" si="42"/>
        <v>194.83608834199859</v>
      </c>
      <c r="K189" s="5">
        <f t="shared" si="43"/>
        <v>99093.78</v>
      </c>
      <c r="L189" s="135">
        <f>INDEX('2019 Best Practice Scores'!L$4:L$256,MATCH(B189,'2019 Best Practice Scores'!A$4:A$256,0))</f>
        <v>0.85185185185185164</v>
      </c>
      <c r="M189" s="97">
        <f t="shared" si="44"/>
        <v>22920.635214869475</v>
      </c>
      <c r="N189" s="97">
        <f t="shared" si="45"/>
        <v>36402.218806934019</v>
      </c>
      <c r="O189" s="97">
        <f t="shared" si="46"/>
        <v>5857.4956660221978</v>
      </c>
      <c r="P189" s="97">
        <f t="shared" si="47"/>
        <v>1204.1577183865277</v>
      </c>
      <c r="Q189" s="97">
        <f t="shared" si="48"/>
        <v>66384.507406212215</v>
      </c>
      <c r="R189" s="104">
        <f t="shared" si="49"/>
        <v>0.66991598671694852</v>
      </c>
      <c r="S189" s="166">
        <f t="shared" si="50"/>
        <v>66387.182883506292</v>
      </c>
      <c r="T189" s="97"/>
      <c r="U189" s="97">
        <f>IFERROR(INDEX('Revised 2020 MFAM(2018 PYAs)'!AD$26:AD$300,MATCH(B189,'Revised 2020 MFAM(2018 PYAs)'!B$26:B$300,0)),0)</f>
        <v>-25.372464267769828</v>
      </c>
      <c r="V189" s="97">
        <f>IFERROR(INDEX('Revised 2019 MFAM(2017 PYAs)'!AF$26:AF$300,MATCH(B189,'Revised 2019 MFAM(2017 PYAs)'!B$26:B$300,0)),0)</f>
        <v>11.367839476326481</v>
      </c>
      <c r="W189" s="97">
        <f t="shared" si="51"/>
        <v>-4.4214201536037202E-2</v>
      </c>
      <c r="X189" s="97">
        <f t="shared" si="52"/>
        <v>-14.048838992979386</v>
      </c>
      <c r="Y189" s="97"/>
      <c r="Z189" s="98">
        <f t="shared" si="53"/>
        <v>66373.13404451331</v>
      </c>
      <c r="AA189" s="99">
        <v>0</v>
      </c>
      <c r="AB189" s="100">
        <f t="shared" si="54"/>
        <v>0</v>
      </c>
      <c r="AC189" s="97">
        <f t="shared" si="55"/>
        <v>66373.13404451331</v>
      </c>
      <c r="AD189" s="103"/>
      <c r="AE189" s="97">
        <f t="shared" si="57"/>
        <v>16593.283511128328</v>
      </c>
      <c r="AF189" s="97">
        <f t="shared" si="57"/>
        <v>16593.283511128328</v>
      </c>
      <c r="AG189" s="97">
        <f t="shared" si="57"/>
        <v>16593.283511128328</v>
      </c>
      <c r="AH189" s="97">
        <f t="shared" si="57"/>
        <v>16593.283511128328</v>
      </c>
    </row>
    <row r="190" spans="2:34" x14ac:dyDescent="0.25">
      <c r="B190">
        <v>967</v>
      </c>
      <c r="C190" s="28">
        <v>7</v>
      </c>
      <c r="D190" s="35" t="s">
        <v>216</v>
      </c>
      <c r="E190" s="154">
        <f>INDEX('2019 Data Lockdown'!H$5:H$257,MATCH(B190,'2019 Data Lockdown'!B$5:B$257,0))</f>
        <v>155.99990261402883</v>
      </c>
      <c r="F190" s="5">
        <f>INDEX('2019 Data Lockdown'!E$5:E$257,MATCH(B190,'2019 Data Lockdown'!B$5:B$257,0))</f>
        <v>82909.41</v>
      </c>
      <c r="G190" s="5">
        <f>INDEX('2019 Data Lockdown'!F$5:F$257,MATCH(B190,'2019 Data Lockdown'!B$5:B$257,0))</f>
        <v>0</v>
      </c>
      <c r="H190" s="5">
        <f t="shared" si="40"/>
        <v>82909.41</v>
      </c>
      <c r="I190" s="95">
        <f t="shared" si="41"/>
        <v>531.47090870391412</v>
      </c>
      <c r="J190" s="6">
        <f t="shared" si="42"/>
        <v>531.47090870391412</v>
      </c>
      <c r="K190" s="5">
        <f t="shared" si="43"/>
        <v>82909.41</v>
      </c>
      <c r="L190" s="135">
        <f>INDEX('2019 Best Practice Scores'!L$4:L$256,MATCH(B190,'2019 Best Practice Scores'!A$4:A$256,0))</f>
        <v>0.34722222222222221</v>
      </c>
      <c r="M190" s="97">
        <f t="shared" si="44"/>
        <v>19177.15059905931</v>
      </c>
      <c r="N190" s="97">
        <f t="shared" si="45"/>
        <v>11165.423225414126</v>
      </c>
      <c r="O190" s="97">
        <f t="shared" si="46"/>
        <v>1997.619854068678</v>
      </c>
      <c r="P190" s="97">
        <f t="shared" si="47"/>
        <v>1007.4901369023684</v>
      </c>
      <c r="Q190" s="97">
        <f t="shared" si="48"/>
        <v>33347.683815444485</v>
      </c>
      <c r="R190" s="104">
        <f t="shared" si="49"/>
        <v>0.40221832256971174</v>
      </c>
      <c r="S190" s="166">
        <f t="shared" si="50"/>
        <v>33349.027818350347</v>
      </c>
      <c r="T190" s="97"/>
      <c r="U190" s="97">
        <f>IFERROR(INDEX('Revised 2020 MFAM(2018 PYAs)'!AD$26:AD$300,MATCH(B190,'Revised 2020 MFAM(2018 PYAs)'!B$26:B$300,0)),0)</f>
        <v>-11.584896987711545</v>
      </c>
      <c r="V190" s="97">
        <f>IFERROR(INDEX('Revised 2019 MFAM(2017 PYAs)'!AF$26:AF$300,MATCH(B190,'Revised 2019 MFAM(2017 PYAs)'!B$26:B$300,0)),0)</f>
        <v>4.2716472297870496</v>
      </c>
      <c r="W190" s="97">
        <f t="shared" si="51"/>
        <v>-2.2210622185593432E-2</v>
      </c>
      <c r="X190" s="97">
        <f t="shared" si="52"/>
        <v>-7.3354603801100886</v>
      </c>
      <c r="Y190" s="97"/>
      <c r="Z190" s="98">
        <f t="shared" si="53"/>
        <v>33341.692357970234</v>
      </c>
      <c r="AA190" s="99">
        <v>0</v>
      </c>
      <c r="AB190" s="100">
        <f t="shared" si="54"/>
        <v>0</v>
      </c>
      <c r="AC190" s="97">
        <f t="shared" si="55"/>
        <v>33341.692357970234</v>
      </c>
      <c r="AD190" s="103"/>
      <c r="AE190" s="97">
        <f t="shared" si="57"/>
        <v>8335.4230894925586</v>
      </c>
      <c r="AF190" s="97">
        <f t="shared" si="57"/>
        <v>8335.4230894925586</v>
      </c>
      <c r="AG190" s="97">
        <f t="shared" si="57"/>
        <v>8335.4230894925586</v>
      </c>
      <c r="AH190" s="97">
        <f t="shared" si="57"/>
        <v>8335.4230894925586</v>
      </c>
    </row>
    <row r="191" spans="2:34" x14ac:dyDescent="0.25">
      <c r="B191">
        <v>971</v>
      </c>
      <c r="C191" s="28">
        <v>7</v>
      </c>
      <c r="D191" s="35" t="s">
        <v>217</v>
      </c>
      <c r="E191" s="154">
        <f>INDEX('2019 Data Lockdown'!H$5:H$257,MATCH(B191,'2019 Data Lockdown'!B$5:B$257,0))</f>
        <v>888.33999999999992</v>
      </c>
      <c r="F191" s="5">
        <f>INDEX('2019 Data Lockdown'!E$5:E$257,MATCH(B191,'2019 Data Lockdown'!B$5:B$257,0))</f>
        <v>579439.27</v>
      </c>
      <c r="G191" s="5">
        <f>INDEX('2019 Data Lockdown'!F$5:F$257,MATCH(B191,'2019 Data Lockdown'!B$5:B$257,0))</f>
        <v>96935.22</v>
      </c>
      <c r="H191" s="5">
        <f t="shared" si="40"/>
        <v>482504.05000000005</v>
      </c>
      <c r="I191" s="95">
        <f t="shared" si="41"/>
        <v>543.15245288965946</v>
      </c>
      <c r="J191" s="6">
        <f t="shared" si="42"/>
        <v>543.15245288965946</v>
      </c>
      <c r="K191" s="5">
        <f t="shared" si="43"/>
        <v>482504.05000000005</v>
      </c>
      <c r="L191" s="135">
        <f>INDEX('2019 Best Practice Scores'!L$4:L$256,MATCH(B191,'2019 Best Practice Scores'!A$4:A$256,0))</f>
        <v>0.5625</v>
      </c>
      <c r="M191" s="97">
        <f t="shared" si="44"/>
        <v>111604.37435878563</v>
      </c>
      <c r="N191" s="97">
        <f t="shared" si="45"/>
        <v>63581.399102568481</v>
      </c>
      <c r="O191" s="97">
        <f t="shared" si="46"/>
        <v>18833.238173045072</v>
      </c>
      <c r="P191" s="97">
        <f t="shared" si="47"/>
        <v>5863.2436461729403</v>
      </c>
      <c r="Q191" s="97">
        <f t="shared" si="48"/>
        <v>199882.25528057214</v>
      </c>
      <c r="R191" s="104">
        <f t="shared" si="49"/>
        <v>0.41426026430363044</v>
      </c>
      <c r="S191" s="166">
        <f t="shared" si="50"/>
        <v>199890.31108239078</v>
      </c>
      <c r="T191" s="97"/>
      <c r="U191" s="97">
        <f>IFERROR(INDEX('Revised 2020 MFAM(2018 PYAs)'!AD$26:AD$300,MATCH(B191,'Revised 2020 MFAM(2018 PYAs)'!B$26:B$300,0)),0)</f>
        <v>-60.634677466528956</v>
      </c>
      <c r="V191" s="97">
        <f>IFERROR(INDEX('Revised 2019 MFAM(2017 PYAs)'!AF$26:AF$300,MATCH(B191,'Revised 2019 MFAM(2017 PYAs)'!B$26:B$300,0)),0)</f>
        <v>22.990046827035258</v>
      </c>
      <c r="W191" s="97">
        <f t="shared" si="51"/>
        <v>-0.13312796409521649</v>
      </c>
      <c r="X191" s="97">
        <f t="shared" si="52"/>
        <v>-37.777758603588914</v>
      </c>
      <c r="Y191" s="97"/>
      <c r="Z191" s="98">
        <f t="shared" si="53"/>
        <v>199852.53332378718</v>
      </c>
      <c r="AA191" s="99">
        <v>0</v>
      </c>
      <c r="AB191" s="100">
        <f t="shared" si="54"/>
        <v>0</v>
      </c>
      <c r="AC191" s="97">
        <f t="shared" si="55"/>
        <v>199852.53332378718</v>
      </c>
      <c r="AD191" s="103"/>
      <c r="AE191" s="97">
        <f t="shared" si="57"/>
        <v>49963.133330946795</v>
      </c>
      <c r="AF191" s="97">
        <f t="shared" si="57"/>
        <v>49963.133330946795</v>
      </c>
      <c r="AG191" s="97">
        <f t="shared" si="57"/>
        <v>49963.133330946795</v>
      </c>
      <c r="AH191" s="97">
        <f t="shared" si="57"/>
        <v>49963.133330946795</v>
      </c>
    </row>
    <row r="192" spans="2:34" x14ac:dyDescent="0.25">
      <c r="B192" s="34">
        <v>975</v>
      </c>
      <c r="C192" s="28">
        <v>7</v>
      </c>
      <c r="D192" s="35" t="s">
        <v>218</v>
      </c>
      <c r="E192" s="154">
        <f>INDEX('2019 Data Lockdown'!H$5:H$257,MATCH(B192,'2019 Data Lockdown'!B$5:B$257,0))</f>
        <v>30.317539180659761</v>
      </c>
      <c r="F192" s="5">
        <f>INDEX('2019 Data Lockdown'!E$5:E$257,MATCH(B192,'2019 Data Lockdown'!B$5:B$257,0))</f>
        <v>76785.06</v>
      </c>
      <c r="G192" s="5">
        <f>INDEX('2019 Data Lockdown'!F$5:F$257,MATCH(B192,'2019 Data Lockdown'!B$5:B$257,0))</f>
        <v>0</v>
      </c>
      <c r="H192" s="5">
        <f t="shared" si="40"/>
        <v>76785.06</v>
      </c>
      <c r="I192" s="95">
        <f t="shared" si="41"/>
        <v>2532.694343773881</v>
      </c>
      <c r="J192" s="6">
        <f t="shared" si="42"/>
        <v>791.19656515655265</v>
      </c>
      <c r="K192" s="5">
        <f t="shared" si="43"/>
        <v>23987.13286373721</v>
      </c>
      <c r="L192" s="135">
        <f>INDEX('2019 Best Practice Scores'!L$4:L$256,MATCH(B192,'2019 Best Practice Scores'!A$4:A$256,0))</f>
        <v>0.2361111111111111</v>
      </c>
      <c r="M192" s="97">
        <f t="shared" si="44"/>
        <v>5548.2828712390219</v>
      </c>
      <c r="N192" s="97">
        <f t="shared" si="45"/>
        <v>2169.9254322143388</v>
      </c>
      <c r="O192" s="97">
        <f t="shared" si="46"/>
        <v>393.0033700460973</v>
      </c>
      <c r="P192" s="97">
        <f t="shared" si="47"/>
        <v>291.48440174380568</v>
      </c>
      <c r="Q192" s="97">
        <f t="shared" si="48"/>
        <v>8402.6960752432642</v>
      </c>
      <c r="R192" s="104">
        <f t="shared" si="49"/>
        <v>0.35030014312157021</v>
      </c>
      <c r="S192" s="166">
        <f t="shared" si="50"/>
        <v>8403.034726887101</v>
      </c>
      <c r="T192" s="97"/>
      <c r="U192" s="97">
        <f>IFERROR(INDEX('Revised 2020 MFAM(2018 PYAs)'!AD$26:AD$300,MATCH(B192,'Revised 2020 MFAM(2018 PYAs)'!B$26:B$300,0)),0)</f>
        <v>-19.954912388194316</v>
      </c>
      <c r="V192" s="97">
        <f>IFERROR(INDEX('Revised 2019 MFAM(2017 PYAs)'!AF$26:AF$300,MATCH(B192,'Revised 2019 MFAM(2017 PYAs)'!B$26:B$300,0)),0)</f>
        <v>-1.223485610100397</v>
      </c>
      <c r="W192" s="97">
        <f t="shared" si="51"/>
        <v>-5.596463877385164E-3</v>
      </c>
      <c r="X192" s="97">
        <f t="shared" si="52"/>
        <v>-21.183994462172098</v>
      </c>
      <c r="Y192" s="97"/>
      <c r="Z192" s="98">
        <f t="shared" si="53"/>
        <v>8381.8507324249294</v>
      </c>
      <c r="AA192" s="99">
        <v>0</v>
      </c>
      <c r="AB192" s="100">
        <f t="shared" si="54"/>
        <v>0</v>
      </c>
      <c r="AC192" s="97">
        <f t="shared" si="55"/>
        <v>8381.8507324249294</v>
      </c>
      <c r="AD192" s="103"/>
      <c r="AE192" s="97">
        <f t="shared" si="57"/>
        <v>2095.4626831062324</v>
      </c>
      <c r="AF192" s="97">
        <f t="shared" si="57"/>
        <v>2095.4626831062324</v>
      </c>
      <c r="AG192" s="97">
        <f t="shared" si="57"/>
        <v>2095.4626831062324</v>
      </c>
      <c r="AH192" s="97">
        <f t="shared" si="57"/>
        <v>2095.4626831062324</v>
      </c>
    </row>
    <row r="193" spans="2:34" x14ac:dyDescent="0.25">
      <c r="B193" s="26">
        <v>976</v>
      </c>
      <c r="C193" s="28">
        <v>7</v>
      </c>
      <c r="D193" s="35" t="s">
        <v>219</v>
      </c>
      <c r="E193" s="154">
        <f>INDEX('2019 Data Lockdown'!H$5:H$257,MATCH(B193,'2019 Data Lockdown'!B$5:B$257,0))</f>
        <v>31.32229912468739</v>
      </c>
      <c r="F193" s="5">
        <f>INDEX('2019 Data Lockdown'!E$5:E$257,MATCH(B193,'2019 Data Lockdown'!B$5:B$257,0))</f>
        <v>39297.230000000003</v>
      </c>
      <c r="G193" s="5">
        <f>INDEX('2019 Data Lockdown'!F$5:F$257,MATCH(B193,'2019 Data Lockdown'!B$5:B$257,0))</f>
        <v>0</v>
      </c>
      <c r="H193" s="5">
        <f t="shared" si="40"/>
        <v>39297.230000000003</v>
      </c>
      <c r="I193" s="95">
        <f t="shared" si="41"/>
        <v>1254.6087323783645</v>
      </c>
      <c r="J193" s="6">
        <f t="shared" si="42"/>
        <v>791.19656515655265</v>
      </c>
      <c r="K193" s="5">
        <f t="shared" si="43"/>
        <v>24782.095480258758</v>
      </c>
      <c r="L193" s="135">
        <f>INDEX('2019 Best Practice Scores'!L$4:L$256,MATCH(B193,'2019 Best Practice Scores'!A$4:A$256,0))</f>
        <v>0.28675925925925927</v>
      </c>
      <c r="M193" s="97">
        <f t="shared" si="44"/>
        <v>5732.159681092764</v>
      </c>
      <c r="N193" s="97">
        <f t="shared" si="45"/>
        <v>2241.8393874606354</v>
      </c>
      <c r="O193" s="97">
        <f t="shared" si="46"/>
        <v>493.12495923178579</v>
      </c>
      <c r="P193" s="97">
        <f t="shared" si="47"/>
        <v>301.14454762292308</v>
      </c>
      <c r="Q193" s="97">
        <f t="shared" si="48"/>
        <v>8768.2685754081085</v>
      </c>
      <c r="R193" s="104">
        <f t="shared" si="49"/>
        <v>0.35381465551986307</v>
      </c>
      <c r="S193" s="166">
        <f t="shared" si="50"/>
        <v>8768.6219606240047</v>
      </c>
      <c r="T193" s="97"/>
      <c r="U193" s="97">
        <f>IFERROR(INDEX('Revised 2020 MFAM(2018 PYAs)'!AD$26:AD$300,MATCH(B193,'Revised 2020 MFAM(2018 PYAs)'!B$26:B$300,0)),0)</f>
        <v>-31.524908245456572</v>
      </c>
      <c r="V193" s="97">
        <f>IFERROR(INDEX('Revised 2019 MFAM(2017 PYAs)'!AF$26:AF$300,MATCH(B193,'Revised 2019 MFAM(2017 PYAs)'!B$26:B$300,0)),0)</f>
        <v>-0.75185588020576688</v>
      </c>
      <c r="W193" s="97">
        <f t="shared" si="51"/>
        <v>-5.8399468349284904E-3</v>
      </c>
      <c r="X193" s="97">
        <f t="shared" si="52"/>
        <v>-32.282604072497264</v>
      </c>
      <c r="Y193" s="97"/>
      <c r="Z193" s="98">
        <f t="shared" si="53"/>
        <v>8736.3393565515071</v>
      </c>
      <c r="AA193" s="99">
        <v>0</v>
      </c>
      <c r="AB193" s="100">
        <f t="shared" si="54"/>
        <v>0</v>
      </c>
      <c r="AC193" s="97">
        <f t="shared" si="55"/>
        <v>8736.3393565515071</v>
      </c>
      <c r="AD193" s="103"/>
      <c r="AE193" s="97">
        <f t="shared" si="57"/>
        <v>2184.0848391378768</v>
      </c>
      <c r="AF193" s="97">
        <f t="shared" si="57"/>
        <v>2184.0848391378768</v>
      </c>
      <c r="AG193" s="97">
        <f t="shared" si="57"/>
        <v>2184.0848391378768</v>
      </c>
      <c r="AH193" s="97">
        <f t="shared" si="57"/>
        <v>2184.0848391378768</v>
      </c>
    </row>
    <row r="194" spans="2:34" x14ac:dyDescent="0.25">
      <c r="B194" s="26">
        <v>977</v>
      </c>
      <c r="C194" s="28">
        <v>7</v>
      </c>
      <c r="D194" s="35" t="s">
        <v>220</v>
      </c>
      <c r="E194" s="154">
        <f>INDEX('2019 Data Lockdown'!H$5:H$257,MATCH(B194,'2019 Data Lockdown'!B$5:B$257,0))</f>
        <v>47.09266172442539</v>
      </c>
      <c r="F194" s="5">
        <f>INDEX('2019 Data Lockdown'!E$5:E$257,MATCH(B194,'2019 Data Lockdown'!B$5:B$257,0))</f>
        <v>60860.35</v>
      </c>
      <c r="G194" s="5">
        <f>INDEX('2019 Data Lockdown'!F$5:F$257,MATCH(B194,'2019 Data Lockdown'!B$5:B$257,0))</f>
        <v>0</v>
      </c>
      <c r="H194" s="5">
        <f t="shared" si="40"/>
        <v>60860.35</v>
      </c>
      <c r="I194" s="95">
        <f t="shared" si="41"/>
        <v>1292.3531559150281</v>
      </c>
      <c r="J194" s="6">
        <f t="shared" si="42"/>
        <v>791.19656515655265</v>
      </c>
      <c r="K194" s="5">
        <f t="shared" si="43"/>
        <v>37259.552200444828</v>
      </c>
      <c r="L194" s="135">
        <f>INDEX('2019 Best Practice Scores'!L$4:L$256,MATCH(B194,'2019 Best Practice Scores'!A$4:A$256,0))</f>
        <v>0.27777777777777779</v>
      </c>
      <c r="M194" s="97">
        <f t="shared" si="44"/>
        <v>8618.2261314058578</v>
      </c>
      <c r="N194" s="97">
        <f t="shared" si="45"/>
        <v>3370.5758154568543</v>
      </c>
      <c r="O194" s="97">
        <f t="shared" si="46"/>
        <v>718.18551095048815</v>
      </c>
      <c r="P194" s="97">
        <f t="shared" si="47"/>
        <v>452.76683729081054</v>
      </c>
      <c r="Q194" s="97">
        <f t="shared" si="48"/>
        <v>13159.75429510401</v>
      </c>
      <c r="R194" s="104">
        <f t="shared" si="49"/>
        <v>0.3531914238879903</v>
      </c>
      <c r="S194" s="166">
        <f t="shared" si="50"/>
        <v>13160.28466921068</v>
      </c>
      <c r="T194" s="97"/>
      <c r="U194" s="97">
        <f>IFERROR(INDEX('Revised 2020 MFAM(2018 PYAs)'!AD$26:AD$300,MATCH(B194,'Revised 2020 MFAM(2018 PYAs)'!B$26:B$300,0)),0)</f>
        <v>-43.975835650606314</v>
      </c>
      <c r="V194" s="97">
        <f>IFERROR(INDEX('Revised 2019 MFAM(2017 PYAs)'!AF$26:AF$300,MATCH(B194,'Revised 2019 MFAM(2017 PYAs)'!B$26:B$300,0)),0)</f>
        <v>-1.0900695244454255</v>
      </c>
      <c r="W194" s="97">
        <f t="shared" si="51"/>
        <v>-8.7648165408245708E-3</v>
      </c>
      <c r="X194" s="97">
        <f t="shared" si="52"/>
        <v>-45.074669991592565</v>
      </c>
      <c r="Y194" s="97"/>
      <c r="Z194" s="98">
        <f t="shared" si="53"/>
        <v>13115.209999219087</v>
      </c>
      <c r="AA194" s="99">
        <v>0</v>
      </c>
      <c r="AB194" s="100">
        <f t="shared" si="54"/>
        <v>0</v>
      </c>
      <c r="AC194" s="97">
        <f t="shared" si="55"/>
        <v>13115.209999219087</v>
      </c>
      <c r="AD194" s="103"/>
      <c r="AE194" s="97">
        <f t="shared" si="57"/>
        <v>3278.8024998047717</v>
      </c>
      <c r="AF194" s="97">
        <f t="shared" si="57"/>
        <v>3278.8024998047717</v>
      </c>
      <c r="AG194" s="97">
        <f t="shared" si="57"/>
        <v>3278.8024998047717</v>
      </c>
      <c r="AH194" s="97">
        <f t="shared" si="57"/>
        <v>3278.8024998047717</v>
      </c>
    </row>
    <row r="195" spans="2:34" x14ac:dyDescent="0.25">
      <c r="B195" s="26">
        <v>979</v>
      </c>
      <c r="C195" s="28">
        <v>7</v>
      </c>
      <c r="D195" s="35" t="s">
        <v>305</v>
      </c>
      <c r="E195" s="154">
        <f>INDEX('2019 Data Lockdown'!H$5:H$257,MATCH(B195,'2019 Data Lockdown'!B$5:B$257,0))</f>
        <v>251.06766740502562</v>
      </c>
      <c r="F195" s="5">
        <f>INDEX('2019 Data Lockdown'!E$5:E$257,MATCH(B195,'2019 Data Lockdown'!B$5:B$257,0))</f>
        <v>106200.78</v>
      </c>
      <c r="G195" s="5">
        <f>INDEX('2019 Data Lockdown'!F$5:F$257,MATCH(B195,'2019 Data Lockdown'!B$5:B$257,0))</f>
        <v>0</v>
      </c>
      <c r="H195" s="5">
        <f t="shared" si="40"/>
        <v>106200.78</v>
      </c>
      <c r="I195" s="95">
        <f t="shared" si="41"/>
        <v>422.99664109546819</v>
      </c>
      <c r="J195" s="6">
        <f t="shared" si="42"/>
        <v>422.99664109546819</v>
      </c>
      <c r="K195" s="5">
        <f t="shared" si="43"/>
        <v>106200.78</v>
      </c>
      <c r="L195" s="135">
        <f>INDEX('2019 Best Practice Scores'!L$4:L$256,MATCH(B195,'2019 Best Practice Scores'!A$4:A$256,0))</f>
        <v>0.94444444444444442</v>
      </c>
      <c r="M195" s="97">
        <f t="shared" si="44"/>
        <v>24564.501807425309</v>
      </c>
      <c r="N195" s="97">
        <f t="shared" si="45"/>
        <v>17969.734069196322</v>
      </c>
      <c r="O195" s="97">
        <f t="shared" si="46"/>
        <v>6959.9421787705032</v>
      </c>
      <c r="P195" s="97">
        <f t="shared" si="47"/>
        <v>1290.5198382347469</v>
      </c>
      <c r="Q195" s="97">
        <f t="shared" si="48"/>
        <v>50784.697893626886</v>
      </c>
      <c r="R195" s="104">
        <f t="shared" si="49"/>
        <v>0.47819514973079186</v>
      </c>
      <c r="S195" s="166">
        <f t="shared" si="50"/>
        <v>50786.744655912393</v>
      </c>
      <c r="T195" s="97"/>
      <c r="U195" s="97">
        <f>IFERROR(INDEX('Revised 2020 MFAM(2018 PYAs)'!AD$26:AD$300,MATCH(B195,'Revised 2020 MFAM(2018 PYAs)'!B$26:B$300,0)),0)</f>
        <v>-81.375832659410662</v>
      </c>
      <c r="V195" s="97">
        <f>IFERROR(INDEX('Revised 2019 MFAM(2017 PYAs)'!AF$26:AF$300,MATCH(B195,'Revised 2019 MFAM(2017 PYAs)'!B$26:B$300,0)),0)</f>
        <v>0</v>
      </c>
      <c r="W195" s="97">
        <f t="shared" si="51"/>
        <v>-3.3824230311385269E-2</v>
      </c>
      <c r="X195" s="97">
        <f t="shared" si="52"/>
        <v>-81.409656889722044</v>
      </c>
      <c r="Y195" s="97"/>
      <c r="Z195" s="98">
        <f t="shared" si="53"/>
        <v>50705.334999022671</v>
      </c>
      <c r="AA195" s="99">
        <v>0</v>
      </c>
      <c r="AB195" s="100">
        <f t="shared" si="54"/>
        <v>0</v>
      </c>
      <c r="AC195" s="97">
        <f t="shared" si="55"/>
        <v>50705.334999022671</v>
      </c>
      <c r="AD195" s="103"/>
      <c r="AE195" s="97">
        <f t="shared" si="57"/>
        <v>12676.333749755668</v>
      </c>
      <c r="AF195" s="97">
        <f t="shared" si="57"/>
        <v>12676.333749755668</v>
      </c>
      <c r="AG195" s="97">
        <f t="shared" si="57"/>
        <v>12676.333749755668</v>
      </c>
      <c r="AH195" s="97">
        <f t="shared" si="57"/>
        <v>12676.333749755668</v>
      </c>
    </row>
    <row r="196" spans="2:34" x14ac:dyDescent="0.25">
      <c r="B196" s="26">
        <v>981</v>
      </c>
      <c r="C196" s="28">
        <v>7</v>
      </c>
      <c r="D196" s="35" t="s">
        <v>221</v>
      </c>
      <c r="E196" s="154">
        <f>INDEX('2019 Data Lockdown'!H$5:H$257,MATCH(B196,'2019 Data Lockdown'!B$5:B$257,0))</f>
        <v>202.51591950101229</v>
      </c>
      <c r="F196" s="5">
        <f>INDEX('2019 Data Lockdown'!E$5:E$257,MATCH(B196,'2019 Data Lockdown'!B$5:B$257,0))</f>
        <v>116776.12</v>
      </c>
      <c r="G196" s="5">
        <f>INDEX('2019 Data Lockdown'!F$5:F$257,MATCH(B196,'2019 Data Lockdown'!B$5:B$257,0))</f>
        <v>26983</v>
      </c>
      <c r="H196" s="5">
        <f t="shared" si="40"/>
        <v>89793.12</v>
      </c>
      <c r="I196" s="95">
        <f t="shared" si="41"/>
        <v>443.38795795039294</v>
      </c>
      <c r="J196" s="6">
        <f t="shared" si="42"/>
        <v>443.38795795039294</v>
      </c>
      <c r="K196" s="5">
        <f t="shared" si="43"/>
        <v>89793.12</v>
      </c>
      <c r="L196" s="135">
        <f>INDEX('2019 Best Practice Scores'!L$4:L$256,MATCH(B196,'2019 Best Practice Scores'!A$4:A$256,0))</f>
        <v>0.48958333333333331</v>
      </c>
      <c r="M196" s="97">
        <f t="shared" si="44"/>
        <v>20769.369665028426</v>
      </c>
      <c r="N196" s="97">
        <f t="shared" si="45"/>
        <v>14494.726683947019</v>
      </c>
      <c r="O196" s="97">
        <f t="shared" si="46"/>
        <v>3050.5011695510493</v>
      </c>
      <c r="P196" s="97">
        <f t="shared" si="47"/>
        <v>1091.138904036234</v>
      </c>
      <c r="Q196" s="97">
        <f t="shared" si="48"/>
        <v>39405.736422562724</v>
      </c>
      <c r="R196" s="104">
        <f t="shared" si="49"/>
        <v>0.43885028633109896</v>
      </c>
      <c r="S196" s="166">
        <f t="shared" si="50"/>
        <v>39407.324581565095</v>
      </c>
      <c r="T196" s="97"/>
      <c r="U196" s="97">
        <f>IFERROR(INDEX('Revised 2020 MFAM(2018 PYAs)'!AD$26:AD$300,MATCH(B196,'Revised 2020 MFAM(2018 PYAs)'!B$26:B$300,0)),0)</f>
        <v>0</v>
      </c>
      <c r="V196" s="97">
        <f>IFERROR(INDEX('Revised 2019 MFAM(2017 PYAs)'!AF$26:AF$300,MATCH(B196,'Revised 2019 MFAM(2017 PYAs)'!B$26:B$300,0)),0)</f>
        <v>-2.9439474452265131</v>
      </c>
      <c r="W196" s="97">
        <f t="shared" si="51"/>
        <v>-2.6245478650642324E-2</v>
      </c>
      <c r="X196" s="97">
        <f t="shared" si="52"/>
        <v>-2.9701929238771556</v>
      </c>
      <c r="Y196" s="97"/>
      <c r="Z196" s="98">
        <f t="shared" si="53"/>
        <v>39404.354388641215</v>
      </c>
      <c r="AA196" s="99">
        <v>0</v>
      </c>
      <c r="AB196" s="100">
        <f t="shared" si="54"/>
        <v>0</v>
      </c>
      <c r="AC196" s="97">
        <f t="shared" si="55"/>
        <v>39404.354388641215</v>
      </c>
      <c r="AD196" s="103"/>
      <c r="AE196" s="97">
        <f t="shared" si="57"/>
        <v>9851.0885971603038</v>
      </c>
      <c r="AF196" s="97">
        <f t="shared" si="57"/>
        <v>9851.0885971603038</v>
      </c>
      <c r="AG196" s="97">
        <f t="shared" si="57"/>
        <v>9851.0885971603038</v>
      </c>
      <c r="AH196" s="97">
        <f t="shared" si="57"/>
        <v>9851.0885971603038</v>
      </c>
    </row>
    <row r="197" spans="2:34" x14ac:dyDescent="0.25">
      <c r="B197" s="26">
        <v>983</v>
      </c>
      <c r="C197" s="28">
        <v>7</v>
      </c>
      <c r="D197" s="35" t="s">
        <v>222</v>
      </c>
      <c r="E197" s="154">
        <f>INDEX('2019 Data Lockdown'!H$5:H$257,MATCH(B197,'2019 Data Lockdown'!B$5:B$257,0))</f>
        <v>75.897781633089437</v>
      </c>
      <c r="F197" s="5">
        <f>INDEX('2019 Data Lockdown'!E$5:E$257,MATCH(B197,'2019 Data Lockdown'!B$5:B$257,0))</f>
        <v>32152.06</v>
      </c>
      <c r="G197" s="5">
        <f>INDEX('2019 Data Lockdown'!F$5:F$257,MATCH(B197,'2019 Data Lockdown'!B$5:B$257,0))</f>
        <v>0</v>
      </c>
      <c r="H197" s="5">
        <f t="shared" si="40"/>
        <v>32152.06</v>
      </c>
      <c r="I197" s="95">
        <f t="shared" si="41"/>
        <v>423.62318513381354</v>
      </c>
      <c r="J197" s="6">
        <f t="shared" si="42"/>
        <v>423.62318513381354</v>
      </c>
      <c r="K197" s="5">
        <f t="shared" si="43"/>
        <v>32152.059999999998</v>
      </c>
      <c r="L197" s="135">
        <f>INDEX('2019 Best Practice Scores'!L$4:L$256,MATCH(B197,'2019 Best Practice Scores'!A$4:A$256,0))</f>
        <v>0.51736111111111116</v>
      </c>
      <c r="M197" s="97">
        <f t="shared" si="44"/>
        <v>7436.8506143028981</v>
      </c>
      <c r="N197" s="97">
        <f t="shared" si="45"/>
        <v>5432.2524540300465</v>
      </c>
      <c r="O197" s="97">
        <f t="shared" si="46"/>
        <v>1154.261189094929</v>
      </c>
      <c r="P197" s="97">
        <f t="shared" si="47"/>
        <v>390.70213297975658</v>
      </c>
      <c r="Q197" s="97">
        <f t="shared" si="48"/>
        <v>14414.06639040763</v>
      </c>
      <c r="R197" s="104">
        <f t="shared" si="49"/>
        <v>0.44830926511108871</v>
      </c>
      <c r="S197" s="166">
        <f t="shared" si="50"/>
        <v>14414.647316723869</v>
      </c>
      <c r="T197" s="97"/>
      <c r="U197" s="97">
        <f>IFERROR(INDEX('Revised 2020 MFAM(2018 PYAs)'!AD$26:AD$300,MATCH(B197,'Revised 2020 MFAM(2018 PYAs)'!B$26:B$300,0)),0)</f>
        <v>-4.2312518407852622</v>
      </c>
      <c r="V197" s="97">
        <f>IFERROR(INDEX('Revised 2019 MFAM(2017 PYAs)'!AF$26:AF$300,MATCH(B197,'Revised 2019 MFAM(2017 PYAs)'!B$26:B$300,0)),0)</f>
        <v>2.4834145760887623</v>
      </c>
      <c r="W197" s="97">
        <f t="shared" si="51"/>
        <v>-9.6002284454650422E-3</v>
      </c>
      <c r="X197" s="97">
        <f t="shared" si="52"/>
        <v>-1.757437493141965</v>
      </c>
      <c r="Y197" s="97"/>
      <c r="Z197" s="98">
        <f t="shared" si="53"/>
        <v>14412.889879230726</v>
      </c>
      <c r="AA197" s="99">
        <v>0</v>
      </c>
      <c r="AB197" s="100">
        <f t="shared" si="54"/>
        <v>0</v>
      </c>
      <c r="AC197" s="97">
        <f t="shared" si="55"/>
        <v>14412.889879230726</v>
      </c>
      <c r="AD197" s="103"/>
      <c r="AE197" s="97">
        <f t="shared" si="57"/>
        <v>3603.2224698076816</v>
      </c>
      <c r="AF197" s="97">
        <f t="shared" si="57"/>
        <v>3603.2224698076816</v>
      </c>
      <c r="AG197" s="97">
        <f t="shared" si="57"/>
        <v>3603.2224698076816</v>
      </c>
      <c r="AH197" s="97">
        <f t="shared" si="57"/>
        <v>3603.2224698076816</v>
      </c>
    </row>
    <row r="198" spans="2:34" x14ac:dyDescent="0.25">
      <c r="B198" s="26">
        <v>984</v>
      </c>
      <c r="C198" s="28">
        <v>7</v>
      </c>
      <c r="D198" s="35" t="s">
        <v>338</v>
      </c>
      <c r="E198" s="154">
        <f>INDEX('2019 Data Lockdown'!H$5:H$257,MATCH(B198,'2019 Data Lockdown'!B$5:B$257,0))</f>
        <v>22.261985542455641</v>
      </c>
      <c r="F198" s="5">
        <f>INDEX('2019 Data Lockdown'!E$5:E$257,MATCH(B198,'2019 Data Lockdown'!B$5:B$257,0))</f>
        <v>9622.4</v>
      </c>
      <c r="G198" s="5">
        <f>INDEX('2019 Data Lockdown'!F$5:F$257,MATCH(B198,'2019 Data Lockdown'!B$5:B$257,0))</f>
        <v>2612</v>
      </c>
      <c r="H198" s="5">
        <f t="shared" si="40"/>
        <v>7010.4</v>
      </c>
      <c r="I198" s="95">
        <f t="shared" si="41"/>
        <v>314.90452577244406</v>
      </c>
      <c r="J198" s="6">
        <f t="shared" si="42"/>
        <v>314.90452577244406</v>
      </c>
      <c r="K198" s="5">
        <f t="shared" si="43"/>
        <v>7010.4</v>
      </c>
      <c r="L198" s="135">
        <f>INDEX('2019 Best Practice Scores'!L$4:L$256,MATCH(B198,'2019 Best Practice Scores'!A$4:A$256,0))</f>
        <v>0.7685185185185186</v>
      </c>
      <c r="M198" s="97">
        <f t="shared" si="44"/>
        <v>1621.522774792938</v>
      </c>
      <c r="N198" s="97">
        <f t="shared" si="45"/>
        <v>1593.3631127614221</v>
      </c>
      <c r="O198" s="97">
        <f t="shared" si="46"/>
        <v>373.85108418837183</v>
      </c>
      <c r="P198" s="97">
        <f t="shared" si="47"/>
        <v>85.188265792029668</v>
      </c>
      <c r="Q198" s="97">
        <f t="shared" si="48"/>
        <v>3673.9252375347614</v>
      </c>
      <c r="R198" s="104">
        <f t="shared" si="49"/>
        <v>0.52406784741737444</v>
      </c>
      <c r="S198" s="166">
        <f t="shared" si="50"/>
        <v>3674.0733067746673</v>
      </c>
      <c r="T198" s="97"/>
      <c r="U198" s="97">
        <f>IFERROR(INDEX('Revised 2020 MFAM(2018 PYAs)'!AD$26:AD$300,MATCH(B198,'Revised 2020 MFAM(2018 PYAs)'!B$26:B$300,0)),0)</f>
        <v>0</v>
      </c>
      <c r="V198" s="97">
        <f>IFERROR(INDEX('Revised 2019 MFAM(2017 PYAs)'!AF$26:AF$300,MATCH(B198,'Revised 2019 MFAM(2017 PYAs)'!B$26:B$300,0)),0)</f>
        <v>0</v>
      </c>
      <c r="W198" s="97">
        <f t="shared" si="51"/>
        <v>-2.44695151365233E-3</v>
      </c>
      <c r="X198" s="97">
        <f t="shared" si="52"/>
        <v>-2.44695151365233E-3</v>
      </c>
      <c r="Y198" s="97"/>
      <c r="Z198" s="98">
        <f t="shared" si="53"/>
        <v>3674.0708598231536</v>
      </c>
      <c r="AA198" s="99">
        <v>0</v>
      </c>
      <c r="AB198" s="100">
        <f t="shared" si="54"/>
        <v>0</v>
      </c>
      <c r="AC198" s="97">
        <f t="shared" si="55"/>
        <v>3674.0708598231536</v>
      </c>
      <c r="AD198" s="103"/>
      <c r="AE198" s="97">
        <f t="shared" si="57"/>
        <v>918.51771495578839</v>
      </c>
      <c r="AF198" s="97">
        <f t="shared" si="57"/>
        <v>918.51771495578839</v>
      </c>
      <c r="AG198" s="97">
        <f t="shared" si="57"/>
        <v>918.51771495578839</v>
      </c>
      <c r="AH198" s="97">
        <f t="shared" si="57"/>
        <v>918.51771495578839</v>
      </c>
    </row>
    <row r="199" spans="2:34" x14ac:dyDescent="0.25">
      <c r="B199">
        <v>188</v>
      </c>
      <c r="C199" s="28">
        <v>8</v>
      </c>
      <c r="D199" s="35" t="s">
        <v>223</v>
      </c>
      <c r="E199" s="154">
        <f>INDEX('2019 Data Lockdown'!H$5:H$257,MATCH(B199,'2019 Data Lockdown'!B$5:B$257,0))</f>
        <v>151.82</v>
      </c>
      <c r="F199" s="5">
        <f>INDEX('2019 Data Lockdown'!E$5:E$257,MATCH(B199,'2019 Data Lockdown'!B$5:B$257,0))</f>
        <v>136694.57999999999</v>
      </c>
      <c r="G199" s="5">
        <f>INDEX('2019 Data Lockdown'!F$5:F$257,MATCH(B199,'2019 Data Lockdown'!B$5:B$257,0))</f>
        <v>8053</v>
      </c>
      <c r="H199" s="5">
        <f t="shared" si="40"/>
        <v>128641.57999999999</v>
      </c>
      <c r="I199" s="95">
        <f t="shared" si="41"/>
        <v>847.32960084310366</v>
      </c>
      <c r="J199" s="6">
        <f t="shared" si="42"/>
        <v>847.32960084310366</v>
      </c>
      <c r="K199" s="5">
        <f t="shared" si="43"/>
        <v>128641.57999999999</v>
      </c>
      <c r="L199" s="135">
        <f>INDEX('2019 Best Practice Scores'!L$4:L$256,MATCH(B199,'2019 Best Practice Scores'!A$4:A$256,0))</f>
        <v>0.7152777777777779</v>
      </c>
      <c r="M199" s="97">
        <f t="shared" si="44"/>
        <v>29755.114081271786</v>
      </c>
      <c r="N199" s="97">
        <f t="shared" si="45"/>
        <v>10866.253925019641</v>
      </c>
      <c r="O199" s="97">
        <f t="shared" si="46"/>
        <v>6384.9515632729044</v>
      </c>
      <c r="P199" s="97">
        <f t="shared" si="47"/>
        <v>1563.2136695404893</v>
      </c>
      <c r="Q199" s="97">
        <f t="shared" si="48"/>
        <v>48569.533239104821</v>
      </c>
      <c r="R199" s="104">
        <f t="shared" si="49"/>
        <v>0.3775570327968984</v>
      </c>
      <c r="S199" s="166">
        <f t="shared" si="50"/>
        <v>48571.490724193471</v>
      </c>
      <c r="T199" s="97"/>
      <c r="U199" s="97">
        <f>IFERROR(INDEX('Revised 2020 MFAM(2018 PYAs)'!AD$26:AD$300,MATCH(B199,'Revised 2020 MFAM(2018 PYAs)'!B$26:B$300,0)),0)</f>
        <v>-5651.5826391382725</v>
      </c>
      <c r="V199" s="97">
        <f>IFERROR(INDEX('Revised 2019 MFAM(2017 PYAs)'!AF$26:AF$300,MATCH(B199,'Revised 2019 MFAM(2017 PYAs)'!B$26:B$300,0)),0)</f>
        <v>9.8011011254129699</v>
      </c>
      <c r="W199" s="97">
        <f t="shared" si="51"/>
        <v>-3.2348859923062113E-2</v>
      </c>
      <c r="X199" s="97">
        <f t="shared" si="52"/>
        <v>-5641.8138868727829</v>
      </c>
      <c r="Y199" s="97"/>
      <c r="Z199" s="98">
        <f t="shared" si="53"/>
        <v>42929.676837320687</v>
      </c>
      <c r="AA199" s="99">
        <v>0</v>
      </c>
      <c r="AB199" s="100">
        <f t="shared" si="54"/>
        <v>0</v>
      </c>
      <c r="AC199" s="97">
        <f t="shared" si="55"/>
        <v>42929.676837320687</v>
      </c>
      <c r="AD199" s="103"/>
      <c r="AE199" s="97">
        <f t="shared" si="57"/>
        <v>10732.419209330172</v>
      </c>
      <c r="AF199" s="97">
        <f t="shared" si="57"/>
        <v>10732.419209330172</v>
      </c>
      <c r="AG199" s="97">
        <f t="shared" si="57"/>
        <v>10732.419209330172</v>
      </c>
      <c r="AH199" s="97">
        <f t="shared" si="57"/>
        <v>10732.419209330172</v>
      </c>
    </row>
    <row r="200" spans="2:34" x14ac:dyDescent="0.25">
      <c r="B200">
        <v>232</v>
      </c>
      <c r="C200" s="28">
        <v>8</v>
      </c>
      <c r="D200" s="35" t="s">
        <v>224</v>
      </c>
      <c r="E200" s="154">
        <f>INDEX('2019 Data Lockdown'!H$5:H$257,MATCH(B200,'2019 Data Lockdown'!B$5:B$257,0))</f>
        <v>99.943034780278666</v>
      </c>
      <c r="F200" s="5">
        <f>INDEX('2019 Data Lockdown'!E$5:E$257,MATCH(B200,'2019 Data Lockdown'!B$5:B$257,0))</f>
        <v>120790.9</v>
      </c>
      <c r="G200" s="5">
        <f>INDEX('2019 Data Lockdown'!F$5:F$257,MATCH(B200,'2019 Data Lockdown'!B$5:B$257,0))</f>
        <v>0</v>
      </c>
      <c r="H200" s="5">
        <f t="shared" si="40"/>
        <v>120790.9</v>
      </c>
      <c r="I200" s="95">
        <f t="shared" si="41"/>
        <v>1208.5974802101482</v>
      </c>
      <c r="J200" s="6">
        <f t="shared" si="42"/>
        <v>1208.5974802101482</v>
      </c>
      <c r="K200" s="5">
        <f t="shared" si="43"/>
        <v>120790.9</v>
      </c>
      <c r="L200" s="135">
        <f>INDEX('2019 Best Practice Scores'!L$4:L$256,MATCH(B200,'2019 Best Practice Scores'!A$4:A$256,0))</f>
        <v>0.27777777777777779</v>
      </c>
      <c r="M200" s="97">
        <f t="shared" si="44"/>
        <v>27939.232474286251</v>
      </c>
      <c r="N200" s="97">
        <f t="shared" si="45"/>
        <v>7153.2498614120504</v>
      </c>
      <c r="O200" s="97">
        <f t="shared" si="46"/>
        <v>2328.2693728571871</v>
      </c>
      <c r="P200" s="97">
        <f t="shared" si="47"/>
        <v>1467.8145746973748</v>
      </c>
      <c r="Q200" s="97">
        <f t="shared" si="48"/>
        <v>38888.566283252869</v>
      </c>
      <c r="R200" s="104">
        <f t="shared" si="49"/>
        <v>0.32194947039266097</v>
      </c>
      <c r="S200" s="166">
        <f t="shared" si="50"/>
        <v>38890.133598883505</v>
      </c>
      <c r="T200" s="97"/>
      <c r="U200" s="97">
        <f>IFERROR(INDEX('Revised 2020 MFAM(2018 PYAs)'!AD$26:AD$300,MATCH(B200,'Revised 2020 MFAM(2018 PYAs)'!B$26:B$300,0)),0)</f>
        <v>-16.546845604378177</v>
      </c>
      <c r="V200" s="97">
        <f>IFERROR(INDEX('Revised 2019 MFAM(2017 PYAs)'!AF$26:AF$300,MATCH(B200,'Revised 2019 MFAM(2017 PYAs)'!B$26:B$300,0)),0)</f>
        <v>3.6981797923690465</v>
      </c>
      <c r="W200" s="97">
        <f t="shared" si="51"/>
        <v>-2.5901026825038708E-2</v>
      </c>
      <c r="X200" s="97">
        <f t="shared" si="52"/>
        <v>-12.87456683883417</v>
      </c>
      <c r="Y200" s="97"/>
      <c r="Z200" s="98">
        <f t="shared" si="53"/>
        <v>38877.259032044669</v>
      </c>
      <c r="AA200" s="99">
        <v>0</v>
      </c>
      <c r="AB200" s="100">
        <f t="shared" si="54"/>
        <v>0</v>
      </c>
      <c r="AC200" s="97">
        <f t="shared" si="55"/>
        <v>38877.259032044669</v>
      </c>
      <c r="AD200" s="103"/>
      <c r="AE200" s="97">
        <f t="shared" si="57"/>
        <v>9719.3147580111672</v>
      </c>
      <c r="AF200" s="97">
        <f t="shared" si="57"/>
        <v>9719.3147580111672</v>
      </c>
      <c r="AG200" s="97">
        <f t="shared" si="57"/>
        <v>9719.3147580111672</v>
      </c>
      <c r="AH200" s="97">
        <f t="shared" si="57"/>
        <v>9719.3147580111672</v>
      </c>
    </row>
    <row r="201" spans="2:34" x14ac:dyDescent="0.25">
      <c r="B201">
        <v>245</v>
      </c>
      <c r="C201" s="28">
        <v>8</v>
      </c>
      <c r="D201" s="35" t="s">
        <v>225</v>
      </c>
      <c r="E201" s="154">
        <f>INDEX('2019 Data Lockdown'!H$5:H$257,MATCH(B201,'2019 Data Lockdown'!B$5:B$257,0))</f>
        <v>237.74999999999997</v>
      </c>
      <c r="F201" s="5">
        <f>INDEX('2019 Data Lockdown'!E$5:E$257,MATCH(B201,'2019 Data Lockdown'!B$5:B$257,0))</f>
        <v>631790.16</v>
      </c>
      <c r="G201" s="5">
        <f>INDEX('2019 Data Lockdown'!F$5:F$257,MATCH(B201,'2019 Data Lockdown'!B$5:B$257,0))</f>
        <v>0</v>
      </c>
      <c r="H201" s="5">
        <f t="shared" si="40"/>
        <v>631790.16</v>
      </c>
      <c r="I201" s="95">
        <f t="shared" si="41"/>
        <v>2657.3718611987388</v>
      </c>
      <c r="J201" s="6">
        <f t="shared" si="42"/>
        <v>1830.7313099347227</v>
      </c>
      <c r="K201" s="5">
        <f t="shared" si="43"/>
        <v>435256.36893698026</v>
      </c>
      <c r="L201" s="135">
        <f>INDEX('2019 Best Practice Scores'!L$4:L$256,MATCH(B201,'2019 Best Practice Scores'!A$4:A$256,0))</f>
        <v>0.6435185185185186</v>
      </c>
      <c r="M201" s="97">
        <f t="shared" si="44"/>
        <v>100675.86943754865</v>
      </c>
      <c r="N201" s="97">
        <f t="shared" si="45"/>
        <v>17016.545057788298</v>
      </c>
      <c r="O201" s="97">
        <f t="shared" si="46"/>
        <v>19436.035905304536</v>
      </c>
      <c r="P201" s="97">
        <f t="shared" si="47"/>
        <v>5289.1040803202677</v>
      </c>
      <c r="Q201" s="97">
        <f t="shared" si="48"/>
        <v>142417.55448096176</v>
      </c>
      <c r="R201" s="104">
        <f t="shared" si="49"/>
        <v>0.32720383811679976</v>
      </c>
      <c r="S201" s="166">
        <f t="shared" si="50"/>
        <v>142423.29429809953</v>
      </c>
      <c r="T201" s="97"/>
      <c r="U201" s="97">
        <f>IFERROR(INDEX('Revised 2020 MFAM(2018 PYAs)'!AD$26:AD$300,MATCH(B201,'Revised 2020 MFAM(2018 PYAs)'!B$26:B$300,0)),0)</f>
        <v>794.30260113766417</v>
      </c>
      <c r="V201" s="97">
        <f>IFERROR(INDEX('Revised 2019 MFAM(2017 PYAs)'!AF$26:AF$300,MATCH(B201,'Revised 2019 MFAM(2017 PYAs)'!B$26:B$300,0)),0)</f>
        <v>190.28078121707949</v>
      </c>
      <c r="W201" s="97">
        <f t="shared" si="51"/>
        <v>-9.4854638561369289E-2</v>
      </c>
      <c r="X201" s="97">
        <f t="shared" si="52"/>
        <v>984.48852771618226</v>
      </c>
      <c r="Y201" s="97"/>
      <c r="Z201" s="98">
        <f t="shared" si="53"/>
        <v>143407.78282581572</v>
      </c>
      <c r="AA201" s="99">
        <v>0</v>
      </c>
      <c r="AB201" s="100">
        <f t="shared" si="54"/>
        <v>0</v>
      </c>
      <c r="AC201" s="97">
        <f t="shared" si="55"/>
        <v>143407.78282581572</v>
      </c>
      <c r="AD201" s="103"/>
      <c r="AE201" s="97">
        <f t="shared" si="57"/>
        <v>35851.945706453931</v>
      </c>
      <c r="AF201" s="97">
        <f t="shared" si="57"/>
        <v>35851.945706453931</v>
      </c>
      <c r="AG201" s="97">
        <f t="shared" si="57"/>
        <v>35851.945706453931</v>
      </c>
      <c r="AH201" s="97">
        <f t="shared" si="57"/>
        <v>35851.945706453931</v>
      </c>
    </row>
    <row r="202" spans="2:34" x14ac:dyDescent="0.25">
      <c r="B202">
        <v>372</v>
      </c>
      <c r="C202" s="28">
        <v>8</v>
      </c>
      <c r="D202" s="35" t="s">
        <v>226</v>
      </c>
      <c r="E202" s="154">
        <f>INDEX('2019 Data Lockdown'!H$5:H$257,MATCH(B202,'2019 Data Lockdown'!B$5:B$257,0))</f>
        <v>124.59</v>
      </c>
      <c r="F202" s="5">
        <f>INDEX('2019 Data Lockdown'!E$5:E$257,MATCH(B202,'2019 Data Lockdown'!B$5:B$257,0))</f>
        <v>86253.52</v>
      </c>
      <c r="G202" s="5">
        <f>INDEX('2019 Data Lockdown'!F$5:F$257,MATCH(B202,'2019 Data Lockdown'!B$5:B$257,0))</f>
        <v>0</v>
      </c>
      <c r="H202" s="5">
        <f t="shared" si="40"/>
        <v>86253.52</v>
      </c>
      <c r="I202" s="95">
        <f t="shared" si="41"/>
        <v>692.29890039328995</v>
      </c>
      <c r="J202" s="6">
        <f t="shared" si="42"/>
        <v>692.29890039328995</v>
      </c>
      <c r="K202" s="5">
        <f t="shared" si="43"/>
        <v>86253.52</v>
      </c>
      <c r="L202" s="135">
        <f>INDEX('2019 Best Practice Scores'!L$4:L$256,MATCH(B202,'2019 Best Practice Scores'!A$4:A$256,0))</f>
        <v>0.47222222222222221</v>
      </c>
      <c r="M202" s="97">
        <f t="shared" si="44"/>
        <v>19950.651472962771</v>
      </c>
      <c r="N202" s="97">
        <f t="shared" si="45"/>
        <v>8917.3137697154343</v>
      </c>
      <c r="O202" s="97">
        <f t="shared" si="46"/>
        <v>2826.3422920030589</v>
      </c>
      <c r="P202" s="97">
        <f t="shared" si="47"/>
        <v>1048.1267527185535</v>
      </c>
      <c r="Q202" s="97">
        <f t="shared" si="48"/>
        <v>32742.434287399814</v>
      </c>
      <c r="R202" s="104">
        <f t="shared" si="49"/>
        <v>0.37960693415642416</v>
      </c>
      <c r="S202" s="166">
        <f t="shared" si="50"/>
        <v>32743.753897093575</v>
      </c>
      <c r="T202" s="97"/>
      <c r="U202" s="97">
        <f>IFERROR(INDEX('Revised 2020 MFAM(2018 PYAs)'!AD$26:AD$300,MATCH(B202,'Revised 2020 MFAM(2018 PYAs)'!B$26:B$300,0)),0)</f>
        <v>-13.156796197854419</v>
      </c>
      <c r="V202" s="97">
        <f>IFERROR(INDEX('Revised 2019 MFAM(2017 PYAs)'!AF$26:AF$300,MATCH(B202,'Revised 2019 MFAM(2017 PYAs)'!B$26:B$300,0)),0)</f>
        <v>3.9009479237138294</v>
      </c>
      <c r="W202" s="97">
        <f t="shared" si="51"/>
        <v>-2.1807506674788962E-2</v>
      </c>
      <c r="X202" s="97">
        <f t="shared" si="52"/>
        <v>-9.2776557808153779</v>
      </c>
      <c r="Y202" s="97"/>
      <c r="Z202" s="98">
        <f t="shared" si="53"/>
        <v>32734.476241312761</v>
      </c>
      <c r="AA202" s="99">
        <v>0</v>
      </c>
      <c r="AB202" s="100">
        <f t="shared" si="54"/>
        <v>0</v>
      </c>
      <c r="AC202" s="97">
        <f t="shared" si="55"/>
        <v>32734.476241312761</v>
      </c>
      <c r="AD202" s="103"/>
      <c r="AE202" s="97">
        <f t="shared" si="57"/>
        <v>8183.6190603281902</v>
      </c>
      <c r="AF202" s="97">
        <f t="shared" si="57"/>
        <v>8183.6190603281902</v>
      </c>
      <c r="AG202" s="97">
        <f t="shared" si="57"/>
        <v>8183.6190603281902</v>
      </c>
      <c r="AH202" s="97">
        <f t="shared" si="57"/>
        <v>8183.6190603281902</v>
      </c>
    </row>
    <row r="203" spans="2:34" x14ac:dyDescent="0.25">
      <c r="B203">
        <v>375</v>
      </c>
      <c r="C203" s="28">
        <v>8</v>
      </c>
      <c r="D203" s="35" t="s">
        <v>227</v>
      </c>
      <c r="E203" s="154">
        <f>INDEX('2019 Data Lockdown'!H$5:H$257,MATCH(B203,'2019 Data Lockdown'!B$5:B$257,0))</f>
        <v>162.62</v>
      </c>
      <c r="F203" s="5">
        <f>INDEX('2019 Data Lockdown'!E$5:E$257,MATCH(B203,'2019 Data Lockdown'!B$5:B$257,0))</f>
        <v>231561.51</v>
      </c>
      <c r="G203" s="5">
        <f>INDEX('2019 Data Lockdown'!F$5:F$257,MATCH(B203,'2019 Data Lockdown'!B$5:B$257,0))</f>
        <v>0</v>
      </c>
      <c r="H203" s="5">
        <f t="shared" si="40"/>
        <v>231561.51</v>
      </c>
      <c r="I203" s="95">
        <f t="shared" si="41"/>
        <v>1423.9423810109458</v>
      </c>
      <c r="J203" s="6">
        <f t="shared" si="42"/>
        <v>1423.9423810109458</v>
      </c>
      <c r="K203" s="5">
        <f t="shared" si="43"/>
        <v>231561.51</v>
      </c>
      <c r="L203" s="135">
        <f>INDEX('2019 Best Practice Scores'!L$4:L$256,MATCH(B203,'2019 Best Practice Scores'!A$4:A$256,0))</f>
        <v>0.36111111111111116</v>
      </c>
      <c r="M203" s="97">
        <f t="shared" si="44"/>
        <v>53560.747208496337</v>
      </c>
      <c r="N203" s="97">
        <f t="shared" si="45"/>
        <v>11639.245246256713</v>
      </c>
      <c r="O203" s="97">
        <f t="shared" si="46"/>
        <v>5802.4142809204368</v>
      </c>
      <c r="P203" s="97">
        <f t="shared" si="47"/>
        <v>2813.8656083937772</v>
      </c>
      <c r="Q203" s="97">
        <f t="shared" si="48"/>
        <v>73816.272344067271</v>
      </c>
      <c r="R203" s="104">
        <f t="shared" si="49"/>
        <v>0.31877608823706177</v>
      </c>
      <c r="S203" s="166">
        <f t="shared" si="50"/>
        <v>73819.247341823619</v>
      </c>
      <c r="T203" s="97"/>
      <c r="U203" s="97">
        <f>IFERROR(INDEX('Revised 2020 MFAM(2018 PYAs)'!AD$26:AD$300,MATCH(B203,'Revised 2020 MFAM(2018 PYAs)'!B$26:B$300,0)),0)</f>
        <v>-42.389224926140741</v>
      </c>
      <c r="V203" s="97">
        <f>IFERROR(INDEX('Revised 2019 MFAM(2017 PYAs)'!AF$26:AF$300,MATCH(B203,'Revised 2019 MFAM(2017 PYAs)'!B$26:B$300,0)),0)</f>
        <v>8.1987987854663515</v>
      </c>
      <c r="W203" s="97">
        <f t="shared" si="51"/>
        <v>-4.916399427487779E-2</v>
      </c>
      <c r="X203" s="97">
        <f t="shared" si="52"/>
        <v>-34.239590134949268</v>
      </c>
      <c r="Y203" s="97"/>
      <c r="Z203" s="98">
        <f t="shared" si="53"/>
        <v>73785.007751688667</v>
      </c>
      <c r="AA203" s="99">
        <v>0</v>
      </c>
      <c r="AB203" s="100">
        <f t="shared" si="54"/>
        <v>0</v>
      </c>
      <c r="AC203" s="97">
        <f t="shared" si="55"/>
        <v>73785.007751688667</v>
      </c>
      <c r="AD203" s="103"/>
      <c r="AE203" s="97">
        <f t="shared" si="57"/>
        <v>18446.251937922167</v>
      </c>
      <c r="AF203" s="97">
        <f t="shared" si="57"/>
        <v>18446.251937922167</v>
      </c>
      <c r="AG203" s="97">
        <f t="shared" si="57"/>
        <v>18446.251937922167</v>
      </c>
      <c r="AH203" s="97">
        <f t="shared" si="57"/>
        <v>18446.251937922167</v>
      </c>
    </row>
    <row r="204" spans="2:34" x14ac:dyDescent="0.25">
      <c r="B204">
        <v>404</v>
      </c>
      <c r="C204" s="28">
        <v>8</v>
      </c>
      <c r="D204" s="35" t="s">
        <v>228</v>
      </c>
      <c r="E204" s="154">
        <f>INDEX('2019 Data Lockdown'!H$5:H$257,MATCH(B204,'2019 Data Lockdown'!B$5:B$257,0))</f>
        <v>459.07044990472792</v>
      </c>
      <c r="F204" s="5">
        <f>INDEX('2019 Data Lockdown'!E$5:E$257,MATCH(B204,'2019 Data Lockdown'!B$5:B$257,0))</f>
        <v>301241.45</v>
      </c>
      <c r="G204" s="5">
        <f>INDEX('2019 Data Lockdown'!F$5:F$257,MATCH(B204,'2019 Data Lockdown'!B$5:B$257,0))</f>
        <v>16226.76</v>
      </c>
      <c r="H204" s="5">
        <f t="shared" si="40"/>
        <v>285014.69</v>
      </c>
      <c r="I204" s="95">
        <f t="shared" si="41"/>
        <v>620.85174521503143</v>
      </c>
      <c r="J204" s="6">
        <f t="shared" si="42"/>
        <v>620.85174521503143</v>
      </c>
      <c r="K204" s="5">
        <f t="shared" si="43"/>
        <v>285014.69</v>
      </c>
      <c r="L204" s="135">
        <f>INDEX('2019 Best Practice Scores'!L$4:L$256,MATCH(B204,'2019 Best Practice Scores'!A$4:A$256,0))</f>
        <v>0.35416666666666663</v>
      </c>
      <c r="M204" s="97">
        <f t="shared" si="44"/>
        <v>65924.599307535813</v>
      </c>
      <c r="N204" s="97">
        <f t="shared" si="45"/>
        <v>32857.173482662249</v>
      </c>
      <c r="O204" s="97">
        <f t="shared" si="46"/>
        <v>7004.4886764256789</v>
      </c>
      <c r="P204" s="97">
        <f t="shared" si="47"/>
        <v>3463.4125251559026</v>
      </c>
      <c r="Q204" s="97">
        <f t="shared" si="48"/>
        <v>109249.67399177965</v>
      </c>
      <c r="R204" s="104">
        <f t="shared" si="49"/>
        <v>0.38331243204264193</v>
      </c>
      <c r="S204" s="166">
        <f t="shared" si="50"/>
        <v>109254.07705257759</v>
      </c>
      <c r="T204" s="97"/>
      <c r="U204" s="97">
        <f>IFERROR(INDEX('Revised 2020 MFAM(2018 PYAs)'!AD$26:AD$300,MATCH(B204,'Revised 2020 MFAM(2018 PYAs)'!B$26:B$300,0)),0)</f>
        <v>-34.837367276457371</v>
      </c>
      <c r="V204" s="97">
        <f>IFERROR(INDEX('Revised 2019 MFAM(2017 PYAs)'!AF$26:AF$300,MATCH(B204,'Revised 2019 MFAM(2017 PYAs)'!B$26:B$300,0)),0)</f>
        <v>12.675438319754903</v>
      </c>
      <c r="W204" s="97">
        <f t="shared" si="51"/>
        <v>-7.2763771132041022E-2</v>
      </c>
      <c r="X204" s="97">
        <f t="shared" si="52"/>
        <v>-22.23469272783451</v>
      </c>
      <c r="Y204" s="97"/>
      <c r="Z204" s="98">
        <f t="shared" si="53"/>
        <v>109231.84235984975</v>
      </c>
      <c r="AA204" s="99">
        <v>0</v>
      </c>
      <c r="AB204" s="100">
        <f t="shared" si="54"/>
        <v>0</v>
      </c>
      <c r="AC204" s="97">
        <f t="shared" si="55"/>
        <v>109231.84235984975</v>
      </c>
      <c r="AD204" s="103"/>
      <c r="AE204" s="97">
        <f t="shared" si="57"/>
        <v>27307.960589962437</v>
      </c>
      <c r="AF204" s="97">
        <f t="shared" si="57"/>
        <v>27307.960589962437</v>
      </c>
      <c r="AG204" s="97">
        <f t="shared" si="57"/>
        <v>27307.960589962437</v>
      </c>
      <c r="AH204" s="97">
        <f t="shared" si="57"/>
        <v>27307.960589962437</v>
      </c>
    </row>
    <row r="205" spans="2:34" x14ac:dyDescent="0.25">
      <c r="B205">
        <v>413</v>
      </c>
      <c r="C205" s="28">
        <v>8</v>
      </c>
      <c r="D205" s="35" t="s">
        <v>229</v>
      </c>
      <c r="E205" s="154">
        <f>INDEX('2019 Data Lockdown'!H$5:H$257,MATCH(B205,'2019 Data Lockdown'!B$5:B$257,0))</f>
        <v>76.8</v>
      </c>
      <c r="F205" s="5">
        <f>INDEX('2019 Data Lockdown'!E$5:E$257,MATCH(B205,'2019 Data Lockdown'!B$5:B$257,0))</f>
        <v>92788.2</v>
      </c>
      <c r="G205" s="5">
        <f>INDEX('2019 Data Lockdown'!F$5:F$257,MATCH(B205,'2019 Data Lockdown'!B$5:B$257,0))</f>
        <v>110</v>
      </c>
      <c r="H205" s="5">
        <f t="shared" si="40"/>
        <v>92678.2</v>
      </c>
      <c r="I205" s="95">
        <f t="shared" si="41"/>
        <v>1206.7473958333333</v>
      </c>
      <c r="J205" s="6">
        <f t="shared" si="42"/>
        <v>1206.7473958333333</v>
      </c>
      <c r="K205" s="5">
        <f t="shared" si="43"/>
        <v>92678.2</v>
      </c>
      <c r="L205" s="135">
        <f>INDEX('2019 Best Practice Scores'!L$4:L$256,MATCH(B205,'2019 Best Practice Scores'!A$4:A$256,0))</f>
        <v>0.38425925925925924</v>
      </c>
      <c r="M205" s="97">
        <f t="shared" si="44"/>
        <v>21436.695770115097</v>
      </c>
      <c r="N205" s="97">
        <f t="shared" si="45"/>
        <v>5496.8271732413941</v>
      </c>
      <c r="O205" s="97">
        <f t="shared" si="46"/>
        <v>2471.1746512771565</v>
      </c>
      <c r="P205" s="97">
        <f t="shared" si="47"/>
        <v>1126.1975257798247</v>
      </c>
      <c r="Q205" s="97">
        <f t="shared" si="48"/>
        <v>30530.895120413472</v>
      </c>
      <c r="R205" s="104">
        <f t="shared" si="49"/>
        <v>0.32942909034070011</v>
      </c>
      <c r="S205" s="166">
        <f t="shared" si="50"/>
        <v>30532.125599027448</v>
      </c>
      <c r="T205" s="97"/>
      <c r="U205" s="97">
        <f>IFERROR(INDEX('Revised 2020 MFAM(2018 PYAs)'!AD$26:AD$300,MATCH(B205,'Revised 2020 MFAM(2018 PYAs)'!B$26:B$300,0)),0)</f>
        <v>-9.9388117731723469</v>
      </c>
      <c r="V205" s="97">
        <f>IFERROR(INDEX('Revised 2019 MFAM(2017 PYAs)'!AF$26:AF$300,MATCH(B205,'Revised 2019 MFAM(2017 PYAs)'!B$26:B$300,0)),0)</f>
        <v>2.6609651904655038</v>
      </c>
      <c r="W205" s="97">
        <f t="shared" si="51"/>
        <v>-2.0334550976923476E-2</v>
      </c>
      <c r="X205" s="97">
        <f t="shared" si="52"/>
        <v>-7.2981811336837668</v>
      </c>
      <c r="Y205" s="97"/>
      <c r="Z205" s="98">
        <f t="shared" si="53"/>
        <v>30524.827417893765</v>
      </c>
      <c r="AA205" s="99">
        <v>0</v>
      </c>
      <c r="AB205" s="100">
        <f t="shared" si="54"/>
        <v>0</v>
      </c>
      <c r="AC205" s="97">
        <f t="shared" si="55"/>
        <v>30524.827417893765</v>
      </c>
      <c r="AD205" s="103"/>
      <c r="AE205" s="97">
        <f t="shared" si="57"/>
        <v>7631.2068544734411</v>
      </c>
      <c r="AF205" s="97">
        <f t="shared" si="57"/>
        <v>7631.2068544734411</v>
      </c>
      <c r="AG205" s="97">
        <f t="shared" si="57"/>
        <v>7631.2068544734411</v>
      </c>
      <c r="AH205" s="97">
        <f t="shared" si="57"/>
        <v>7631.2068544734411</v>
      </c>
    </row>
    <row r="206" spans="2:34" x14ac:dyDescent="0.25">
      <c r="B206">
        <v>537</v>
      </c>
      <c r="C206" s="28">
        <v>8</v>
      </c>
      <c r="D206" s="35" t="s">
        <v>230</v>
      </c>
      <c r="E206" s="154">
        <f>INDEX('2019 Data Lockdown'!H$5:H$257,MATCH(B206,'2019 Data Lockdown'!B$5:B$257,0))</f>
        <v>9.7918986885088461</v>
      </c>
      <c r="F206" s="5">
        <f>INDEX('2019 Data Lockdown'!E$5:E$257,MATCH(B206,'2019 Data Lockdown'!B$5:B$257,0))</f>
        <v>8112.34</v>
      </c>
      <c r="G206" s="5">
        <f>INDEX('2019 Data Lockdown'!F$5:F$257,MATCH(B206,'2019 Data Lockdown'!B$5:B$257,0))</f>
        <v>0</v>
      </c>
      <c r="H206" s="5">
        <f t="shared" si="40"/>
        <v>8112.34</v>
      </c>
      <c r="I206" s="95">
        <f t="shared" si="41"/>
        <v>828.47466646281077</v>
      </c>
      <c r="J206" s="6">
        <f t="shared" si="42"/>
        <v>828.47466646281077</v>
      </c>
      <c r="K206" s="5">
        <f t="shared" si="43"/>
        <v>8112.34</v>
      </c>
      <c r="L206" s="135">
        <f>INDEX('2019 Best Practice Scores'!L$4:L$256,MATCH(B206,'2019 Best Practice Scores'!A$4:A$256,0))</f>
        <v>0.22222222222222221</v>
      </c>
      <c r="M206" s="97">
        <f t="shared" si="44"/>
        <v>1876.4042090128587</v>
      </c>
      <c r="N206" s="97">
        <f t="shared" si="45"/>
        <v>700.83821339351812</v>
      </c>
      <c r="O206" s="97">
        <f t="shared" si="46"/>
        <v>125.09361393419057</v>
      </c>
      <c r="P206" s="97">
        <f t="shared" si="47"/>
        <v>98.578708221401627</v>
      </c>
      <c r="Q206" s="97">
        <f t="shared" si="48"/>
        <v>2800.9147445619692</v>
      </c>
      <c r="R206" s="104">
        <f t="shared" si="49"/>
        <v>0.34526594602321514</v>
      </c>
      <c r="S206" s="166">
        <f t="shared" si="50"/>
        <v>2801.0276290902202</v>
      </c>
      <c r="T206" s="97"/>
      <c r="U206" s="97">
        <f>IFERROR(INDEX('Revised 2020 MFAM(2018 PYAs)'!AD$26:AD$300,MATCH(B206,'Revised 2020 MFAM(2018 PYAs)'!B$26:B$300,0)),0)</f>
        <v>-1.1253770007492676</v>
      </c>
      <c r="V206" s="97">
        <f>IFERROR(INDEX('Revised 2019 MFAM(2017 PYAs)'!AF$26:AF$300,MATCH(B206,'Revised 2019 MFAM(2017 PYAs)'!B$26:B$300,0)),0)</f>
        <v>0.55681767463102005</v>
      </c>
      <c r="W206" s="97">
        <f t="shared" si="51"/>
        <v>-1.8654986508152081E-3</v>
      </c>
      <c r="X206" s="97">
        <f t="shared" si="52"/>
        <v>-0.57042482476906275</v>
      </c>
      <c r="Y206" s="97"/>
      <c r="Z206" s="98">
        <f t="shared" si="53"/>
        <v>2800.4572042654513</v>
      </c>
      <c r="AA206" s="99">
        <v>0</v>
      </c>
      <c r="AB206" s="100">
        <f t="shared" si="54"/>
        <v>0</v>
      </c>
      <c r="AC206" s="97">
        <f t="shared" si="55"/>
        <v>2800.4572042654513</v>
      </c>
      <c r="AD206" s="103"/>
      <c r="AE206" s="97">
        <f t="shared" ref="AE206:AH225" si="58">$AC206/4</f>
        <v>700.11430106636283</v>
      </c>
      <c r="AF206" s="97">
        <f t="shared" si="58"/>
        <v>700.11430106636283</v>
      </c>
      <c r="AG206" s="97">
        <f t="shared" si="58"/>
        <v>700.11430106636283</v>
      </c>
      <c r="AH206" s="97">
        <f t="shared" si="58"/>
        <v>700.11430106636283</v>
      </c>
    </row>
    <row r="207" spans="2:34" x14ac:dyDescent="0.25">
      <c r="B207">
        <v>545</v>
      </c>
      <c r="C207" s="28">
        <v>8</v>
      </c>
      <c r="D207" s="35" t="s">
        <v>231</v>
      </c>
      <c r="E207" s="154">
        <f>INDEX('2019 Data Lockdown'!H$5:H$257,MATCH(B207,'2019 Data Lockdown'!B$5:B$257,0))</f>
        <v>14.800550827676549</v>
      </c>
      <c r="F207" s="5">
        <f>INDEX('2019 Data Lockdown'!E$5:E$257,MATCH(B207,'2019 Data Lockdown'!B$5:B$257,0))</f>
        <v>8088.84</v>
      </c>
      <c r="G207" s="5">
        <f>INDEX('2019 Data Lockdown'!F$5:F$257,MATCH(B207,'2019 Data Lockdown'!B$5:B$257,0))</f>
        <v>0</v>
      </c>
      <c r="H207" s="5">
        <f t="shared" si="40"/>
        <v>8088.84</v>
      </c>
      <c r="I207" s="95">
        <f t="shared" si="41"/>
        <v>546.52290270671085</v>
      </c>
      <c r="J207" s="6">
        <f t="shared" si="42"/>
        <v>546.52290270671085</v>
      </c>
      <c r="K207" s="5">
        <f t="shared" si="43"/>
        <v>8088.8399999999992</v>
      </c>
      <c r="L207" s="135">
        <f>INDEX('2019 Best Practice Scores'!L$4:L$256,MATCH(B207,'2019 Best Practice Scores'!A$4:A$256,0))</f>
        <v>0.56712962962962965</v>
      </c>
      <c r="M207" s="97">
        <f t="shared" si="44"/>
        <v>1870.9686011719887</v>
      </c>
      <c r="N207" s="97">
        <f t="shared" si="45"/>
        <v>1059.3238277150112</v>
      </c>
      <c r="O207" s="97">
        <f t="shared" si="46"/>
        <v>318.32451894940084</v>
      </c>
      <c r="P207" s="97">
        <f t="shared" si="47"/>
        <v>98.293143311252024</v>
      </c>
      <c r="Q207" s="97">
        <f t="shared" si="48"/>
        <v>3346.910091147653</v>
      </c>
      <c r="R207" s="104">
        <f t="shared" si="49"/>
        <v>0.41376885822289144</v>
      </c>
      <c r="S207" s="166">
        <f t="shared" si="50"/>
        <v>3347.0449807823593</v>
      </c>
      <c r="T207" s="97"/>
      <c r="U207" s="97">
        <f>IFERROR(INDEX('Revised 2020 MFAM(2018 PYAs)'!AD$26:AD$300,MATCH(B207,'Revised 2020 MFAM(2018 PYAs)'!B$26:B$300,0)),0)</f>
        <v>-1.0586780622370497</v>
      </c>
      <c r="V207" s="97">
        <f>IFERROR(INDEX('Revised 2019 MFAM(2017 PYAs)'!AF$26:AF$300,MATCH(B207,'Revised 2019 MFAM(2017 PYAs)'!B$26:B$300,0)),0)</f>
        <v>0.38447234578779899</v>
      </c>
      <c r="W207" s="97">
        <f t="shared" si="51"/>
        <v>-2.2291489848300212E-3</v>
      </c>
      <c r="X207" s="97">
        <f t="shared" si="52"/>
        <v>-0.67643486543408082</v>
      </c>
      <c r="Y207" s="97"/>
      <c r="Z207" s="98">
        <f t="shared" si="53"/>
        <v>3346.3685459169251</v>
      </c>
      <c r="AA207" s="99">
        <v>0</v>
      </c>
      <c r="AB207" s="100">
        <f t="shared" si="54"/>
        <v>0</v>
      </c>
      <c r="AC207" s="97">
        <f t="shared" si="55"/>
        <v>3346.3685459169251</v>
      </c>
      <c r="AD207" s="103"/>
      <c r="AE207" s="97">
        <f t="shared" si="58"/>
        <v>836.59213647923127</v>
      </c>
      <c r="AF207" s="97">
        <f t="shared" si="58"/>
        <v>836.59213647923127</v>
      </c>
      <c r="AG207" s="97">
        <f t="shared" si="58"/>
        <v>836.59213647923127</v>
      </c>
      <c r="AH207" s="97">
        <f t="shared" si="58"/>
        <v>836.59213647923127</v>
      </c>
    </row>
    <row r="208" spans="2:34" x14ac:dyDescent="0.25">
      <c r="B208">
        <v>602</v>
      </c>
      <c r="C208" s="28">
        <v>8</v>
      </c>
      <c r="D208" s="35" t="s">
        <v>232</v>
      </c>
      <c r="E208" s="154">
        <f>INDEX('2019 Data Lockdown'!H$5:H$257,MATCH(B208,'2019 Data Lockdown'!B$5:B$257,0))</f>
        <v>15.286633204362731</v>
      </c>
      <c r="F208" s="5">
        <f>INDEX('2019 Data Lockdown'!E$5:E$257,MATCH(B208,'2019 Data Lockdown'!B$5:B$257,0))</f>
        <v>26328.83</v>
      </c>
      <c r="G208" s="5">
        <f>INDEX('2019 Data Lockdown'!F$5:F$257,MATCH(B208,'2019 Data Lockdown'!B$5:B$257,0))</f>
        <v>0</v>
      </c>
      <c r="H208" s="5">
        <f t="shared" si="40"/>
        <v>26328.83</v>
      </c>
      <c r="I208" s="95">
        <f t="shared" si="41"/>
        <v>1722.3432817427633</v>
      </c>
      <c r="J208" s="6">
        <f t="shared" si="42"/>
        <v>1722.3432817427633</v>
      </c>
      <c r="K208" s="5">
        <f t="shared" si="43"/>
        <v>26328.83</v>
      </c>
      <c r="L208" s="135">
        <f>INDEX('2019 Best Practice Scores'!L$4:L$256,MATCH(B208,'2019 Best Practice Scores'!A$4:A$256,0))</f>
        <v>0.38194444444444448</v>
      </c>
      <c r="M208" s="97">
        <f t="shared" si="44"/>
        <v>6089.9231825076404</v>
      </c>
      <c r="N208" s="97">
        <f t="shared" si="45"/>
        <v>1094.114333139521</v>
      </c>
      <c r="O208" s="97">
        <f t="shared" si="46"/>
        <v>697.80369799566711</v>
      </c>
      <c r="P208" s="97">
        <f t="shared" si="47"/>
        <v>319.93999886356909</v>
      </c>
      <c r="Q208" s="97">
        <f t="shared" si="48"/>
        <v>8201.7812125063974</v>
      </c>
      <c r="R208" s="104">
        <f t="shared" si="49"/>
        <v>0.31151331876526217</v>
      </c>
      <c r="S208" s="166">
        <f t="shared" si="50"/>
        <v>8202.1117667315084</v>
      </c>
      <c r="T208" s="97"/>
      <c r="U208" s="97">
        <f>IFERROR(INDEX('Revised 2020 MFAM(2018 PYAs)'!AD$26:AD$300,MATCH(B208,'Revised 2020 MFAM(2018 PYAs)'!B$26:B$300,0)),0)</f>
        <v>3752.7173055511721</v>
      </c>
      <c r="V208" s="97">
        <f>IFERROR(INDEX('Revised 2019 MFAM(2017 PYAs)'!AF$26:AF$300,MATCH(B208,'Revised 2019 MFAM(2017 PYAs)'!B$26:B$300,0)),0)</f>
        <v>0.49510514535086259</v>
      </c>
      <c r="W208" s="97">
        <f t="shared" si="51"/>
        <v>-5.4626481637537359E-3</v>
      </c>
      <c r="X208" s="97">
        <f t="shared" si="52"/>
        <v>3753.2069480483592</v>
      </c>
      <c r="Y208" s="97"/>
      <c r="Z208" s="98">
        <f t="shared" si="53"/>
        <v>11955.318714779867</v>
      </c>
      <c r="AA208" s="99">
        <v>0</v>
      </c>
      <c r="AB208" s="100">
        <f t="shared" si="54"/>
        <v>0</v>
      </c>
      <c r="AC208" s="97">
        <f t="shared" si="55"/>
        <v>11955.318714779867</v>
      </c>
      <c r="AD208" s="103"/>
      <c r="AE208" s="97">
        <f t="shared" si="58"/>
        <v>2988.8296786949668</v>
      </c>
      <c r="AF208" s="97">
        <f t="shared" si="58"/>
        <v>2988.8296786949668</v>
      </c>
      <c r="AG208" s="97">
        <f t="shared" si="58"/>
        <v>2988.8296786949668</v>
      </c>
      <c r="AH208" s="97">
        <f t="shared" si="58"/>
        <v>2988.8296786949668</v>
      </c>
    </row>
    <row r="209" spans="2:34" x14ac:dyDescent="0.25">
      <c r="B209">
        <v>605</v>
      </c>
      <c r="C209" s="28">
        <v>8</v>
      </c>
      <c r="D209" s="35" t="s">
        <v>233</v>
      </c>
      <c r="E209" s="154">
        <f>INDEX('2019 Data Lockdown'!H$5:H$257,MATCH(B209,'2019 Data Lockdown'!B$5:B$257,0))</f>
        <v>11.743233894780035</v>
      </c>
      <c r="F209" s="5">
        <f>INDEX('2019 Data Lockdown'!E$5:E$257,MATCH(B209,'2019 Data Lockdown'!B$5:B$257,0))</f>
        <v>8356.2900000000009</v>
      </c>
      <c r="G209" s="5">
        <f>INDEX('2019 Data Lockdown'!F$5:F$257,MATCH(B209,'2019 Data Lockdown'!B$5:B$257,0))</f>
        <v>0</v>
      </c>
      <c r="H209" s="5">
        <f t="shared" si="40"/>
        <v>8356.2900000000009</v>
      </c>
      <c r="I209" s="95">
        <f t="shared" si="41"/>
        <v>711.58337429644837</v>
      </c>
      <c r="J209" s="6">
        <f t="shared" si="42"/>
        <v>711.58337429644837</v>
      </c>
      <c r="K209" s="5">
        <f t="shared" si="43"/>
        <v>8356.2900000000009</v>
      </c>
      <c r="L209" s="135">
        <f>INDEX('2019 Best Practice Scores'!L$4:L$256,MATCH(B209,'2019 Best Practice Scores'!A$4:A$256,0))</f>
        <v>0.30555555555555558</v>
      </c>
      <c r="M209" s="97">
        <f t="shared" si="44"/>
        <v>1932.8304444503144</v>
      </c>
      <c r="N209" s="97">
        <f t="shared" si="45"/>
        <v>840.50165591870143</v>
      </c>
      <c r="O209" s="97">
        <f t="shared" si="46"/>
        <v>177.17612407461215</v>
      </c>
      <c r="P209" s="97">
        <f t="shared" si="47"/>
        <v>101.54311502272049</v>
      </c>
      <c r="Q209" s="97">
        <f t="shared" si="48"/>
        <v>3052.0513394663485</v>
      </c>
      <c r="R209" s="104">
        <f t="shared" si="49"/>
        <v>0.36523999759059922</v>
      </c>
      <c r="S209" s="166">
        <f t="shared" si="50"/>
        <v>3052.1743454865505</v>
      </c>
      <c r="T209" s="97"/>
      <c r="U209" s="97">
        <f>IFERROR(INDEX('Revised 2020 MFAM(2018 PYAs)'!AD$26:AD$300,MATCH(B209,'Revised 2020 MFAM(2018 PYAs)'!B$26:B$300,0)),0)</f>
        <v>-1.1578650733263203</v>
      </c>
      <c r="V209" s="97">
        <f>IFERROR(INDEX('Revised 2019 MFAM(2017 PYAs)'!AF$26:AF$300,MATCH(B209,'Revised 2019 MFAM(2017 PYAs)'!B$26:B$300,0)),0)</f>
        <v>0.49985339466229561</v>
      </c>
      <c r="W209" s="97">
        <f t="shared" si="51"/>
        <v>-2.0327636416093897E-3</v>
      </c>
      <c r="X209" s="97">
        <f t="shared" si="52"/>
        <v>-0.66004444230563408</v>
      </c>
      <c r="Y209" s="97"/>
      <c r="Z209" s="98">
        <f t="shared" si="53"/>
        <v>3051.5143010442448</v>
      </c>
      <c r="AA209" s="99">
        <v>0</v>
      </c>
      <c r="AB209" s="100">
        <f t="shared" si="54"/>
        <v>0</v>
      </c>
      <c r="AC209" s="97">
        <f t="shared" si="55"/>
        <v>3051.5143010442448</v>
      </c>
      <c r="AD209" s="103"/>
      <c r="AE209" s="97">
        <f t="shared" si="58"/>
        <v>762.8785752610612</v>
      </c>
      <c r="AF209" s="97">
        <f t="shared" si="58"/>
        <v>762.8785752610612</v>
      </c>
      <c r="AG209" s="97">
        <f t="shared" si="58"/>
        <v>762.8785752610612</v>
      </c>
      <c r="AH209" s="97">
        <f t="shared" si="58"/>
        <v>762.8785752610612</v>
      </c>
    </row>
    <row r="210" spans="2:34" x14ac:dyDescent="0.25">
      <c r="B210">
        <v>607</v>
      </c>
      <c r="C210" s="28">
        <v>8</v>
      </c>
      <c r="D210" s="35" t="s">
        <v>234</v>
      </c>
      <c r="E210" s="154">
        <f>INDEX('2019 Data Lockdown'!H$5:H$257,MATCH(B210,'2019 Data Lockdown'!B$5:B$257,0))</f>
        <v>17.618373107885343</v>
      </c>
      <c r="F210" s="5">
        <f>INDEX('2019 Data Lockdown'!E$5:E$257,MATCH(B210,'2019 Data Lockdown'!B$5:B$257,0))</f>
        <v>12544.93</v>
      </c>
      <c r="G210" s="5">
        <f>INDEX('2019 Data Lockdown'!F$5:F$257,MATCH(B210,'2019 Data Lockdown'!B$5:B$257,0))</f>
        <v>0</v>
      </c>
      <c r="H210" s="5">
        <f t="shared" si="40"/>
        <v>12544.93</v>
      </c>
      <c r="I210" s="95">
        <f t="shared" si="41"/>
        <v>712.0367994923065</v>
      </c>
      <c r="J210" s="6">
        <f t="shared" si="42"/>
        <v>712.0367994923065</v>
      </c>
      <c r="K210" s="5">
        <f t="shared" si="43"/>
        <v>12544.93</v>
      </c>
      <c r="L210" s="135">
        <f>INDEX('2019 Best Practice Scores'!L$4:L$256,MATCH(B210,'2019 Best Practice Scores'!A$4:A$256,0))</f>
        <v>0.33333333333333337</v>
      </c>
      <c r="M210" s="97">
        <f t="shared" si="44"/>
        <v>2901.6731860069576</v>
      </c>
      <c r="N210" s="97">
        <f t="shared" si="45"/>
        <v>1261.0045839548125</v>
      </c>
      <c r="O210" s="97">
        <f t="shared" si="46"/>
        <v>290.16731860069581</v>
      </c>
      <c r="P210" s="97">
        <f t="shared" si="47"/>
        <v>152.44220460778368</v>
      </c>
      <c r="Q210" s="97">
        <f t="shared" si="48"/>
        <v>4605.2872931702495</v>
      </c>
      <c r="R210" s="104">
        <f t="shared" si="49"/>
        <v>0.36710346675272398</v>
      </c>
      <c r="S210" s="166">
        <f t="shared" si="50"/>
        <v>4605.4728988494508</v>
      </c>
      <c r="T210" s="97"/>
      <c r="U210" s="97">
        <f>IFERROR(INDEX('Revised 2020 MFAM(2018 PYAs)'!AD$26:AD$300,MATCH(B210,'Revised 2020 MFAM(2018 PYAs)'!B$26:B$300,0)),0)</f>
        <v>-1.7497033961558373</v>
      </c>
      <c r="V210" s="97">
        <f>IFERROR(INDEX('Revised 2019 MFAM(2017 PYAs)'!AF$26:AF$300,MATCH(B210,'Revised 2019 MFAM(2017 PYAs)'!B$26:B$300,0)),0)</f>
        <v>0.76230804985061695</v>
      </c>
      <c r="W210" s="97">
        <f t="shared" si="51"/>
        <v>-3.0672683803408944E-3</v>
      </c>
      <c r="X210" s="97">
        <f t="shared" si="52"/>
        <v>-0.99046261468556118</v>
      </c>
      <c r="Y210" s="97"/>
      <c r="Z210" s="98">
        <f t="shared" si="53"/>
        <v>4604.4824362347654</v>
      </c>
      <c r="AA210" s="99">
        <v>0</v>
      </c>
      <c r="AB210" s="100">
        <f t="shared" si="54"/>
        <v>0</v>
      </c>
      <c r="AC210" s="97">
        <f t="shared" si="55"/>
        <v>4604.4824362347654</v>
      </c>
      <c r="AD210" s="103"/>
      <c r="AE210" s="97">
        <f t="shared" si="58"/>
        <v>1151.1206090586913</v>
      </c>
      <c r="AF210" s="97">
        <f t="shared" si="58"/>
        <v>1151.1206090586913</v>
      </c>
      <c r="AG210" s="97">
        <f t="shared" si="58"/>
        <v>1151.1206090586913</v>
      </c>
      <c r="AH210" s="97">
        <f t="shared" si="58"/>
        <v>1151.1206090586913</v>
      </c>
    </row>
    <row r="211" spans="2:34" x14ac:dyDescent="0.25">
      <c r="B211">
        <v>610</v>
      </c>
      <c r="C211" s="28">
        <v>8</v>
      </c>
      <c r="D211" s="35" t="s">
        <v>235</v>
      </c>
      <c r="E211" s="154">
        <f>INDEX('2019 Data Lockdown'!H$5:H$257,MATCH(B211,'2019 Data Lockdown'!B$5:B$257,0))</f>
        <v>75.671529349767766</v>
      </c>
      <c r="F211" s="5">
        <f>INDEX('2019 Data Lockdown'!E$5:E$257,MATCH(B211,'2019 Data Lockdown'!B$5:B$257,0))</f>
        <v>39395.15</v>
      </c>
      <c r="G211" s="5">
        <f>INDEX('2019 Data Lockdown'!F$5:F$257,MATCH(B211,'2019 Data Lockdown'!B$5:B$257,0))</f>
        <v>0</v>
      </c>
      <c r="H211" s="5">
        <f t="shared" si="40"/>
        <v>39395.15</v>
      </c>
      <c r="I211" s="95">
        <f t="shared" si="41"/>
        <v>520.60729231344533</v>
      </c>
      <c r="J211" s="6">
        <f t="shared" si="42"/>
        <v>520.60729231344533</v>
      </c>
      <c r="K211" s="5">
        <f t="shared" si="43"/>
        <v>39395.15</v>
      </c>
      <c r="L211" s="135">
        <f>INDEX('2019 Best Practice Scores'!L$4:L$256,MATCH(B211,'2019 Best Practice Scores'!A$4:A$256,0))</f>
        <v>0.33333333333333337</v>
      </c>
      <c r="M211" s="97">
        <f t="shared" si="44"/>
        <v>9112.1951588189004</v>
      </c>
      <c r="N211" s="97">
        <f t="shared" si="45"/>
        <v>5416.0588381580355</v>
      </c>
      <c r="O211" s="97">
        <f t="shared" si="46"/>
        <v>911.21951588189017</v>
      </c>
      <c r="P211" s="97">
        <f t="shared" si="47"/>
        <v>478.71797745019938</v>
      </c>
      <c r="Q211" s="97">
        <f t="shared" si="48"/>
        <v>15918.191490309026</v>
      </c>
      <c r="R211" s="104">
        <f t="shared" si="49"/>
        <v>0.40406475137952325</v>
      </c>
      <c r="S211" s="166">
        <f t="shared" si="50"/>
        <v>15918.833036982476</v>
      </c>
      <c r="T211" s="97"/>
      <c r="U211" s="97">
        <f>IFERROR(INDEX('Revised 2020 MFAM(2018 PYAs)'!AD$26:AD$300,MATCH(B211,'Revised 2020 MFAM(2018 PYAs)'!B$26:B$300,0)),0)</f>
        <v>-4.4734144900394313</v>
      </c>
      <c r="V211" s="97">
        <f>IFERROR(INDEX('Revised 2019 MFAM(2017 PYAs)'!AF$26:AF$300,MATCH(B211,'Revised 2019 MFAM(2017 PYAs)'!B$26:B$300,0)),0)</f>
        <v>1.577564348021042</v>
      </c>
      <c r="W211" s="97">
        <f t="shared" si="51"/>
        <v>-1.0602023787494334E-2</v>
      </c>
      <c r="X211" s="97">
        <f t="shared" si="52"/>
        <v>-2.9064521658058835</v>
      </c>
      <c r="Y211" s="97"/>
      <c r="Z211" s="98">
        <f t="shared" si="53"/>
        <v>15915.926584816671</v>
      </c>
      <c r="AA211" s="99">
        <v>0</v>
      </c>
      <c r="AB211" s="100">
        <f t="shared" si="54"/>
        <v>0</v>
      </c>
      <c r="AC211" s="97">
        <f t="shared" si="55"/>
        <v>15915.926584816671</v>
      </c>
      <c r="AD211" s="103"/>
      <c r="AE211" s="97">
        <f t="shared" si="58"/>
        <v>3978.9816462041676</v>
      </c>
      <c r="AF211" s="97">
        <f t="shared" si="58"/>
        <v>3978.9816462041676</v>
      </c>
      <c r="AG211" s="97">
        <f t="shared" si="58"/>
        <v>3978.9816462041676</v>
      </c>
      <c r="AH211" s="97">
        <f t="shared" si="58"/>
        <v>3978.9816462041676</v>
      </c>
    </row>
    <row r="212" spans="2:34" x14ac:dyDescent="0.25">
      <c r="B212">
        <v>611</v>
      </c>
      <c r="C212" s="28">
        <v>8</v>
      </c>
      <c r="D212" s="35" t="s">
        <v>236</v>
      </c>
      <c r="E212" s="154">
        <f>INDEX('2019 Data Lockdown'!H$5:H$257,MATCH(B212,'2019 Data Lockdown'!B$5:B$257,0))</f>
        <v>19.780665332856973</v>
      </c>
      <c r="F212" s="5">
        <f>INDEX('2019 Data Lockdown'!E$5:E$257,MATCH(B212,'2019 Data Lockdown'!B$5:B$257,0))</f>
        <v>37334.879999999997</v>
      </c>
      <c r="G212" s="5">
        <f>INDEX('2019 Data Lockdown'!F$5:F$257,MATCH(B212,'2019 Data Lockdown'!B$5:B$257,0))</f>
        <v>0</v>
      </c>
      <c r="H212" s="5">
        <f t="shared" si="40"/>
        <v>37334.879999999997</v>
      </c>
      <c r="I212" s="95">
        <f t="shared" si="41"/>
        <v>1887.4430850404374</v>
      </c>
      <c r="J212" s="6">
        <f t="shared" si="42"/>
        <v>1830.7313099347227</v>
      </c>
      <c r="K212" s="5">
        <f t="shared" si="43"/>
        <v>36213.083356201605</v>
      </c>
      <c r="L212" s="135">
        <f>INDEX('2019 Best Practice Scores'!L$4:L$256,MATCH(B212,'2019 Best Practice Scores'!A$4:A$256,0))</f>
        <v>0.44212962962962959</v>
      </c>
      <c r="M212" s="97">
        <f t="shared" si="44"/>
        <v>8376.17531204439</v>
      </c>
      <c r="N212" s="97">
        <f t="shared" si="45"/>
        <v>1415.7669102401333</v>
      </c>
      <c r="O212" s="97">
        <f t="shared" si="46"/>
        <v>1111.0065865281099</v>
      </c>
      <c r="P212" s="97">
        <f t="shared" si="47"/>
        <v>440.05046361078229</v>
      </c>
      <c r="Q212" s="97">
        <f t="shared" si="48"/>
        <v>11342.999272423416</v>
      </c>
      <c r="R212" s="104">
        <f t="shared" si="49"/>
        <v>0.31322931441243573</v>
      </c>
      <c r="S212" s="166">
        <f t="shared" si="50"/>
        <v>11343.456426331548</v>
      </c>
      <c r="T212" s="97"/>
      <c r="U212" s="97">
        <f>IFERROR(INDEX('Revised 2020 MFAM(2018 PYAs)'!AD$26:AD$300,MATCH(B212,'Revised 2020 MFAM(2018 PYAs)'!B$26:B$300,0)),0)</f>
        <v>-5.5567400934323814</v>
      </c>
      <c r="V212" s="97">
        <f>IFERROR(INDEX('Revised 2019 MFAM(2017 PYAs)'!AF$26:AF$300,MATCH(B212,'Revised 2019 MFAM(2017 PYAs)'!B$26:B$300,0)),0)</f>
        <v>1.1208728849051113</v>
      </c>
      <c r="W212" s="97">
        <f t="shared" si="51"/>
        <v>-7.5547996882043642E-3</v>
      </c>
      <c r="X212" s="97">
        <f t="shared" si="52"/>
        <v>-4.4434220082154745</v>
      </c>
      <c r="Y212" s="97"/>
      <c r="Z212" s="98">
        <f t="shared" si="53"/>
        <v>11339.013004323333</v>
      </c>
      <c r="AA212" s="99">
        <v>0</v>
      </c>
      <c r="AB212" s="100">
        <f t="shared" si="54"/>
        <v>0</v>
      </c>
      <c r="AC212" s="97">
        <f t="shared" si="55"/>
        <v>11339.013004323333</v>
      </c>
      <c r="AD212" s="103"/>
      <c r="AE212" s="97">
        <f t="shared" si="58"/>
        <v>2834.7532510808333</v>
      </c>
      <c r="AF212" s="97">
        <f t="shared" si="58"/>
        <v>2834.7532510808333</v>
      </c>
      <c r="AG212" s="97">
        <f t="shared" si="58"/>
        <v>2834.7532510808333</v>
      </c>
      <c r="AH212" s="97">
        <f t="shared" si="58"/>
        <v>2834.7532510808333</v>
      </c>
    </row>
    <row r="213" spans="2:34" x14ac:dyDescent="0.25">
      <c r="B213">
        <v>616</v>
      </c>
      <c r="C213" s="28">
        <v>8</v>
      </c>
      <c r="D213" s="35" t="s">
        <v>237</v>
      </c>
      <c r="E213" s="154">
        <f>INDEX('2019 Data Lockdown'!H$5:H$257,MATCH(B213,'2019 Data Lockdown'!B$5:B$257,0))</f>
        <v>164.92000000000002</v>
      </c>
      <c r="F213" s="5">
        <f>INDEX('2019 Data Lockdown'!E$5:E$257,MATCH(B213,'2019 Data Lockdown'!B$5:B$257,0))</f>
        <v>264029.39</v>
      </c>
      <c r="G213" s="5">
        <f>INDEX('2019 Data Lockdown'!F$5:F$257,MATCH(B213,'2019 Data Lockdown'!B$5:B$257,0))</f>
        <v>0</v>
      </c>
      <c r="H213" s="5">
        <f t="shared" si="40"/>
        <v>264029.39</v>
      </c>
      <c r="I213" s="95">
        <f t="shared" si="41"/>
        <v>1600.9543414989084</v>
      </c>
      <c r="J213" s="6">
        <f t="shared" si="42"/>
        <v>1600.9543414989084</v>
      </c>
      <c r="K213" s="5">
        <f t="shared" si="43"/>
        <v>264029.39</v>
      </c>
      <c r="L213" s="135">
        <f>INDEX('2019 Best Practice Scores'!L$4:L$256,MATCH(B213,'2019 Best Practice Scores'!A$4:A$256,0))</f>
        <v>0.49305555555555558</v>
      </c>
      <c r="M213" s="97">
        <f t="shared" si="44"/>
        <v>61070.647766131304</v>
      </c>
      <c r="N213" s="97">
        <f t="shared" si="45"/>
        <v>11803.863768372015</v>
      </c>
      <c r="O213" s="97">
        <f t="shared" si="46"/>
        <v>9033.3666487402552</v>
      </c>
      <c r="P213" s="97">
        <f t="shared" si="47"/>
        <v>3208.4054907319783</v>
      </c>
      <c r="Q213" s="97">
        <f t="shared" si="48"/>
        <v>85116.283673975544</v>
      </c>
      <c r="R213" s="104">
        <f t="shared" si="49"/>
        <v>0.32237427687112991</v>
      </c>
      <c r="S213" s="166">
        <f t="shared" si="50"/>
        <v>85119.714093108312</v>
      </c>
      <c r="T213" s="97"/>
      <c r="U213" s="97">
        <f>IFERROR(INDEX('Revised 2020 MFAM(2018 PYAs)'!AD$26:AD$300,MATCH(B213,'Revised 2020 MFAM(2018 PYAs)'!B$26:B$300,0)),0)</f>
        <v>-44.240836319324444</v>
      </c>
      <c r="V213" s="97">
        <f>IFERROR(INDEX('Revised 2019 MFAM(2017 PYAs)'!AF$26:AF$300,MATCH(B213,'Revised 2019 MFAM(2017 PYAs)'!B$26:B$300,0)),0)</f>
        <v>9.1494254773133434</v>
      </c>
      <c r="W213" s="97">
        <f t="shared" si="51"/>
        <v>-5.6690162620796916E-2</v>
      </c>
      <c r="X213" s="97">
        <f t="shared" si="52"/>
        <v>-35.148101004631897</v>
      </c>
      <c r="Y213" s="97"/>
      <c r="Z213" s="98">
        <f t="shared" si="53"/>
        <v>85084.565992103686</v>
      </c>
      <c r="AA213" s="99">
        <v>0</v>
      </c>
      <c r="AB213" s="100">
        <f t="shared" si="54"/>
        <v>0</v>
      </c>
      <c r="AC213" s="97">
        <f t="shared" si="55"/>
        <v>85084.565992103686</v>
      </c>
      <c r="AD213" s="103"/>
      <c r="AE213" s="97">
        <f t="shared" si="58"/>
        <v>21271.141498025921</v>
      </c>
      <c r="AF213" s="97">
        <f t="shared" si="58"/>
        <v>21271.141498025921</v>
      </c>
      <c r="AG213" s="97">
        <f t="shared" si="58"/>
        <v>21271.141498025921</v>
      </c>
      <c r="AH213" s="97">
        <f t="shared" si="58"/>
        <v>21271.141498025921</v>
      </c>
    </row>
    <row r="214" spans="2:34" x14ac:dyDescent="0.25">
      <c r="B214">
        <v>637</v>
      </c>
      <c r="C214" s="28">
        <v>8</v>
      </c>
      <c r="D214" s="35" t="s">
        <v>314</v>
      </c>
      <c r="E214" s="154">
        <f>INDEX('2019 Data Lockdown'!H$5:H$257,MATCH(B214,'2019 Data Lockdown'!B$5:B$257,0))</f>
        <v>11.1622</v>
      </c>
      <c r="F214" s="5">
        <f>INDEX('2019 Data Lockdown'!E$5:E$257,MATCH(B214,'2019 Data Lockdown'!B$5:B$257,0))</f>
        <v>24131.66</v>
      </c>
      <c r="G214" s="5">
        <f>INDEX('2019 Data Lockdown'!F$5:F$257,MATCH(B214,'2019 Data Lockdown'!B$5:B$257,0))</f>
        <v>0</v>
      </c>
      <c r="H214" s="5">
        <f t="shared" si="40"/>
        <v>24131.66</v>
      </c>
      <c r="I214" s="95">
        <f t="shared" si="41"/>
        <v>2161.9089426815503</v>
      </c>
      <c r="J214" s="6">
        <f t="shared" si="42"/>
        <v>1830.7313099347227</v>
      </c>
      <c r="K214" s="5">
        <f t="shared" si="43"/>
        <v>20434.989027753363</v>
      </c>
      <c r="L214" s="135">
        <f>INDEX('2019 Best Practice Scores'!L$4:L$256,MATCH(B214,'2019 Best Practice Scores'!A$4:A$256,0))</f>
        <v>0.3611111111111111</v>
      </c>
      <c r="M214" s="97">
        <f t="shared" si="44"/>
        <v>4726.6632590359868</v>
      </c>
      <c r="N214" s="97">
        <f t="shared" si="45"/>
        <v>798.91515980670692</v>
      </c>
      <c r="O214" s="97">
        <f t="shared" si="46"/>
        <v>512.05518639556522</v>
      </c>
      <c r="P214" s="97">
        <f t="shared" si="47"/>
        <v>248.31982151567152</v>
      </c>
      <c r="Q214" s="97">
        <f t="shared" si="48"/>
        <v>6285.9534267539302</v>
      </c>
      <c r="R214" s="104">
        <f t="shared" si="49"/>
        <v>0.30760737958884105</v>
      </c>
      <c r="S214" s="166">
        <f t="shared" si="50"/>
        <v>6286.2067678770627</v>
      </c>
      <c r="T214" s="97"/>
      <c r="U214" s="97">
        <f>IFERROR(INDEX('Revised 2020 MFAM(2018 PYAs)'!AD$26:AD$300,MATCH(B214,'Revised 2020 MFAM(2018 PYAs)'!B$26:B$300,0)),0)</f>
        <v>8.8939943173709253</v>
      </c>
      <c r="V214" s="97">
        <f>IFERROR(INDEX('Revised 2019 MFAM(2017 PYAs)'!AF$26:AF$300,MATCH(B214,'Revised 2019 MFAM(2017 PYAs)'!B$26:B$300,0)),0)</f>
        <v>0</v>
      </c>
      <c r="W214" s="97">
        <f t="shared" si="51"/>
        <v>-4.1866456876146615E-3</v>
      </c>
      <c r="X214" s="97">
        <f t="shared" si="52"/>
        <v>8.889807671683311</v>
      </c>
      <c r="Y214" s="97"/>
      <c r="Z214" s="98">
        <f t="shared" si="53"/>
        <v>6295.0965755487459</v>
      </c>
      <c r="AA214" s="99">
        <v>0</v>
      </c>
      <c r="AB214" s="100">
        <f t="shared" si="54"/>
        <v>0</v>
      </c>
      <c r="AC214" s="97">
        <f t="shared" si="55"/>
        <v>6295.0965755487459</v>
      </c>
      <c r="AD214" s="103"/>
      <c r="AE214" s="97">
        <f t="shared" si="58"/>
        <v>1573.7741438871865</v>
      </c>
      <c r="AF214" s="97">
        <f t="shared" si="58"/>
        <v>1573.7741438871865</v>
      </c>
      <c r="AG214" s="97">
        <f t="shared" si="58"/>
        <v>1573.7741438871865</v>
      </c>
      <c r="AH214" s="97">
        <f t="shared" si="58"/>
        <v>1573.7741438871865</v>
      </c>
    </row>
    <row r="215" spans="2:34" x14ac:dyDescent="0.25">
      <c r="B215">
        <v>638</v>
      </c>
      <c r="C215" s="28">
        <v>8</v>
      </c>
      <c r="D215" s="35" t="s">
        <v>315</v>
      </c>
      <c r="E215" s="154">
        <f>INDEX('2019 Data Lockdown'!H$5:H$257,MATCH(B215,'2019 Data Lockdown'!B$5:B$257,0))</f>
        <v>11.482586231848504</v>
      </c>
      <c r="F215" s="5">
        <f>INDEX('2019 Data Lockdown'!E$5:E$257,MATCH(B215,'2019 Data Lockdown'!B$5:B$257,0))</f>
        <v>19979.61</v>
      </c>
      <c r="G215" s="5">
        <f>INDEX('2019 Data Lockdown'!F$5:F$257,MATCH(B215,'2019 Data Lockdown'!B$5:B$257,0))</f>
        <v>0</v>
      </c>
      <c r="H215" s="5">
        <f t="shared" si="40"/>
        <v>19979.61</v>
      </c>
      <c r="I215" s="95">
        <f t="shared" si="41"/>
        <v>1739.9921582634279</v>
      </c>
      <c r="J215" s="6">
        <f t="shared" si="42"/>
        <v>1739.9921582634279</v>
      </c>
      <c r="K215" s="5">
        <f t="shared" si="43"/>
        <v>19979.61</v>
      </c>
      <c r="L215" s="135">
        <f>INDEX('2019 Best Practice Scores'!L$4:L$256,MATCH(B215,'2019 Best Practice Scores'!A$4:A$256,0))</f>
        <v>0.53240740740740744</v>
      </c>
      <c r="M215" s="97">
        <f t="shared" si="44"/>
        <v>4621.3329690860355</v>
      </c>
      <c r="N215" s="97">
        <f t="shared" si="45"/>
        <v>821.84625023844228</v>
      </c>
      <c r="O215" s="97">
        <f t="shared" si="46"/>
        <v>738.12957145124176</v>
      </c>
      <c r="P215" s="97">
        <f t="shared" si="47"/>
        <v>242.78619295633547</v>
      </c>
      <c r="Q215" s="97">
        <f t="shared" si="48"/>
        <v>6424.094983732055</v>
      </c>
      <c r="R215" s="104">
        <f t="shared" si="49"/>
        <v>0.32153255162298239</v>
      </c>
      <c r="S215" s="166">
        <f t="shared" si="50"/>
        <v>6424.3538923379256</v>
      </c>
      <c r="T215" s="97"/>
      <c r="U215" s="97">
        <f>IFERROR(INDEX('Revised 2020 MFAM(2018 PYAs)'!AD$26:AD$300,MATCH(B215,'Revised 2020 MFAM(2018 PYAs)'!B$26:B$300,0)),0)</f>
        <v>44.723011219225555</v>
      </c>
      <c r="V215" s="97">
        <f>IFERROR(INDEX('Revised 2019 MFAM(2017 PYAs)'!AF$26:AF$300,MATCH(B215,'Revised 2019 MFAM(2017 PYAs)'!B$26:B$300,0)),0)</f>
        <v>0</v>
      </c>
      <c r="W215" s="97">
        <f t="shared" si="51"/>
        <v>-4.2786523753100079E-3</v>
      </c>
      <c r="X215" s="97">
        <f t="shared" si="52"/>
        <v>44.718732566850242</v>
      </c>
      <c r="Y215" s="97"/>
      <c r="Z215" s="98">
        <f t="shared" si="53"/>
        <v>6469.0726249047757</v>
      </c>
      <c r="AA215" s="99">
        <v>0</v>
      </c>
      <c r="AB215" s="100">
        <f t="shared" si="54"/>
        <v>0</v>
      </c>
      <c r="AC215" s="97">
        <f t="shared" si="55"/>
        <v>6469.0726249047757</v>
      </c>
      <c r="AD215" s="103"/>
      <c r="AE215" s="97">
        <f t="shared" si="58"/>
        <v>1617.2681562261939</v>
      </c>
      <c r="AF215" s="97">
        <f t="shared" si="58"/>
        <v>1617.2681562261939</v>
      </c>
      <c r="AG215" s="97">
        <f t="shared" si="58"/>
        <v>1617.2681562261939</v>
      </c>
      <c r="AH215" s="97">
        <f t="shared" si="58"/>
        <v>1617.2681562261939</v>
      </c>
    </row>
    <row r="216" spans="2:34" x14ac:dyDescent="0.25">
      <c r="B216">
        <v>639</v>
      </c>
      <c r="C216" s="28">
        <v>8</v>
      </c>
      <c r="D216" s="35" t="s">
        <v>316</v>
      </c>
      <c r="E216" s="154">
        <f>INDEX('2019 Data Lockdown'!H$5:H$257,MATCH(B216,'2019 Data Lockdown'!B$5:B$257,0))</f>
        <v>26.744088597118019</v>
      </c>
      <c r="F216" s="5">
        <f>INDEX('2019 Data Lockdown'!E$5:E$257,MATCH(B216,'2019 Data Lockdown'!B$5:B$257,0))</f>
        <v>19587.5</v>
      </c>
      <c r="G216" s="5">
        <f>INDEX('2019 Data Lockdown'!F$5:F$257,MATCH(B216,'2019 Data Lockdown'!B$5:B$257,0))</f>
        <v>0</v>
      </c>
      <c r="H216" s="5">
        <f t="shared" si="40"/>
        <v>19587.5</v>
      </c>
      <c r="I216" s="95">
        <f t="shared" si="41"/>
        <v>732.40484262046516</v>
      </c>
      <c r="J216" s="6">
        <f t="shared" si="42"/>
        <v>732.40484262046516</v>
      </c>
      <c r="K216" s="5">
        <f t="shared" si="43"/>
        <v>19587.5</v>
      </c>
      <c r="L216" s="135">
        <f>INDEX('2019 Best Practice Scores'!L$4:L$256,MATCH(B216,'2019 Best Practice Scores'!A$4:A$256,0))</f>
        <v>0.72685185185185175</v>
      </c>
      <c r="M216" s="97">
        <f t="shared" si="44"/>
        <v>4530.6369609803542</v>
      </c>
      <c r="N216" s="97">
        <f t="shared" si="45"/>
        <v>1914.1618870340319</v>
      </c>
      <c r="O216" s="97">
        <f t="shared" si="46"/>
        <v>987.93055954710485</v>
      </c>
      <c r="P216" s="97">
        <f t="shared" si="47"/>
        <v>238.02139053426069</v>
      </c>
      <c r="Q216" s="97">
        <f t="shared" si="48"/>
        <v>7670.7507980957516</v>
      </c>
      <c r="R216" s="104">
        <f t="shared" si="49"/>
        <v>0.39161459084088074</v>
      </c>
      <c r="S216" s="166">
        <f t="shared" si="50"/>
        <v>7671.0599503421226</v>
      </c>
      <c r="T216" s="97"/>
      <c r="U216" s="97">
        <f>IFERROR(INDEX('Revised 2020 MFAM(2018 PYAs)'!AD$26:AD$300,MATCH(B216,'Revised 2020 MFAM(2018 PYAs)'!B$26:B$300,0)),0)</f>
        <v>-3.0237537646025885</v>
      </c>
      <c r="V216" s="97">
        <f>IFERROR(INDEX('Revised 2019 MFAM(2017 PYAs)'!AF$26:AF$300,MATCH(B216,'Revised 2019 MFAM(2017 PYAs)'!B$26:B$300,0)),0)</f>
        <v>0</v>
      </c>
      <c r="W216" s="97">
        <f t="shared" si="51"/>
        <v>-5.1089649523856501E-3</v>
      </c>
      <c r="X216" s="97">
        <f t="shared" si="52"/>
        <v>-3.0288627295549739</v>
      </c>
      <c r="Y216" s="97"/>
      <c r="Z216" s="98">
        <f t="shared" si="53"/>
        <v>7668.0310876125677</v>
      </c>
      <c r="AA216" s="99">
        <v>0</v>
      </c>
      <c r="AB216" s="100">
        <f t="shared" si="54"/>
        <v>0</v>
      </c>
      <c r="AC216" s="97">
        <f t="shared" si="55"/>
        <v>7668.0310876125677</v>
      </c>
      <c r="AD216" s="103"/>
      <c r="AE216" s="97">
        <f t="shared" si="58"/>
        <v>1917.0077719031419</v>
      </c>
      <c r="AF216" s="97">
        <f t="shared" si="58"/>
        <v>1917.0077719031419</v>
      </c>
      <c r="AG216" s="97">
        <f t="shared" si="58"/>
        <v>1917.0077719031419</v>
      </c>
      <c r="AH216" s="97">
        <f t="shared" si="58"/>
        <v>1917.0077719031419</v>
      </c>
    </row>
    <row r="217" spans="2:34" x14ac:dyDescent="0.25">
      <c r="B217">
        <v>645</v>
      </c>
      <c r="C217" s="28">
        <v>8</v>
      </c>
      <c r="D217" s="35" t="s">
        <v>339</v>
      </c>
      <c r="E217" s="154">
        <f>INDEX('2019 Data Lockdown'!H$5:H$257,MATCH(B217,'2019 Data Lockdown'!B$5:B$257,0))</f>
        <v>4.4384178397046563</v>
      </c>
      <c r="F217" s="5">
        <f>INDEX('2019 Data Lockdown'!E$5:E$257,MATCH(B217,'2019 Data Lockdown'!B$5:B$257,0))</f>
        <v>14942.85</v>
      </c>
      <c r="G217" s="5">
        <f>INDEX('2019 Data Lockdown'!F$5:F$257,MATCH(B217,'2019 Data Lockdown'!B$5:B$257,0))</f>
        <v>0</v>
      </c>
      <c r="H217" s="5">
        <f t="shared" si="40"/>
        <v>14942.85</v>
      </c>
      <c r="I217" s="95">
        <f t="shared" si="41"/>
        <v>3366.7064570455891</v>
      </c>
      <c r="J217" s="6">
        <f t="shared" si="42"/>
        <v>1830.7313099347227</v>
      </c>
      <c r="K217" s="5">
        <f t="shared" si="43"/>
        <v>8125.5505057201481</v>
      </c>
      <c r="L217" s="135">
        <f>INDEX('2019 Best Practice Scores'!L$4:L$256,MATCH(B217,'2019 Best Practice Scores'!A$4:A$256,0))</f>
        <v>0.26851851851851849</v>
      </c>
      <c r="M217" s="97">
        <f t="shared" si="44"/>
        <v>1879.4598315011267</v>
      </c>
      <c r="N217" s="97">
        <f t="shared" si="45"/>
        <v>317.67208056624901</v>
      </c>
      <c r="O217" s="97">
        <f t="shared" si="46"/>
        <v>151.40093087092404</v>
      </c>
      <c r="P217" s="97">
        <f t="shared" si="47"/>
        <v>98.739238301359279</v>
      </c>
      <c r="Q217" s="97">
        <f t="shared" si="48"/>
        <v>2447.2720812396592</v>
      </c>
      <c r="R217" s="104">
        <f t="shared" si="49"/>
        <v>0.30118231121901856</v>
      </c>
      <c r="S217" s="166">
        <f t="shared" si="50"/>
        <v>2447.3707130009184</v>
      </c>
      <c r="T217" s="97"/>
      <c r="U217" s="97">
        <f>IFERROR(INDEX('Revised 2020 MFAM(2018 PYAs)'!AD$26:AD$300,MATCH(B217,'Revised 2020 MFAM(2018 PYAs)'!B$26:B$300,0)),0)</f>
        <v>0</v>
      </c>
      <c r="V217" s="97">
        <f>IFERROR(INDEX('Revised 2019 MFAM(2017 PYAs)'!AF$26:AF$300,MATCH(B217,'Revised 2019 MFAM(2017 PYAs)'!B$26:B$300,0)),0)</f>
        <v>0</v>
      </c>
      <c r="W217" s="97">
        <f t="shared" si="51"/>
        <v>-1.6299613455190275E-3</v>
      </c>
      <c r="X217" s="97">
        <f t="shared" si="52"/>
        <v>-1.6299613455190275E-3</v>
      </c>
      <c r="Y217" s="97"/>
      <c r="Z217" s="98">
        <f t="shared" si="53"/>
        <v>2447.3690830395731</v>
      </c>
      <c r="AA217" s="99">
        <v>0</v>
      </c>
      <c r="AB217" s="100">
        <f t="shared" si="54"/>
        <v>0</v>
      </c>
      <c r="AC217" s="97">
        <f t="shared" si="55"/>
        <v>2447.3690830395731</v>
      </c>
      <c r="AD217" s="103"/>
      <c r="AE217" s="97">
        <f t="shared" si="58"/>
        <v>611.84227075989327</v>
      </c>
      <c r="AF217" s="97">
        <f t="shared" si="58"/>
        <v>611.84227075989327</v>
      </c>
      <c r="AG217" s="97">
        <f t="shared" si="58"/>
        <v>611.84227075989327</v>
      </c>
      <c r="AH217" s="97">
        <f t="shared" si="58"/>
        <v>611.84227075989327</v>
      </c>
    </row>
    <row r="218" spans="2:34" x14ac:dyDescent="0.25">
      <c r="B218">
        <v>709</v>
      </c>
      <c r="C218" s="28">
        <v>8</v>
      </c>
      <c r="D218" s="35" t="s">
        <v>240</v>
      </c>
      <c r="E218" s="154">
        <f>INDEX('2019 Data Lockdown'!H$5:H$257,MATCH(B218,'2019 Data Lockdown'!B$5:B$257,0))</f>
        <v>69.808973502441347</v>
      </c>
      <c r="F218" s="5">
        <f>INDEX('2019 Data Lockdown'!E$5:E$257,MATCH(B218,'2019 Data Lockdown'!B$5:B$257,0))</f>
        <v>43632.11</v>
      </c>
      <c r="G218" s="5">
        <f>INDEX('2019 Data Lockdown'!F$5:F$257,MATCH(B218,'2019 Data Lockdown'!B$5:B$257,0))</f>
        <v>0</v>
      </c>
      <c r="H218" s="5">
        <f t="shared" ref="H218:H278" si="59">F218-G218</f>
        <v>43632.11</v>
      </c>
      <c r="I218" s="95">
        <f t="shared" ref="I218:I278" si="60">IFERROR(H218/E218,"n.a.")</f>
        <v>625.02150956959861</v>
      </c>
      <c r="J218" s="6">
        <f t="shared" ref="J218:J278" si="61">MIN(I218,INDEX($L$3:$L$11,MATCH(C218,$I$3:$I$11,0)))</f>
        <v>625.02150956959861</v>
      </c>
      <c r="K218" s="5">
        <f t="shared" ref="K218:K278" si="62">E218*J218</f>
        <v>43632.11</v>
      </c>
      <c r="L218" s="135">
        <f>INDEX('2019 Best Practice Scores'!L$4:L$256,MATCH(B218,'2019 Best Practice Scores'!A$4:A$256,0))</f>
        <v>0.47222222222222221</v>
      </c>
      <c r="M218" s="97">
        <f t="shared" ref="M218:M278" si="63">$E$14*(K218/$K$24)</f>
        <v>10092.214435306219</v>
      </c>
      <c r="N218" s="97">
        <f t="shared" ref="N218:N278" si="64">$E$15*(E218/$E$24)</f>
        <v>4996.4565427644284</v>
      </c>
      <c r="O218" s="97">
        <f t="shared" ref="O218:O278" si="65">IFERROR(L218*$E$16*(K218/$K$24),0)</f>
        <v>1429.7303783350474</v>
      </c>
      <c r="P218" s="97">
        <f t="shared" ref="P218:P278" si="66">($O$23+$E$9)*(K218/$K$24)</f>
        <v>530.20423709732347</v>
      </c>
      <c r="Q218" s="97">
        <f t="shared" ref="Q218:Q278" si="67">M218+N218+O218+P218</f>
        <v>17048.60559350302</v>
      </c>
      <c r="R218" s="104">
        <f t="shared" ref="R218:R278" si="68">IFERROR((Q218/K218),0)</f>
        <v>0.39073530006921553</v>
      </c>
      <c r="S218" s="166">
        <f t="shared" ref="S218:S278" si="69">IF(R218&gt;$R$19,$R$19*K218,Q218+($R$23*Q218/$R$22))</f>
        <v>17049.292698957943</v>
      </c>
      <c r="T218" s="97"/>
      <c r="U218" s="97">
        <f>IFERROR(INDEX('Revised 2020 MFAM(2018 PYAs)'!AD$26:AD$300,MATCH(B218,'Revised 2020 MFAM(2018 PYAs)'!B$26:B$300,0)),0)</f>
        <v>-7.1811039582953526</v>
      </c>
      <c r="V218" s="97">
        <f>IFERROR(INDEX('Revised 2019 MFAM(2017 PYAs)'!AF$26:AF$300,MATCH(B218,'Revised 2019 MFAM(2017 PYAs)'!B$26:B$300,0)),0)</f>
        <v>-430.52678144424135</v>
      </c>
      <c r="W218" s="97">
        <f t="shared" ref="W218:W278" si="70">-$W$22*(S218/$E$17)</f>
        <v>-1.1354915673427359E-2</v>
      </c>
      <c r="X218" s="97">
        <f t="shared" ref="X218:X278" si="71">SUM(U218:W218)</f>
        <v>-437.71924031821015</v>
      </c>
      <c r="Y218" s="97"/>
      <c r="Z218" s="98">
        <f t="shared" ref="Z218:Z278" si="72">S218+X218</f>
        <v>16611.573458639734</v>
      </c>
      <c r="AA218" s="99">
        <v>0</v>
      </c>
      <c r="AB218" s="100">
        <f t="shared" ref="AB218:AB278" si="73">-$AA$24*AA218*Z218</f>
        <v>0</v>
      </c>
      <c r="AC218" s="97">
        <f t="shared" ref="AC218:AC278" si="74">Z218+AB218</f>
        <v>16611.573458639734</v>
      </c>
      <c r="AD218" s="103"/>
      <c r="AE218" s="97">
        <f t="shared" si="58"/>
        <v>4152.8933646599335</v>
      </c>
      <c r="AF218" s="97">
        <f t="shared" si="58"/>
        <v>4152.8933646599335</v>
      </c>
      <c r="AG218" s="97">
        <f t="shared" si="58"/>
        <v>4152.8933646599335</v>
      </c>
      <c r="AH218" s="97">
        <f t="shared" si="58"/>
        <v>4152.8933646599335</v>
      </c>
    </row>
    <row r="219" spans="2:34" x14ac:dyDescent="0.25">
      <c r="B219">
        <v>714</v>
      </c>
      <c r="C219" s="28">
        <v>8</v>
      </c>
      <c r="D219" s="35" t="s">
        <v>241</v>
      </c>
      <c r="E219" s="154">
        <f>INDEX('2019 Data Lockdown'!H$5:H$257,MATCH(B219,'2019 Data Lockdown'!B$5:B$257,0))</f>
        <v>55.79475654400381</v>
      </c>
      <c r="F219" s="5">
        <f>INDEX('2019 Data Lockdown'!E$5:E$257,MATCH(B219,'2019 Data Lockdown'!B$5:B$257,0))</f>
        <v>63101.23</v>
      </c>
      <c r="G219" s="5">
        <f>INDEX('2019 Data Lockdown'!F$5:F$257,MATCH(B219,'2019 Data Lockdown'!B$5:B$257,0))</f>
        <v>0</v>
      </c>
      <c r="H219" s="5">
        <f t="shared" si="59"/>
        <v>63101.23</v>
      </c>
      <c r="I219" s="95">
        <f t="shared" si="60"/>
        <v>1130.9526899760513</v>
      </c>
      <c r="J219" s="6">
        <f t="shared" si="61"/>
        <v>1130.9526899760513</v>
      </c>
      <c r="K219" s="5">
        <f t="shared" si="62"/>
        <v>63101.229999999996</v>
      </c>
      <c r="L219" s="135">
        <f>INDEX('2019 Best Practice Scores'!L$4:L$256,MATCH(B219,'2019 Best Practice Scores'!A$4:A$256,0))</f>
        <v>0.34722222222222221</v>
      </c>
      <c r="M219" s="97">
        <f t="shared" si="63"/>
        <v>14595.469810916267</v>
      </c>
      <c r="N219" s="97">
        <f t="shared" si="64"/>
        <v>3993.4132017639099</v>
      </c>
      <c r="O219" s="97">
        <f t="shared" si="65"/>
        <v>1520.361438637111</v>
      </c>
      <c r="P219" s="97">
        <f t="shared" si="66"/>
        <v>766.78710958632837</v>
      </c>
      <c r="Q219" s="97">
        <f t="shared" si="67"/>
        <v>20876.031560903619</v>
      </c>
      <c r="R219" s="104">
        <f t="shared" si="68"/>
        <v>0.33083398787794815</v>
      </c>
      <c r="S219" s="166">
        <f t="shared" si="69"/>
        <v>20876.872922097878</v>
      </c>
      <c r="T219" s="97"/>
      <c r="U219" s="97">
        <f>IFERROR(INDEX('Revised 2020 MFAM(2018 PYAs)'!AD$26:AD$300,MATCH(B219,'Revised 2020 MFAM(2018 PYAs)'!B$26:B$300,0)),0)</f>
        <v>-8.0609171741325554</v>
      </c>
      <c r="V219" s="97">
        <f>IFERROR(INDEX('Revised 2019 MFAM(2017 PYAs)'!AF$26:AF$300,MATCH(B219,'Revised 2019 MFAM(2017 PYAs)'!B$26:B$300,0)),0)</f>
        <v>1.6483660415906343</v>
      </c>
      <c r="W219" s="97">
        <f t="shared" si="70"/>
        <v>-1.390410357432419E-2</v>
      </c>
      <c r="X219" s="97">
        <f t="shared" si="71"/>
        <v>-6.4264552361162455</v>
      </c>
      <c r="Y219" s="97"/>
      <c r="Z219" s="98">
        <f t="shared" si="72"/>
        <v>20870.446466861762</v>
      </c>
      <c r="AA219" s="99">
        <v>0</v>
      </c>
      <c r="AB219" s="100">
        <f t="shared" si="73"/>
        <v>0</v>
      </c>
      <c r="AC219" s="97">
        <f t="shared" si="74"/>
        <v>20870.446466861762</v>
      </c>
      <c r="AD219" s="103"/>
      <c r="AE219" s="97">
        <f t="shared" si="58"/>
        <v>5217.6116167154405</v>
      </c>
      <c r="AF219" s="97">
        <f t="shared" si="58"/>
        <v>5217.6116167154405</v>
      </c>
      <c r="AG219" s="97">
        <f t="shared" si="58"/>
        <v>5217.6116167154405</v>
      </c>
      <c r="AH219" s="97">
        <f t="shared" si="58"/>
        <v>5217.6116167154405</v>
      </c>
    </row>
    <row r="220" spans="2:34" x14ac:dyDescent="0.25">
      <c r="B220">
        <v>749</v>
      </c>
      <c r="C220" s="28">
        <v>8</v>
      </c>
      <c r="D220" s="35" t="s">
        <v>242</v>
      </c>
      <c r="E220" s="154">
        <f>INDEX('2019 Data Lockdown'!H$5:H$257,MATCH(B220,'2019 Data Lockdown'!B$5:B$257,0))</f>
        <v>25.180157901631535</v>
      </c>
      <c r="F220" s="5">
        <f>INDEX('2019 Data Lockdown'!E$5:E$257,MATCH(B220,'2019 Data Lockdown'!B$5:B$257,0))</f>
        <v>4690.4399999999996</v>
      </c>
      <c r="G220" s="5">
        <f>INDEX('2019 Data Lockdown'!F$5:F$257,MATCH(B220,'2019 Data Lockdown'!B$5:B$257,0))</f>
        <v>0</v>
      </c>
      <c r="H220" s="5">
        <f t="shared" si="59"/>
        <v>4690.4399999999996</v>
      </c>
      <c r="I220" s="95">
        <f t="shared" si="60"/>
        <v>186.27524173293946</v>
      </c>
      <c r="J220" s="6">
        <f t="shared" si="61"/>
        <v>186.27524173293946</v>
      </c>
      <c r="K220" s="5">
        <f t="shared" si="62"/>
        <v>4690.4399999999996</v>
      </c>
      <c r="L220" s="135">
        <f>INDEX('2019 Best Practice Scores'!L$4:L$256,MATCH(B220,'2019 Best Practice Scores'!A$4:A$256,0))</f>
        <v>0.33333333333333331</v>
      </c>
      <c r="M220" s="97">
        <f t="shared" si="63"/>
        <v>1084.9103166438133</v>
      </c>
      <c r="N220" s="97">
        <f t="shared" si="64"/>
        <v>1802.226252346318</v>
      </c>
      <c r="O220" s="97">
        <f t="shared" si="65"/>
        <v>108.49103166438131</v>
      </c>
      <c r="P220" s="97">
        <f t="shared" si="66"/>
        <v>56.996811794129812</v>
      </c>
      <c r="Q220" s="97">
        <f t="shared" si="67"/>
        <v>3052.6244124486425</v>
      </c>
      <c r="R220" s="104">
        <f t="shared" si="68"/>
        <v>0.65081834805447736</v>
      </c>
      <c r="S220" s="166">
        <f t="shared" si="69"/>
        <v>3052.7474415652537</v>
      </c>
      <c r="T220" s="97"/>
      <c r="U220" s="97">
        <f>IFERROR(INDEX('Revised 2020 MFAM(2018 PYAs)'!AD$26:AD$300,MATCH(B220,'Revised 2020 MFAM(2018 PYAs)'!B$26:B$300,0)),0)</f>
        <v>-0.52958427171779476</v>
      </c>
      <c r="V220" s="97">
        <f>IFERROR(INDEX('Revised 2019 MFAM(2017 PYAs)'!AF$26:AF$300,MATCH(B220,'Revised 2019 MFAM(2017 PYAs)'!B$26:B$300,0)),0)</f>
        <v>-115.33623887553131</v>
      </c>
      <c r="W220" s="97">
        <f t="shared" si="70"/>
        <v>-2.0331453265133529E-3</v>
      </c>
      <c r="X220" s="97">
        <f t="shared" si="71"/>
        <v>-115.86785629257561</v>
      </c>
      <c r="Y220" s="97"/>
      <c r="Z220" s="98">
        <f t="shared" si="72"/>
        <v>2936.879585272678</v>
      </c>
      <c r="AA220" s="99">
        <v>0</v>
      </c>
      <c r="AB220" s="100">
        <f t="shared" si="73"/>
        <v>0</v>
      </c>
      <c r="AC220" s="97">
        <f t="shared" si="74"/>
        <v>2936.879585272678</v>
      </c>
      <c r="AD220" s="103"/>
      <c r="AE220" s="97">
        <f t="shared" si="58"/>
        <v>734.2198963181695</v>
      </c>
      <c r="AF220" s="97">
        <f t="shared" si="58"/>
        <v>734.2198963181695</v>
      </c>
      <c r="AG220" s="97">
        <f t="shared" si="58"/>
        <v>734.2198963181695</v>
      </c>
      <c r="AH220" s="97">
        <f t="shared" si="58"/>
        <v>734.2198963181695</v>
      </c>
    </row>
    <row r="221" spans="2:34" x14ac:dyDescent="0.25">
      <c r="B221">
        <v>764</v>
      </c>
      <c r="C221" s="28">
        <v>8</v>
      </c>
      <c r="D221" s="35" t="s">
        <v>243</v>
      </c>
      <c r="E221" s="154">
        <f>INDEX('2019 Data Lockdown'!H$5:H$257,MATCH(B221,'2019 Data Lockdown'!B$5:B$257,0))</f>
        <v>15.2</v>
      </c>
      <c r="F221" s="5">
        <f>INDEX('2019 Data Lockdown'!E$5:E$257,MATCH(B221,'2019 Data Lockdown'!B$5:B$257,0))</f>
        <v>11682.68</v>
      </c>
      <c r="G221" s="5">
        <f>INDEX('2019 Data Lockdown'!F$5:F$257,MATCH(B221,'2019 Data Lockdown'!B$5:B$257,0))</f>
        <v>0</v>
      </c>
      <c r="H221" s="5">
        <f t="shared" si="59"/>
        <v>11682.68</v>
      </c>
      <c r="I221" s="95">
        <f t="shared" si="60"/>
        <v>768.59736842105269</v>
      </c>
      <c r="J221" s="6">
        <f t="shared" si="61"/>
        <v>768.59736842105269</v>
      </c>
      <c r="K221" s="5">
        <f t="shared" si="62"/>
        <v>11682.68</v>
      </c>
      <c r="L221" s="135">
        <f>INDEX('2019 Best Practice Scores'!L$4:L$256,MATCH(B221,'2019 Best Practice Scores'!A$4:A$256,0))</f>
        <v>0.1388888888888889</v>
      </c>
      <c r="M221" s="97">
        <f t="shared" si="63"/>
        <v>2702.2326387392964</v>
      </c>
      <c r="N221" s="97">
        <f t="shared" si="64"/>
        <v>1087.9137113706927</v>
      </c>
      <c r="O221" s="97">
        <f t="shared" si="65"/>
        <v>112.59302661413734</v>
      </c>
      <c r="P221" s="97">
        <f t="shared" si="66"/>
        <v>141.96440274495453</v>
      </c>
      <c r="Q221" s="97">
        <f t="shared" si="67"/>
        <v>4044.7037794690805</v>
      </c>
      <c r="R221" s="104">
        <f t="shared" si="68"/>
        <v>0.34621369236074945</v>
      </c>
      <c r="S221" s="166">
        <f t="shared" si="69"/>
        <v>4044.8667920987746</v>
      </c>
      <c r="T221" s="97"/>
      <c r="U221" s="97">
        <f>IFERROR(INDEX('Revised 2020 MFAM(2018 PYAs)'!AD$26:AD$300,MATCH(B221,'Revised 2020 MFAM(2018 PYAs)'!B$26:B$300,0)),0)</f>
        <v>-1.7574454981204326</v>
      </c>
      <c r="V221" s="97">
        <f>IFERROR(INDEX('Revised 2019 MFAM(2017 PYAs)'!AF$26:AF$300,MATCH(B221,'Revised 2019 MFAM(2017 PYAs)'!B$26:B$300,0)),0)</f>
        <v>1.1157224549115199</v>
      </c>
      <c r="W221" s="97">
        <f t="shared" si="70"/>
        <v>-2.6939018612388197E-3</v>
      </c>
      <c r="X221" s="97">
        <f t="shared" si="71"/>
        <v>-0.64441694507015157</v>
      </c>
      <c r="Y221" s="97"/>
      <c r="Z221" s="98">
        <f t="shared" si="72"/>
        <v>4044.2223751537044</v>
      </c>
      <c r="AA221" s="99">
        <v>0</v>
      </c>
      <c r="AB221" s="100">
        <f t="shared" si="73"/>
        <v>0</v>
      </c>
      <c r="AC221" s="97">
        <f t="shared" si="74"/>
        <v>4044.2223751537044</v>
      </c>
      <c r="AD221" s="103"/>
      <c r="AE221" s="97">
        <f t="shared" si="58"/>
        <v>1011.0555937884261</v>
      </c>
      <c r="AF221" s="97">
        <f t="shared" si="58"/>
        <v>1011.0555937884261</v>
      </c>
      <c r="AG221" s="97">
        <f t="shared" si="58"/>
        <v>1011.0555937884261</v>
      </c>
      <c r="AH221" s="97">
        <f t="shared" si="58"/>
        <v>1011.0555937884261</v>
      </c>
    </row>
    <row r="222" spans="2:34" x14ac:dyDescent="0.25">
      <c r="B222">
        <v>775</v>
      </c>
      <c r="C222" s="28">
        <v>8</v>
      </c>
      <c r="D222" s="35" t="s">
        <v>244</v>
      </c>
      <c r="E222" s="154">
        <f>INDEX('2019 Data Lockdown'!H$5:H$257,MATCH(B222,'2019 Data Lockdown'!B$5:B$257,0))</f>
        <v>138.16439494800289</v>
      </c>
      <c r="F222" s="5">
        <f>INDEX('2019 Data Lockdown'!E$5:E$257,MATCH(B222,'2019 Data Lockdown'!B$5:B$257,0))</f>
        <v>103016.36</v>
      </c>
      <c r="G222" s="5">
        <f>INDEX('2019 Data Lockdown'!F$5:F$257,MATCH(B222,'2019 Data Lockdown'!B$5:B$257,0))</f>
        <v>0</v>
      </c>
      <c r="H222" s="5">
        <f t="shared" si="59"/>
        <v>103016.36</v>
      </c>
      <c r="I222" s="95">
        <f t="shared" si="60"/>
        <v>745.6071445814199</v>
      </c>
      <c r="J222" s="6">
        <f t="shared" si="61"/>
        <v>745.6071445814199</v>
      </c>
      <c r="K222" s="5">
        <f t="shared" si="62"/>
        <v>103016.36</v>
      </c>
      <c r="L222" s="135">
        <f>INDEX('2019 Best Practice Scores'!L$4:L$256,MATCH(B222,'2019 Best Practice Scores'!A$4:A$256,0))</f>
        <v>0.7592592592592593</v>
      </c>
      <c r="M222" s="97">
        <f t="shared" si="63"/>
        <v>23827.937623569022</v>
      </c>
      <c r="N222" s="97">
        <f t="shared" si="64"/>
        <v>9888.8776109978953</v>
      </c>
      <c r="O222" s="97">
        <f t="shared" si="65"/>
        <v>5427.4746809240542</v>
      </c>
      <c r="P222" s="97">
        <f t="shared" si="66"/>
        <v>1251.8237271207654</v>
      </c>
      <c r="Q222" s="97">
        <f t="shared" si="67"/>
        <v>40396.11364261173</v>
      </c>
      <c r="R222" s="104">
        <f t="shared" si="68"/>
        <v>0.39213299365859683</v>
      </c>
      <c r="S222" s="166">
        <f t="shared" si="69"/>
        <v>40397.741716526005</v>
      </c>
      <c r="T222" s="97"/>
      <c r="U222" s="97">
        <f>IFERROR(INDEX('Revised 2020 MFAM(2018 PYAs)'!AD$26:AD$300,MATCH(B222,'Revised 2020 MFAM(2018 PYAs)'!B$26:B$300,0)),0)</f>
        <v>-10.195880714240047</v>
      </c>
      <c r="V222" s="97">
        <f>IFERROR(INDEX('Revised 2019 MFAM(2017 PYAs)'!AF$26:AF$300,MATCH(B222,'Revised 2019 MFAM(2017 PYAs)'!B$26:B$300,0)),0)</f>
        <v>3.6221294654169469</v>
      </c>
      <c r="W222" s="97">
        <f t="shared" si="70"/>
        <v>-2.690510150113665E-2</v>
      </c>
      <c r="X222" s="97">
        <f t="shared" si="71"/>
        <v>-6.600656350324237</v>
      </c>
      <c r="Y222" s="97"/>
      <c r="Z222" s="98">
        <f t="shared" si="72"/>
        <v>40391.14106017568</v>
      </c>
      <c r="AA222" s="99">
        <v>0</v>
      </c>
      <c r="AB222" s="100">
        <f t="shared" si="73"/>
        <v>0</v>
      </c>
      <c r="AC222" s="97">
        <f t="shared" si="74"/>
        <v>40391.14106017568</v>
      </c>
      <c r="AD222" s="103"/>
      <c r="AE222" s="97">
        <f t="shared" si="58"/>
        <v>10097.78526504392</v>
      </c>
      <c r="AF222" s="97">
        <f t="shared" si="58"/>
        <v>10097.78526504392</v>
      </c>
      <c r="AG222" s="97">
        <f t="shared" si="58"/>
        <v>10097.78526504392</v>
      </c>
      <c r="AH222" s="97">
        <f t="shared" si="58"/>
        <v>10097.78526504392</v>
      </c>
    </row>
    <row r="223" spans="2:34" x14ac:dyDescent="0.25">
      <c r="B223">
        <v>790</v>
      </c>
      <c r="C223" s="28">
        <v>8</v>
      </c>
      <c r="D223" s="35" t="s">
        <v>245</v>
      </c>
      <c r="E223" s="154">
        <f>INDEX('2019 Data Lockdown'!H$5:H$257,MATCH(B223,'2019 Data Lockdown'!B$5:B$257,0))</f>
        <v>9.7918986885088461</v>
      </c>
      <c r="F223" s="5">
        <f>INDEX('2019 Data Lockdown'!E$5:E$257,MATCH(B223,'2019 Data Lockdown'!B$5:B$257,0))</f>
        <v>8112.34</v>
      </c>
      <c r="G223" s="5">
        <f>INDEX('2019 Data Lockdown'!F$5:F$257,MATCH(B223,'2019 Data Lockdown'!B$5:B$257,0))</f>
        <v>0</v>
      </c>
      <c r="H223" s="5">
        <f t="shared" si="59"/>
        <v>8112.34</v>
      </c>
      <c r="I223" s="95">
        <f t="shared" si="60"/>
        <v>828.47466646281077</v>
      </c>
      <c r="J223" s="6">
        <f t="shared" si="61"/>
        <v>828.47466646281077</v>
      </c>
      <c r="K223" s="5">
        <f t="shared" si="62"/>
        <v>8112.34</v>
      </c>
      <c r="L223" s="135">
        <f>INDEX('2019 Best Practice Scores'!L$4:L$256,MATCH(B223,'2019 Best Practice Scores'!A$4:A$256,0))</f>
        <v>0.24999999999999997</v>
      </c>
      <c r="M223" s="97">
        <f t="shared" si="63"/>
        <v>1876.4042090128587</v>
      </c>
      <c r="N223" s="97">
        <f t="shared" si="64"/>
        <v>700.83821339351812</v>
      </c>
      <c r="O223" s="97">
        <f t="shared" si="65"/>
        <v>140.73031567596436</v>
      </c>
      <c r="P223" s="97">
        <f t="shared" si="66"/>
        <v>98.578708221401627</v>
      </c>
      <c r="Q223" s="97">
        <f t="shared" si="67"/>
        <v>2816.551446303743</v>
      </c>
      <c r="R223" s="104">
        <f t="shared" si="68"/>
        <v>0.34719346653416189</v>
      </c>
      <c r="S223" s="166">
        <f t="shared" si="69"/>
        <v>2816.6649610338604</v>
      </c>
      <c r="T223" s="97"/>
      <c r="U223" s="97">
        <f>IFERROR(INDEX('Revised 2020 MFAM(2018 PYAs)'!AD$26:AD$300,MATCH(B223,'Revised 2020 MFAM(2018 PYAs)'!B$26:B$300,0)),0)</f>
        <v>-1.0643074220406561</v>
      </c>
      <c r="V223" s="97">
        <f>IFERROR(INDEX('Revised 2019 MFAM(2017 PYAs)'!AF$26:AF$300,MATCH(B223,'Revised 2019 MFAM(2017 PYAs)'!B$26:B$300,0)),0)</f>
        <v>0.56444275234207453</v>
      </c>
      <c r="W223" s="97">
        <f t="shared" si="70"/>
        <v>-1.8759131934424384E-3</v>
      </c>
      <c r="X223" s="97">
        <f t="shared" si="71"/>
        <v>-0.50174058289202406</v>
      </c>
      <c r="Y223" s="97"/>
      <c r="Z223" s="98">
        <f t="shared" si="72"/>
        <v>2816.1632204509683</v>
      </c>
      <c r="AA223" s="99">
        <v>0</v>
      </c>
      <c r="AB223" s="100">
        <f t="shared" si="73"/>
        <v>0</v>
      </c>
      <c r="AC223" s="97">
        <f t="shared" si="74"/>
        <v>2816.1632204509683</v>
      </c>
      <c r="AD223" s="103"/>
      <c r="AE223" s="97">
        <f t="shared" si="58"/>
        <v>704.04080511274208</v>
      </c>
      <c r="AF223" s="97">
        <f t="shared" si="58"/>
        <v>704.04080511274208</v>
      </c>
      <c r="AG223" s="97">
        <f t="shared" si="58"/>
        <v>704.04080511274208</v>
      </c>
      <c r="AH223" s="97">
        <f t="shared" si="58"/>
        <v>704.04080511274208</v>
      </c>
    </row>
    <row r="224" spans="2:34" x14ac:dyDescent="0.25">
      <c r="B224">
        <v>795</v>
      </c>
      <c r="C224" s="28">
        <v>8</v>
      </c>
      <c r="D224" s="35" t="s">
        <v>317</v>
      </c>
      <c r="E224" s="154">
        <f>INDEX('2019 Data Lockdown'!H$5:H$257,MATCH(B224,'2019 Data Lockdown'!B$5:B$257,0))</f>
        <v>254.79365731271687</v>
      </c>
      <c r="F224" s="5">
        <f>INDEX('2019 Data Lockdown'!E$5:E$257,MATCH(B224,'2019 Data Lockdown'!B$5:B$257,0))</f>
        <v>272650.90000000002</v>
      </c>
      <c r="G224" s="5">
        <f>INDEX('2019 Data Lockdown'!F$5:F$257,MATCH(B224,'2019 Data Lockdown'!B$5:B$257,0))</f>
        <v>18454.21</v>
      </c>
      <c r="H224" s="5">
        <f t="shared" si="59"/>
        <v>254196.69000000003</v>
      </c>
      <c r="I224" s="95">
        <f t="shared" si="60"/>
        <v>997.65705583485476</v>
      </c>
      <c r="J224" s="6">
        <f t="shared" si="61"/>
        <v>997.65705583485476</v>
      </c>
      <c r="K224" s="5">
        <f t="shared" si="62"/>
        <v>254196.69000000003</v>
      </c>
      <c r="L224" s="135">
        <f>INDEX('2019 Best Practice Scores'!L$4:L$256,MATCH(B224,'2019 Best Practice Scores'!A$4:A$256,0))</f>
        <v>0.6064814814814814</v>
      </c>
      <c r="M224" s="97">
        <f t="shared" si="63"/>
        <v>58796.320054772965</v>
      </c>
      <c r="N224" s="97">
        <f t="shared" si="64"/>
        <v>18236.415352683569</v>
      </c>
      <c r="O224" s="97">
        <f t="shared" si="65"/>
        <v>10697.663787743413</v>
      </c>
      <c r="P224" s="97">
        <f t="shared" si="66"/>
        <v>3088.9214868158983</v>
      </c>
      <c r="Q224" s="97">
        <f t="shared" si="67"/>
        <v>90819.320682015852</v>
      </c>
      <c r="R224" s="104">
        <f t="shared" si="68"/>
        <v>0.35727971391765895</v>
      </c>
      <c r="S224" s="166">
        <f t="shared" si="69"/>
        <v>90822.980949145072</v>
      </c>
      <c r="T224" s="97"/>
      <c r="U224" s="97">
        <f>IFERROR(INDEX('Revised 2020 MFAM(2018 PYAs)'!AD$26:AD$300,MATCH(B224,'Revised 2020 MFAM(2018 PYAs)'!B$26:B$300,0)),0)</f>
        <v>-34.993209779669996</v>
      </c>
      <c r="V224" s="97">
        <f>IFERROR(INDEX('Revised 2019 MFAM(2017 PYAs)'!AF$26:AF$300,MATCH(B224,'Revised 2019 MFAM(2017 PYAs)'!B$26:B$300,0)),0)</f>
        <v>2.8107142406333878</v>
      </c>
      <c r="W224" s="97">
        <f t="shared" si="70"/>
        <v>-6.0488567361499657E-2</v>
      </c>
      <c r="X224" s="97">
        <f t="shared" si="71"/>
        <v>-32.242984106398112</v>
      </c>
      <c r="Y224" s="97"/>
      <c r="Z224" s="98">
        <f t="shared" si="72"/>
        <v>90790.737965038672</v>
      </c>
      <c r="AA224" s="99">
        <v>0</v>
      </c>
      <c r="AB224" s="100">
        <f t="shared" si="73"/>
        <v>0</v>
      </c>
      <c r="AC224" s="97">
        <f t="shared" si="74"/>
        <v>90790.737965038672</v>
      </c>
      <c r="AD224" s="103"/>
      <c r="AE224" s="97">
        <f t="shared" si="58"/>
        <v>22697.684491259668</v>
      </c>
      <c r="AF224" s="97">
        <f t="shared" si="58"/>
        <v>22697.684491259668</v>
      </c>
      <c r="AG224" s="97">
        <f t="shared" si="58"/>
        <v>22697.684491259668</v>
      </c>
      <c r="AH224" s="97">
        <f t="shared" si="58"/>
        <v>22697.684491259668</v>
      </c>
    </row>
    <row r="225" spans="2:34" x14ac:dyDescent="0.25">
      <c r="B225">
        <v>796</v>
      </c>
      <c r="C225" s="28">
        <v>8</v>
      </c>
      <c r="D225" s="35" t="s">
        <v>246</v>
      </c>
      <c r="E225" s="154">
        <f>INDEX('2019 Data Lockdown'!H$5:H$257,MATCH(B225,'2019 Data Lockdown'!B$5:B$257,0))</f>
        <v>32</v>
      </c>
      <c r="F225" s="5">
        <f>INDEX('2019 Data Lockdown'!E$5:E$257,MATCH(B225,'2019 Data Lockdown'!B$5:B$257,0))</f>
        <v>22596.76</v>
      </c>
      <c r="G225" s="5">
        <f>INDEX('2019 Data Lockdown'!F$5:F$257,MATCH(B225,'2019 Data Lockdown'!B$5:B$257,0))</f>
        <v>0</v>
      </c>
      <c r="H225" s="5">
        <f t="shared" si="59"/>
        <v>22596.76</v>
      </c>
      <c r="I225" s="95">
        <f t="shared" si="60"/>
        <v>706.14874999999995</v>
      </c>
      <c r="J225" s="6">
        <f t="shared" si="61"/>
        <v>706.14874999999995</v>
      </c>
      <c r="K225" s="5">
        <f t="shared" si="62"/>
        <v>22596.76</v>
      </c>
      <c r="L225" s="135">
        <f>INDEX('2019 Best Practice Scores'!L$4:L$256,MATCH(B225,'2019 Best Practice Scores'!A$4:A$256,0))</f>
        <v>0.45833333333333337</v>
      </c>
      <c r="M225" s="97">
        <f t="shared" si="63"/>
        <v>5226.6862057129511</v>
      </c>
      <c r="N225" s="97">
        <f t="shared" si="64"/>
        <v>2290.3446555172477</v>
      </c>
      <c r="O225" s="97">
        <f t="shared" si="65"/>
        <v>718.66935328553075</v>
      </c>
      <c r="P225" s="97">
        <f t="shared" si="66"/>
        <v>274.58901017327173</v>
      </c>
      <c r="Q225" s="97">
        <f t="shared" si="67"/>
        <v>8510.2892246890005</v>
      </c>
      <c r="R225" s="104">
        <f t="shared" si="68"/>
        <v>0.37661546277824792</v>
      </c>
      <c r="S225" s="166">
        <f t="shared" si="69"/>
        <v>8510.6322126311625</v>
      </c>
      <c r="T225" s="97"/>
      <c r="U225" s="97">
        <f>IFERROR(INDEX('Revised 2020 MFAM(2018 PYAs)'!AD$26:AD$300,MATCH(B225,'Revised 2020 MFAM(2018 PYAs)'!B$26:B$300,0)),0)</f>
        <v>-3.0961008155545642</v>
      </c>
      <c r="V225" s="97">
        <f>IFERROR(INDEX('Revised 2019 MFAM(2017 PYAs)'!AF$26:AF$300,MATCH(B225,'Revised 2019 MFAM(2017 PYAs)'!B$26:B$300,0)),0)</f>
        <v>0.80002798146779242</v>
      </c>
      <c r="W225" s="97">
        <f t="shared" si="70"/>
        <v>-5.668124350278054E-3</v>
      </c>
      <c r="X225" s="97">
        <f t="shared" si="71"/>
        <v>-2.3017409584370498</v>
      </c>
      <c r="Y225" s="97"/>
      <c r="Z225" s="98">
        <f t="shared" si="72"/>
        <v>8508.3304716727253</v>
      </c>
      <c r="AA225" s="99">
        <v>0</v>
      </c>
      <c r="AB225" s="100">
        <f t="shared" si="73"/>
        <v>0</v>
      </c>
      <c r="AC225" s="97">
        <f t="shared" si="74"/>
        <v>8508.3304716727253</v>
      </c>
      <c r="AD225" s="103"/>
      <c r="AE225" s="97">
        <f t="shared" si="58"/>
        <v>2127.0826179181813</v>
      </c>
      <c r="AF225" s="97">
        <f t="shared" si="58"/>
        <v>2127.0826179181813</v>
      </c>
      <c r="AG225" s="97">
        <f t="shared" si="58"/>
        <v>2127.0826179181813</v>
      </c>
      <c r="AH225" s="97">
        <f t="shared" si="58"/>
        <v>2127.0826179181813</v>
      </c>
    </row>
    <row r="226" spans="2:34" x14ac:dyDescent="0.25">
      <c r="B226">
        <v>797</v>
      </c>
      <c r="C226" s="28">
        <v>8</v>
      </c>
      <c r="D226" s="35" t="s">
        <v>247</v>
      </c>
      <c r="E226" s="154">
        <f>INDEX('2019 Data Lockdown'!H$5:H$257,MATCH(B226,'2019 Data Lockdown'!B$5:B$257,0))</f>
        <v>24.367612903417886</v>
      </c>
      <c r="F226" s="5">
        <f>INDEX('2019 Data Lockdown'!E$5:E$257,MATCH(B226,'2019 Data Lockdown'!B$5:B$257,0))</f>
        <v>39985.18</v>
      </c>
      <c r="G226" s="5">
        <f>INDEX('2019 Data Lockdown'!F$5:F$257,MATCH(B226,'2019 Data Lockdown'!B$5:B$257,0))</f>
        <v>1159</v>
      </c>
      <c r="H226" s="5">
        <f t="shared" si="59"/>
        <v>38826.18</v>
      </c>
      <c r="I226" s="95">
        <f t="shared" si="60"/>
        <v>1593.3518048685887</v>
      </c>
      <c r="J226" s="6">
        <f t="shared" si="61"/>
        <v>1593.3518048685887</v>
      </c>
      <c r="K226" s="5">
        <f t="shared" si="62"/>
        <v>38826.18</v>
      </c>
      <c r="L226" s="135">
        <f>INDEX('2019 Best Practice Scores'!L$4:L$256,MATCH(B226,'2019 Best Practice Scores'!A$4:A$256,0))</f>
        <v>0.1388888888888889</v>
      </c>
      <c r="M226" s="97">
        <f t="shared" si="63"/>
        <v>8980.5909974052956</v>
      </c>
      <c r="N226" s="97">
        <f t="shared" si="64"/>
        <v>1744.0697494080086</v>
      </c>
      <c r="O226" s="97">
        <f t="shared" si="65"/>
        <v>374.19129155855398</v>
      </c>
      <c r="P226" s="97">
        <f t="shared" si="66"/>
        <v>471.80402566603709</v>
      </c>
      <c r="Q226" s="97">
        <f t="shared" si="67"/>
        <v>11570.656064037896</v>
      </c>
      <c r="R226" s="104">
        <f t="shared" si="68"/>
        <v>0.29801170406251387</v>
      </c>
      <c r="S226" s="166">
        <f t="shared" si="69"/>
        <v>11571.122393137659</v>
      </c>
      <c r="T226" s="97"/>
      <c r="U226" s="97">
        <f>IFERROR(INDEX('Revised 2020 MFAM(2018 PYAs)'!AD$26:AD$300,MATCH(B226,'Revised 2020 MFAM(2018 PYAs)'!B$26:B$300,0)),0)</f>
        <v>-6.0252369857716985</v>
      </c>
      <c r="V226" s="97">
        <f>IFERROR(INDEX('Revised 2019 MFAM(2017 PYAs)'!AF$26:AF$300,MATCH(B226,'Revised 2019 MFAM(2017 PYAs)'!B$26:B$300,0)),0)</f>
        <v>1.2067675729576877</v>
      </c>
      <c r="W226" s="97">
        <f t="shared" si="70"/>
        <v>-7.7064263803163901E-3</v>
      </c>
      <c r="X226" s="97">
        <f t="shared" si="71"/>
        <v>-4.8261758391943275</v>
      </c>
      <c r="Y226" s="97"/>
      <c r="Z226" s="98">
        <f t="shared" si="72"/>
        <v>11566.296217298464</v>
      </c>
      <c r="AA226" s="99">
        <v>0</v>
      </c>
      <c r="AB226" s="100">
        <f t="shared" si="73"/>
        <v>0</v>
      </c>
      <c r="AC226" s="97">
        <f t="shared" si="74"/>
        <v>11566.296217298464</v>
      </c>
      <c r="AD226" s="103"/>
      <c r="AE226" s="97">
        <f t="shared" ref="AE226:AH245" si="75">$AC226/4</f>
        <v>2891.5740543246161</v>
      </c>
      <c r="AF226" s="97">
        <f t="shared" si="75"/>
        <v>2891.5740543246161</v>
      </c>
      <c r="AG226" s="97">
        <f t="shared" si="75"/>
        <v>2891.5740543246161</v>
      </c>
      <c r="AH226" s="97">
        <f t="shared" si="75"/>
        <v>2891.5740543246161</v>
      </c>
    </row>
    <row r="227" spans="2:34" x14ac:dyDescent="0.25">
      <c r="B227">
        <v>801</v>
      </c>
      <c r="C227" s="28">
        <v>8</v>
      </c>
      <c r="D227" s="35" t="s">
        <v>248</v>
      </c>
      <c r="E227" s="154">
        <f>INDEX('2019 Data Lockdown'!H$5:H$257,MATCH(B227,'2019 Data Lockdown'!B$5:B$257,0))</f>
        <v>135.0746846492795</v>
      </c>
      <c r="F227" s="5">
        <f>INDEX('2019 Data Lockdown'!E$5:E$257,MATCH(B227,'2019 Data Lockdown'!B$5:B$257,0))</f>
        <v>96738.85</v>
      </c>
      <c r="G227" s="5">
        <f>INDEX('2019 Data Lockdown'!F$5:F$257,MATCH(B227,'2019 Data Lockdown'!B$5:B$257,0))</f>
        <v>0</v>
      </c>
      <c r="H227" s="5">
        <f t="shared" si="59"/>
        <v>96738.85</v>
      </c>
      <c r="I227" s="95">
        <f t="shared" si="60"/>
        <v>716.18786489253534</v>
      </c>
      <c r="J227" s="6">
        <f t="shared" si="61"/>
        <v>716.18786489253534</v>
      </c>
      <c r="K227" s="5">
        <f t="shared" si="62"/>
        <v>96738.85</v>
      </c>
      <c r="L227" s="135">
        <f>INDEX('2019 Best Practice Scores'!L$4:L$256,MATCH(B227,'2019 Best Practice Scores'!A$4:A$256,0))</f>
        <v>0.61342592592592593</v>
      </c>
      <c r="M227" s="97">
        <f t="shared" si="63"/>
        <v>22375.934109648217</v>
      </c>
      <c r="N227" s="97">
        <f t="shared" si="64"/>
        <v>9667.7369400673415</v>
      </c>
      <c r="O227" s="97">
        <f t="shared" si="65"/>
        <v>4117.7934299005392</v>
      </c>
      <c r="P227" s="97">
        <f t="shared" si="66"/>
        <v>1175.5413194989289</v>
      </c>
      <c r="Q227" s="97">
        <f t="shared" si="67"/>
        <v>37337.005799115032</v>
      </c>
      <c r="R227" s="104">
        <f t="shared" si="68"/>
        <v>0.38595668440461128</v>
      </c>
      <c r="S227" s="166">
        <f t="shared" si="69"/>
        <v>37338.510582612682</v>
      </c>
      <c r="T227" s="97"/>
      <c r="U227" s="97">
        <f>IFERROR(INDEX('Revised 2020 MFAM(2018 PYAs)'!AD$26:AD$300,MATCH(B227,'Revised 2020 MFAM(2018 PYAs)'!B$26:B$300,0)),0)</f>
        <v>-17.50406791416026</v>
      </c>
      <c r="V227" s="97">
        <f>IFERROR(INDEX('Revised 2019 MFAM(2017 PYAs)'!AF$26:AF$300,MATCH(B227,'Revised 2019 MFAM(2017 PYAs)'!B$26:B$300,0)),0)</f>
        <v>4.8222450264438521</v>
      </c>
      <c r="W227" s="97">
        <f t="shared" si="70"/>
        <v>-2.4867638002534588E-2</v>
      </c>
      <c r="X227" s="97">
        <f t="shared" si="71"/>
        <v>-12.706690525718942</v>
      </c>
      <c r="Y227" s="97"/>
      <c r="Z227" s="98">
        <f t="shared" si="72"/>
        <v>37325.803892086966</v>
      </c>
      <c r="AA227" s="99">
        <v>0</v>
      </c>
      <c r="AB227" s="100">
        <f t="shared" si="73"/>
        <v>0</v>
      </c>
      <c r="AC227" s="97">
        <f t="shared" si="74"/>
        <v>37325.803892086966</v>
      </c>
      <c r="AD227" s="103"/>
      <c r="AE227" s="97">
        <f t="shared" si="75"/>
        <v>9331.4509730217414</v>
      </c>
      <c r="AF227" s="97">
        <f t="shared" si="75"/>
        <v>9331.4509730217414</v>
      </c>
      <c r="AG227" s="97">
        <f t="shared" si="75"/>
        <v>9331.4509730217414</v>
      </c>
      <c r="AH227" s="97">
        <f t="shared" si="75"/>
        <v>9331.4509730217414</v>
      </c>
    </row>
    <row r="228" spans="2:34" x14ac:dyDescent="0.25">
      <c r="B228">
        <v>810</v>
      </c>
      <c r="C228" s="28">
        <v>8</v>
      </c>
      <c r="D228" s="35" t="s">
        <v>249</v>
      </c>
      <c r="E228" s="154">
        <f>INDEX('2019 Data Lockdown'!H$5:H$257,MATCH(B228,'2019 Data Lockdown'!B$5:B$257,0))</f>
        <v>124.98999999999998</v>
      </c>
      <c r="F228" s="5">
        <f>INDEX('2019 Data Lockdown'!E$5:E$257,MATCH(B228,'2019 Data Lockdown'!B$5:B$257,0))</f>
        <v>140596.89000000001</v>
      </c>
      <c r="G228" s="5">
        <f>INDEX('2019 Data Lockdown'!F$5:F$257,MATCH(B228,'2019 Data Lockdown'!B$5:B$257,0))</f>
        <v>0</v>
      </c>
      <c r="H228" s="5">
        <f t="shared" si="59"/>
        <v>140596.89000000001</v>
      </c>
      <c r="I228" s="95">
        <f t="shared" si="60"/>
        <v>1124.8651092087371</v>
      </c>
      <c r="J228" s="6">
        <f t="shared" si="61"/>
        <v>1124.8651092087371</v>
      </c>
      <c r="K228" s="5">
        <f t="shared" si="62"/>
        <v>140596.89000000001</v>
      </c>
      <c r="L228" s="135">
        <f>INDEX('2019 Best Practice Scores'!L$4:L$256,MATCH(B228,'2019 Best Practice Scores'!A$4:A$256,0))</f>
        <v>0.6689814814814814</v>
      </c>
      <c r="M228" s="97">
        <f t="shared" si="63"/>
        <v>32520.40671003902</v>
      </c>
      <c r="N228" s="97">
        <f t="shared" si="64"/>
        <v>8945.9430779093982</v>
      </c>
      <c r="O228" s="97">
        <f t="shared" si="65"/>
        <v>6526.6649577786629</v>
      </c>
      <c r="P228" s="97">
        <f t="shared" si="66"/>
        <v>1708.4909897941288</v>
      </c>
      <c r="Q228" s="97">
        <f t="shared" si="67"/>
        <v>49701.505735521205</v>
      </c>
      <c r="R228" s="104">
        <f t="shared" si="68"/>
        <v>0.35350359268630477</v>
      </c>
      <c r="S228" s="166">
        <f t="shared" si="69"/>
        <v>49703.50884219884</v>
      </c>
      <c r="T228" s="97"/>
      <c r="U228" s="97">
        <f>IFERROR(INDEX('Revised 2020 MFAM(2018 PYAs)'!AD$26:AD$300,MATCH(B228,'Revised 2020 MFAM(2018 PYAs)'!B$26:B$300,0)),0)</f>
        <v>-23.636405764205847</v>
      </c>
      <c r="V228" s="97">
        <f>IFERROR(INDEX('Revised 2019 MFAM(2017 PYAs)'!AF$26:AF$300,MATCH(B228,'Revised 2019 MFAM(2017 PYAs)'!B$26:B$300,0)),0)</f>
        <v>5.1345211661391659</v>
      </c>
      <c r="W228" s="97">
        <f t="shared" si="70"/>
        <v>-3.3102789748639484E-2</v>
      </c>
      <c r="X228" s="97">
        <f t="shared" si="71"/>
        <v>-18.53498738781532</v>
      </c>
      <c r="Y228" s="97"/>
      <c r="Z228" s="98">
        <f t="shared" si="72"/>
        <v>49684.973854811025</v>
      </c>
      <c r="AA228" s="99">
        <v>0</v>
      </c>
      <c r="AB228" s="100">
        <f t="shared" si="73"/>
        <v>0</v>
      </c>
      <c r="AC228" s="97">
        <f t="shared" si="74"/>
        <v>49684.973854811025</v>
      </c>
      <c r="AD228" s="103"/>
      <c r="AE228" s="97">
        <f t="shared" si="75"/>
        <v>12421.243463702756</v>
      </c>
      <c r="AF228" s="97">
        <f t="shared" si="75"/>
        <v>12421.243463702756</v>
      </c>
      <c r="AG228" s="97">
        <f t="shared" si="75"/>
        <v>12421.243463702756</v>
      </c>
      <c r="AH228" s="97">
        <f t="shared" si="75"/>
        <v>12421.243463702756</v>
      </c>
    </row>
    <row r="229" spans="2:34" x14ac:dyDescent="0.25">
      <c r="B229">
        <v>812</v>
      </c>
      <c r="C229" s="28">
        <v>8</v>
      </c>
      <c r="D229" s="35" t="s">
        <v>250</v>
      </c>
      <c r="E229" s="154">
        <f>INDEX('2019 Data Lockdown'!H$5:H$257,MATCH(B229,'2019 Data Lockdown'!B$5:B$257,0))</f>
        <v>42.133342486310362</v>
      </c>
      <c r="F229" s="5">
        <f>INDEX('2019 Data Lockdown'!E$5:E$257,MATCH(B229,'2019 Data Lockdown'!B$5:B$257,0))</f>
        <v>81577.919999999998</v>
      </c>
      <c r="G229" s="5">
        <f>INDEX('2019 Data Lockdown'!F$5:F$257,MATCH(B229,'2019 Data Lockdown'!B$5:B$257,0))</f>
        <v>273</v>
      </c>
      <c r="H229" s="5">
        <f t="shared" si="59"/>
        <v>81304.92</v>
      </c>
      <c r="I229" s="95">
        <f t="shared" si="60"/>
        <v>1929.7049605408581</v>
      </c>
      <c r="J229" s="6">
        <f t="shared" si="61"/>
        <v>1830.7313099347227</v>
      </c>
      <c r="K229" s="5">
        <f t="shared" si="62"/>
        <v>77134.829281891274</v>
      </c>
      <c r="L229" s="135">
        <f>INDEX('2019 Best Practice Scores'!L$4:L$256,MATCH(B229,'2019 Best Practice Scores'!A$4:A$256,0))</f>
        <v>0.52314814814814814</v>
      </c>
      <c r="M229" s="97">
        <f t="shared" si="63"/>
        <v>17841.475865906643</v>
      </c>
      <c r="N229" s="97">
        <f t="shared" si="64"/>
        <v>3015.6211182062098</v>
      </c>
      <c r="O229" s="97">
        <f t="shared" si="65"/>
        <v>2800.1205178436812</v>
      </c>
      <c r="P229" s="97">
        <f t="shared" si="66"/>
        <v>937.31917418244143</v>
      </c>
      <c r="Q229" s="97">
        <f t="shared" si="67"/>
        <v>24594.536676138974</v>
      </c>
      <c r="R229" s="104">
        <f t="shared" si="68"/>
        <v>0.31885124923603042</v>
      </c>
      <c r="S229" s="166">
        <f t="shared" si="69"/>
        <v>24595.527903264196</v>
      </c>
      <c r="T229" s="97"/>
      <c r="U229" s="97">
        <f>IFERROR(INDEX('Revised 2020 MFAM(2018 PYAs)'!AD$26:AD$300,MATCH(B229,'Revised 2020 MFAM(2018 PYAs)'!B$26:B$300,0)),0)</f>
        <v>-13.460260318399378</v>
      </c>
      <c r="V229" s="97">
        <f>IFERROR(INDEX('Revised 2019 MFAM(2017 PYAs)'!AF$26:AF$300,MATCH(B229,'Revised 2019 MFAM(2017 PYAs)'!B$26:B$300,0)),0)</f>
        <v>3.295150787140301</v>
      </c>
      <c r="W229" s="97">
        <f t="shared" si="70"/>
        <v>-1.6380746709924471E-2</v>
      </c>
      <c r="X229" s="97">
        <f t="shared" si="71"/>
        <v>-10.181490277969001</v>
      </c>
      <c r="Y229" s="97"/>
      <c r="Z229" s="98">
        <f t="shared" si="72"/>
        <v>24585.346412986226</v>
      </c>
      <c r="AA229" s="99">
        <v>0</v>
      </c>
      <c r="AB229" s="100">
        <f t="shared" si="73"/>
        <v>0</v>
      </c>
      <c r="AC229" s="97">
        <f t="shared" si="74"/>
        <v>24585.346412986226</v>
      </c>
      <c r="AD229" s="103"/>
      <c r="AE229" s="97">
        <f t="shared" si="75"/>
        <v>6146.3366032465565</v>
      </c>
      <c r="AF229" s="97">
        <f t="shared" si="75"/>
        <v>6146.3366032465565</v>
      </c>
      <c r="AG229" s="97">
        <f t="shared" si="75"/>
        <v>6146.3366032465565</v>
      </c>
      <c r="AH229" s="97">
        <f t="shared" si="75"/>
        <v>6146.3366032465565</v>
      </c>
    </row>
    <row r="230" spans="2:34" x14ac:dyDescent="0.25">
      <c r="B230">
        <v>818</v>
      </c>
      <c r="C230" s="28">
        <v>8</v>
      </c>
      <c r="D230" s="35" t="s">
        <v>251</v>
      </c>
      <c r="E230" s="154">
        <f>INDEX('2019 Data Lockdown'!H$5:H$257,MATCH(B230,'2019 Data Lockdown'!B$5:B$257,0))</f>
        <v>39.648701095629384</v>
      </c>
      <c r="F230" s="5">
        <f>INDEX('2019 Data Lockdown'!E$5:E$257,MATCH(B230,'2019 Data Lockdown'!B$5:B$257,0))</f>
        <v>15868.89</v>
      </c>
      <c r="G230" s="5">
        <f>INDEX('2019 Data Lockdown'!F$5:F$257,MATCH(B230,'2019 Data Lockdown'!B$5:B$257,0))</f>
        <v>0</v>
      </c>
      <c r="H230" s="5">
        <f t="shared" si="59"/>
        <v>15868.89</v>
      </c>
      <c r="I230" s="95">
        <f t="shared" si="60"/>
        <v>400.23732332934566</v>
      </c>
      <c r="J230" s="6">
        <f t="shared" si="61"/>
        <v>400.23732332934566</v>
      </c>
      <c r="K230" s="5">
        <f t="shared" si="62"/>
        <v>15868.89</v>
      </c>
      <c r="L230" s="135">
        <f>INDEX('2019 Best Practice Scores'!L$4:L$256,MATCH(B230,'2019 Best Practice Scores'!A$4:A$256,0))</f>
        <v>0.29166666666666663</v>
      </c>
      <c r="M230" s="97">
        <f t="shared" si="63"/>
        <v>3670.5133153149482</v>
      </c>
      <c r="N230" s="97">
        <f t="shared" si="64"/>
        <v>2837.7872078929877</v>
      </c>
      <c r="O230" s="97">
        <f t="shared" si="65"/>
        <v>321.16991509005788</v>
      </c>
      <c r="P230" s="97">
        <f t="shared" si="66"/>
        <v>192.83396370313844</v>
      </c>
      <c r="Q230" s="97">
        <f t="shared" si="67"/>
        <v>7022.3044020011321</v>
      </c>
      <c r="R230" s="104">
        <f t="shared" si="68"/>
        <v>0.44252020160207378</v>
      </c>
      <c r="S230" s="166">
        <f t="shared" si="69"/>
        <v>7022.5874200834187</v>
      </c>
      <c r="T230" s="97"/>
      <c r="U230" s="97">
        <f>IFERROR(INDEX('Revised 2020 MFAM(2018 PYAs)'!AD$26:AD$300,MATCH(B230,'Revised 2020 MFAM(2018 PYAs)'!B$26:B$300,0)),0)</f>
        <v>-2.322728736400677</v>
      </c>
      <c r="V230" s="97">
        <f>IFERROR(INDEX('Revised 2019 MFAM(2017 PYAs)'!AF$26:AF$300,MATCH(B230,'Revised 2019 MFAM(2017 PYAs)'!B$26:B$300,0)),0)</f>
        <v>1.0191848702443167</v>
      </c>
      <c r="W230" s="97">
        <f t="shared" si="70"/>
        <v>-4.6770789482189368E-3</v>
      </c>
      <c r="X230" s="97">
        <f t="shared" si="71"/>
        <v>-1.3082209451045792</v>
      </c>
      <c r="Y230" s="97"/>
      <c r="Z230" s="98">
        <f t="shared" si="72"/>
        <v>7021.2791991383137</v>
      </c>
      <c r="AA230" s="99">
        <v>0</v>
      </c>
      <c r="AB230" s="100">
        <f t="shared" si="73"/>
        <v>0</v>
      </c>
      <c r="AC230" s="97">
        <f t="shared" si="74"/>
        <v>7021.2791991383137</v>
      </c>
      <c r="AD230" s="103"/>
      <c r="AE230" s="97">
        <f t="shared" si="75"/>
        <v>1755.3197997845784</v>
      </c>
      <c r="AF230" s="97">
        <f t="shared" si="75"/>
        <v>1755.3197997845784</v>
      </c>
      <c r="AG230" s="97">
        <f t="shared" si="75"/>
        <v>1755.3197997845784</v>
      </c>
      <c r="AH230" s="97">
        <f t="shared" si="75"/>
        <v>1755.3197997845784</v>
      </c>
    </row>
    <row r="231" spans="2:34" x14ac:dyDescent="0.25">
      <c r="B231">
        <v>833</v>
      </c>
      <c r="C231" s="28">
        <v>8</v>
      </c>
      <c r="D231" s="35" t="s">
        <v>252</v>
      </c>
      <c r="E231" s="154">
        <f>INDEX('2019 Data Lockdown'!H$5:H$257,MATCH(B231,'2019 Data Lockdown'!B$5:B$257,0))</f>
        <v>61.805842122186505</v>
      </c>
      <c r="F231" s="5">
        <f>INDEX('2019 Data Lockdown'!E$5:E$257,MATCH(B231,'2019 Data Lockdown'!B$5:B$257,0))</f>
        <v>37349.99</v>
      </c>
      <c r="G231" s="5">
        <f>INDEX('2019 Data Lockdown'!F$5:F$257,MATCH(B231,'2019 Data Lockdown'!B$5:B$257,0))</f>
        <v>0</v>
      </c>
      <c r="H231" s="5">
        <f t="shared" si="59"/>
        <v>37349.99</v>
      </c>
      <c r="I231" s="95">
        <f t="shared" si="60"/>
        <v>604.31164300231148</v>
      </c>
      <c r="J231" s="6">
        <f t="shared" si="61"/>
        <v>604.31164300231148</v>
      </c>
      <c r="K231" s="5">
        <f t="shared" si="62"/>
        <v>37349.99</v>
      </c>
      <c r="L231" s="135">
        <f>INDEX('2019 Best Practice Scores'!L$4:L$256,MATCH(B231,'2019 Best Practice Scores'!A$4:A$256,0))</f>
        <v>0.31944444444444442</v>
      </c>
      <c r="M231" s="97">
        <f t="shared" si="63"/>
        <v>8639.1446170387553</v>
      </c>
      <c r="N231" s="97">
        <f t="shared" si="64"/>
        <v>4423.6462557591449</v>
      </c>
      <c r="O231" s="97">
        <f t="shared" si="65"/>
        <v>827.91802579954742</v>
      </c>
      <c r="P231" s="97">
        <f t="shared" si="66"/>
        <v>453.86581014630411</v>
      </c>
      <c r="Q231" s="97">
        <f t="shared" si="67"/>
        <v>14344.574708743752</v>
      </c>
      <c r="R231" s="104">
        <f t="shared" si="68"/>
        <v>0.38405832796056311</v>
      </c>
      <c r="S231" s="166">
        <f t="shared" si="69"/>
        <v>14345.152834355073</v>
      </c>
      <c r="T231" s="97"/>
      <c r="U231" s="97">
        <f>IFERROR(INDEX('Revised 2020 MFAM(2018 PYAs)'!AD$26:AD$300,MATCH(B231,'Revised 2020 MFAM(2018 PYAs)'!B$26:B$300,0)),0)</f>
        <v>-3940.410489932261</v>
      </c>
      <c r="V231" s="97">
        <f>IFERROR(INDEX('Revised 2019 MFAM(2017 PYAs)'!AF$26:AF$300,MATCH(B231,'Revised 2019 MFAM(2017 PYAs)'!B$26:B$300,0)),0)</f>
        <v>-4497.6885828916165</v>
      </c>
      <c r="W231" s="97">
        <f t="shared" si="70"/>
        <v>-9.5539447666638452E-3</v>
      </c>
      <c r="X231" s="97">
        <f t="shared" si="71"/>
        <v>-8438.1086267686442</v>
      </c>
      <c r="Y231" s="97"/>
      <c r="Z231" s="98">
        <f t="shared" si="72"/>
        <v>5907.0442075864285</v>
      </c>
      <c r="AA231" s="99">
        <v>0</v>
      </c>
      <c r="AB231" s="100">
        <f t="shared" si="73"/>
        <v>0</v>
      </c>
      <c r="AC231" s="97">
        <f t="shared" si="74"/>
        <v>5907.0442075864285</v>
      </c>
      <c r="AD231" s="103"/>
      <c r="AE231" s="97">
        <f t="shared" si="75"/>
        <v>1476.7610518966071</v>
      </c>
      <c r="AF231" s="97">
        <f t="shared" si="75"/>
        <v>1476.7610518966071</v>
      </c>
      <c r="AG231" s="97">
        <f t="shared" si="75"/>
        <v>1476.7610518966071</v>
      </c>
      <c r="AH231" s="97">
        <f t="shared" si="75"/>
        <v>1476.7610518966071</v>
      </c>
    </row>
    <row r="232" spans="2:34" x14ac:dyDescent="0.25">
      <c r="B232">
        <v>834</v>
      </c>
      <c r="C232" s="28">
        <v>8</v>
      </c>
      <c r="D232" s="35" t="s">
        <v>253</v>
      </c>
      <c r="E232" s="154">
        <f>INDEX('2019 Data Lockdown'!H$5:H$257,MATCH(B232,'2019 Data Lockdown'!B$5:B$257,0))</f>
        <v>74.23</v>
      </c>
      <c r="F232" s="5">
        <f>INDEX('2019 Data Lockdown'!E$5:E$257,MATCH(B232,'2019 Data Lockdown'!B$5:B$257,0))</f>
        <v>55123.19</v>
      </c>
      <c r="G232" s="5">
        <f>INDEX('2019 Data Lockdown'!F$5:F$257,MATCH(B232,'2019 Data Lockdown'!B$5:B$257,0))</f>
        <v>3760.4799999999996</v>
      </c>
      <c r="H232" s="5">
        <f t="shared" si="59"/>
        <v>51362.710000000006</v>
      </c>
      <c r="I232" s="95">
        <f t="shared" si="60"/>
        <v>691.94005119224039</v>
      </c>
      <c r="J232" s="6">
        <f t="shared" si="61"/>
        <v>691.94005119224039</v>
      </c>
      <c r="K232" s="5">
        <f t="shared" si="62"/>
        <v>51362.710000000006</v>
      </c>
      <c r="L232" s="135">
        <f>INDEX('2019 Best Practice Scores'!L$4:L$256,MATCH(B232,'2019 Best Practice Scores'!A$4:A$256,0))</f>
        <v>0.71064814814814814</v>
      </c>
      <c r="M232" s="97">
        <f t="shared" si="63"/>
        <v>11880.321242737222</v>
      </c>
      <c r="N232" s="97">
        <f t="shared" si="64"/>
        <v>5312.8838680951658</v>
      </c>
      <c r="O232" s="97">
        <f t="shared" si="65"/>
        <v>2532.8184871668936</v>
      </c>
      <c r="P232" s="97">
        <f t="shared" si="66"/>
        <v>624.14415600806535</v>
      </c>
      <c r="Q232" s="97">
        <f t="shared" si="67"/>
        <v>20350.167754007343</v>
      </c>
      <c r="R232" s="104">
        <f t="shared" si="68"/>
        <v>0.39620510198950448</v>
      </c>
      <c r="S232" s="166">
        <f t="shared" si="69"/>
        <v>20350.987921451284</v>
      </c>
      <c r="T232" s="97"/>
      <c r="U232" s="97">
        <f>IFERROR(INDEX('Revised 2020 MFAM(2018 PYAs)'!AD$26:AD$300,MATCH(B232,'Revised 2020 MFAM(2018 PYAs)'!B$26:B$300,0)),0)</f>
        <v>-10.044775417951314</v>
      </c>
      <c r="V232" s="97">
        <f>IFERROR(INDEX('Revised 2019 MFAM(2017 PYAs)'!AF$26:AF$300,MATCH(B232,'Revised 2019 MFAM(2017 PYAs)'!B$26:B$300,0)),0)</f>
        <v>2.6703228714504803</v>
      </c>
      <c r="W232" s="97">
        <f t="shared" si="70"/>
        <v>-1.3553861488526265E-2</v>
      </c>
      <c r="X232" s="97">
        <f t="shared" si="71"/>
        <v>-7.3880064079893604</v>
      </c>
      <c r="Y232" s="97"/>
      <c r="Z232" s="98">
        <f t="shared" si="72"/>
        <v>20343.599915043294</v>
      </c>
      <c r="AA232" s="99">
        <v>0</v>
      </c>
      <c r="AB232" s="100">
        <f t="shared" si="73"/>
        <v>0</v>
      </c>
      <c r="AC232" s="97">
        <f t="shared" si="74"/>
        <v>20343.599915043294</v>
      </c>
      <c r="AD232" s="103"/>
      <c r="AE232" s="97">
        <f t="shared" si="75"/>
        <v>5085.8999787608236</v>
      </c>
      <c r="AF232" s="97">
        <f t="shared" si="75"/>
        <v>5085.8999787608236</v>
      </c>
      <c r="AG232" s="97">
        <f t="shared" si="75"/>
        <v>5085.8999787608236</v>
      </c>
      <c r="AH232" s="97">
        <f t="shared" si="75"/>
        <v>5085.8999787608236</v>
      </c>
    </row>
    <row r="233" spans="2:34" x14ac:dyDescent="0.25">
      <c r="B233">
        <v>837</v>
      </c>
      <c r="C233" s="28">
        <v>8</v>
      </c>
      <c r="D233" s="35" t="s">
        <v>254</v>
      </c>
      <c r="E233" s="154">
        <f>INDEX('2019 Data Lockdown'!H$5:H$257,MATCH(B233,'2019 Data Lockdown'!B$5:B$257,0))</f>
        <v>176.99</v>
      </c>
      <c r="F233" s="5">
        <f>INDEX('2019 Data Lockdown'!E$5:E$257,MATCH(B233,'2019 Data Lockdown'!B$5:B$257,0))</f>
        <v>142476.71</v>
      </c>
      <c r="G233" s="5">
        <f>INDEX('2019 Data Lockdown'!F$5:F$257,MATCH(B233,'2019 Data Lockdown'!B$5:B$257,0))</f>
        <v>0</v>
      </c>
      <c r="H233" s="5">
        <f t="shared" si="59"/>
        <v>142476.71</v>
      </c>
      <c r="I233" s="95">
        <f t="shared" si="60"/>
        <v>804.99864399118587</v>
      </c>
      <c r="J233" s="6">
        <f t="shared" si="61"/>
        <v>804.99864399118587</v>
      </c>
      <c r="K233" s="5">
        <f t="shared" si="62"/>
        <v>142476.71</v>
      </c>
      <c r="L233" s="135">
        <f>INDEX('2019 Best Practice Scores'!L$4:L$256,MATCH(B233,'2019 Best Practice Scores'!A$4:A$256,0))</f>
        <v>0.56712962962962954</v>
      </c>
      <c r="M233" s="97">
        <f t="shared" si="63"/>
        <v>32955.213702865571</v>
      </c>
      <c r="N233" s="97">
        <f t="shared" si="64"/>
        <v>12667.753143124926</v>
      </c>
      <c r="O233" s="97">
        <f t="shared" si="65"/>
        <v>5606.9634425014319</v>
      </c>
      <c r="P233" s="97">
        <f t="shared" si="66"/>
        <v>1731.3339953004011</v>
      </c>
      <c r="Q233" s="97">
        <f t="shared" si="67"/>
        <v>52961.264283792327</v>
      </c>
      <c r="R233" s="104">
        <f t="shared" si="68"/>
        <v>0.37171874816447076</v>
      </c>
      <c r="S233" s="166">
        <f t="shared" si="69"/>
        <v>52963.398767659019</v>
      </c>
      <c r="T233" s="97"/>
      <c r="U233" s="97">
        <f>IFERROR(INDEX('Revised 2020 MFAM(2018 PYAs)'!AD$26:AD$300,MATCH(B233,'Revised 2020 MFAM(2018 PYAs)'!B$26:B$300,0)),0)</f>
        <v>-22.546752705347899</v>
      </c>
      <c r="V233" s="97">
        <f>IFERROR(INDEX('Revised 2019 MFAM(2017 PYAs)'!AF$26:AF$300,MATCH(B233,'Revised 2019 MFAM(2017 PYAs)'!B$26:B$300,0)),0)</f>
        <v>5.2309495149675058</v>
      </c>
      <c r="W233" s="97">
        <f t="shared" si="70"/>
        <v>-3.5273893023235629E-2</v>
      </c>
      <c r="X233" s="97">
        <f t="shared" si="71"/>
        <v>-17.351077083403627</v>
      </c>
      <c r="Y233" s="97"/>
      <c r="Z233" s="98">
        <f t="shared" si="72"/>
        <v>52946.047690575615</v>
      </c>
      <c r="AA233" s="99">
        <v>0</v>
      </c>
      <c r="AB233" s="100">
        <f t="shared" si="73"/>
        <v>0</v>
      </c>
      <c r="AC233" s="97">
        <f t="shared" si="74"/>
        <v>52946.047690575615</v>
      </c>
      <c r="AD233" s="103"/>
      <c r="AE233" s="97">
        <f t="shared" si="75"/>
        <v>13236.511922643904</v>
      </c>
      <c r="AF233" s="97">
        <f t="shared" si="75"/>
        <v>13236.511922643904</v>
      </c>
      <c r="AG233" s="97">
        <f t="shared" si="75"/>
        <v>13236.511922643904</v>
      </c>
      <c r="AH233" s="97">
        <f t="shared" si="75"/>
        <v>13236.511922643904</v>
      </c>
    </row>
    <row r="234" spans="2:34" x14ac:dyDescent="0.25">
      <c r="B234">
        <v>845</v>
      </c>
      <c r="C234" s="28">
        <v>8</v>
      </c>
      <c r="D234" s="35" t="s">
        <v>319</v>
      </c>
      <c r="E234" s="154">
        <f>INDEX('2019 Data Lockdown'!H$5:H$257,MATCH(B234,'2019 Data Lockdown'!B$5:B$257,0))</f>
        <v>4.1985407326268138</v>
      </c>
      <c r="F234" s="5">
        <f>INDEX('2019 Data Lockdown'!E$5:E$257,MATCH(B234,'2019 Data Lockdown'!B$5:B$257,0))</f>
        <v>8943.76</v>
      </c>
      <c r="G234" s="5">
        <f>INDEX('2019 Data Lockdown'!F$5:F$257,MATCH(B234,'2019 Data Lockdown'!B$5:B$257,0))</f>
        <v>0</v>
      </c>
      <c r="H234" s="5">
        <f t="shared" si="59"/>
        <v>8943.76</v>
      </c>
      <c r="I234" s="95">
        <f t="shared" si="60"/>
        <v>2130.2067955416364</v>
      </c>
      <c r="J234" s="6">
        <f t="shared" si="61"/>
        <v>1830.7313099347227</v>
      </c>
      <c r="K234" s="5">
        <f t="shared" si="62"/>
        <v>7686.3999752561776</v>
      </c>
      <c r="L234" s="135">
        <f>INDEX('2019 Best Practice Scores'!L$4:L$256,MATCH(B234,'2019 Best Practice Scores'!A$4:A$256,0))</f>
        <v>0.30555555555555552</v>
      </c>
      <c r="M234" s="97">
        <f t="shared" si="63"/>
        <v>1777.8832329176323</v>
      </c>
      <c r="N234" s="97">
        <f t="shared" si="64"/>
        <v>300.5032914982279</v>
      </c>
      <c r="O234" s="97">
        <f t="shared" si="65"/>
        <v>162.97262968411627</v>
      </c>
      <c r="P234" s="97">
        <f t="shared" si="66"/>
        <v>93.402813545015064</v>
      </c>
      <c r="Q234" s="97">
        <f t="shared" si="67"/>
        <v>2334.7619676449913</v>
      </c>
      <c r="R234" s="104">
        <f t="shared" si="68"/>
        <v>0.3037523385669475</v>
      </c>
      <c r="S234" s="166">
        <f t="shared" si="69"/>
        <v>2334.856064940815</v>
      </c>
      <c r="T234" s="97"/>
      <c r="U234" s="97">
        <f>IFERROR(INDEX('Revised 2020 MFAM(2018 PYAs)'!AD$26:AD$300,MATCH(B234,'Revised 2020 MFAM(2018 PYAs)'!B$26:B$300,0)),0)</f>
        <v>-1.5452789364685486</v>
      </c>
      <c r="V234" s="97">
        <f>IFERROR(INDEX('Revised 2019 MFAM(2017 PYAs)'!AF$26:AF$300,MATCH(B234,'Revised 2019 MFAM(2017 PYAs)'!B$26:B$300,0)),0)</f>
        <v>2.2858099191055317</v>
      </c>
      <c r="W234" s="97">
        <f t="shared" si="70"/>
        <v>-1.5550260175082697E-3</v>
      </c>
      <c r="X234" s="97">
        <f t="shared" si="71"/>
        <v>0.73897595661947479</v>
      </c>
      <c r="Y234" s="97"/>
      <c r="Z234" s="98">
        <f t="shared" si="72"/>
        <v>2335.5950408974345</v>
      </c>
      <c r="AA234" s="99">
        <v>0</v>
      </c>
      <c r="AB234" s="100">
        <f t="shared" si="73"/>
        <v>0</v>
      </c>
      <c r="AC234" s="97">
        <f t="shared" si="74"/>
        <v>2335.5950408974345</v>
      </c>
      <c r="AD234" s="103"/>
      <c r="AE234" s="97">
        <f t="shared" si="75"/>
        <v>583.89876022435863</v>
      </c>
      <c r="AF234" s="97">
        <f t="shared" si="75"/>
        <v>583.89876022435863</v>
      </c>
      <c r="AG234" s="97">
        <f t="shared" si="75"/>
        <v>583.89876022435863</v>
      </c>
      <c r="AH234" s="97">
        <f t="shared" si="75"/>
        <v>583.89876022435863</v>
      </c>
    </row>
    <row r="235" spans="2:34" x14ac:dyDescent="0.25">
      <c r="B235">
        <v>847</v>
      </c>
      <c r="C235" s="28">
        <v>8</v>
      </c>
      <c r="D235" s="35" t="s">
        <v>255</v>
      </c>
      <c r="E235" s="154">
        <f>INDEX('2019 Data Lockdown'!H$5:H$257,MATCH(B235,'2019 Data Lockdown'!B$5:B$257,0))</f>
        <v>66.183100660950345</v>
      </c>
      <c r="F235" s="5">
        <f>INDEX('2019 Data Lockdown'!E$5:E$257,MATCH(B235,'2019 Data Lockdown'!B$5:B$257,0))</f>
        <v>131761.98000000001</v>
      </c>
      <c r="G235" s="5">
        <f>INDEX('2019 Data Lockdown'!F$5:F$257,MATCH(B235,'2019 Data Lockdown'!B$5:B$257,0))</f>
        <v>0</v>
      </c>
      <c r="H235" s="5">
        <f t="shared" si="59"/>
        <v>131761.98000000001</v>
      </c>
      <c r="I235" s="95">
        <f t="shared" si="60"/>
        <v>1990.8704591373553</v>
      </c>
      <c r="J235" s="6">
        <f t="shared" si="61"/>
        <v>1830.7313099347227</v>
      </c>
      <c r="K235" s="5">
        <f t="shared" si="62"/>
        <v>121163.47456856324</v>
      </c>
      <c r="L235" s="135">
        <f>INDEX('2019 Best Practice Scores'!L$4:L$256,MATCH(B235,'2019 Best Practice Scores'!A$4:A$256,0))</f>
        <v>0.24305555555555555</v>
      </c>
      <c r="M235" s="97">
        <f t="shared" si="63"/>
        <v>28025.409889017781</v>
      </c>
      <c r="N235" s="97">
        <f t="shared" si="64"/>
        <v>4736.9409651364886</v>
      </c>
      <c r="O235" s="97">
        <f t="shared" si="65"/>
        <v>2043.5194710742132</v>
      </c>
      <c r="P235" s="97">
        <f t="shared" si="66"/>
        <v>1472.3419884503869</v>
      </c>
      <c r="Q235" s="97">
        <f t="shared" si="67"/>
        <v>36278.212313678872</v>
      </c>
      <c r="R235" s="104">
        <f t="shared" si="68"/>
        <v>0.29941541741731731</v>
      </c>
      <c r="S235" s="166">
        <f t="shared" si="69"/>
        <v>36279.674424901918</v>
      </c>
      <c r="T235" s="97"/>
      <c r="U235" s="97">
        <f>IFERROR(INDEX('Revised 2020 MFAM(2018 PYAs)'!AD$26:AD$300,MATCH(B235,'Revised 2020 MFAM(2018 PYAs)'!B$26:B$300,0)),0)</f>
        <v>-19.499925233933027</v>
      </c>
      <c r="V235" s="97">
        <f>IFERROR(INDEX('Revised 2019 MFAM(2017 PYAs)'!AF$26:AF$300,MATCH(B235,'Revised 2019 MFAM(2017 PYAs)'!B$26:B$300,0)),0)</f>
        <v>3.283649061628239</v>
      </c>
      <c r="W235" s="97">
        <f t="shared" si="70"/>
        <v>-2.4162447734816541E-2</v>
      </c>
      <c r="X235" s="97">
        <f t="shared" si="71"/>
        <v>-16.240438620039605</v>
      </c>
      <c r="Y235" s="97"/>
      <c r="Z235" s="98">
        <f t="shared" si="72"/>
        <v>36263.433986281882</v>
      </c>
      <c r="AA235" s="99">
        <v>0</v>
      </c>
      <c r="AB235" s="100">
        <f t="shared" si="73"/>
        <v>0</v>
      </c>
      <c r="AC235" s="97">
        <f t="shared" si="74"/>
        <v>36263.433986281882</v>
      </c>
      <c r="AD235" s="103"/>
      <c r="AE235" s="97">
        <f t="shared" si="75"/>
        <v>9065.8584965704704</v>
      </c>
      <c r="AF235" s="97">
        <f t="shared" si="75"/>
        <v>9065.8584965704704</v>
      </c>
      <c r="AG235" s="97">
        <f t="shared" si="75"/>
        <v>9065.8584965704704</v>
      </c>
      <c r="AH235" s="97">
        <f t="shared" si="75"/>
        <v>9065.8584965704704</v>
      </c>
    </row>
    <row r="236" spans="2:34" x14ac:dyDescent="0.25">
      <c r="B236">
        <v>866</v>
      </c>
      <c r="C236" s="28">
        <v>8</v>
      </c>
      <c r="D236" s="35" t="s">
        <v>256</v>
      </c>
      <c r="E236" s="154">
        <f>INDEX('2019 Data Lockdown'!H$5:H$257,MATCH(B236,'2019 Data Lockdown'!B$5:B$257,0))</f>
        <v>147.75213403001072</v>
      </c>
      <c r="F236" s="5">
        <f>INDEX('2019 Data Lockdown'!E$5:E$257,MATCH(B236,'2019 Data Lockdown'!B$5:B$257,0))</f>
        <v>54975.040000000001</v>
      </c>
      <c r="G236" s="5">
        <f>INDEX('2019 Data Lockdown'!F$5:F$257,MATCH(B236,'2019 Data Lockdown'!B$5:B$257,0))</f>
        <v>0</v>
      </c>
      <c r="H236" s="5">
        <f t="shared" si="59"/>
        <v>54975.040000000001</v>
      </c>
      <c r="I236" s="95">
        <f t="shared" si="60"/>
        <v>372.07611491305926</v>
      </c>
      <c r="J236" s="6">
        <f t="shared" si="61"/>
        <v>372.07611491305926</v>
      </c>
      <c r="K236" s="5">
        <f t="shared" si="62"/>
        <v>54975.040000000001</v>
      </c>
      <c r="L236" s="135">
        <f>INDEX('2019 Best Practice Scores'!L$4:L$256,MATCH(B236,'2019 Best Practice Scores'!A$4:A$256,0))</f>
        <v>0.8125</v>
      </c>
      <c r="M236" s="97">
        <f t="shared" si="63"/>
        <v>12715.862062814214</v>
      </c>
      <c r="N236" s="97">
        <f t="shared" si="64"/>
        <v>10575.103453653222</v>
      </c>
      <c r="O236" s="97">
        <f t="shared" si="65"/>
        <v>3099.4913778109644</v>
      </c>
      <c r="P236" s="97">
        <f t="shared" si="66"/>
        <v>668.04010034341297</v>
      </c>
      <c r="Q236" s="97">
        <f t="shared" si="67"/>
        <v>27058.496994621815</v>
      </c>
      <c r="R236" s="104">
        <f t="shared" si="68"/>
        <v>0.49219604014152268</v>
      </c>
      <c r="S236" s="166">
        <f t="shared" si="69"/>
        <v>27059.587526089919</v>
      </c>
      <c r="T236" s="97"/>
      <c r="U236" s="97">
        <f>IFERROR(INDEX('Revised 2020 MFAM(2018 PYAs)'!AD$26:AD$300,MATCH(B236,'Revised 2020 MFAM(2018 PYAs)'!B$26:B$300,0)),0)</f>
        <v>-9.8510969990747981</v>
      </c>
      <c r="V236" s="97">
        <f>IFERROR(INDEX('Revised 2019 MFAM(2017 PYAs)'!AF$26:AF$300,MATCH(B236,'Revised 2019 MFAM(2017 PYAs)'!B$26:B$300,0)),0)</f>
        <v>3.4238715213177784</v>
      </c>
      <c r="W236" s="97">
        <f t="shared" si="70"/>
        <v>-1.8021822954289342E-2</v>
      </c>
      <c r="X236" s="97">
        <f t="shared" si="71"/>
        <v>-6.4452473007113094</v>
      </c>
      <c r="Y236" s="97"/>
      <c r="Z236" s="98">
        <f t="shared" si="72"/>
        <v>27053.142278789208</v>
      </c>
      <c r="AA236" s="99">
        <v>0</v>
      </c>
      <c r="AB236" s="100">
        <f t="shared" si="73"/>
        <v>0</v>
      </c>
      <c r="AC236" s="97">
        <f t="shared" si="74"/>
        <v>27053.142278789208</v>
      </c>
      <c r="AD236" s="103"/>
      <c r="AE236" s="97">
        <f t="shared" si="75"/>
        <v>6763.285569697302</v>
      </c>
      <c r="AF236" s="97">
        <f t="shared" si="75"/>
        <v>6763.285569697302</v>
      </c>
      <c r="AG236" s="97">
        <f t="shared" si="75"/>
        <v>6763.285569697302</v>
      </c>
      <c r="AH236" s="97">
        <f t="shared" si="75"/>
        <v>6763.285569697302</v>
      </c>
    </row>
    <row r="237" spans="2:34" x14ac:dyDescent="0.25">
      <c r="B237">
        <v>871</v>
      </c>
      <c r="C237" s="28">
        <v>8</v>
      </c>
      <c r="D237" s="35" t="s">
        <v>257</v>
      </c>
      <c r="E237" s="154">
        <f>INDEX('2019 Data Lockdown'!H$5:H$257,MATCH(B237,'2019 Data Lockdown'!B$5:B$257,0))</f>
        <v>12.214386102179351</v>
      </c>
      <c r="F237" s="5">
        <f>INDEX('2019 Data Lockdown'!E$5:E$257,MATCH(B237,'2019 Data Lockdown'!B$5:B$257,0))</f>
        <v>12724.9</v>
      </c>
      <c r="G237" s="5">
        <f>INDEX('2019 Data Lockdown'!F$5:F$257,MATCH(B237,'2019 Data Lockdown'!B$5:B$257,0))</f>
        <v>0</v>
      </c>
      <c r="H237" s="5">
        <f t="shared" si="59"/>
        <v>12724.9</v>
      </c>
      <c r="I237" s="95">
        <f t="shared" si="60"/>
        <v>1041.7961159529386</v>
      </c>
      <c r="J237" s="6">
        <f t="shared" si="61"/>
        <v>1041.7961159529386</v>
      </c>
      <c r="K237" s="5">
        <f t="shared" si="62"/>
        <v>12724.900000000001</v>
      </c>
      <c r="L237" s="135">
        <f>INDEX('2019 Best Practice Scores'!L$4:L$256,MATCH(B237,'2019 Best Practice Scores'!A$4:A$256,0))</f>
        <v>0.125</v>
      </c>
      <c r="M237" s="97">
        <f t="shared" si="63"/>
        <v>2943.3006899695683</v>
      </c>
      <c r="N237" s="97">
        <f t="shared" si="64"/>
        <v>874.22356029845696</v>
      </c>
      <c r="O237" s="97">
        <f t="shared" si="65"/>
        <v>110.3737758738588</v>
      </c>
      <c r="P237" s="97">
        <f t="shared" si="66"/>
        <v>154.62914575159741</v>
      </c>
      <c r="Q237" s="97">
        <f t="shared" si="67"/>
        <v>4082.5271718934814</v>
      </c>
      <c r="R237" s="104">
        <f t="shared" si="68"/>
        <v>0.32082980391936133</v>
      </c>
      <c r="S237" s="166">
        <f t="shared" si="69"/>
        <v>4082.6917089093849</v>
      </c>
      <c r="T237" s="97"/>
      <c r="U237" s="97">
        <f>IFERROR(INDEX('Revised 2020 MFAM(2018 PYAs)'!AD$26:AD$300,MATCH(B237,'Revised 2020 MFAM(2018 PYAs)'!B$26:B$300,0)),0)</f>
        <v>-1.8284722475532362</v>
      </c>
      <c r="V237" s="97">
        <f>IFERROR(INDEX('Revised 2019 MFAM(2017 PYAs)'!AF$26:AF$300,MATCH(B237,'Revised 2019 MFAM(2017 PYAs)'!B$26:B$300,0)),0)</f>
        <v>0.51766959216593023</v>
      </c>
      <c r="W237" s="97">
        <f t="shared" si="70"/>
        <v>-2.7190934482637253E-3</v>
      </c>
      <c r="X237" s="97">
        <f t="shared" si="71"/>
        <v>-1.3135217488355697</v>
      </c>
      <c r="Y237" s="97"/>
      <c r="Z237" s="98">
        <f t="shared" si="72"/>
        <v>4081.3781871605493</v>
      </c>
      <c r="AA237" s="99">
        <v>0</v>
      </c>
      <c r="AB237" s="100">
        <f t="shared" si="73"/>
        <v>0</v>
      </c>
      <c r="AC237" s="97">
        <f t="shared" si="74"/>
        <v>4081.3781871605493</v>
      </c>
      <c r="AD237" s="103"/>
      <c r="AE237" s="97">
        <f t="shared" si="75"/>
        <v>1020.3445467901373</v>
      </c>
      <c r="AF237" s="97">
        <f t="shared" si="75"/>
        <v>1020.3445467901373</v>
      </c>
      <c r="AG237" s="97">
        <f t="shared" si="75"/>
        <v>1020.3445467901373</v>
      </c>
      <c r="AH237" s="97">
        <f t="shared" si="75"/>
        <v>1020.3445467901373</v>
      </c>
    </row>
    <row r="238" spans="2:34" x14ac:dyDescent="0.25">
      <c r="B238">
        <v>873</v>
      </c>
      <c r="C238" s="28">
        <v>8</v>
      </c>
      <c r="D238" s="35" t="s">
        <v>258</v>
      </c>
      <c r="E238" s="154">
        <f>INDEX('2019 Data Lockdown'!H$5:H$257,MATCH(B238,'2019 Data Lockdown'!B$5:B$257,0))</f>
        <v>185.67000000000002</v>
      </c>
      <c r="F238" s="5">
        <f>INDEX('2019 Data Lockdown'!E$5:E$257,MATCH(B238,'2019 Data Lockdown'!B$5:B$257,0))</f>
        <v>74605.5</v>
      </c>
      <c r="G238" s="5">
        <f>INDEX('2019 Data Lockdown'!F$5:F$257,MATCH(B238,'2019 Data Lockdown'!B$5:B$257,0))</f>
        <v>0</v>
      </c>
      <c r="H238" s="5">
        <f t="shared" si="59"/>
        <v>74605.5</v>
      </c>
      <c r="I238" s="95">
        <f t="shared" si="60"/>
        <v>401.81774115365971</v>
      </c>
      <c r="J238" s="6">
        <f t="shared" si="61"/>
        <v>401.81774115365971</v>
      </c>
      <c r="K238" s="5">
        <f t="shared" si="62"/>
        <v>74605.5</v>
      </c>
      <c r="L238" s="135">
        <f>INDEX('2019 Best Practice Scores'!L$4:L$256,MATCH(B238,'2019 Best Practice Scores'!A$4:A$256,0))</f>
        <v>0.5368518518518518</v>
      </c>
      <c r="M238" s="97">
        <f t="shared" si="63"/>
        <v>17256.435777532603</v>
      </c>
      <c r="N238" s="97">
        <f t="shared" si="64"/>
        <v>13289.00913093398</v>
      </c>
      <c r="O238" s="97">
        <f t="shared" si="65"/>
        <v>2779.2448510592781</v>
      </c>
      <c r="P238" s="97">
        <f t="shared" si="66"/>
        <v>906.58352783682392</v>
      </c>
      <c r="Q238" s="97">
        <f t="shared" si="67"/>
        <v>34231.273287362688</v>
      </c>
      <c r="R238" s="104">
        <f t="shared" si="68"/>
        <v>0.45883042520139516</v>
      </c>
      <c r="S238" s="166">
        <f t="shared" si="69"/>
        <v>34232.652901342008</v>
      </c>
      <c r="T238" s="97"/>
      <c r="U238" s="97">
        <f>IFERROR(INDEX('Revised 2020 MFAM(2018 PYAs)'!AD$26:AD$300,MATCH(B238,'Revised 2020 MFAM(2018 PYAs)'!B$26:B$300,0)),0)</f>
        <v>-10.206893571819819</v>
      </c>
      <c r="V238" s="97">
        <f>IFERROR(INDEX('Revised 2019 MFAM(2017 PYAs)'!AF$26:AF$300,MATCH(B238,'Revised 2019 MFAM(2017 PYAs)'!B$26:B$300,0)),0)</f>
        <v>4.1238105442935193</v>
      </c>
      <c r="W238" s="97">
        <f t="shared" si="70"/>
        <v>-2.2799120986186423E-2</v>
      </c>
      <c r="X238" s="97">
        <f t="shared" si="71"/>
        <v>-6.1058821485124861</v>
      </c>
      <c r="Y238" s="97"/>
      <c r="Z238" s="98">
        <f t="shared" si="72"/>
        <v>34226.547019193495</v>
      </c>
      <c r="AA238" s="99">
        <v>0</v>
      </c>
      <c r="AB238" s="100">
        <f t="shared" si="73"/>
        <v>0</v>
      </c>
      <c r="AC238" s="97">
        <f t="shared" si="74"/>
        <v>34226.547019193495</v>
      </c>
      <c r="AD238" s="103"/>
      <c r="AE238" s="97">
        <f t="shared" si="75"/>
        <v>8556.6367547983737</v>
      </c>
      <c r="AF238" s="97">
        <f t="shared" si="75"/>
        <v>8556.6367547983737</v>
      </c>
      <c r="AG238" s="97">
        <f t="shared" si="75"/>
        <v>8556.6367547983737</v>
      </c>
      <c r="AH238" s="97">
        <f t="shared" si="75"/>
        <v>8556.6367547983737</v>
      </c>
    </row>
    <row r="239" spans="2:34" x14ac:dyDescent="0.25">
      <c r="B239">
        <v>905</v>
      </c>
      <c r="C239" s="28">
        <v>8</v>
      </c>
      <c r="D239" s="35" t="s">
        <v>261</v>
      </c>
      <c r="E239" s="154">
        <f>INDEX('2019 Data Lockdown'!H$5:H$257,MATCH(B239,'2019 Data Lockdown'!B$5:B$257,0))</f>
        <v>93.093193074907703</v>
      </c>
      <c r="F239" s="5">
        <f>INDEX('2019 Data Lockdown'!E$5:E$257,MATCH(B239,'2019 Data Lockdown'!B$5:B$257,0))</f>
        <v>62186.54</v>
      </c>
      <c r="G239" s="5">
        <f>INDEX('2019 Data Lockdown'!F$5:F$257,MATCH(B239,'2019 Data Lockdown'!B$5:B$257,0))</f>
        <v>0</v>
      </c>
      <c r="H239" s="5">
        <f t="shared" si="59"/>
        <v>62186.54</v>
      </c>
      <c r="I239" s="95">
        <f t="shared" si="60"/>
        <v>668.00308321105092</v>
      </c>
      <c r="J239" s="6">
        <f t="shared" si="61"/>
        <v>668.00308321105092</v>
      </c>
      <c r="K239" s="5">
        <f t="shared" si="62"/>
        <v>62186.54</v>
      </c>
      <c r="L239" s="135">
        <f>INDEX('2019 Best Practice Scores'!L$4:L$256,MATCH(B239,'2019 Best Practice Scores'!A$4:A$256,0))</f>
        <v>0.27777777777777779</v>
      </c>
      <c r="M239" s="97">
        <f t="shared" si="63"/>
        <v>14383.899762577321</v>
      </c>
      <c r="N239" s="97">
        <f t="shared" si="64"/>
        <v>6662.9842882546909</v>
      </c>
      <c r="O239" s="97">
        <f t="shared" si="65"/>
        <v>1198.6583135481101</v>
      </c>
      <c r="P239" s="97">
        <f t="shared" si="66"/>
        <v>755.67207266442506</v>
      </c>
      <c r="Q239" s="97">
        <f t="shared" si="67"/>
        <v>23001.214437044546</v>
      </c>
      <c r="R239" s="104">
        <f t="shared" si="68"/>
        <v>0.36987448468823875</v>
      </c>
      <c r="S239" s="166">
        <f t="shared" si="69"/>
        <v>23002.14144892378</v>
      </c>
      <c r="T239" s="97"/>
      <c r="U239" s="97">
        <f>IFERROR(INDEX('Revised 2020 MFAM(2018 PYAs)'!AD$26:AD$300,MATCH(B239,'Revised 2020 MFAM(2018 PYAs)'!B$26:B$300,0)),0)</f>
        <v>-8.590933768900868</v>
      </c>
      <c r="V239" s="97">
        <f>IFERROR(INDEX('Revised 2019 MFAM(2017 PYAs)'!AF$26:AF$300,MATCH(B239,'Revised 2019 MFAM(2017 PYAs)'!B$26:B$300,0)),0)</f>
        <v>2.8509802668522752</v>
      </c>
      <c r="W239" s="97">
        <f t="shared" si="70"/>
        <v>-1.531954322520028E-2</v>
      </c>
      <c r="X239" s="97">
        <f t="shared" si="71"/>
        <v>-5.7552730452737935</v>
      </c>
      <c r="Y239" s="97"/>
      <c r="Z239" s="98">
        <f t="shared" si="72"/>
        <v>22996.386175878506</v>
      </c>
      <c r="AA239" s="99">
        <v>0</v>
      </c>
      <c r="AB239" s="100">
        <f t="shared" si="73"/>
        <v>0</v>
      </c>
      <c r="AC239" s="97">
        <f t="shared" si="74"/>
        <v>22996.386175878506</v>
      </c>
      <c r="AD239" s="103"/>
      <c r="AE239" s="97">
        <f t="shared" si="75"/>
        <v>5749.0965439696265</v>
      </c>
      <c r="AF239" s="97">
        <f t="shared" si="75"/>
        <v>5749.0965439696265</v>
      </c>
      <c r="AG239" s="97">
        <f t="shared" si="75"/>
        <v>5749.0965439696265</v>
      </c>
      <c r="AH239" s="97">
        <f t="shared" si="75"/>
        <v>5749.0965439696265</v>
      </c>
    </row>
    <row r="240" spans="2:34" x14ac:dyDescent="0.25">
      <c r="B240">
        <v>907</v>
      </c>
      <c r="C240" s="28">
        <v>8</v>
      </c>
      <c r="D240" s="35" t="s">
        <v>262</v>
      </c>
      <c r="E240" s="154">
        <f>INDEX('2019 Data Lockdown'!H$5:H$257,MATCH(B240,'2019 Data Lockdown'!B$5:B$257,0))</f>
        <v>19.623398559009171</v>
      </c>
      <c r="F240" s="5">
        <f>INDEX('2019 Data Lockdown'!E$5:E$257,MATCH(B240,'2019 Data Lockdown'!B$5:B$257,0))</f>
        <v>20189.84</v>
      </c>
      <c r="G240" s="5">
        <f>INDEX('2019 Data Lockdown'!F$5:F$257,MATCH(B240,'2019 Data Lockdown'!B$5:B$257,0))</f>
        <v>0</v>
      </c>
      <c r="H240" s="5">
        <f t="shared" si="59"/>
        <v>20189.84</v>
      </c>
      <c r="I240" s="95">
        <f t="shared" si="60"/>
        <v>1028.8656136340244</v>
      </c>
      <c r="J240" s="6">
        <f t="shared" si="61"/>
        <v>1028.8656136340244</v>
      </c>
      <c r="K240" s="5">
        <f t="shared" si="62"/>
        <v>20189.84</v>
      </c>
      <c r="L240" s="135">
        <f>INDEX('2019 Best Practice Scores'!L$4:L$256,MATCH(B240,'2019 Best Practice Scores'!A$4:A$256,0))</f>
        <v>0.24999999999999997</v>
      </c>
      <c r="M240" s="97">
        <f t="shared" si="63"/>
        <v>4669.9596855279951</v>
      </c>
      <c r="N240" s="97">
        <f t="shared" si="64"/>
        <v>1404.5108128972349</v>
      </c>
      <c r="O240" s="97">
        <f t="shared" si="65"/>
        <v>350.24697641459954</v>
      </c>
      <c r="P240" s="97">
        <f t="shared" si="66"/>
        <v>245.34084449083537</v>
      </c>
      <c r="Q240" s="97">
        <f t="shared" si="67"/>
        <v>6670.0583193306657</v>
      </c>
      <c r="R240" s="104">
        <f t="shared" si="68"/>
        <v>0.33036707172175045</v>
      </c>
      <c r="S240" s="166">
        <f t="shared" si="69"/>
        <v>6670.3271409319823</v>
      </c>
      <c r="T240" s="97"/>
      <c r="U240" s="97">
        <f>IFERROR(INDEX('Revised 2020 MFAM(2018 PYAs)'!AD$26:AD$300,MATCH(B240,'Revised 2020 MFAM(2018 PYAs)'!B$26:B$300,0)),0)</f>
        <v>-3.0881291576924923</v>
      </c>
      <c r="V240" s="97">
        <f>IFERROR(INDEX('Revised 2019 MFAM(2017 PYAs)'!AF$26:AF$300,MATCH(B240,'Revised 2019 MFAM(2017 PYAs)'!B$26:B$300,0)),0)</f>
        <v>0.65932100112786429</v>
      </c>
      <c r="W240" s="97">
        <f t="shared" si="70"/>
        <v>-4.4424718102285725E-3</v>
      </c>
      <c r="X240" s="97">
        <f t="shared" si="71"/>
        <v>-2.4332506283748567</v>
      </c>
      <c r="Y240" s="97"/>
      <c r="Z240" s="98">
        <f t="shared" si="72"/>
        <v>6667.8938903036078</v>
      </c>
      <c r="AA240" s="99">
        <v>0</v>
      </c>
      <c r="AB240" s="100">
        <f t="shared" si="73"/>
        <v>0</v>
      </c>
      <c r="AC240" s="97">
        <f t="shared" si="74"/>
        <v>6667.8938903036078</v>
      </c>
      <c r="AD240" s="103"/>
      <c r="AE240" s="97">
        <f t="shared" si="75"/>
        <v>1666.973472575902</v>
      </c>
      <c r="AF240" s="97">
        <f t="shared" si="75"/>
        <v>1666.973472575902</v>
      </c>
      <c r="AG240" s="97">
        <f t="shared" si="75"/>
        <v>1666.973472575902</v>
      </c>
      <c r="AH240" s="97">
        <f t="shared" si="75"/>
        <v>1666.973472575902</v>
      </c>
    </row>
    <row r="241" spans="2:34" x14ac:dyDescent="0.25">
      <c r="B241">
        <v>918</v>
      </c>
      <c r="C241" s="28">
        <v>8</v>
      </c>
      <c r="D241" s="35" t="s">
        <v>263</v>
      </c>
      <c r="E241" s="154">
        <f>INDEX('2019 Data Lockdown'!H$5:H$257,MATCH(B241,'2019 Data Lockdown'!B$5:B$257,0))</f>
        <v>61.65731239133023</v>
      </c>
      <c r="F241" s="5">
        <f>INDEX('2019 Data Lockdown'!E$5:E$257,MATCH(B241,'2019 Data Lockdown'!B$5:B$257,0))</f>
        <v>92014.79</v>
      </c>
      <c r="G241" s="5">
        <f>INDEX('2019 Data Lockdown'!F$5:F$257,MATCH(B241,'2019 Data Lockdown'!B$5:B$257,0))</f>
        <v>0</v>
      </c>
      <c r="H241" s="5">
        <f t="shared" si="59"/>
        <v>92014.79</v>
      </c>
      <c r="I241" s="95">
        <f t="shared" si="60"/>
        <v>1492.358106950805</v>
      </c>
      <c r="J241" s="6">
        <f t="shared" si="61"/>
        <v>1492.358106950805</v>
      </c>
      <c r="K241" s="5">
        <f t="shared" si="62"/>
        <v>92014.79</v>
      </c>
      <c r="L241" s="135">
        <f>INDEX('2019 Best Practice Scores'!L$4:L$256,MATCH(B241,'2019 Best Practice Scores'!A$4:A$256,0))</f>
        <v>0.37962962962962965</v>
      </c>
      <c r="M241" s="97">
        <f t="shared" si="63"/>
        <v>21283.247404255035</v>
      </c>
      <c r="N241" s="97">
        <f t="shared" si="64"/>
        <v>4413.0154971575175</v>
      </c>
      <c r="O241" s="97">
        <f t="shared" si="65"/>
        <v>2423.9253988179348</v>
      </c>
      <c r="P241" s="97">
        <f t="shared" si="66"/>
        <v>1118.1359676078105</v>
      </c>
      <c r="Q241" s="97">
        <f t="shared" si="67"/>
        <v>29238.324267838296</v>
      </c>
      <c r="R241" s="104">
        <f t="shared" si="68"/>
        <v>0.31775678961869386</v>
      </c>
      <c r="S241" s="166">
        <f t="shared" si="69"/>
        <v>29239.502652310093</v>
      </c>
      <c r="T241" s="97"/>
      <c r="U241" s="97">
        <f>IFERROR(INDEX('Revised 2020 MFAM(2018 PYAs)'!AD$26:AD$300,MATCH(B241,'Revised 2020 MFAM(2018 PYAs)'!B$26:B$300,0)),0)</f>
        <v>-9.7928904012551357</v>
      </c>
      <c r="V241" s="97">
        <f>IFERROR(INDEX('Revised 2019 MFAM(2017 PYAs)'!AF$26:AF$300,MATCH(B241,'Revised 2019 MFAM(2017 PYAs)'!B$26:B$300,0)),0)</f>
        <v>1.8239582318547036</v>
      </c>
      <c r="W241" s="97">
        <f t="shared" si="70"/>
        <v>-1.9473657518369041E-2</v>
      </c>
      <c r="X241" s="97">
        <f t="shared" si="71"/>
        <v>-7.9884058269188012</v>
      </c>
      <c r="Y241" s="97"/>
      <c r="Z241" s="98">
        <f t="shared" si="72"/>
        <v>29231.514246483173</v>
      </c>
      <c r="AA241" s="99">
        <v>0</v>
      </c>
      <c r="AB241" s="100">
        <f t="shared" si="73"/>
        <v>0</v>
      </c>
      <c r="AC241" s="97">
        <f t="shared" si="74"/>
        <v>29231.514246483173</v>
      </c>
      <c r="AD241" s="103"/>
      <c r="AE241" s="97">
        <f t="shared" si="75"/>
        <v>7307.8785616207933</v>
      </c>
      <c r="AF241" s="97">
        <f t="shared" si="75"/>
        <v>7307.8785616207933</v>
      </c>
      <c r="AG241" s="97">
        <f t="shared" si="75"/>
        <v>7307.8785616207933</v>
      </c>
      <c r="AH241" s="97">
        <f t="shared" si="75"/>
        <v>7307.8785616207933</v>
      </c>
    </row>
    <row r="242" spans="2:34" x14ac:dyDescent="0.25">
      <c r="B242">
        <v>922</v>
      </c>
      <c r="C242" s="28">
        <v>8</v>
      </c>
      <c r="D242" s="35" t="s">
        <v>264</v>
      </c>
      <c r="E242" s="154">
        <f>INDEX('2019 Data Lockdown'!H$5:H$257,MATCH(B242,'2019 Data Lockdown'!B$5:B$257,0))</f>
        <v>48.13</v>
      </c>
      <c r="F242" s="5">
        <f>INDEX('2019 Data Lockdown'!E$5:E$257,MATCH(B242,'2019 Data Lockdown'!B$5:B$257,0))</f>
        <v>133724.62</v>
      </c>
      <c r="G242" s="5">
        <f>INDEX('2019 Data Lockdown'!F$5:F$257,MATCH(B242,'2019 Data Lockdown'!B$5:B$257,0))</f>
        <v>5755.5599999999995</v>
      </c>
      <c r="H242" s="5">
        <f t="shared" si="59"/>
        <v>127969.06</v>
      </c>
      <c r="I242" s="95">
        <f t="shared" si="60"/>
        <v>2658.8211094951171</v>
      </c>
      <c r="J242" s="6">
        <f t="shared" si="61"/>
        <v>1830.7313099347227</v>
      </c>
      <c r="K242" s="5">
        <f t="shared" si="62"/>
        <v>88113.09794715821</v>
      </c>
      <c r="L242" s="135">
        <f>INDEX('2019 Best Practice Scores'!L$4:L$256,MATCH(B242,'2019 Best Practice Scores'!A$4:A$256,0))</f>
        <v>0.19907407407407407</v>
      </c>
      <c r="M242" s="97">
        <f t="shared" si="63"/>
        <v>20380.776429144978</v>
      </c>
      <c r="N242" s="97">
        <f t="shared" si="64"/>
        <v>3444.8215084389099</v>
      </c>
      <c r="O242" s="97">
        <f t="shared" si="65"/>
        <v>1217.1852589628249</v>
      </c>
      <c r="P242" s="97">
        <f t="shared" si="66"/>
        <v>1070.7237829056342</v>
      </c>
      <c r="Q242" s="97">
        <f t="shared" si="67"/>
        <v>26113.506979452348</v>
      </c>
      <c r="R242" s="104">
        <f t="shared" si="68"/>
        <v>0.29636350994165167</v>
      </c>
      <c r="S242" s="166">
        <f t="shared" si="69"/>
        <v>26114.559425237097</v>
      </c>
      <c r="T242" s="97"/>
      <c r="U242" s="97">
        <f>IFERROR(INDEX('Revised 2020 MFAM(2018 PYAs)'!AD$26:AD$300,MATCH(B242,'Revised 2020 MFAM(2018 PYAs)'!B$26:B$300,0)),0)</f>
        <v>-20.966561041488603</v>
      </c>
      <c r="V242" s="97">
        <f>IFERROR(INDEX('Revised 2019 MFAM(2017 PYAs)'!AF$26:AF$300,MATCH(B242,'Revised 2019 MFAM(2017 PYAs)'!B$26:B$300,0)),0)</f>
        <v>5.286482771676674</v>
      </c>
      <c r="W242" s="97">
        <f t="shared" si="70"/>
        <v>-1.7392429431421445E-2</v>
      </c>
      <c r="X242" s="97">
        <f t="shared" si="71"/>
        <v>-15.69747069924335</v>
      </c>
      <c r="Y242" s="97"/>
      <c r="Z242" s="98">
        <f t="shared" si="72"/>
        <v>26098.861954537853</v>
      </c>
      <c r="AA242" s="99">
        <v>0</v>
      </c>
      <c r="AB242" s="100">
        <f t="shared" si="73"/>
        <v>0</v>
      </c>
      <c r="AC242" s="97">
        <f t="shared" si="74"/>
        <v>26098.861954537853</v>
      </c>
      <c r="AD242" s="103"/>
      <c r="AE242" s="97">
        <f t="shared" si="75"/>
        <v>6524.7154886344633</v>
      </c>
      <c r="AF242" s="97">
        <f t="shared" si="75"/>
        <v>6524.7154886344633</v>
      </c>
      <c r="AG242" s="97">
        <f t="shared" si="75"/>
        <v>6524.7154886344633</v>
      </c>
      <c r="AH242" s="97">
        <f t="shared" si="75"/>
        <v>6524.7154886344633</v>
      </c>
    </row>
    <row r="243" spans="2:34" x14ac:dyDescent="0.25">
      <c r="B243">
        <v>924</v>
      </c>
      <c r="C243" s="28">
        <v>8</v>
      </c>
      <c r="D243" s="35" t="s">
        <v>265</v>
      </c>
      <c r="E243" s="154">
        <f>INDEX('2019 Data Lockdown'!H$5:H$257,MATCH(B243,'2019 Data Lockdown'!B$5:B$257,0))</f>
        <v>94.709546028343453</v>
      </c>
      <c r="F243" s="5">
        <f>INDEX('2019 Data Lockdown'!E$5:E$257,MATCH(B243,'2019 Data Lockdown'!B$5:B$257,0))</f>
        <v>60061.57</v>
      </c>
      <c r="G243" s="5">
        <f>INDEX('2019 Data Lockdown'!F$5:F$257,MATCH(B243,'2019 Data Lockdown'!B$5:B$257,0))</f>
        <v>0</v>
      </c>
      <c r="H243" s="5">
        <f t="shared" si="59"/>
        <v>60061.57</v>
      </c>
      <c r="I243" s="95">
        <f t="shared" si="60"/>
        <v>634.1659581181558</v>
      </c>
      <c r="J243" s="6">
        <f t="shared" si="61"/>
        <v>634.1659581181558</v>
      </c>
      <c r="K243" s="5">
        <f t="shared" si="62"/>
        <v>60061.570000000007</v>
      </c>
      <c r="L243" s="135">
        <f>INDEX('2019 Best Practice Scores'!L$4:L$256,MATCH(B243,'2019 Best Practice Scores'!A$4:A$256,0))</f>
        <v>0.38425925925925919</v>
      </c>
      <c r="M243" s="97">
        <f t="shared" si="63"/>
        <v>13892.388971359738</v>
      </c>
      <c r="N243" s="97">
        <f t="shared" si="64"/>
        <v>6778.6719553900375</v>
      </c>
      <c r="O243" s="97">
        <f t="shared" si="65"/>
        <v>1601.4837286428585</v>
      </c>
      <c r="P243" s="97">
        <f t="shared" si="66"/>
        <v>729.85007831886855</v>
      </c>
      <c r="Q243" s="97">
        <f t="shared" si="67"/>
        <v>23002.394733711502</v>
      </c>
      <c r="R243" s="104">
        <f t="shared" si="68"/>
        <v>0.38298024400147213</v>
      </c>
      <c r="S243" s="166">
        <f t="shared" si="69"/>
        <v>23003.321793159921</v>
      </c>
      <c r="T243" s="97"/>
      <c r="U243" s="97">
        <f>IFERROR(INDEX('Revised 2020 MFAM(2018 PYAs)'!AD$26:AD$300,MATCH(B243,'Revised 2020 MFAM(2018 PYAs)'!B$26:B$300,0)),0)</f>
        <v>-9.0279940408108814</v>
      </c>
      <c r="V243" s="97">
        <f>IFERROR(INDEX('Revised 2019 MFAM(2017 PYAs)'!AF$26:AF$300,MATCH(B243,'Revised 2019 MFAM(2017 PYAs)'!B$26:B$300,0)),0)</f>
        <v>3.0289225101369084</v>
      </c>
      <c r="W243" s="97">
        <f t="shared" si="70"/>
        <v>-1.532032934046639E-2</v>
      </c>
      <c r="X243" s="97">
        <f t="shared" si="71"/>
        <v>-6.014391860014439</v>
      </c>
      <c r="Y243" s="97"/>
      <c r="Z243" s="98">
        <f t="shared" si="72"/>
        <v>22997.307401299906</v>
      </c>
      <c r="AA243" s="99">
        <v>0</v>
      </c>
      <c r="AB243" s="100">
        <f t="shared" si="73"/>
        <v>0</v>
      </c>
      <c r="AC243" s="97">
        <f t="shared" si="74"/>
        <v>22997.307401299906</v>
      </c>
      <c r="AD243" s="103"/>
      <c r="AE243" s="97">
        <f t="shared" si="75"/>
        <v>5749.3268503249765</v>
      </c>
      <c r="AF243" s="97">
        <f t="shared" si="75"/>
        <v>5749.3268503249765</v>
      </c>
      <c r="AG243" s="97">
        <f t="shared" si="75"/>
        <v>5749.3268503249765</v>
      </c>
      <c r="AH243" s="97">
        <f t="shared" si="75"/>
        <v>5749.3268503249765</v>
      </c>
    </row>
    <row r="244" spans="2:34" x14ac:dyDescent="0.25">
      <c r="B244">
        <v>929</v>
      </c>
      <c r="C244" s="28">
        <v>8</v>
      </c>
      <c r="D244" s="35" t="s">
        <v>266</v>
      </c>
      <c r="E244" s="154">
        <f>INDEX('2019 Data Lockdown'!H$5:H$257,MATCH(B244,'2019 Data Lockdown'!B$5:B$257,0))</f>
        <v>53.697866226033099</v>
      </c>
      <c r="F244" s="5">
        <f>INDEX('2019 Data Lockdown'!E$5:E$257,MATCH(B244,'2019 Data Lockdown'!B$5:B$257,0))</f>
        <v>45278.1</v>
      </c>
      <c r="G244" s="5">
        <f>INDEX('2019 Data Lockdown'!F$5:F$257,MATCH(B244,'2019 Data Lockdown'!B$5:B$257,0))</f>
        <v>0</v>
      </c>
      <c r="H244" s="5">
        <f t="shared" si="59"/>
        <v>45278.1</v>
      </c>
      <c r="I244" s="95">
        <f t="shared" si="60"/>
        <v>843.20110243130785</v>
      </c>
      <c r="J244" s="6">
        <f t="shared" si="61"/>
        <v>843.20110243130785</v>
      </c>
      <c r="K244" s="5">
        <f t="shared" si="62"/>
        <v>45278.1</v>
      </c>
      <c r="L244" s="135">
        <f>INDEX('2019 Best Practice Scores'!L$4:L$256,MATCH(B244,'2019 Best Practice Scores'!A$4:A$256,0))</f>
        <v>0.39814814814814814</v>
      </c>
      <c r="M244" s="97">
        <f t="shared" si="63"/>
        <v>10472.935973603808</v>
      </c>
      <c r="N244" s="97">
        <f t="shared" si="64"/>
        <v>3843.3319038585946</v>
      </c>
      <c r="O244" s="97">
        <f t="shared" si="65"/>
        <v>1250.9340190693438</v>
      </c>
      <c r="P244" s="97">
        <f t="shared" si="66"/>
        <v>550.205810989116</v>
      </c>
      <c r="Q244" s="97">
        <f t="shared" si="67"/>
        <v>16117.407707520862</v>
      </c>
      <c r="R244" s="104">
        <f t="shared" si="68"/>
        <v>0.35596475354577295</v>
      </c>
      <c r="S244" s="166">
        <f t="shared" si="69"/>
        <v>16118.057283152975</v>
      </c>
      <c r="T244" s="97"/>
      <c r="U244" s="97">
        <f>IFERROR(INDEX('Revised 2020 MFAM(2018 PYAs)'!AD$26:AD$300,MATCH(B244,'Revised 2020 MFAM(2018 PYAs)'!B$26:B$300,0)),0)</f>
        <v>-7.8068320070760819</v>
      </c>
      <c r="V244" s="97">
        <f>IFERROR(INDEX('Revised 2019 MFAM(2017 PYAs)'!AF$26:AF$300,MATCH(B244,'Revised 2019 MFAM(2017 PYAs)'!B$26:B$300,0)),0)</f>
        <v>2.1920715067499259</v>
      </c>
      <c r="W244" s="97">
        <f t="shared" si="70"/>
        <v>-1.0734708148969718E-2</v>
      </c>
      <c r="X244" s="97">
        <f t="shared" si="71"/>
        <v>-5.625495208475126</v>
      </c>
      <c r="Y244" s="97"/>
      <c r="Z244" s="98">
        <f t="shared" si="72"/>
        <v>16112.431787944501</v>
      </c>
      <c r="AA244" s="99">
        <v>0</v>
      </c>
      <c r="AB244" s="100">
        <f t="shared" si="73"/>
        <v>0</v>
      </c>
      <c r="AC244" s="97">
        <f t="shared" si="74"/>
        <v>16112.431787944501</v>
      </c>
      <c r="AD244" s="103"/>
      <c r="AE244" s="97">
        <f t="shared" si="75"/>
        <v>4028.1079469861252</v>
      </c>
      <c r="AF244" s="97">
        <f t="shared" si="75"/>
        <v>4028.1079469861252</v>
      </c>
      <c r="AG244" s="97">
        <f t="shared" si="75"/>
        <v>4028.1079469861252</v>
      </c>
      <c r="AH244" s="97">
        <f t="shared" si="75"/>
        <v>4028.1079469861252</v>
      </c>
    </row>
    <row r="245" spans="2:34" x14ac:dyDescent="0.25">
      <c r="B245">
        <v>955</v>
      </c>
      <c r="C245" s="28">
        <v>8</v>
      </c>
      <c r="D245" s="35" t="s">
        <v>267</v>
      </c>
      <c r="E245" s="154">
        <f>INDEX('2019 Data Lockdown'!H$5:H$257,MATCH(B245,'2019 Data Lockdown'!B$5:B$257,0))</f>
        <v>50.276820820063051</v>
      </c>
      <c r="F245" s="5">
        <f>INDEX('2019 Data Lockdown'!E$5:E$257,MATCH(B245,'2019 Data Lockdown'!B$5:B$257,0))</f>
        <v>25073.62</v>
      </c>
      <c r="G245" s="5">
        <f>INDEX('2019 Data Lockdown'!F$5:F$257,MATCH(B245,'2019 Data Lockdown'!B$5:B$257,0))</f>
        <v>0</v>
      </c>
      <c r="H245" s="5">
        <f t="shared" si="59"/>
        <v>25073.62</v>
      </c>
      <c r="I245" s="95">
        <f t="shared" si="60"/>
        <v>498.71132643284255</v>
      </c>
      <c r="J245" s="6">
        <f t="shared" si="61"/>
        <v>498.71132643284255</v>
      </c>
      <c r="K245" s="5">
        <f t="shared" si="62"/>
        <v>25073.62</v>
      </c>
      <c r="L245" s="135">
        <f>INDEX('2019 Best Practice Scores'!L$4:L$256,MATCH(B245,'2019 Best Practice Scores'!A$4:A$256,0))</f>
        <v>0.16666666666666666</v>
      </c>
      <c r="M245" s="97">
        <f t="shared" si="63"/>
        <v>5799.590020042182</v>
      </c>
      <c r="N245" s="97">
        <f t="shared" si="64"/>
        <v>3598.4764956759277</v>
      </c>
      <c r="O245" s="97">
        <f t="shared" si="65"/>
        <v>289.97950100210909</v>
      </c>
      <c r="P245" s="97">
        <f t="shared" si="66"/>
        <v>304.68706563510659</v>
      </c>
      <c r="Q245" s="97">
        <f t="shared" si="67"/>
        <v>9992.7330823553275</v>
      </c>
      <c r="R245" s="104">
        <f t="shared" si="68"/>
        <v>0.39853571531973953</v>
      </c>
      <c r="S245" s="166">
        <f t="shared" si="69"/>
        <v>9993.1358168413135</v>
      </c>
      <c r="T245" s="97"/>
      <c r="U245" s="97">
        <f>IFERROR(INDEX('Revised 2020 MFAM(2018 PYAs)'!AD$26:AD$300,MATCH(B245,'Revised 2020 MFAM(2018 PYAs)'!B$26:B$300,0)),0)</f>
        <v>-3.2871821754579287</v>
      </c>
      <c r="V245" s="97">
        <f>IFERROR(INDEX('Revised 2019 MFAM(2017 PYAs)'!AF$26:AF$300,MATCH(B245,'Revised 2019 MFAM(2017 PYAs)'!B$26:B$300,0)),0)</f>
        <v>1.2226954531070078</v>
      </c>
      <c r="W245" s="97">
        <f t="shared" si="70"/>
        <v>-6.6554792927143039E-3</v>
      </c>
      <c r="X245" s="97">
        <f t="shared" si="71"/>
        <v>-2.0711422016436352</v>
      </c>
      <c r="Y245" s="97"/>
      <c r="Z245" s="98">
        <f t="shared" si="72"/>
        <v>9991.0646746396706</v>
      </c>
      <c r="AA245" s="99">
        <v>0</v>
      </c>
      <c r="AB245" s="100">
        <f t="shared" si="73"/>
        <v>0</v>
      </c>
      <c r="AC245" s="97">
        <f t="shared" si="74"/>
        <v>9991.0646746396706</v>
      </c>
      <c r="AD245" s="103"/>
      <c r="AE245" s="97">
        <f t="shared" si="75"/>
        <v>2497.7661686599176</v>
      </c>
      <c r="AF245" s="97">
        <f t="shared" si="75"/>
        <v>2497.7661686599176</v>
      </c>
      <c r="AG245" s="97">
        <f t="shared" si="75"/>
        <v>2497.7661686599176</v>
      </c>
      <c r="AH245" s="97">
        <f t="shared" si="75"/>
        <v>2497.7661686599176</v>
      </c>
    </row>
    <row r="246" spans="2:34" x14ac:dyDescent="0.25">
      <c r="B246">
        <v>973</v>
      </c>
      <c r="C246" s="28">
        <v>8</v>
      </c>
      <c r="D246" s="35" t="s">
        <v>268</v>
      </c>
      <c r="E246" s="154">
        <f>INDEX('2019 Data Lockdown'!H$5:H$257,MATCH(B246,'2019 Data Lockdown'!B$5:B$257,0))</f>
        <v>8.1012111451691897</v>
      </c>
      <c r="F246" s="5">
        <f>INDEX('2019 Data Lockdown'!E$5:E$257,MATCH(B246,'2019 Data Lockdown'!B$5:B$257,0))</f>
        <v>8741.84</v>
      </c>
      <c r="G246" s="5">
        <f>INDEX('2019 Data Lockdown'!F$5:F$257,MATCH(B246,'2019 Data Lockdown'!B$5:B$257,0))</f>
        <v>0</v>
      </c>
      <c r="H246" s="5">
        <f t="shared" si="59"/>
        <v>8741.84</v>
      </c>
      <c r="I246" s="95">
        <f t="shared" si="60"/>
        <v>1079.0781579878735</v>
      </c>
      <c r="J246" s="6">
        <f t="shared" si="61"/>
        <v>1079.0781579878735</v>
      </c>
      <c r="K246" s="5">
        <f t="shared" si="62"/>
        <v>8741.84</v>
      </c>
      <c r="L246" s="135">
        <f>INDEX('2019 Best Practice Scores'!L$4:L$256,MATCH(B246,'2019 Best Practice Scores'!A$4:A$256,0))</f>
        <v>0.1875</v>
      </c>
      <c r="M246" s="97">
        <f t="shared" si="63"/>
        <v>2022.0091084097769</v>
      </c>
      <c r="N246" s="97">
        <f t="shared" si="64"/>
        <v>579.83017654859418</v>
      </c>
      <c r="O246" s="97">
        <f t="shared" si="65"/>
        <v>113.73801234804995</v>
      </c>
      <c r="P246" s="97">
        <f t="shared" si="66"/>
        <v>106.22820230391942</v>
      </c>
      <c r="Q246" s="97">
        <f t="shared" si="67"/>
        <v>2821.8054996103401</v>
      </c>
      <c r="R246" s="104">
        <f t="shared" si="68"/>
        <v>0.32279308470646229</v>
      </c>
      <c r="S246" s="166">
        <f t="shared" si="69"/>
        <v>2821.9192260931823</v>
      </c>
      <c r="T246" s="97"/>
      <c r="U246" s="97">
        <f>IFERROR(INDEX('Revised 2020 MFAM(2018 PYAs)'!AD$26:AD$300,MATCH(B246,'Revised 2020 MFAM(2018 PYAs)'!B$26:B$300,0)),0)</f>
        <v>-1.6680036267321157</v>
      </c>
      <c r="V246" s="97">
        <f>IFERROR(INDEX('Revised 2019 MFAM(2017 PYAs)'!AF$26:AF$300,MATCH(B246,'Revised 2019 MFAM(2017 PYAs)'!B$26:B$300,0)),0)</f>
        <v>0.27890115157333639</v>
      </c>
      <c r="W246" s="97">
        <f t="shared" si="70"/>
        <v>-1.8794125607022947E-3</v>
      </c>
      <c r="X246" s="97">
        <f t="shared" si="71"/>
        <v>-1.3909818877194815</v>
      </c>
      <c r="Y246" s="97"/>
      <c r="Z246" s="98">
        <f t="shared" si="72"/>
        <v>2820.5282442054627</v>
      </c>
      <c r="AA246" s="99">
        <v>0</v>
      </c>
      <c r="AB246" s="100">
        <f t="shared" si="73"/>
        <v>0</v>
      </c>
      <c r="AC246" s="97">
        <f t="shared" si="74"/>
        <v>2820.5282442054627</v>
      </c>
      <c r="AD246" s="103"/>
      <c r="AE246" s="97">
        <f t="shared" ref="AE246:AH265" si="76">$AC246/4</f>
        <v>705.13206105136567</v>
      </c>
      <c r="AF246" s="97">
        <f t="shared" si="76"/>
        <v>705.13206105136567</v>
      </c>
      <c r="AG246" s="97">
        <f t="shared" si="76"/>
        <v>705.13206105136567</v>
      </c>
      <c r="AH246" s="97">
        <f t="shared" si="76"/>
        <v>705.13206105136567</v>
      </c>
    </row>
    <row r="247" spans="2:34" x14ac:dyDescent="0.25">
      <c r="B247">
        <v>974</v>
      </c>
      <c r="C247" s="28">
        <v>8</v>
      </c>
      <c r="D247" s="35" t="s">
        <v>269</v>
      </c>
      <c r="E247" s="154">
        <f>INDEX('2019 Data Lockdown'!H$5:H$257,MATCH(B247,'2019 Data Lockdown'!B$5:B$257,0))</f>
        <v>17.47</v>
      </c>
      <c r="F247" s="5">
        <f>INDEX('2019 Data Lockdown'!E$5:E$257,MATCH(B247,'2019 Data Lockdown'!B$5:B$257,0))</f>
        <v>15310.94</v>
      </c>
      <c r="G247" s="5">
        <f>INDEX('2019 Data Lockdown'!F$5:F$257,MATCH(B247,'2019 Data Lockdown'!B$5:B$257,0))</f>
        <v>0</v>
      </c>
      <c r="H247" s="5">
        <f t="shared" si="59"/>
        <v>15310.94</v>
      </c>
      <c r="I247" s="95">
        <f t="shared" si="60"/>
        <v>876.41327990841455</v>
      </c>
      <c r="J247" s="6">
        <f t="shared" si="61"/>
        <v>876.41327990841455</v>
      </c>
      <c r="K247" s="5">
        <f t="shared" si="62"/>
        <v>15310.94</v>
      </c>
      <c r="L247" s="135">
        <f>INDEX('2019 Best Practice Scores'!L$4:L$256,MATCH(B247,'2019 Best Practice Scores'!A$4:A$256,0))</f>
        <v>0.33564814814814814</v>
      </c>
      <c r="M247" s="97">
        <f t="shared" si="63"/>
        <v>3541.4581070250188</v>
      </c>
      <c r="N247" s="97">
        <f t="shared" si="64"/>
        <v>1250.3850353714472</v>
      </c>
      <c r="O247" s="97">
        <f t="shared" si="65"/>
        <v>356.60515661015808</v>
      </c>
      <c r="P247" s="97">
        <f t="shared" si="66"/>
        <v>186.05392363428888</v>
      </c>
      <c r="Q247" s="97">
        <f t="shared" si="67"/>
        <v>5334.5022226409128</v>
      </c>
      <c r="R247" s="104">
        <f t="shared" si="68"/>
        <v>0.34841115063091571</v>
      </c>
      <c r="S247" s="166">
        <f t="shared" si="69"/>
        <v>5334.7172176770973</v>
      </c>
      <c r="T247" s="97"/>
      <c r="U247" s="97">
        <f>IFERROR(INDEX('Revised 2020 MFAM(2018 PYAs)'!AD$26:AD$300,MATCH(B247,'Revised 2020 MFAM(2018 PYAs)'!B$26:B$300,0)),0)</f>
        <v>-2.282323707750038</v>
      </c>
      <c r="V247" s="97">
        <f>IFERROR(INDEX('Revised 2019 MFAM(2017 PYAs)'!AF$26:AF$300,MATCH(B247,'Revised 2019 MFAM(2017 PYAs)'!B$26:B$300,0)),0)</f>
        <v>0.6012579579191879</v>
      </c>
      <c r="W247" s="97">
        <f t="shared" si="70"/>
        <v>-3.5529488066098395E-3</v>
      </c>
      <c r="X247" s="97">
        <f t="shared" si="71"/>
        <v>-1.6846186986374601</v>
      </c>
      <c r="Y247" s="97"/>
      <c r="Z247" s="98">
        <f t="shared" si="72"/>
        <v>5333.0325989784596</v>
      </c>
      <c r="AA247" s="99">
        <v>0</v>
      </c>
      <c r="AB247" s="100">
        <f t="shared" si="73"/>
        <v>0</v>
      </c>
      <c r="AC247" s="97">
        <f t="shared" si="74"/>
        <v>5333.0325989784596</v>
      </c>
      <c r="AD247" s="103"/>
      <c r="AE247" s="97">
        <f t="shared" si="76"/>
        <v>1333.2581497446149</v>
      </c>
      <c r="AF247" s="97">
        <f t="shared" si="76"/>
        <v>1333.2581497446149</v>
      </c>
      <c r="AG247" s="97">
        <f t="shared" si="76"/>
        <v>1333.2581497446149</v>
      </c>
      <c r="AH247" s="97">
        <f t="shared" si="76"/>
        <v>1333.2581497446149</v>
      </c>
    </row>
    <row r="248" spans="2:34" x14ac:dyDescent="0.25">
      <c r="B248" s="26">
        <v>985</v>
      </c>
      <c r="C248" s="28">
        <v>8</v>
      </c>
      <c r="D248" s="35" t="s">
        <v>271</v>
      </c>
      <c r="E248" s="154">
        <f>INDEX('2019 Data Lockdown'!H$5:H$257,MATCH(B248,'2019 Data Lockdown'!B$5:B$257,0))</f>
        <v>65.667615124449199</v>
      </c>
      <c r="F248" s="5">
        <f>INDEX('2019 Data Lockdown'!E$5:E$257,MATCH(B248,'2019 Data Lockdown'!B$5:B$257,0))</f>
        <v>119730.94</v>
      </c>
      <c r="G248" s="5">
        <f>INDEX('2019 Data Lockdown'!F$5:F$257,MATCH(B248,'2019 Data Lockdown'!B$5:B$257,0))</f>
        <v>0</v>
      </c>
      <c r="H248" s="5">
        <f t="shared" si="59"/>
        <v>119730.94</v>
      </c>
      <c r="I248" s="95">
        <f t="shared" si="60"/>
        <v>1823.2874724183805</v>
      </c>
      <c r="J248" s="6">
        <f t="shared" si="61"/>
        <v>1823.2874724183805</v>
      </c>
      <c r="K248" s="5">
        <f t="shared" si="62"/>
        <v>119730.94</v>
      </c>
      <c r="L248" s="135">
        <f>INDEX('2019 Best Practice Scores'!L$4:L$256,MATCH(B248,'2019 Best Practice Scores'!A$4:A$256,0))</f>
        <v>0.35185185185185186</v>
      </c>
      <c r="M248" s="97">
        <f t="shared" si="63"/>
        <v>27694.061117392277</v>
      </c>
      <c r="N248" s="97">
        <f t="shared" si="64"/>
        <v>4700.0459794014314</v>
      </c>
      <c r="O248" s="97">
        <f t="shared" si="65"/>
        <v>2923.2620068358515</v>
      </c>
      <c r="P248" s="97">
        <f t="shared" si="66"/>
        <v>1454.9342605628149</v>
      </c>
      <c r="Q248" s="97">
        <f t="shared" si="67"/>
        <v>36772.303364192368</v>
      </c>
      <c r="R248" s="104">
        <f t="shared" si="68"/>
        <v>0.30712448565251693</v>
      </c>
      <c r="S248" s="166">
        <f t="shared" si="69"/>
        <v>36773.785388636716</v>
      </c>
      <c r="T248" s="97"/>
      <c r="U248" s="97">
        <f>IFERROR(INDEX('Revised 2020 MFAM(2018 PYAs)'!AD$26:AD$300,MATCH(B248,'Revised 2020 MFAM(2018 PYAs)'!B$26:B$300,0)),0)</f>
        <v>177.9068161185096</v>
      </c>
      <c r="V248" s="97">
        <f>IFERROR(INDEX('Revised 2019 MFAM(2017 PYAs)'!AF$26:AF$300,MATCH(B248,'Revised 2019 MFAM(2017 PYAs)'!B$26:B$300,0)),0)</f>
        <v>-1171.4916756755374</v>
      </c>
      <c r="W248" s="97">
        <f t="shared" si="70"/>
        <v>-2.4491528150385185E-2</v>
      </c>
      <c r="X248" s="97">
        <f t="shared" si="71"/>
        <v>-993.60935108517822</v>
      </c>
      <c r="Y248" s="97"/>
      <c r="Z248" s="98">
        <f t="shared" si="72"/>
        <v>35780.176037551537</v>
      </c>
      <c r="AA248" s="99">
        <v>0</v>
      </c>
      <c r="AB248" s="100">
        <f t="shared" si="73"/>
        <v>0</v>
      </c>
      <c r="AC248" s="97">
        <f t="shared" si="74"/>
        <v>35780.176037551537</v>
      </c>
      <c r="AD248" s="103"/>
      <c r="AE248" s="97">
        <f t="shared" si="76"/>
        <v>8945.0440093878842</v>
      </c>
      <c r="AF248" s="97">
        <f t="shared" si="76"/>
        <v>8945.0440093878842</v>
      </c>
      <c r="AG248" s="97">
        <f t="shared" si="76"/>
        <v>8945.0440093878842</v>
      </c>
      <c r="AH248" s="97">
        <f t="shared" si="76"/>
        <v>8945.0440093878842</v>
      </c>
    </row>
    <row r="249" spans="2:34" x14ac:dyDescent="0.25">
      <c r="B249">
        <v>159</v>
      </c>
      <c r="C249" s="28">
        <v>9</v>
      </c>
      <c r="D249" s="35" t="s">
        <v>273</v>
      </c>
      <c r="E249" s="154">
        <f>INDEX('2019 Data Lockdown'!H$5:H$257,MATCH(B249,'2019 Data Lockdown'!B$5:B$257,0))</f>
        <v>721.93312534833865</v>
      </c>
      <c r="F249" s="5">
        <f>INDEX('2019 Data Lockdown'!E$5:E$257,MATCH(B249,'2019 Data Lockdown'!B$5:B$257,0))</f>
        <v>166217.32</v>
      </c>
      <c r="G249" s="5">
        <f>INDEX('2019 Data Lockdown'!F$5:F$257,MATCH(B249,'2019 Data Lockdown'!B$5:B$257,0))</f>
        <v>0</v>
      </c>
      <c r="H249" s="5">
        <f t="shared" si="59"/>
        <v>166217.32</v>
      </c>
      <c r="I249" s="95">
        <f t="shared" si="60"/>
        <v>230.2392204538319</v>
      </c>
      <c r="J249" s="6">
        <f t="shared" si="61"/>
        <v>230.2392204538319</v>
      </c>
      <c r="K249" s="5">
        <f t="shared" si="62"/>
        <v>166217.32</v>
      </c>
      <c r="L249" s="135">
        <f>INDEX('2019 Best Practice Scores'!L$4:L$256,MATCH(B249,'2019 Best Practice Scores'!A$4:A$256,0))</f>
        <v>0.91666666666666674</v>
      </c>
      <c r="M249" s="97">
        <f t="shared" si="63"/>
        <v>38446.475228952098</v>
      </c>
      <c r="N249" s="97">
        <f t="shared" si="64"/>
        <v>51671.114852575956</v>
      </c>
      <c r="O249" s="97">
        <f t="shared" si="65"/>
        <v>10572.780687961827</v>
      </c>
      <c r="P249" s="97">
        <f t="shared" si="66"/>
        <v>2019.8227255789757</v>
      </c>
      <c r="Q249" s="97">
        <f t="shared" si="67"/>
        <v>102710.19349506887</v>
      </c>
      <c r="R249" s="104">
        <f t="shared" si="68"/>
        <v>0.61792714197936094</v>
      </c>
      <c r="S249" s="166">
        <f t="shared" si="69"/>
        <v>102714.33299690904</v>
      </c>
      <c r="T249" s="97"/>
      <c r="U249" s="97">
        <f>IFERROR(INDEX('Revised 2020 MFAM(2018 PYAs)'!AD$26:AD$300,MATCH(B249,'Revised 2020 MFAM(2018 PYAs)'!B$26:B$300,0)),0)</f>
        <v>-24.17661119546392</v>
      </c>
      <c r="V249" s="97">
        <f>IFERROR(INDEX('Revised 2019 MFAM(2017 PYAs)'!AF$26:AF$300,MATCH(B249,'Revised 2019 MFAM(2017 PYAs)'!B$26:B$300,0)),0)</f>
        <v>15.194381691297167</v>
      </c>
      <c r="W249" s="97">
        <f t="shared" si="70"/>
        <v>-6.8408268320921298E-2</v>
      </c>
      <c r="X249" s="97">
        <f t="shared" si="71"/>
        <v>-9.0506377724876739</v>
      </c>
      <c r="Y249" s="97"/>
      <c r="Z249" s="98">
        <f t="shared" si="72"/>
        <v>102705.28235913656</v>
      </c>
      <c r="AA249" s="99">
        <v>0</v>
      </c>
      <c r="AB249" s="100">
        <f t="shared" si="73"/>
        <v>0</v>
      </c>
      <c r="AC249" s="97">
        <f t="shared" si="74"/>
        <v>102705.28235913656</v>
      </c>
      <c r="AD249" s="103"/>
      <c r="AE249" s="97">
        <f t="shared" si="76"/>
        <v>25676.32058978414</v>
      </c>
      <c r="AF249" s="97">
        <f t="shared" si="76"/>
        <v>25676.32058978414</v>
      </c>
      <c r="AG249" s="97">
        <f t="shared" si="76"/>
        <v>25676.32058978414</v>
      </c>
      <c r="AH249" s="97">
        <f t="shared" si="76"/>
        <v>25676.32058978414</v>
      </c>
    </row>
    <row r="250" spans="2:34" x14ac:dyDescent="0.25">
      <c r="B250">
        <v>173</v>
      </c>
      <c r="C250" s="28">
        <v>9</v>
      </c>
      <c r="D250" s="35" t="s">
        <v>274</v>
      </c>
      <c r="E250" s="154">
        <f>INDEX('2019 Data Lockdown'!H$5:H$257,MATCH(B250,'2019 Data Lockdown'!B$5:B$257,0))</f>
        <v>317.52000000000004</v>
      </c>
      <c r="F250" s="5">
        <f>INDEX('2019 Data Lockdown'!E$5:E$257,MATCH(B250,'2019 Data Lockdown'!B$5:B$257,0))</f>
        <v>188734.3</v>
      </c>
      <c r="G250" s="5">
        <f>INDEX('2019 Data Lockdown'!F$5:F$257,MATCH(B250,'2019 Data Lockdown'!B$5:B$257,0))</f>
        <v>0</v>
      </c>
      <c r="H250" s="5">
        <f t="shared" si="59"/>
        <v>188734.3</v>
      </c>
      <c r="I250" s="95">
        <f t="shared" si="60"/>
        <v>594.40129755605938</v>
      </c>
      <c r="J250" s="6">
        <f t="shared" si="61"/>
        <v>594.40129755605938</v>
      </c>
      <c r="K250" s="5">
        <f t="shared" si="62"/>
        <v>188734.3</v>
      </c>
      <c r="L250" s="135">
        <f>INDEX('2019 Best Practice Scores'!L$4:L$256,MATCH(B250,'2019 Best Practice Scores'!A$4:A$256,0))</f>
        <v>0.86574074074074081</v>
      </c>
      <c r="M250" s="97">
        <f t="shared" si="63"/>
        <v>43654.708124301447</v>
      </c>
      <c r="N250" s="97">
        <f t="shared" si="64"/>
        <v>22725.944844369893</v>
      </c>
      <c r="O250" s="97">
        <f t="shared" si="65"/>
        <v>11338.097804506071</v>
      </c>
      <c r="P250" s="97">
        <f t="shared" si="66"/>
        <v>2293.4422732615353</v>
      </c>
      <c r="Q250" s="97">
        <f t="shared" si="67"/>
        <v>80012.193046438959</v>
      </c>
      <c r="R250" s="104">
        <f t="shared" si="68"/>
        <v>0.423940921424664</v>
      </c>
      <c r="S250" s="166">
        <f t="shared" si="69"/>
        <v>80015.417756753304</v>
      </c>
      <c r="T250" s="97"/>
      <c r="U250" s="97">
        <f>IFERROR(INDEX('Revised 2020 MFAM(2018 PYAs)'!AD$26:AD$300,MATCH(B250,'Revised 2020 MFAM(2018 PYAs)'!B$26:B$300,0)),0)</f>
        <v>-27.792458461248316</v>
      </c>
      <c r="V250" s="97">
        <f>IFERROR(INDEX('Revised 2019 MFAM(2017 PYAs)'!AF$26:AF$300,MATCH(B250,'Revised 2019 MFAM(2017 PYAs)'!B$26:B$300,0)),0)</f>
        <v>9.737336015314213</v>
      </c>
      <c r="W250" s="97">
        <f t="shared" si="70"/>
        <v>-5.3290675293381995E-2</v>
      </c>
      <c r="X250" s="97">
        <f t="shared" si="71"/>
        <v>-18.108413121227485</v>
      </c>
      <c r="Y250" s="97"/>
      <c r="Z250" s="98">
        <f t="shared" si="72"/>
        <v>79997.309343632078</v>
      </c>
      <c r="AA250" s="99">
        <v>0</v>
      </c>
      <c r="AB250" s="100">
        <f t="shared" si="73"/>
        <v>0</v>
      </c>
      <c r="AC250" s="97">
        <f t="shared" si="74"/>
        <v>79997.309343632078</v>
      </c>
      <c r="AD250" s="103"/>
      <c r="AE250" s="97">
        <f t="shared" si="76"/>
        <v>19999.327335908019</v>
      </c>
      <c r="AF250" s="97">
        <f t="shared" si="76"/>
        <v>19999.327335908019</v>
      </c>
      <c r="AG250" s="97">
        <f t="shared" si="76"/>
        <v>19999.327335908019</v>
      </c>
      <c r="AH250" s="97">
        <f t="shared" si="76"/>
        <v>19999.327335908019</v>
      </c>
    </row>
    <row r="251" spans="2:34" x14ac:dyDescent="0.25">
      <c r="B251">
        <v>204</v>
      </c>
      <c r="C251" s="28">
        <v>9</v>
      </c>
      <c r="D251" s="35" t="s">
        <v>275</v>
      </c>
      <c r="E251" s="154">
        <f>INDEX('2019 Data Lockdown'!H$5:H$257,MATCH(B251,'2019 Data Lockdown'!B$5:B$257,0))</f>
        <v>445.31300985280456</v>
      </c>
      <c r="F251" s="5">
        <f>INDEX('2019 Data Lockdown'!E$5:E$257,MATCH(B251,'2019 Data Lockdown'!B$5:B$257,0))</f>
        <v>522018.01</v>
      </c>
      <c r="G251" s="5">
        <f>INDEX('2019 Data Lockdown'!F$5:F$257,MATCH(B251,'2019 Data Lockdown'!B$5:B$257,0))</f>
        <v>0</v>
      </c>
      <c r="H251" s="5">
        <f t="shared" si="59"/>
        <v>522018.01</v>
      </c>
      <c r="I251" s="95">
        <f t="shared" si="60"/>
        <v>1172.2496276777313</v>
      </c>
      <c r="J251" s="6">
        <f t="shared" si="61"/>
        <v>1172.2496276777313</v>
      </c>
      <c r="K251" s="5">
        <f t="shared" si="62"/>
        <v>522018.01</v>
      </c>
      <c r="L251" s="135">
        <f>INDEX('2019 Best Practice Scores'!L$4:L$256,MATCH(B251,'2019 Best Practice Scores'!A$4:A$256,0))</f>
        <v>0.2361111111111111</v>
      </c>
      <c r="M251" s="97">
        <f t="shared" si="63"/>
        <v>120744.05056303318</v>
      </c>
      <c r="N251" s="97">
        <f t="shared" si="64"/>
        <v>31872.508504645946</v>
      </c>
      <c r="O251" s="97">
        <f t="shared" si="65"/>
        <v>8552.7035815481813</v>
      </c>
      <c r="P251" s="97">
        <f t="shared" si="66"/>
        <v>6343.4053668986653</v>
      </c>
      <c r="Q251" s="97">
        <f t="shared" si="67"/>
        <v>167512.66801612597</v>
      </c>
      <c r="R251" s="104">
        <f t="shared" si="68"/>
        <v>0.32089442281143893</v>
      </c>
      <c r="S251" s="166">
        <f t="shared" si="69"/>
        <v>167519.41923500609</v>
      </c>
      <c r="T251" s="97"/>
      <c r="U251" s="97">
        <f>IFERROR(INDEX('Revised 2020 MFAM(2018 PYAs)'!AD$26:AD$300,MATCH(B251,'Revised 2020 MFAM(2018 PYAs)'!B$26:B$300,0)),0)</f>
        <v>-25172.812008220266</v>
      </c>
      <c r="V251" s="97">
        <f>IFERROR(INDEX('Revised 2019 MFAM(2017 PYAs)'!AF$26:AF$300,MATCH(B251,'Revised 2019 MFAM(2017 PYAs)'!B$26:B$300,0)),0)</f>
        <v>24.767919877514942</v>
      </c>
      <c r="W251" s="97">
        <f t="shared" si="70"/>
        <v>-0.11156878544241783</v>
      </c>
      <c r="X251" s="97">
        <f t="shared" si="71"/>
        <v>-25148.155657128194</v>
      </c>
      <c r="Y251" s="97"/>
      <c r="Z251" s="98">
        <f t="shared" si="72"/>
        <v>142371.26357787789</v>
      </c>
      <c r="AA251" s="99">
        <v>0</v>
      </c>
      <c r="AB251" s="100">
        <f t="shared" si="73"/>
        <v>0</v>
      </c>
      <c r="AC251" s="97">
        <f t="shared" si="74"/>
        <v>142371.26357787789</v>
      </c>
      <c r="AD251" s="103"/>
      <c r="AE251" s="97">
        <f t="shared" si="76"/>
        <v>35592.815894469473</v>
      </c>
      <c r="AF251" s="97">
        <f t="shared" si="76"/>
        <v>35592.815894469473</v>
      </c>
      <c r="AG251" s="97">
        <f t="shared" si="76"/>
        <v>35592.815894469473</v>
      </c>
      <c r="AH251" s="97">
        <f t="shared" si="76"/>
        <v>35592.815894469473</v>
      </c>
    </row>
    <row r="252" spans="2:34" x14ac:dyDescent="0.25">
      <c r="B252">
        <v>230</v>
      </c>
      <c r="C252" s="28">
        <v>9</v>
      </c>
      <c r="D252" s="35" t="s">
        <v>277</v>
      </c>
      <c r="E252" s="154">
        <f>INDEX('2019 Data Lockdown'!H$5:H$257,MATCH(B252,'2019 Data Lockdown'!B$5:B$257,0))</f>
        <v>137.3463158270811</v>
      </c>
      <c r="F252" s="5">
        <f>INDEX('2019 Data Lockdown'!E$5:E$257,MATCH(B252,'2019 Data Lockdown'!B$5:B$257,0))</f>
        <v>95548.24</v>
      </c>
      <c r="G252" s="5">
        <f>INDEX('2019 Data Lockdown'!F$5:F$257,MATCH(B252,'2019 Data Lockdown'!B$5:B$257,0))</f>
        <v>1799.3000000000002</v>
      </c>
      <c r="H252" s="5">
        <f t="shared" si="59"/>
        <v>93748.94</v>
      </c>
      <c r="I252" s="95">
        <f t="shared" si="60"/>
        <v>682.57338710147746</v>
      </c>
      <c r="J252" s="6">
        <f t="shared" si="61"/>
        <v>682.57338710147746</v>
      </c>
      <c r="K252" s="5">
        <f t="shared" si="62"/>
        <v>93748.94</v>
      </c>
      <c r="L252" s="135">
        <f>INDEX('2019 Best Practice Scores'!L$4:L$256,MATCH(B252,'2019 Best Practice Scores'!A$4:A$256,0))</f>
        <v>0.27777777777777779</v>
      </c>
      <c r="M252" s="97">
        <f t="shared" si="63"/>
        <v>21684.360567542037</v>
      </c>
      <c r="N252" s="97">
        <f t="shared" si="64"/>
        <v>9830.3250127980973</v>
      </c>
      <c r="O252" s="97">
        <f t="shared" si="65"/>
        <v>1807.0300472951697</v>
      </c>
      <c r="P252" s="97">
        <f t="shared" si="66"/>
        <v>1139.2088352221047</v>
      </c>
      <c r="Q252" s="97">
        <f t="shared" si="67"/>
        <v>34460.924462857409</v>
      </c>
      <c r="R252" s="104">
        <f t="shared" si="68"/>
        <v>0.36758735045812152</v>
      </c>
      <c r="S252" s="166">
        <f t="shared" si="69"/>
        <v>34462.313332407488</v>
      </c>
      <c r="T252" s="97"/>
      <c r="U252" s="97">
        <f>IFERROR(INDEX('Revised 2020 MFAM(2018 PYAs)'!AD$26:AD$300,MATCH(B252,'Revised 2020 MFAM(2018 PYAs)'!B$26:B$300,0)),0)</f>
        <v>-10.640055453193781</v>
      </c>
      <c r="V252" s="97">
        <f>IFERROR(INDEX('Revised 2019 MFAM(2017 PYAs)'!AF$26:AF$300,MATCH(B252,'Revised 2019 MFAM(2017 PYAs)'!B$26:B$300,0)),0)</f>
        <v>3.5791665181204735</v>
      </c>
      <c r="W252" s="97">
        <f t="shared" si="70"/>
        <v>-2.2952076001641748E-2</v>
      </c>
      <c r="X252" s="97">
        <f t="shared" si="71"/>
        <v>-7.0838410110749495</v>
      </c>
      <c r="Y252" s="97"/>
      <c r="Z252" s="98">
        <f t="shared" si="72"/>
        <v>34455.229491396414</v>
      </c>
      <c r="AA252" s="99">
        <v>0</v>
      </c>
      <c r="AB252" s="100">
        <f t="shared" si="73"/>
        <v>0</v>
      </c>
      <c r="AC252" s="97">
        <f t="shared" si="74"/>
        <v>34455.229491396414</v>
      </c>
      <c r="AD252" s="103"/>
      <c r="AE252" s="97">
        <f t="shared" si="76"/>
        <v>8613.8073728491036</v>
      </c>
      <c r="AF252" s="97">
        <f t="shared" si="76"/>
        <v>8613.8073728491036</v>
      </c>
      <c r="AG252" s="97">
        <f t="shared" si="76"/>
        <v>8613.8073728491036</v>
      </c>
      <c r="AH252" s="97">
        <f t="shared" si="76"/>
        <v>8613.8073728491036</v>
      </c>
    </row>
    <row r="253" spans="2:34" x14ac:dyDescent="0.25">
      <c r="B253">
        <v>277</v>
      </c>
      <c r="C253" s="28">
        <v>9</v>
      </c>
      <c r="D253" s="35" t="s">
        <v>278</v>
      </c>
      <c r="E253" s="154">
        <f>INDEX('2019 Data Lockdown'!H$5:H$257,MATCH(B253,'2019 Data Lockdown'!B$5:B$257,0))</f>
        <v>77.20924891627962</v>
      </c>
      <c r="F253" s="5">
        <f>INDEX('2019 Data Lockdown'!E$5:E$257,MATCH(B253,'2019 Data Lockdown'!B$5:B$257,0))</f>
        <v>193093.73</v>
      </c>
      <c r="G253" s="5">
        <f>INDEX('2019 Data Lockdown'!F$5:F$257,MATCH(B253,'2019 Data Lockdown'!B$5:B$257,0))</f>
        <v>5454.62</v>
      </c>
      <c r="H253" s="5">
        <f t="shared" si="59"/>
        <v>187639.11000000002</v>
      </c>
      <c r="I253" s="95">
        <f t="shared" si="60"/>
        <v>2430.2672624553429</v>
      </c>
      <c r="J253" s="6">
        <f t="shared" si="61"/>
        <v>1693.3856735583604</v>
      </c>
      <c r="K253" s="5">
        <f t="shared" si="62"/>
        <v>130745.03598102927</v>
      </c>
      <c r="L253" s="135">
        <f>INDEX('2019 Best Practice Scores'!L$4:L$256,MATCH(B253,'2019 Best Practice Scores'!A$4:A$256,0))</f>
        <v>0.25694444444444442</v>
      </c>
      <c r="M253" s="97">
        <f t="shared" si="63"/>
        <v>30241.648626948696</v>
      </c>
      <c r="N253" s="97">
        <f t="shared" si="64"/>
        <v>5526.1184566219335</v>
      </c>
      <c r="O253" s="97">
        <f t="shared" si="65"/>
        <v>2331.1270816606284</v>
      </c>
      <c r="P253" s="97">
        <f t="shared" si="66"/>
        <v>1588.7742320182022</v>
      </c>
      <c r="Q253" s="97">
        <f t="shared" si="67"/>
        <v>39687.668397249457</v>
      </c>
      <c r="R253" s="104">
        <f t="shared" si="68"/>
        <v>0.30355009732842186</v>
      </c>
      <c r="S253" s="166">
        <f t="shared" si="69"/>
        <v>39689.267918881844</v>
      </c>
      <c r="T253" s="97"/>
      <c r="U253" s="97">
        <f>IFERROR(INDEX('Revised 2020 MFAM(2018 PYAs)'!AD$26:AD$300,MATCH(B253,'Revised 2020 MFAM(2018 PYAs)'!B$26:B$300,0)),0)</f>
        <v>-12.797911674952047</v>
      </c>
      <c r="V253" s="97">
        <f>IFERROR(INDEX('Revised 2019 MFAM(2017 PYAs)'!AF$26:AF$300,MATCH(B253,'Revised 2019 MFAM(2017 PYAs)'!B$26:B$300,0)),0)</f>
        <v>3.5189674203757022</v>
      </c>
      <c r="W253" s="97">
        <f t="shared" si="70"/>
        <v>-2.643325434764306E-2</v>
      </c>
      <c r="X253" s="97">
        <f t="shared" si="71"/>
        <v>-9.3053775089239874</v>
      </c>
      <c r="Y253" s="97"/>
      <c r="Z253" s="98">
        <f t="shared" si="72"/>
        <v>39679.962541372923</v>
      </c>
      <c r="AA253" s="99">
        <v>0</v>
      </c>
      <c r="AB253" s="100">
        <f t="shared" si="73"/>
        <v>0</v>
      </c>
      <c r="AC253" s="97">
        <f t="shared" si="74"/>
        <v>39679.962541372923</v>
      </c>
      <c r="AD253" s="103"/>
      <c r="AE253" s="97">
        <f t="shared" si="76"/>
        <v>9919.9906353432307</v>
      </c>
      <c r="AF253" s="97">
        <f t="shared" si="76"/>
        <v>9919.9906353432307</v>
      </c>
      <c r="AG253" s="97">
        <f t="shared" si="76"/>
        <v>9919.9906353432307</v>
      </c>
      <c r="AH253" s="97">
        <f t="shared" si="76"/>
        <v>9919.9906353432307</v>
      </c>
    </row>
    <row r="254" spans="2:34" x14ac:dyDescent="0.25">
      <c r="B254">
        <v>279</v>
      </c>
      <c r="C254" s="28">
        <v>9</v>
      </c>
      <c r="D254" s="35" t="s">
        <v>279</v>
      </c>
      <c r="E254" s="154">
        <f>INDEX('2019 Data Lockdown'!H$5:H$257,MATCH(B254,'2019 Data Lockdown'!B$5:B$257,0))</f>
        <v>281.14056938192209</v>
      </c>
      <c r="F254" s="5">
        <f>INDEX('2019 Data Lockdown'!E$5:E$257,MATCH(B254,'2019 Data Lockdown'!B$5:B$257,0))</f>
        <v>185521.99</v>
      </c>
      <c r="G254" s="5">
        <f>INDEX('2019 Data Lockdown'!F$5:F$257,MATCH(B254,'2019 Data Lockdown'!B$5:B$257,0))</f>
        <v>796</v>
      </c>
      <c r="H254" s="5">
        <f t="shared" si="59"/>
        <v>184725.99</v>
      </c>
      <c r="I254" s="95">
        <f t="shared" si="60"/>
        <v>657.05917294723326</v>
      </c>
      <c r="J254" s="6">
        <f t="shared" si="61"/>
        <v>657.05917294723326</v>
      </c>
      <c r="K254" s="5">
        <f t="shared" si="62"/>
        <v>184725.99</v>
      </c>
      <c r="L254" s="135">
        <f>INDEX('2019 Best Practice Scores'!L$4:L$256,MATCH(B254,'2019 Best Practice Scores'!A$4:A$256,0))</f>
        <v>0.24305555555555555</v>
      </c>
      <c r="M254" s="97">
        <f t="shared" si="63"/>
        <v>42727.576155593488</v>
      </c>
      <c r="N254" s="97">
        <f t="shared" si="64"/>
        <v>20122.150016655036</v>
      </c>
      <c r="O254" s="97">
        <f t="shared" si="65"/>
        <v>3115.5524280120248</v>
      </c>
      <c r="P254" s="97">
        <f t="shared" si="66"/>
        <v>2244.7344994316754</v>
      </c>
      <c r="Q254" s="97">
        <f t="shared" si="67"/>
        <v>68210.013099692238</v>
      </c>
      <c r="R254" s="104">
        <f t="shared" si="68"/>
        <v>0.36924968218977872</v>
      </c>
      <c r="S254" s="166">
        <f t="shared" si="69"/>
        <v>68212.762149860835</v>
      </c>
      <c r="T254" s="97"/>
      <c r="U254" s="97">
        <f>IFERROR(INDEX('Revised 2020 MFAM(2018 PYAs)'!AD$26:AD$300,MATCH(B254,'Revised 2020 MFAM(2018 PYAs)'!B$26:B$300,0)),0)</f>
        <v>270.85632235294906</v>
      </c>
      <c r="V254" s="97">
        <f>IFERROR(INDEX('Revised 2019 MFAM(2017 PYAs)'!AF$26:AF$300,MATCH(B254,'Revised 2019 MFAM(2017 PYAs)'!B$26:B$300,0)),0)</f>
        <v>10.846380340182805</v>
      </c>
      <c r="W254" s="97">
        <f t="shared" si="70"/>
        <v>-4.5430046614811655E-2</v>
      </c>
      <c r="X254" s="97">
        <f t="shared" si="71"/>
        <v>281.65727264651707</v>
      </c>
      <c r="Y254" s="97"/>
      <c r="Z254" s="98">
        <f t="shared" si="72"/>
        <v>68494.419422507359</v>
      </c>
      <c r="AA254" s="99">
        <v>0</v>
      </c>
      <c r="AB254" s="100">
        <f t="shared" si="73"/>
        <v>0</v>
      </c>
      <c r="AC254" s="97">
        <f t="shared" si="74"/>
        <v>68494.419422507359</v>
      </c>
      <c r="AD254" s="103"/>
      <c r="AE254" s="97">
        <f t="shared" si="76"/>
        <v>17123.60485562684</v>
      </c>
      <c r="AF254" s="97">
        <f t="shared" si="76"/>
        <v>17123.60485562684</v>
      </c>
      <c r="AG254" s="97">
        <f t="shared" si="76"/>
        <v>17123.60485562684</v>
      </c>
      <c r="AH254" s="97">
        <f t="shared" si="76"/>
        <v>17123.60485562684</v>
      </c>
    </row>
    <row r="255" spans="2:34" x14ac:dyDescent="0.25">
      <c r="B255">
        <v>331</v>
      </c>
      <c r="C255" s="28">
        <v>9</v>
      </c>
      <c r="D255" s="35" t="s">
        <v>280</v>
      </c>
      <c r="E255" s="154">
        <f>INDEX('2019 Data Lockdown'!H$5:H$257,MATCH(B255,'2019 Data Lockdown'!B$5:B$257,0))</f>
        <v>442.75839063951412</v>
      </c>
      <c r="F255" s="5">
        <f>INDEX('2019 Data Lockdown'!E$5:E$257,MATCH(B255,'2019 Data Lockdown'!B$5:B$257,0))</f>
        <v>160212.76999999999</v>
      </c>
      <c r="G255" s="5">
        <f>INDEX('2019 Data Lockdown'!F$5:F$257,MATCH(B255,'2019 Data Lockdown'!B$5:B$257,0))</f>
        <v>0</v>
      </c>
      <c r="H255" s="5">
        <f t="shared" si="59"/>
        <v>160212.76999999999</v>
      </c>
      <c r="I255" s="95">
        <f t="shared" si="60"/>
        <v>361.85145981895653</v>
      </c>
      <c r="J255" s="6">
        <f t="shared" si="61"/>
        <v>361.85145981895653</v>
      </c>
      <c r="K255" s="5">
        <f t="shared" si="62"/>
        <v>160212.76999999999</v>
      </c>
      <c r="L255" s="135">
        <f>INDEX('2019 Best Practice Scores'!L$4:L$256,MATCH(B255,'2019 Best Practice Scores'!A$4:A$256,0))</f>
        <v>0.55092592592592593</v>
      </c>
      <c r="M255" s="97">
        <f t="shared" si="63"/>
        <v>37057.608034871453</v>
      </c>
      <c r="N255" s="97">
        <f t="shared" si="64"/>
        <v>31689.666052707151</v>
      </c>
      <c r="O255" s="97">
        <f t="shared" si="65"/>
        <v>6124.7991057634754</v>
      </c>
      <c r="P255" s="97">
        <f t="shared" si="66"/>
        <v>1946.8572455262636</v>
      </c>
      <c r="Q255" s="97">
        <f t="shared" si="67"/>
        <v>76818.930438868352</v>
      </c>
      <c r="R255" s="104">
        <f t="shared" si="68"/>
        <v>0.47948069582011693</v>
      </c>
      <c r="S255" s="166">
        <f t="shared" si="69"/>
        <v>76822.026451961996</v>
      </c>
      <c r="T255" s="97"/>
      <c r="U255" s="97">
        <f>IFERROR(INDEX('Revised 2020 MFAM(2018 PYAs)'!AD$26:AD$300,MATCH(B255,'Revised 2020 MFAM(2018 PYAs)'!B$26:B$300,0)),0)</f>
        <v>-22.380881889614102</v>
      </c>
      <c r="V255" s="97">
        <f>IFERROR(INDEX('Revised 2019 MFAM(2017 PYAs)'!AF$26:AF$300,MATCH(B255,'Revised 2019 MFAM(2017 PYAs)'!B$26:B$300,0)),0)</f>
        <v>9.1117410464503337</v>
      </c>
      <c r="W255" s="97">
        <f t="shared" si="70"/>
        <v>-5.1163860438453862E-2</v>
      </c>
      <c r="X255" s="97">
        <f t="shared" si="71"/>
        <v>-13.320304703602222</v>
      </c>
      <c r="Y255" s="97"/>
      <c r="Z255" s="98">
        <f t="shared" si="72"/>
        <v>76808.706147258388</v>
      </c>
      <c r="AA255" s="99">
        <v>0</v>
      </c>
      <c r="AB255" s="100">
        <f t="shared" si="73"/>
        <v>0</v>
      </c>
      <c r="AC255" s="97">
        <f t="shared" si="74"/>
        <v>76808.706147258388</v>
      </c>
      <c r="AD255" s="103"/>
      <c r="AE255" s="97">
        <f t="shared" si="76"/>
        <v>19202.176536814597</v>
      </c>
      <c r="AF255" s="97">
        <f t="shared" si="76"/>
        <v>19202.176536814597</v>
      </c>
      <c r="AG255" s="97">
        <f t="shared" si="76"/>
        <v>19202.176536814597</v>
      </c>
      <c r="AH255" s="97">
        <f t="shared" si="76"/>
        <v>19202.176536814597</v>
      </c>
    </row>
    <row r="256" spans="2:34" x14ac:dyDescent="0.25">
      <c r="B256">
        <v>369</v>
      </c>
      <c r="C256" s="28">
        <v>9</v>
      </c>
      <c r="D256" s="35" t="s">
        <v>281</v>
      </c>
      <c r="E256" s="154">
        <f>INDEX('2019 Data Lockdown'!H$5:H$257,MATCH(B256,'2019 Data Lockdown'!B$5:B$257,0))</f>
        <v>372.33</v>
      </c>
      <c r="F256" s="5">
        <f>INDEX('2019 Data Lockdown'!E$5:E$257,MATCH(B256,'2019 Data Lockdown'!B$5:B$257,0))</f>
        <v>439717.41</v>
      </c>
      <c r="G256" s="5">
        <f>INDEX('2019 Data Lockdown'!F$5:F$257,MATCH(B256,'2019 Data Lockdown'!B$5:B$257,0))</f>
        <v>0</v>
      </c>
      <c r="H256" s="5">
        <f t="shared" si="59"/>
        <v>439717.41</v>
      </c>
      <c r="I256" s="95">
        <f t="shared" si="60"/>
        <v>1180.9883973894125</v>
      </c>
      <c r="J256" s="6">
        <f t="shared" si="61"/>
        <v>1180.9883973894125</v>
      </c>
      <c r="K256" s="5">
        <f t="shared" si="62"/>
        <v>439717.40999999992</v>
      </c>
      <c r="L256" s="135">
        <f>INDEX('2019 Best Practice Scores'!L$4:L$256,MATCH(B256,'2019 Best Practice Scores'!A$4:A$256,0))</f>
        <v>0.65953703703703703</v>
      </c>
      <c r="M256" s="97">
        <f t="shared" si="63"/>
        <v>101707.7192154462</v>
      </c>
      <c r="N256" s="97">
        <f t="shared" si="64"/>
        <v>26648.875799648027</v>
      </c>
      <c r="O256" s="97">
        <f t="shared" si="65"/>
        <v>20124.002332545089</v>
      </c>
      <c r="P256" s="97">
        <f t="shared" si="66"/>
        <v>5343.3133054408991</v>
      </c>
      <c r="Q256" s="97">
        <f t="shared" si="67"/>
        <v>153823.91065308024</v>
      </c>
      <c r="R256" s="104">
        <f t="shared" si="68"/>
        <v>0.3498244717057718</v>
      </c>
      <c r="S256" s="166">
        <f t="shared" si="69"/>
        <v>153830.11017758254</v>
      </c>
      <c r="T256" s="97"/>
      <c r="U256" s="97">
        <f>IFERROR(INDEX('Revised 2020 MFAM(2018 PYAs)'!AD$26:AD$300,MATCH(B256,'Revised 2020 MFAM(2018 PYAs)'!B$26:B$300,0)),0)</f>
        <v>-80.060224746819586</v>
      </c>
      <c r="V256" s="97">
        <f>IFERROR(INDEX('Revised 2019 MFAM(2017 PYAs)'!AF$26:AF$300,MATCH(B256,'Revised 2019 MFAM(2017 PYAs)'!B$26:B$300,0)),0)</f>
        <v>18.259071596577996</v>
      </c>
      <c r="W256" s="97">
        <f t="shared" si="70"/>
        <v>-0.102451635967705</v>
      </c>
      <c r="X256" s="97">
        <f t="shared" si="71"/>
        <v>-61.903604786209293</v>
      </c>
      <c r="Y256" s="97"/>
      <c r="Z256" s="98">
        <f t="shared" si="72"/>
        <v>153768.20657279633</v>
      </c>
      <c r="AA256" s="99">
        <v>0</v>
      </c>
      <c r="AB256" s="100">
        <f t="shared" si="73"/>
        <v>0</v>
      </c>
      <c r="AC256" s="97">
        <f t="shared" si="74"/>
        <v>153768.20657279633</v>
      </c>
      <c r="AD256" s="103"/>
      <c r="AE256" s="97">
        <f t="shared" si="76"/>
        <v>38442.051643199084</v>
      </c>
      <c r="AF256" s="97">
        <f t="shared" si="76"/>
        <v>38442.051643199084</v>
      </c>
      <c r="AG256" s="97">
        <f t="shared" si="76"/>
        <v>38442.051643199084</v>
      </c>
      <c r="AH256" s="97">
        <f t="shared" si="76"/>
        <v>38442.051643199084</v>
      </c>
    </row>
    <row r="257" spans="2:34" x14ac:dyDescent="0.25">
      <c r="B257">
        <v>416</v>
      </c>
      <c r="C257" s="28">
        <v>9</v>
      </c>
      <c r="D257" s="35" t="s">
        <v>282</v>
      </c>
      <c r="E257" s="154">
        <f>INDEX('2019 Data Lockdown'!H$5:H$257,MATCH(B257,'2019 Data Lockdown'!B$5:B$257,0))</f>
        <v>63.282402387757521</v>
      </c>
      <c r="F257" s="5">
        <f>INDEX('2019 Data Lockdown'!E$5:E$257,MATCH(B257,'2019 Data Lockdown'!B$5:B$257,0))</f>
        <v>63073.1</v>
      </c>
      <c r="G257" s="5">
        <f>INDEX('2019 Data Lockdown'!F$5:F$257,MATCH(B257,'2019 Data Lockdown'!B$5:B$257,0))</f>
        <v>67.5</v>
      </c>
      <c r="H257" s="5">
        <f t="shared" si="59"/>
        <v>63005.599999999999</v>
      </c>
      <c r="I257" s="95">
        <f t="shared" si="60"/>
        <v>995.62591846527187</v>
      </c>
      <c r="J257" s="6">
        <f t="shared" si="61"/>
        <v>995.62591846527187</v>
      </c>
      <c r="K257" s="5">
        <f t="shared" si="62"/>
        <v>63005.599999999999</v>
      </c>
      <c r="L257" s="135">
        <f>INDEX('2019 Best Practice Scores'!L$4:L$256,MATCH(B257,'2019 Best Practice Scores'!A$4:A$256,0))</f>
        <v>0.63425925925925919</v>
      </c>
      <c r="M257" s="97">
        <f t="shared" si="63"/>
        <v>14573.350356540846</v>
      </c>
      <c r="N257" s="97">
        <f t="shared" si="64"/>
        <v>4529.3285030341358</v>
      </c>
      <c r="O257" s="97">
        <f t="shared" si="65"/>
        <v>2772.9847206195773</v>
      </c>
      <c r="P257" s="97">
        <f t="shared" si="66"/>
        <v>765.62504267749409</v>
      </c>
      <c r="Q257" s="97">
        <f t="shared" si="67"/>
        <v>22641.288622872053</v>
      </c>
      <c r="R257" s="104">
        <f t="shared" si="68"/>
        <v>0.35935359115494581</v>
      </c>
      <c r="S257" s="166">
        <f t="shared" si="69"/>
        <v>22642.201128756122</v>
      </c>
      <c r="T257" s="97"/>
      <c r="U257" s="97">
        <f>IFERROR(INDEX('Revised 2020 MFAM(2018 PYAs)'!AD$26:AD$300,MATCH(B257,'Revised 2020 MFAM(2018 PYAs)'!B$26:B$300,0)),0)</f>
        <v>-9.0073720307373151</v>
      </c>
      <c r="V257" s="97">
        <f>IFERROR(INDEX('Revised 2019 MFAM(2017 PYAs)'!AF$26:AF$300,MATCH(B257,'Revised 2019 MFAM(2017 PYAs)'!B$26:B$300,0)),0)</f>
        <v>2.4662023081218649</v>
      </c>
      <c r="W257" s="97">
        <f t="shared" si="70"/>
        <v>-1.5079821140821964E-2</v>
      </c>
      <c r="X257" s="97">
        <f t="shared" si="71"/>
        <v>-6.5562495437562722</v>
      </c>
      <c r="Y257" s="97"/>
      <c r="Z257" s="98">
        <f t="shared" si="72"/>
        <v>22635.644879212367</v>
      </c>
      <c r="AA257" s="99">
        <v>0</v>
      </c>
      <c r="AB257" s="100">
        <f t="shared" si="73"/>
        <v>0</v>
      </c>
      <c r="AC257" s="97">
        <f t="shared" si="74"/>
        <v>22635.644879212367</v>
      </c>
      <c r="AD257" s="103"/>
      <c r="AE257" s="97">
        <f t="shared" si="76"/>
        <v>5658.9112198030916</v>
      </c>
      <c r="AF257" s="97">
        <f t="shared" si="76"/>
        <v>5658.9112198030916</v>
      </c>
      <c r="AG257" s="97">
        <f t="shared" si="76"/>
        <v>5658.9112198030916</v>
      </c>
      <c r="AH257" s="97">
        <f t="shared" si="76"/>
        <v>5658.9112198030916</v>
      </c>
    </row>
    <row r="258" spans="2:34" x14ac:dyDescent="0.25">
      <c r="B258">
        <v>508</v>
      </c>
      <c r="C258" s="28">
        <v>9</v>
      </c>
      <c r="D258" s="35" t="s">
        <v>284</v>
      </c>
      <c r="E258" s="154">
        <f>INDEX('2019 Data Lockdown'!H$5:H$257,MATCH(B258,'2019 Data Lockdown'!B$5:B$257,0))</f>
        <v>83.552342128140978</v>
      </c>
      <c r="F258" s="5">
        <f>INDEX('2019 Data Lockdown'!E$5:E$257,MATCH(B258,'2019 Data Lockdown'!B$5:B$257,0))</f>
        <v>78621.899999999994</v>
      </c>
      <c r="G258" s="5">
        <f>INDEX('2019 Data Lockdown'!F$5:F$257,MATCH(B258,'2019 Data Lockdown'!B$5:B$257,0))</f>
        <v>0</v>
      </c>
      <c r="H258" s="5">
        <f t="shared" si="59"/>
        <v>78621.899999999994</v>
      </c>
      <c r="I258" s="95">
        <f t="shared" si="60"/>
        <v>940.98977954945462</v>
      </c>
      <c r="J258" s="6">
        <f t="shared" si="61"/>
        <v>940.98977954945462</v>
      </c>
      <c r="K258" s="5">
        <f t="shared" si="62"/>
        <v>78621.899999999994</v>
      </c>
      <c r="L258" s="135">
        <f>INDEX('2019 Best Practice Scores'!L$4:L$256,MATCH(B258,'2019 Best Practice Scores'!A$4:A$256,0))</f>
        <v>0.53587962962962965</v>
      </c>
      <c r="M258" s="97">
        <f t="shared" si="63"/>
        <v>18185.438983152588</v>
      </c>
      <c r="N258" s="97">
        <f t="shared" si="64"/>
        <v>5980.1143827855076</v>
      </c>
      <c r="O258" s="97">
        <f t="shared" si="65"/>
        <v>2923.5618920832112</v>
      </c>
      <c r="P258" s="97">
        <f t="shared" si="66"/>
        <v>955.38960890596502</v>
      </c>
      <c r="Q258" s="97">
        <f t="shared" si="67"/>
        <v>28044.504866927273</v>
      </c>
      <c r="R258" s="104">
        <f t="shared" si="68"/>
        <v>0.35670093023607002</v>
      </c>
      <c r="S258" s="166">
        <f t="shared" si="69"/>
        <v>28045.635137210607</v>
      </c>
      <c r="T258" s="97"/>
      <c r="U258" s="97">
        <f>IFERROR(INDEX('Revised 2020 MFAM(2018 PYAs)'!AD$26:AD$300,MATCH(B258,'Revised 2020 MFAM(2018 PYAs)'!B$26:B$300,0)),0)</f>
        <v>-11.777900445114938</v>
      </c>
      <c r="V258" s="97">
        <f>IFERROR(INDEX('Revised 2019 MFAM(2017 PYAs)'!AF$26:AF$300,MATCH(B258,'Revised 2019 MFAM(2017 PYAs)'!B$26:B$300,0)),0)</f>
        <v>3.0539249871726497</v>
      </c>
      <c r="W258" s="97">
        <f t="shared" si="70"/>
        <v>-1.8678535679676724E-2</v>
      </c>
      <c r="X258" s="97">
        <f t="shared" si="71"/>
        <v>-8.742653993621964</v>
      </c>
      <c r="Y258" s="97"/>
      <c r="Z258" s="98">
        <f t="shared" si="72"/>
        <v>28036.892483216987</v>
      </c>
      <c r="AA258" s="99">
        <v>0</v>
      </c>
      <c r="AB258" s="100">
        <f t="shared" si="73"/>
        <v>0</v>
      </c>
      <c r="AC258" s="97">
        <f t="shared" si="74"/>
        <v>28036.892483216987</v>
      </c>
      <c r="AD258" s="103"/>
      <c r="AE258" s="97">
        <f t="shared" si="76"/>
        <v>7009.2231208042467</v>
      </c>
      <c r="AF258" s="97">
        <f t="shared" si="76"/>
        <v>7009.2231208042467</v>
      </c>
      <c r="AG258" s="97">
        <f t="shared" si="76"/>
        <v>7009.2231208042467</v>
      </c>
      <c r="AH258" s="97">
        <f t="shared" si="76"/>
        <v>7009.2231208042467</v>
      </c>
    </row>
    <row r="259" spans="2:34" x14ac:dyDescent="0.25">
      <c r="B259">
        <v>512</v>
      </c>
      <c r="C259" s="28">
        <v>9</v>
      </c>
      <c r="D259" s="35" t="s">
        <v>285</v>
      </c>
      <c r="E259" s="154">
        <f>INDEX('2019 Data Lockdown'!H$5:H$257,MATCH(B259,'2019 Data Lockdown'!B$5:B$257,0))</f>
        <v>208.64932368107657</v>
      </c>
      <c r="F259" s="5">
        <f>INDEX('2019 Data Lockdown'!E$5:E$257,MATCH(B259,'2019 Data Lockdown'!B$5:B$257,0))</f>
        <v>275963.07</v>
      </c>
      <c r="G259" s="5">
        <f>INDEX('2019 Data Lockdown'!F$5:F$257,MATCH(B259,'2019 Data Lockdown'!B$5:B$257,0))</f>
        <v>3670.08</v>
      </c>
      <c r="H259" s="5">
        <f t="shared" si="59"/>
        <v>272292.99</v>
      </c>
      <c r="I259" s="95">
        <f t="shared" si="60"/>
        <v>1305.026947588882</v>
      </c>
      <c r="J259" s="6">
        <f t="shared" si="61"/>
        <v>1305.026947588882</v>
      </c>
      <c r="K259" s="5">
        <f t="shared" si="62"/>
        <v>272292.99</v>
      </c>
      <c r="L259" s="135">
        <f>INDEX('2019 Best Practice Scores'!L$4:L$256,MATCH(B259,'2019 Best Practice Scores'!A$4:A$256,0))</f>
        <v>0.61805555555555558</v>
      </c>
      <c r="M259" s="97">
        <f t="shared" si="63"/>
        <v>62982.038785442448</v>
      </c>
      <c r="N259" s="97">
        <f t="shared" si="64"/>
        <v>14933.714480320063</v>
      </c>
      <c r="O259" s="97">
        <f t="shared" si="65"/>
        <v>11677.919691467454</v>
      </c>
      <c r="P259" s="97">
        <f t="shared" si="66"/>
        <v>3308.8222648388787</v>
      </c>
      <c r="Q259" s="97">
        <f t="shared" si="67"/>
        <v>92902.495222068843</v>
      </c>
      <c r="R259" s="104">
        <f t="shared" si="68"/>
        <v>0.34118577647580589</v>
      </c>
      <c r="S259" s="166">
        <f t="shared" si="69"/>
        <v>92906.239446832144</v>
      </c>
      <c r="T259" s="97"/>
      <c r="U259" s="97">
        <f>IFERROR(INDEX('Revised 2020 MFAM(2018 PYAs)'!AD$26:AD$300,MATCH(B259,'Revised 2020 MFAM(2018 PYAs)'!B$26:B$300,0)),0)</f>
        <v>634.26877501730633</v>
      </c>
      <c r="V259" s="97">
        <f>IFERROR(INDEX('Revised 2019 MFAM(2017 PYAs)'!AF$26:AF$300,MATCH(B259,'Revised 2019 MFAM(2017 PYAs)'!B$26:B$300,0)),0)</f>
        <v>59.044118758902187</v>
      </c>
      <c r="W259" s="97">
        <f t="shared" si="70"/>
        <v>-6.1876028119249075E-2</v>
      </c>
      <c r="X259" s="97">
        <f t="shared" si="71"/>
        <v>693.25101774808923</v>
      </c>
      <c r="Y259" s="97"/>
      <c r="Z259" s="98">
        <f t="shared" si="72"/>
        <v>93599.490464580231</v>
      </c>
      <c r="AA259" s="99">
        <v>0</v>
      </c>
      <c r="AB259" s="100">
        <f t="shared" si="73"/>
        <v>0</v>
      </c>
      <c r="AC259" s="97">
        <f t="shared" si="74"/>
        <v>93599.490464580231</v>
      </c>
      <c r="AD259" s="103"/>
      <c r="AE259" s="97">
        <f t="shared" si="76"/>
        <v>23399.872616145058</v>
      </c>
      <c r="AF259" s="97">
        <f t="shared" si="76"/>
        <v>23399.872616145058</v>
      </c>
      <c r="AG259" s="97">
        <f t="shared" si="76"/>
        <v>23399.872616145058</v>
      </c>
      <c r="AH259" s="97">
        <f t="shared" si="76"/>
        <v>23399.872616145058</v>
      </c>
    </row>
    <row r="260" spans="2:34" x14ac:dyDescent="0.25">
      <c r="B260">
        <v>516</v>
      </c>
      <c r="C260" s="28">
        <v>9</v>
      </c>
      <c r="D260" s="35" t="s">
        <v>286</v>
      </c>
      <c r="E260" s="154">
        <f>INDEX('2019 Data Lockdown'!H$5:H$257,MATCH(B260,'2019 Data Lockdown'!B$5:B$257,0))</f>
        <v>310.85525259616531</v>
      </c>
      <c r="F260" s="5">
        <f>INDEX('2019 Data Lockdown'!E$5:E$257,MATCH(B260,'2019 Data Lockdown'!B$5:B$257,0))</f>
        <v>161888.84</v>
      </c>
      <c r="G260" s="5">
        <f>INDEX('2019 Data Lockdown'!F$5:F$257,MATCH(B260,'2019 Data Lockdown'!B$5:B$257,0))</f>
        <v>144.16</v>
      </c>
      <c r="H260" s="5">
        <f t="shared" si="59"/>
        <v>161744.68</v>
      </c>
      <c r="I260" s="95">
        <f t="shared" si="60"/>
        <v>520.32152794318029</v>
      </c>
      <c r="J260" s="6">
        <f t="shared" si="61"/>
        <v>520.32152794318029</v>
      </c>
      <c r="K260" s="5">
        <f t="shared" si="62"/>
        <v>161744.68</v>
      </c>
      <c r="L260" s="135">
        <f>INDEX('2019 Best Practice Scores'!L$4:L$256,MATCH(B260,'2019 Best Practice Scores'!A$4:A$256,0))</f>
        <v>0.53009259259259256</v>
      </c>
      <c r="M260" s="97">
        <f t="shared" si="63"/>
        <v>37411.942588382386</v>
      </c>
      <c r="N260" s="97">
        <f t="shared" si="64"/>
        <v>22248.927075721604</v>
      </c>
      <c r="O260" s="97">
        <f t="shared" si="65"/>
        <v>5949.5380921802534</v>
      </c>
      <c r="P260" s="97">
        <f t="shared" si="66"/>
        <v>1965.4725536755086</v>
      </c>
      <c r="Q260" s="97">
        <f t="shared" si="67"/>
        <v>67575.880309959757</v>
      </c>
      <c r="R260" s="104">
        <f t="shared" si="68"/>
        <v>0.41779352687185606</v>
      </c>
      <c r="S260" s="166">
        <f t="shared" si="69"/>
        <v>67578.603802841768</v>
      </c>
      <c r="T260" s="97"/>
      <c r="U260" s="97">
        <f>IFERROR(INDEX('Revised 2020 MFAM(2018 PYAs)'!AD$26:AD$300,MATCH(B260,'Revised 2020 MFAM(2018 PYAs)'!B$26:B$300,0)),0)</f>
        <v>-25.63533937203465</v>
      </c>
      <c r="V260" s="97">
        <f>IFERROR(INDEX('Revised 2019 MFAM(2017 PYAs)'!AF$26:AF$300,MATCH(B260,'Revised 2019 MFAM(2017 PYAs)'!B$26:B$300,0)),0)</f>
        <v>8.3770522637933027</v>
      </c>
      <c r="W260" s="97">
        <f t="shared" si="70"/>
        <v>-4.5007693929503975E-2</v>
      </c>
      <c r="X260" s="97">
        <f t="shared" si="71"/>
        <v>-17.30329480217085</v>
      </c>
      <c r="Y260" s="97"/>
      <c r="Z260" s="98">
        <f t="shared" si="72"/>
        <v>67561.300508039596</v>
      </c>
      <c r="AA260" s="99">
        <v>0</v>
      </c>
      <c r="AB260" s="100">
        <f t="shared" si="73"/>
        <v>0</v>
      </c>
      <c r="AC260" s="97">
        <f t="shared" si="74"/>
        <v>67561.300508039596</v>
      </c>
      <c r="AD260" s="103"/>
      <c r="AE260" s="97">
        <f t="shared" si="76"/>
        <v>16890.325127009899</v>
      </c>
      <c r="AF260" s="97">
        <f t="shared" si="76"/>
        <v>16890.325127009899</v>
      </c>
      <c r="AG260" s="97">
        <f t="shared" si="76"/>
        <v>16890.325127009899</v>
      </c>
      <c r="AH260" s="97">
        <f t="shared" si="76"/>
        <v>16890.325127009899</v>
      </c>
    </row>
    <row r="261" spans="2:34" x14ac:dyDescent="0.25">
      <c r="B261">
        <v>521</v>
      </c>
      <c r="C261" s="28">
        <v>9</v>
      </c>
      <c r="D261" s="35" t="s">
        <v>287</v>
      </c>
      <c r="E261" s="154">
        <f>INDEX('2019 Data Lockdown'!H$5:H$257,MATCH(B261,'2019 Data Lockdown'!B$5:B$257,0))</f>
        <v>125.15814085387638</v>
      </c>
      <c r="F261" s="5">
        <f>INDEX('2019 Data Lockdown'!E$5:E$257,MATCH(B261,'2019 Data Lockdown'!B$5:B$257,0))</f>
        <v>379162.42</v>
      </c>
      <c r="G261" s="5">
        <f>INDEX('2019 Data Lockdown'!F$5:F$257,MATCH(B261,'2019 Data Lockdown'!B$5:B$257,0))</f>
        <v>79.650000000000006</v>
      </c>
      <c r="H261" s="5">
        <f t="shared" si="59"/>
        <v>379082.76999999996</v>
      </c>
      <c r="I261" s="95">
        <f t="shared" si="60"/>
        <v>3028.8303055139149</v>
      </c>
      <c r="J261" s="6">
        <f t="shared" si="61"/>
        <v>1693.3856735583604</v>
      </c>
      <c r="K261" s="5">
        <f t="shared" si="62"/>
        <v>211941.0026511536</v>
      </c>
      <c r="L261" s="135">
        <f>INDEX('2019 Best Practice Scores'!L$4:L$256,MATCH(B261,'2019 Best Practice Scores'!A$4:A$256,0))</f>
        <v>0.5092592592592593</v>
      </c>
      <c r="M261" s="97">
        <f t="shared" si="63"/>
        <v>49022.475566486377</v>
      </c>
      <c r="N261" s="97">
        <f t="shared" si="64"/>
        <v>8957.9774687234585</v>
      </c>
      <c r="O261" s="97">
        <f t="shared" si="65"/>
        <v>7489.5448782131962</v>
      </c>
      <c r="P261" s="97">
        <f t="shared" si="66"/>
        <v>2575.4431225145127</v>
      </c>
      <c r="Q261" s="97">
        <f t="shared" si="67"/>
        <v>68045.441035937547</v>
      </c>
      <c r="R261" s="104">
        <f t="shared" si="68"/>
        <v>0.32105840863618834</v>
      </c>
      <c r="S261" s="166">
        <f t="shared" si="69"/>
        <v>68048.183453401653</v>
      </c>
      <c r="T261" s="97"/>
      <c r="U261" s="97">
        <f>IFERROR(INDEX('Revised 2020 MFAM(2018 PYAs)'!AD$26:AD$300,MATCH(B261,'Revised 2020 MFAM(2018 PYAs)'!B$26:B$300,0)),0)</f>
        <v>3299.5145865177765</v>
      </c>
      <c r="V261" s="97">
        <f>IFERROR(INDEX('Revised 2019 MFAM(2017 PYAs)'!AF$26:AF$300,MATCH(B261,'Revised 2019 MFAM(2017 PYAs)'!B$26:B$300,0)),0)</f>
        <v>29.98801626196655</v>
      </c>
      <c r="W261" s="97">
        <f t="shared" si="70"/>
        <v>-4.5320436365698456E-2</v>
      </c>
      <c r="X261" s="97">
        <f t="shared" si="71"/>
        <v>3329.4572823433773</v>
      </c>
      <c r="Y261" s="97"/>
      <c r="Z261" s="98">
        <f t="shared" si="72"/>
        <v>71377.640735745023</v>
      </c>
      <c r="AA261" s="99">
        <v>0</v>
      </c>
      <c r="AB261" s="100">
        <f t="shared" si="73"/>
        <v>0</v>
      </c>
      <c r="AC261" s="97">
        <f t="shared" si="74"/>
        <v>71377.640735745023</v>
      </c>
      <c r="AD261" s="103"/>
      <c r="AE261" s="97">
        <f t="shared" si="76"/>
        <v>17844.410183936256</v>
      </c>
      <c r="AF261" s="97">
        <f t="shared" si="76"/>
        <v>17844.410183936256</v>
      </c>
      <c r="AG261" s="97">
        <f t="shared" si="76"/>
        <v>17844.410183936256</v>
      </c>
      <c r="AH261" s="97">
        <f t="shared" si="76"/>
        <v>17844.410183936256</v>
      </c>
    </row>
    <row r="262" spans="2:34" x14ac:dyDescent="0.25">
      <c r="B262">
        <v>522</v>
      </c>
      <c r="C262" s="28">
        <v>9</v>
      </c>
      <c r="D262" s="35" t="s">
        <v>288</v>
      </c>
      <c r="E262" s="154">
        <f>INDEX('2019 Data Lockdown'!H$5:H$257,MATCH(B262,'2019 Data Lockdown'!B$5:B$257,0))</f>
        <v>76.169540800285816</v>
      </c>
      <c r="F262" s="5">
        <f>INDEX('2019 Data Lockdown'!E$5:E$257,MATCH(B262,'2019 Data Lockdown'!B$5:B$257,0))</f>
        <v>123348.86</v>
      </c>
      <c r="G262" s="5">
        <f>INDEX('2019 Data Lockdown'!F$5:F$257,MATCH(B262,'2019 Data Lockdown'!B$5:B$257,0))</f>
        <v>84</v>
      </c>
      <c r="H262" s="5">
        <f t="shared" si="59"/>
        <v>123264.86</v>
      </c>
      <c r="I262" s="95">
        <f t="shared" si="60"/>
        <v>1618.2959580023812</v>
      </c>
      <c r="J262" s="6">
        <f t="shared" si="61"/>
        <v>1618.2959580023812</v>
      </c>
      <c r="K262" s="5">
        <f t="shared" si="62"/>
        <v>123264.86</v>
      </c>
      <c r="L262" s="135">
        <f>INDEX('2019 Best Practice Scores'!L$4:L$256,MATCH(B262,'2019 Best Practice Scores'!A$4:A$256,0))</f>
        <v>0.53009259259259256</v>
      </c>
      <c r="M262" s="97">
        <f t="shared" si="63"/>
        <v>28511.465511477669</v>
      </c>
      <c r="N262" s="97">
        <f t="shared" si="64"/>
        <v>5451.7031464105485</v>
      </c>
      <c r="O262" s="97">
        <f t="shared" si="65"/>
        <v>4534.1150014780451</v>
      </c>
      <c r="P262" s="97">
        <f t="shared" si="66"/>
        <v>1497.8773902341272</v>
      </c>
      <c r="Q262" s="97">
        <f t="shared" si="67"/>
        <v>39995.161049600385</v>
      </c>
      <c r="R262" s="104">
        <f t="shared" si="68"/>
        <v>0.32446522917886239</v>
      </c>
      <c r="S262" s="166">
        <f t="shared" si="69"/>
        <v>39996.772964028045</v>
      </c>
      <c r="T262" s="97"/>
      <c r="U262" s="97">
        <f>IFERROR(INDEX('Revised 2020 MFAM(2018 PYAs)'!AD$26:AD$300,MATCH(B262,'Revised 2020 MFAM(2018 PYAs)'!B$26:B$300,0)),0)</f>
        <v>-16.323230979109212</v>
      </c>
      <c r="V262" s="97">
        <f>IFERROR(INDEX('Revised 2019 MFAM(2017 PYAs)'!AF$26:AF$300,MATCH(B262,'Revised 2019 MFAM(2017 PYAs)'!B$26:B$300,0)),0)</f>
        <v>4.30565547056176</v>
      </c>
      <c r="W262" s="97">
        <f t="shared" si="70"/>
        <v>-2.6638054272099868E-2</v>
      </c>
      <c r="X262" s="97">
        <f t="shared" si="71"/>
        <v>-12.044213562819552</v>
      </c>
      <c r="Y262" s="97"/>
      <c r="Z262" s="98">
        <f t="shared" si="72"/>
        <v>39984.728750465227</v>
      </c>
      <c r="AA262" s="99">
        <v>0</v>
      </c>
      <c r="AB262" s="100">
        <f t="shared" si="73"/>
        <v>0</v>
      </c>
      <c r="AC262" s="97">
        <f t="shared" si="74"/>
        <v>39984.728750465227</v>
      </c>
      <c r="AD262" s="103"/>
      <c r="AE262" s="97">
        <f t="shared" si="76"/>
        <v>9996.1821876163067</v>
      </c>
      <c r="AF262" s="97">
        <f t="shared" si="76"/>
        <v>9996.1821876163067</v>
      </c>
      <c r="AG262" s="97">
        <f t="shared" si="76"/>
        <v>9996.1821876163067</v>
      </c>
      <c r="AH262" s="97">
        <f t="shared" si="76"/>
        <v>9996.1821876163067</v>
      </c>
    </row>
    <row r="263" spans="2:34" x14ac:dyDescent="0.25">
      <c r="B263">
        <v>523</v>
      </c>
      <c r="C263" s="28">
        <v>9</v>
      </c>
      <c r="D263" s="35" t="s">
        <v>289</v>
      </c>
      <c r="E263" s="154">
        <f>INDEX('2019 Data Lockdown'!H$5:H$257,MATCH(B263,'2019 Data Lockdown'!B$5:B$257,0))</f>
        <v>698.36058335715143</v>
      </c>
      <c r="F263" s="5">
        <f>INDEX('2019 Data Lockdown'!E$5:E$257,MATCH(B263,'2019 Data Lockdown'!B$5:B$257,0))</f>
        <v>315458.90999999997</v>
      </c>
      <c r="G263" s="5">
        <f>INDEX('2019 Data Lockdown'!F$5:F$257,MATCH(B263,'2019 Data Lockdown'!B$5:B$257,0))</f>
        <v>856.49</v>
      </c>
      <c r="H263" s="5">
        <f t="shared" si="59"/>
        <v>314602.42</v>
      </c>
      <c r="I263" s="95">
        <f t="shared" si="60"/>
        <v>450.48708002339799</v>
      </c>
      <c r="J263" s="6">
        <f t="shared" si="61"/>
        <v>450.48708002339799</v>
      </c>
      <c r="K263" s="5">
        <f t="shared" si="62"/>
        <v>314602.42</v>
      </c>
      <c r="L263" s="135">
        <f>INDEX('2019 Best Practice Scores'!L$4:L$256,MATCH(B263,'2019 Best Practice Scores'!A$4:A$256,0))</f>
        <v>0.67361111111111116</v>
      </c>
      <c r="M263" s="97">
        <f t="shared" si="63"/>
        <v>72768.314081218385</v>
      </c>
      <c r="N263" s="97">
        <f t="shared" si="64"/>
        <v>49983.950928623715</v>
      </c>
      <c r="O263" s="97">
        <f t="shared" si="65"/>
        <v>14705.263470579548</v>
      </c>
      <c r="P263" s="97">
        <f t="shared" si="66"/>
        <v>3822.953693623153</v>
      </c>
      <c r="Q263" s="97">
        <f t="shared" si="67"/>
        <v>141280.4821740448</v>
      </c>
      <c r="R263" s="104">
        <f t="shared" si="68"/>
        <v>0.44907627275735768</v>
      </c>
      <c r="S263" s="166">
        <f t="shared" si="69"/>
        <v>141286.17616405725</v>
      </c>
      <c r="T263" s="97"/>
      <c r="U263" s="97">
        <f>IFERROR(INDEX('Revised 2020 MFAM(2018 PYAs)'!AD$26:AD$300,MATCH(B263,'Revised 2020 MFAM(2018 PYAs)'!B$26:B$300,0)),0)</f>
        <v>-40.111154586949851</v>
      </c>
      <c r="V263" s="97">
        <f>IFERROR(INDEX('Revised 2019 MFAM(2017 PYAs)'!AF$26:AF$300,MATCH(B263,'Revised 2019 MFAM(2017 PYAs)'!B$26:B$300,0)),0)</f>
        <v>21.385874800704187</v>
      </c>
      <c r="W263" s="97">
        <f t="shared" si="70"/>
        <v>-9.4097312099165706E-2</v>
      </c>
      <c r="X263" s="97">
        <f t="shared" si="71"/>
        <v>-18.81937709834483</v>
      </c>
      <c r="Y263" s="97"/>
      <c r="Z263" s="98">
        <f t="shared" si="72"/>
        <v>141267.3567869589</v>
      </c>
      <c r="AA263" s="99">
        <v>0</v>
      </c>
      <c r="AB263" s="100">
        <f t="shared" si="73"/>
        <v>0</v>
      </c>
      <c r="AC263" s="97">
        <f t="shared" si="74"/>
        <v>141267.3567869589</v>
      </c>
      <c r="AD263" s="103"/>
      <c r="AE263" s="97">
        <f t="shared" si="76"/>
        <v>35316.839196739726</v>
      </c>
      <c r="AF263" s="97">
        <f t="shared" si="76"/>
        <v>35316.839196739726</v>
      </c>
      <c r="AG263" s="97">
        <f t="shared" si="76"/>
        <v>35316.839196739726</v>
      </c>
      <c r="AH263" s="97">
        <f t="shared" si="76"/>
        <v>35316.839196739726</v>
      </c>
    </row>
    <row r="264" spans="2:34" x14ac:dyDescent="0.25">
      <c r="B264" s="18">
        <v>527</v>
      </c>
      <c r="C264" s="28">
        <v>9</v>
      </c>
      <c r="D264" s="35" t="s">
        <v>290</v>
      </c>
      <c r="E264" s="154">
        <f>INDEX('2019 Data Lockdown'!H$5:H$257,MATCH(B264,'2019 Data Lockdown'!B$5:B$257,0))</f>
        <v>153.26520815767537</v>
      </c>
      <c r="F264" s="5">
        <f>INDEX('2019 Data Lockdown'!E$5:E$257,MATCH(B264,'2019 Data Lockdown'!B$5:B$257,0))</f>
        <v>133668.4</v>
      </c>
      <c r="G264" s="5">
        <f>INDEX('2019 Data Lockdown'!F$5:F$257,MATCH(B264,'2019 Data Lockdown'!B$5:B$257,0))</f>
        <v>150</v>
      </c>
      <c r="H264" s="5">
        <f t="shared" si="59"/>
        <v>133518.39999999999</v>
      </c>
      <c r="I264" s="95">
        <f t="shared" si="60"/>
        <v>871.15922527335522</v>
      </c>
      <c r="J264" s="6">
        <f t="shared" si="61"/>
        <v>871.15922527335522</v>
      </c>
      <c r="K264" s="5">
        <f t="shared" si="62"/>
        <v>133518.39999999999</v>
      </c>
      <c r="L264" s="135">
        <f>INDEX('2019 Best Practice Scores'!L$4:L$256,MATCH(B264,'2019 Best Practice Scores'!A$4:A$256,0))</f>
        <v>0.64583333333333326</v>
      </c>
      <c r="M264" s="97">
        <f t="shared" si="63"/>
        <v>30883.134550655232</v>
      </c>
      <c r="N264" s="97">
        <f t="shared" si="64"/>
        <v>10969.692199395946</v>
      </c>
      <c r="O264" s="97">
        <f t="shared" si="65"/>
        <v>5983.6073191894502</v>
      </c>
      <c r="P264" s="97">
        <f t="shared" si="66"/>
        <v>1622.4753148645632</v>
      </c>
      <c r="Q264" s="97">
        <f t="shared" si="67"/>
        <v>49458.909384105187</v>
      </c>
      <c r="R264" s="104">
        <f t="shared" si="68"/>
        <v>0.37042766677929928</v>
      </c>
      <c r="S264" s="166">
        <f t="shared" si="69"/>
        <v>49460.902713486052</v>
      </c>
      <c r="T264" s="97"/>
      <c r="U264" s="97">
        <f>IFERROR(INDEX('Revised 2020 MFAM(2018 PYAs)'!AD$26:AD$300,MATCH(B264,'Revised 2020 MFAM(2018 PYAs)'!B$26:B$300,0)),0)</f>
        <v>-20.979489794386609</v>
      </c>
      <c r="V264" s="97">
        <f>IFERROR(INDEX('Revised 2019 MFAM(2017 PYAs)'!AF$26:AF$300,MATCH(B264,'Revised 2019 MFAM(2017 PYAs)'!B$26:B$300,0)),0)</f>
        <v>5.7917987147375243</v>
      </c>
      <c r="W264" s="97">
        <f t="shared" si="70"/>
        <v>-3.2941212832691601E-2</v>
      </c>
      <c r="X264" s="97">
        <f t="shared" si="71"/>
        <v>-15.220632292481776</v>
      </c>
      <c r="Y264" s="97"/>
      <c r="Z264" s="98">
        <f t="shared" si="72"/>
        <v>49445.682081193569</v>
      </c>
      <c r="AA264" s="99">
        <v>0</v>
      </c>
      <c r="AB264" s="100">
        <f t="shared" si="73"/>
        <v>0</v>
      </c>
      <c r="AC264" s="97">
        <f t="shared" si="74"/>
        <v>49445.682081193569</v>
      </c>
      <c r="AD264" s="103"/>
      <c r="AE264" s="97">
        <f t="shared" si="76"/>
        <v>12361.420520298392</v>
      </c>
      <c r="AF264" s="97">
        <f t="shared" si="76"/>
        <v>12361.420520298392</v>
      </c>
      <c r="AG264" s="97">
        <f t="shared" si="76"/>
        <v>12361.420520298392</v>
      </c>
      <c r="AH264" s="97">
        <f t="shared" si="76"/>
        <v>12361.420520298392</v>
      </c>
    </row>
    <row r="265" spans="2:34" x14ac:dyDescent="0.25">
      <c r="B265" s="18">
        <v>543</v>
      </c>
      <c r="C265" s="28">
        <v>9</v>
      </c>
      <c r="D265" s="35" t="s">
        <v>291</v>
      </c>
      <c r="E265" s="154">
        <f>INDEX('2019 Data Lockdown'!H$5:H$257,MATCH(B265,'2019 Data Lockdown'!B$5:B$257,0))</f>
        <v>79.576987566988208</v>
      </c>
      <c r="F265" s="5">
        <f>INDEX('2019 Data Lockdown'!E$5:E$257,MATCH(B265,'2019 Data Lockdown'!B$5:B$257,0))</f>
        <v>46654.18</v>
      </c>
      <c r="G265" s="5">
        <f>INDEX('2019 Data Lockdown'!F$5:F$257,MATCH(B265,'2019 Data Lockdown'!B$5:B$257,0))</f>
        <v>0</v>
      </c>
      <c r="H265" s="5">
        <f t="shared" si="59"/>
        <v>46654.18</v>
      </c>
      <c r="I265" s="95">
        <f t="shared" si="60"/>
        <v>586.2772822447738</v>
      </c>
      <c r="J265" s="6">
        <f t="shared" si="61"/>
        <v>586.2772822447738</v>
      </c>
      <c r="K265" s="5">
        <f t="shared" si="62"/>
        <v>46654.18</v>
      </c>
      <c r="L265" s="135">
        <f>INDEX('2019 Best Practice Scores'!L$4:L$256,MATCH(B265,'2019 Best Practice Scores'!A$4:A$256,0))</f>
        <v>0.20833333333333334</v>
      </c>
      <c r="M265" s="97">
        <f t="shared" si="63"/>
        <v>10791.226664568243</v>
      </c>
      <c r="N265" s="97">
        <f t="shared" si="64"/>
        <v>5695.585255506684</v>
      </c>
      <c r="O265" s="97">
        <f t="shared" si="65"/>
        <v>674.45166653551519</v>
      </c>
      <c r="P265" s="97">
        <f t="shared" si="66"/>
        <v>566.9275199916118</v>
      </c>
      <c r="Q265" s="97">
        <f t="shared" si="67"/>
        <v>17728.191106602055</v>
      </c>
      <c r="R265" s="104">
        <f t="shared" si="68"/>
        <v>0.37999148429148372</v>
      </c>
      <c r="S265" s="166">
        <f t="shared" si="69"/>
        <v>17728.905601212682</v>
      </c>
      <c r="T265" s="97"/>
      <c r="U265" s="97">
        <f>IFERROR(INDEX('Revised 2020 MFAM(2018 PYAs)'!AD$26:AD$300,MATCH(B265,'Revised 2020 MFAM(2018 PYAs)'!B$26:B$300,0)),0)</f>
        <v>-6.1141097405088658</v>
      </c>
      <c r="V265" s="97">
        <f>IFERROR(INDEX('Revised 2019 MFAM(2017 PYAs)'!AF$26:AF$300,MATCH(B265,'Revised 2019 MFAM(2017 PYAs)'!B$26:B$300,0)),0)</f>
        <v>-505.83503599800679</v>
      </c>
      <c r="W265" s="97">
        <f t="shared" si="70"/>
        <v>-1.1807541323765774E-2</v>
      </c>
      <c r="X265" s="97">
        <f t="shared" si="71"/>
        <v>-511.96095327983943</v>
      </c>
      <c r="Y265" s="97"/>
      <c r="Z265" s="98">
        <f t="shared" si="72"/>
        <v>17216.944647932844</v>
      </c>
      <c r="AA265" s="99">
        <v>0</v>
      </c>
      <c r="AB265" s="100">
        <f t="shared" si="73"/>
        <v>0</v>
      </c>
      <c r="AC265" s="97">
        <f t="shared" si="74"/>
        <v>17216.944647932844</v>
      </c>
      <c r="AD265" s="103"/>
      <c r="AE265" s="97">
        <f t="shared" si="76"/>
        <v>4304.2361619832109</v>
      </c>
      <c r="AF265" s="97">
        <f t="shared" si="76"/>
        <v>4304.2361619832109</v>
      </c>
      <c r="AG265" s="97">
        <f t="shared" si="76"/>
        <v>4304.2361619832109</v>
      </c>
      <c r="AH265" s="97">
        <f t="shared" si="76"/>
        <v>4304.2361619832109</v>
      </c>
    </row>
    <row r="266" spans="2:34" x14ac:dyDescent="0.25">
      <c r="B266" s="18">
        <v>547</v>
      </c>
      <c r="C266" s="28">
        <v>9</v>
      </c>
      <c r="D266" s="35" t="s">
        <v>292</v>
      </c>
      <c r="E266" s="154">
        <f>INDEX('2019 Data Lockdown'!H$5:H$257,MATCH(B266,'2019 Data Lockdown'!B$5:B$257,0))</f>
        <v>219.72789419435514</v>
      </c>
      <c r="F266" s="5">
        <f>INDEX('2019 Data Lockdown'!E$5:E$257,MATCH(B266,'2019 Data Lockdown'!B$5:B$257,0))</f>
        <v>122138.68</v>
      </c>
      <c r="G266" s="5">
        <f>INDEX('2019 Data Lockdown'!F$5:F$257,MATCH(B266,'2019 Data Lockdown'!B$5:B$257,0))</f>
        <v>0</v>
      </c>
      <c r="H266" s="5">
        <f t="shared" si="59"/>
        <v>122138.68</v>
      </c>
      <c r="I266" s="95">
        <f t="shared" si="60"/>
        <v>555.8633347296593</v>
      </c>
      <c r="J266" s="6">
        <f t="shared" si="61"/>
        <v>555.8633347296593</v>
      </c>
      <c r="K266" s="5">
        <f t="shared" si="62"/>
        <v>122138.68</v>
      </c>
      <c r="L266" s="135">
        <f>INDEX('2019 Best Practice Scores'!L$4:L$256,MATCH(B266,'2019 Best Practice Scores'!A$4:A$256,0))</f>
        <v>0.83333333333333348</v>
      </c>
      <c r="M266" s="97">
        <f t="shared" si="63"/>
        <v>28250.977305595508</v>
      </c>
      <c r="N266" s="97">
        <f t="shared" si="64"/>
        <v>15726.644004253143</v>
      </c>
      <c r="O266" s="97">
        <f t="shared" si="65"/>
        <v>7062.7443263988789</v>
      </c>
      <c r="P266" s="97">
        <f t="shared" si="66"/>
        <v>1484.1923906378606</v>
      </c>
      <c r="Q266" s="97">
        <f t="shared" si="67"/>
        <v>52524.558026885388</v>
      </c>
      <c r="R266" s="104">
        <f t="shared" si="68"/>
        <v>0.43004032814899745</v>
      </c>
      <c r="S266" s="166">
        <f t="shared" si="69"/>
        <v>52526.674910294983</v>
      </c>
      <c r="T266" s="97"/>
      <c r="U266" s="97">
        <f>IFERROR(INDEX('Revised 2020 MFAM(2018 PYAs)'!AD$26:AD$300,MATCH(B266,'Revised 2020 MFAM(2018 PYAs)'!B$26:B$300,0)),0)</f>
        <v>-20.317885689248214</v>
      </c>
      <c r="V266" s="97">
        <f>IFERROR(INDEX('Revised 2019 MFAM(2017 PYAs)'!AF$26:AF$300,MATCH(B266,'Revised 2019 MFAM(2017 PYAs)'!B$26:B$300,0)),0)</f>
        <v>6.1000098252407042</v>
      </c>
      <c r="W266" s="97">
        <f t="shared" si="70"/>
        <v>-3.4983032712458888E-2</v>
      </c>
      <c r="X266" s="97">
        <f t="shared" si="71"/>
        <v>-14.252858896719969</v>
      </c>
      <c r="Y266" s="97"/>
      <c r="Z266" s="98">
        <f t="shared" si="72"/>
        <v>52512.422051398265</v>
      </c>
      <c r="AA266" s="99">
        <v>0</v>
      </c>
      <c r="AB266" s="100">
        <f t="shared" si="73"/>
        <v>0</v>
      </c>
      <c r="AC266" s="97">
        <f t="shared" si="74"/>
        <v>52512.422051398265</v>
      </c>
      <c r="AD266" s="103"/>
      <c r="AE266" s="97">
        <f t="shared" ref="AE266:AH278" si="77">$AC266/4</f>
        <v>13128.105512849566</v>
      </c>
      <c r="AF266" s="97">
        <f t="shared" si="77"/>
        <v>13128.105512849566</v>
      </c>
      <c r="AG266" s="97">
        <f t="shared" si="77"/>
        <v>13128.105512849566</v>
      </c>
      <c r="AH266" s="97">
        <f t="shared" si="77"/>
        <v>13128.105512849566</v>
      </c>
    </row>
    <row r="267" spans="2:34" x14ac:dyDescent="0.25">
      <c r="B267" s="18">
        <v>550</v>
      </c>
      <c r="C267" s="28">
        <v>9</v>
      </c>
      <c r="D267" s="35" t="s">
        <v>198</v>
      </c>
      <c r="E267" s="154">
        <f>INDEX('2019 Data Lockdown'!H$5:H$257,MATCH(B267,'2019 Data Lockdown'!B$5:B$257,0))</f>
        <v>242.01</v>
      </c>
      <c r="F267" s="5">
        <f>INDEX('2019 Data Lockdown'!E$5:E$257,MATCH(B267,'2019 Data Lockdown'!B$5:B$257,0))</f>
        <v>463950.3</v>
      </c>
      <c r="G267" s="5">
        <f>INDEX('2019 Data Lockdown'!F$5:F$257,MATCH(B267,'2019 Data Lockdown'!B$5:B$257,0))</f>
        <v>1281.74</v>
      </c>
      <c r="H267" s="5">
        <f t="shared" si="59"/>
        <v>462668.56</v>
      </c>
      <c r="I267" s="95">
        <f t="shared" si="60"/>
        <v>1911.7745547704642</v>
      </c>
      <c r="J267" s="6">
        <f t="shared" si="61"/>
        <v>1693.3856735583604</v>
      </c>
      <c r="K267" s="5">
        <f t="shared" si="62"/>
        <v>409816.26685785881</v>
      </c>
      <c r="L267" s="135">
        <f>INDEX('2019 Best Practice Scores'!L$4:L$256,MATCH(B267,'2019 Best Practice Scores'!A$4:A$256,0))</f>
        <v>0.69907407407407396</v>
      </c>
      <c r="M267" s="97">
        <f t="shared" si="63"/>
        <v>94791.511210578348</v>
      </c>
      <c r="N267" s="97">
        <f t="shared" si="64"/>
        <v>17321.447190054034</v>
      </c>
      <c r="O267" s="97">
        <f t="shared" si="65"/>
        <v>19879.886378885178</v>
      </c>
      <c r="P267" s="97">
        <f t="shared" si="66"/>
        <v>4979.963635025767</v>
      </c>
      <c r="Q267" s="97">
        <f t="shared" si="67"/>
        <v>136972.80841454334</v>
      </c>
      <c r="R267" s="104">
        <f t="shared" si="68"/>
        <v>0.33422979879432446</v>
      </c>
      <c r="S267" s="166">
        <f t="shared" si="69"/>
        <v>136978.32879351635</v>
      </c>
      <c r="T267" s="97"/>
      <c r="U267" s="97">
        <f>IFERROR(INDEX('Revised 2020 MFAM(2018 PYAs)'!AD$26:AD$300,MATCH(B267,'Revised 2020 MFAM(2018 PYAs)'!B$26:B$300,0)),0)</f>
        <v>-300.61426099938399</v>
      </c>
      <c r="V267" s="97">
        <f>IFERROR(INDEX('Revised 2019 MFAM(2017 PYAs)'!AF$26:AF$300,MATCH(B267,'Revised 2019 MFAM(2017 PYAs)'!B$26:B$300,0)),0)</f>
        <v>7.7211649557357305</v>
      </c>
      <c r="W267" s="97">
        <f t="shared" si="70"/>
        <v>-9.1228263834807075E-2</v>
      </c>
      <c r="X267" s="97">
        <f t="shared" si="71"/>
        <v>-292.98432430748306</v>
      </c>
      <c r="Y267" s="97"/>
      <c r="Z267" s="98">
        <f t="shared" si="72"/>
        <v>136685.34446920888</v>
      </c>
      <c r="AA267" s="99">
        <v>0</v>
      </c>
      <c r="AB267" s="100">
        <f t="shared" si="73"/>
        <v>0</v>
      </c>
      <c r="AC267" s="97">
        <f t="shared" si="74"/>
        <v>136685.34446920888</v>
      </c>
      <c r="AD267" s="103"/>
      <c r="AE267" s="97">
        <f t="shared" si="77"/>
        <v>34171.33611730222</v>
      </c>
      <c r="AF267" s="97">
        <f t="shared" si="77"/>
        <v>34171.33611730222</v>
      </c>
      <c r="AG267" s="97">
        <f t="shared" si="77"/>
        <v>34171.33611730222</v>
      </c>
      <c r="AH267" s="97">
        <f t="shared" si="77"/>
        <v>34171.33611730222</v>
      </c>
    </row>
    <row r="268" spans="2:34" x14ac:dyDescent="0.25">
      <c r="B268" s="18">
        <v>552</v>
      </c>
      <c r="C268" s="28">
        <v>9</v>
      </c>
      <c r="D268" s="35" t="s">
        <v>293</v>
      </c>
      <c r="E268" s="154">
        <f>INDEX('2019 Data Lockdown'!H$5:H$257,MATCH(B268,'2019 Data Lockdown'!B$5:B$257,0))</f>
        <v>122.80000000000001</v>
      </c>
      <c r="F268" s="5">
        <f>INDEX('2019 Data Lockdown'!E$5:E$257,MATCH(B268,'2019 Data Lockdown'!B$5:B$257,0))</f>
        <v>141789.49</v>
      </c>
      <c r="G268" s="5">
        <f>INDEX('2019 Data Lockdown'!F$5:F$257,MATCH(B268,'2019 Data Lockdown'!B$5:B$257,0))</f>
        <v>0</v>
      </c>
      <c r="H268" s="5">
        <f t="shared" si="59"/>
        <v>141789.49</v>
      </c>
      <c r="I268" s="95">
        <f t="shared" si="60"/>
        <v>1154.6375407166122</v>
      </c>
      <c r="J268" s="6">
        <f t="shared" si="61"/>
        <v>1154.6375407166122</v>
      </c>
      <c r="K268" s="5">
        <f t="shared" si="62"/>
        <v>141789.49</v>
      </c>
      <c r="L268" s="135">
        <f>INDEX('2019 Best Practice Scores'!L$4:L$256,MATCH(B268,'2019 Best Practice Scores'!A$4:A$256,0))</f>
        <v>0.55208333333333326</v>
      </c>
      <c r="M268" s="97">
        <f t="shared" si="63"/>
        <v>32796.258025401628</v>
      </c>
      <c r="N268" s="97">
        <f t="shared" si="64"/>
        <v>8789.1976155474385</v>
      </c>
      <c r="O268" s="97">
        <f t="shared" si="65"/>
        <v>5431.8802354571426</v>
      </c>
      <c r="P268" s="97">
        <f t="shared" si="66"/>
        <v>1722.9831051917627</v>
      </c>
      <c r="Q268" s="97">
        <f t="shared" si="67"/>
        <v>48740.318981597979</v>
      </c>
      <c r="R268" s="104">
        <f t="shared" si="68"/>
        <v>0.34375128214085532</v>
      </c>
      <c r="S268" s="166">
        <f t="shared" si="69"/>
        <v>48742.283349819372</v>
      </c>
      <c r="T268" s="97"/>
      <c r="U268" s="97">
        <f>IFERROR(INDEX('Revised 2020 MFAM(2018 PYAs)'!AD$26:AD$300,MATCH(B268,'Revised 2020 MFAM(2018 PYAs)'!B$26:B$300,0)),0)</f>
        <v>-18.362100884442043</v>
      </c>
      <c r="V268" s="97">
        <f>IFERROR(INDEX('Revised 2019 MFAM(2017 PYAs)'!AF$26:AF$300,MATCH(B268,'Revised 2019 MFAM(2017 PYAs)'!B$26:B$300,0)),0)</f>
        <v>4.7036510838152026</v>
      </c>
      <c r="W268" s="97">
        <f t="shared" si="70"/>
        <v>-3.2462608680612855E-2</v>
      </c>
      <c r="X268" s="97">
        <f t="shared" si="71"/>
        <v>-13.690912409307453</v>
      </c>
      <c r="Y268" s="97"/>
      <c r="Z268" s="98">
        <f t="shared" si="72"/>
        <v>48728.592437410065</v>
      </c>
      <c r="AA268" s="99">
        <v>0</v>
      </c>
      <c r="AB268" s="100">
        <f t="shared" si="73"/>
        <v>0</v>
      </c>
      <c r="AC268" s="97">
        <f t="shared" si="74"/>
        <v>48728.592437410065</v>
      </c>
      <c r="AD268" s="103"/>
      <c r="AE268" s="97">
        <f t="shared" si="77"/>
        <v>12182.148109352516</v>
      </c>
      <c r="AF268" s="97">
        <f t="shared" si="77"/>
        <v>12182.148109352516</v>
      </c>
      <c r="AG268" s="97">
        <f t="shared" si="77"/>
        <v>12182.148109352516</v>
      </c>
      <c r="AH268" s="97">
        <f t="shared" si="77"/>
        <v>12182.148109352516</v>
      </c>
    </row>
    <row r="269" spans="2:34" x14ac:dyDescent="0.25">
      <c r="B269" s="18">
        <v>567</v>
      </c>
      <c r="C269" s="28">
        <v>9</v>
      </c>
      <c r="D269" s="35" t="s">
        <v>294</v>
      </c>
      <c r="E269" s="154">
        <f>INDEX('2019 Data Lockdown'!H$5:H$257,MATCH(B269,'2019 Data Lockdown'!B$5:B$257,0))</f>
        <v>359.29341894128856</v>
      </c>
      <c r="F269" s="5">
        <f>INDEX('2019 Data Lockdown'!E$5:E$257,MATCH(B269,'2019 Data Lockdown'!B$5:B$257,0))</f>
        <v>233157.95</v>
      </c>
      <c r="G269" s="5">
        <f>INDEX('2019 Data Lockdown'!F$5:F$257,MATCH(B269,'2019 Data Lockdown'!B$5:B$257,0))</f>
        <v>0</v>
      </c>
      <c r="H269" s="5">
        <f t="shared" si="59"/>
        <v>233157.95</v>
      </c>
      <c r="I269" s="95">
        <f t="shared" si="60"/>
        <v>648.93465259406798</v>
      </c>
      <c r="J269" s="6">
        <f t="shared" si="61"/>
        <v>648.93465259406798</v>
      </c>
      <c r="K269" s="5">
        <f t="shared" si="62"/>
        <v>233157.95</v>
      </c>
      <c r="L269" s="135">
        <f>INDEX('2019 Best Practice Scores'!L$4:L$256,MATCH(B269,'2019 Best Practice Scores'!A$4:A$256,0))</f>
        <v>0.68287037037037046</v>
      </c>
      <c r="M269" s="97">
        <f t="shared" si="63"/>
        <v>53930.007709835838</v>
      </c>
      <c r="N269" s="97">
        <f t="shared" si="64"/>
        <v>25715.805057334364</v>
      </c>
      <c r="O269" s="97">
        <f t="shared" si="65"/>
        <v>11048.161301667758</v>
      </c>
      <c r="P269" s="97">
        <f t="shared" si="66"/>
        <v>2833.265065634595</v>
      </c>
      <c r="Q269" s="97">
        <f t="shared" si="67"/>
        <v>93527.239134472547</v>
      </c>
      <c r="R269" s="104">
        <f t="shared" si="68"/>
        <v>0.40113253326542175</v>
      </c>
      <c r="S269" s="166">
        <f t="shared" si="69"/>
        <v>93531.008538124981</v>
      </c>
      <c r="T269" s="97"/>
      <c r="U269" s="97">
        <f>IFERROR(INDEX('Revised 2020 MFAM(2018 PYAs)'!AD$26:AD$300,MATCH(B269,'Revised 2020 MFAM(2018 PYAs)'!B$26:B$300,0)),0)</f>
        <v>-32.871027382483589</v>
      </c>
      <c r="V269" s="97">
        <f>IFERROR(INDEX('Revised 2019 MFAM(2017 PYAs)'!AF$26:AF$300,MATCH(B269,'Revised 2019 MFAM(2017 PYAs)'!B$26:B$300,0)),0)</f>
        <v>10.562346228791284</v>
      </c>
      <c r="W269" s="97">
        <f t="shared" si="70"/>
        <v>-6.2292127512476543E-2</v>
      </c>
      <c r="X269" s="97">
        <f t="shared" si="71"/>
        <v>-22.370973281204783</v>
      </c>
      <c r="Y269" s="97"/>
      <c r="Z269" s="98">
        <f t="shared" si="72"/>
        <v>93508.637564843782</v>
      </c>
      <c r="AA269" s="99">
        <v>0</v>
      </c>
      <c r="AB269" s="100">
        <f t="shared" si="73"/>
        <v>0</v>
      </c>
      <c r="AC269" s="97">
        <f t="shared" si="74"/>
        <v>93508.637564843782</v>
      </c>
      <c r="AD269" s="103"/>
      <c r="AE269" s="97">
        <f t="shared" si="77"/>
        <v>23377.159391210946</v>
      </c>
      <c r="AF269" s="97">
        <f t="shared" si="77"/>
        <v>23377.159391210946</v>
      </c>
      <c r="AG269" s="97">
        <f t="shared" si="77"/>
        <v>23377.159391210946</v>
      </c>
      <c r="AH269" s="97">
        <f t="shared" si="77"/>
        <v>23377.159391210946</v>
      </c>
    </row>
    <row r="270" spans="2:34" x14ac:dyDescent="0.25">
      <c r="B270" s="18">
        <v>629</v>
      </c>
      <c r="C270" s="28">
        <v>9</v>
      </c>
      <c r="D270" s="35" t="s">
        <v>295</v>
      </c>
      <c r="E270" s="154">
        <f>INDEX('2019 Data Lockdown'!H$5:H$257,MATCH(B270,'2019 Data Lockdown'!B$5:B$257,0))</f>
        <v>239.08999999999997</v>
      </c>
      <c r="F270" s="5">
        <f>INDEX('2019 Data Lockdown'!E$5:E$257,MATCH(B270,'2019 Data Lockdown'!B$5:B$257,0))</f>
        <v>172741.52</v>
      </c>
      <c r="G270" s="5">
        <f>INDEX('2019 Data Lockdown'!F$5:F$257,MATCH(B270,'2019 Data Lockdown'!B$5:B$257,0))</f>
        <v>3864.35</v>
      </c>
      <c r="H270" s="5">
        <f t="shared" si="59"/>
        <v>168877.16999999998</v>
      </c>
      <c r="I270" s="95">
        <f t="shared" si="60"/>
        <v>706.33305449830607</v>
      </c>
      <c r="J270" s="6">
        <f t="shared" si="61"/>
        <v>706.33305449830607</v>
      </c>
      <c r="K270" s="5">
        <f t="shared" si="62"/>
        <v>168877.16999999998</v>
      </c>
      <c r="L270" s="135">
        <f>INDEX('2019 Best Practice Scores'!L$4:L$256,MATCH(B270,'2019 Best Practice Scores'!A$4:A$256,0))</f>
        <v>0.57638888888888884</v>
      </c>
      <c r="M270" s="97">
        <f t="shared" si="63"/>
        <v>39061.7050806771</v>
      </c>
      <c r="N270" s="97">
        <f t="shared" si="64"/>
        <v>17112.453240238083</v>
      </c>
      <c r="O270" s="97">
        <f t="shared" si="65"/>
        <v>6754.4198368670814</v>
      </c>
      <c r="P270" s="97">
        <f t="shared" si="66"/>
        <v>2052.1444203135025</v>
      </c>
      <c r="Q270" s="97">
        <f t="shared" si="67"/>
        <v>64980.722578095774</v>
      </c>
      <c r="R270" s="104">
        <f t="shared" si="68"/>
        <v>0.38478097766616876</v>
      </c>
      <c r="S270" s="166">
        <f t="shared" si="69"/>
        <v>64983.34147902015</v>
      </c>
      <c r="T270" s="97"/>
      <c r="U270" s="97">
        <f>IFERROR(INDEX('Revised 2020 MFAM(2018 PYAs)'!AD$26:AD$300,MATCH(B270,'Revised 2020 MFAM(2018 PYAs)'!B$26:B$300,0)),0)</f>
        <v>-30.842481044448505</v>
      </c>
      <c r="V270" s="97">
        <f>IFERROR(INDEX('Revised 2019 MFAM(2017 PYAs)'!AF$26:AF$300,MATCH(B270,'Revised 2019 MFAM(2017 PYAs)'!B$26:B$300,0)),0)</f>
        <v>8.2283214864000911</v>
      </c>
      <c r="W270" s="97">
        <f t="shared" si="70"/>
        <v>-4.3279236018800217E-2</v>
      </c>
      <c r="X270" s="97">
        <f t="shared" si="71"/>
        <v>-22.657438794067215</v>
      </c>
      <c r="Y270" s="97"/>
      <c r="Z270" s="98">
        <f t="shared" si="72"/>
        <v>64960.684040226086</v>
      </c>
      <c r="AA270" s="99">
        <v>0</v>
      </c>
      <c r="AB270" s="100">
        <f t="shared" si="73"/>
        <v>0</v>
      </c>
      <c r="AC270" s="97">
        <f t="shared" si="74"/>
        <v>64960.684040226086</v>
      </c>
      <c r="AD270" s="103"/>
      <c r="AE270" s="97">
        <f t="shared" si="77"/>
        <v>16240.171010056521</v>
      </c>
      <c r="AF270" s="97">
        <f t="shared" si="77"/>
        <v>16240.171010056521</v>
      </c>
      <c r="AG270" s="97">
        <f t="shared" si="77"/>
        <v>16240.171010056521</v>
      </c>
      <c r="AH270" s="97">
        <f t="shared" si="77"/>
        <v>16240.171010056521</v>
      </c>
    </row>
    <row r="271" spans="2:34" x14ac:dyDescent="0.25">
      <c r="B271" s="18">
        <v>630</v>
      </c>
      <c r="C271" s="28">
        <v>9</v>
      </c>
      <c r="D271" s="35" t="s">
        <v>296</v>
      </c>
      <c r="E271" s="154">
        <f>INDEX('2019 Data Lockdown'!H$5:H$257,MATCH(B271,'2019 Data Lockdown'!B$5:B$257,0))</f>
        <v>168.82</v>
      </c>
      <c r="F271" s="5">
        <f>INDEX('2019 Data Lockdown'!E$5:E$257,MATCH(B271,'2019 Data Lockdown'!B$5:B$257,0))</f>
        <v>241664.73</v>
      </c>
      <c r="G271" s="5">
        <f>INDEX('2019 Data Lockdown'!F$5:F$257,MATCH(B271,'2019 Data Lockdown'!B$5:B$257,0))</f>
        <v>2804.11</v>
      </c>
      <c r="H271" s="5">
        <f t="shared" si="59"/>
        <v>238860.62000000002</v>
      </c>
      <c r="I271" s="95">
        <f t="shared" si="60"/>
        <v>1414.8834261343445</v>
      </c>
      <c r="J271" s="6">
        <f t="shared" si="61"/>
        <v>1414.8834261343445</v>
      </c>
      <c r="K271" s="5">
        <f t="shared" si="62"/>
        <v>238860.62000000002</v>
      </c>
      <c r="L271" s="135">
        <f>INDEX('2019 Best Practice Scores'!L$4:L$256,MATCH(B271,'2019 Best Practice Scores'!A$4:A$256,0))</f>
        <v>0.69444444444444442</v>
      </c>
      <c r="M271" s="97">
        <f t="shared" si="63"/>
        <v>55249.049316895136</v>
      </c>
      <c r="N271" s="97">
        <f t="shared" si="64"/>
        <v>12082.999523263179</v>
      </c>
      <c r="O271" s="97">
        <f t="shared" si="65"/>
        <v>11510.218607686485</v>
      </c>
      <c r="P271" s="97">
        <f t="shared" si="66"/>
        <v>2902.5621910032237</v>
      </c>
      <c r="Q271" s="97">
        <f t="shared" si="67"/>
        <v>81744.829638848023</v>
      </c>
      <c r="R271" s="104">
        <f t="shared" si="68"/>
        <v>0.34222815648242066</v>
      </c>
      <c r="S271" s="166">
        <f t="shared" si="69"/>
        <v>81748.124179157996</v>
      </c>
      <c r="T271" s="97"/>
      <c r="U271" s="97">
        <f>IFERROR(INDEX('Revised 2020 MFAM(2018 PYAs)'!AD$26:AD$300,MATCH(B271,'Revised 2020 MFAM(2018 PYAs)'!B$26:B$300,0)),0)</f>
        <v>422.52316589283873</v>
      </c>
      <c r="V271" s="97">
        <f>IFERROR(INDEX('Revised 2019 MFAM(2017 PYAs)'!AF$26:AF$300,MATCH(B271,'Revised 2019 MFAM(2017 PYAs)'!B$26:B$300,0)),0)</f>
        <v>38.955577560365782</v>
      </c>
      <c r="W271" s="97">
        <f t="shared" si="70"/>
        <v>-5.4444666585608086E-2</v>
      </c>
      <c r="X271" s="97">
        <f t="shared" si="71"/>
        <v>461.42429878661892</v>
      </c>
      <c r="Y271" s="97"/>
      <c r="Z271" s="98">
        <f t="shared" si="72"/>
        <v>82209.548477944612</v>
      </c>
      <c r="AA271" s="99">
        <v>0</v>
      </c>
      <c r="AB271" s="100">
        <f t="shared" si="73"/>
        <v>0</v>
      </c>
      <c r="AC271" s="97">
        <f t="shared" si="74"/>
        <v>82209.548477944612</v>
      </c>
      <c r="AD271" s="103"/>
      <c r="AE271" s="97">
        <f t="shared" si="77"/>
        <v>20552.387119486153</v>
      </c>
      <c r="AF271" s="97">
        <f t="shared" si="77"/>
        <v>20552.387119486153</v>
      </c>
      <c r="AG271" s="97">
        <f t="shared" si="77"/>
        <v>20552.387119486153</v>
      </c>
      <c r="AH271" s="97">
        <f t="shared" si="77"/>
        <v>20552.387119486153</v>
      </c>
    </row>
    <row r="272" spans="2:34" x14ac:dyDescent="0.25">
      <c r="B272" s="18">
        <v>771</v>
      </c>
      <c r="C272" s="28">
        <v>9</v>
      </c>
      <c r="D272" s="35" t="s">
        <v>298</v>
      </c>
      <c r="E272" s="154">
        <f>INDEX('2019 Data Lockdown'!H$5:H$257,MATCH(B272,'2019 Data Lockdown'!B$5:B$257,0))</f>
        <v>150.2159801536263</v>
      </c>
      <c r="F272" s="5">
        <f>INDEX('2019 Data Lockdown'!E$5:E$257,MATCH(B272,'2019 Data Lockdown'!B$5:B$257,0))</f>
        <v>70947.31</v>
      </c>
      <c r="G272" s="5">
        <f>INDEX('2019 Data Lockdown'!F$5:F$257,MATCH(B272,'2019 Data Lockdown'!B$5:B$257,0))</f>
        <v>0</v>
      </c>
      <c r="H272" s="5">
        <f t="shared" si="59"/>
        <v>70947.31</v>
      </c>
      <c r="I272" s="95">
        <f t="shared" si="60"/>
        <v>472.30201425601979</v>
      </c>
      <c r="J272" s="6">
        <f t="shared" si="61"/>
        <v>472.30201425601979</v>
      </c>
      <c r="K272" s="5">
        <f t="shared" si="62"/>
        <v>70947.31</v>
      </c>
      <c r="L272" s="135">
        <f>INDEX('2019 Best Practice Scores'!L$4:L$256,MATCH(B272,'2019 Best Practice Scores'!A$4:A$256,0))</f>
        <v>0.40972222222222221</v>
      </c>
      <c r="M272" s="97">
        <f t="shared" si="63"/>
        <v>16410.287426579765</v>
      </c>
      <c r="N272" s="97">
        <f t="shared" si="64"/>
        <v>10751.448978691968</v>
      </c>
      <c r="O272" s="97">
        <f t="shared" si="65"/>
        <v>2017.0978295170958</v>
      </c>
      <c r="P272" s="97">
        <f t="shared" si="66"/>
        <v>862.1303066172436</v>
      </c>
      <c r="Q272" s="97">
        <f t="shared" si="67"/>
        <v>30040.964541406072</v>
      </c>
      <c r="R272" s="104">
        <f t="shared" si="68"/>
        <v>0.42342640674334336</v>
      </c>
      <c r="S272" s="166">
        <f t="shared" si="69"/>
        <v>30042.175274477133</v>
      </c>
      <c r="T272" s="97"/>
      <c r="U272" s="97">
        <f>IFERROR(INDEX('Revised 2020 MFAM(2018 PYAs)'!AD$26:AD$300,MATCH(B272,'Revised 2020 MFAM(2018 PYAs)'!B$26:B$300,0)),0)</f>
        <v>-8.905544201767043</v>
      </c>
      <c r="V272" s="97">
        <f>IFERROR(INDEX('Revised 2019 MFAM(2017 PYAs)'!AF$26:AF$300,MATCH(B272,'Revised 2019 MFAM(2017 PYAs)'!B$26:B$300,0)),0)</f>
        <v>4.0241026465082541</v>
      </c>
      <c r="W272" s="97">
        <f t="shared" si="70"/>
        <v>-2.0008241568218371E-2</v>
      </c>
      <c r="X272" s="97">
        <f t="shared" si="71"/>
        <v>-4.9014497968270074</v>
      </c>
      <c r="Y272" s="97"/>
      <c r="Z272" s="98">
        <f t="shared" si="72"/>
        <v>30037.273824680306</v>
      </c>
      <c r="AA272" s="99">
        <v>0</v>
      </c>
      <c r="AB272" s="100">
        <f t="shared" si="73"/>
        <v>0</v>
      </c>
      <c r="AC272" s="97">
        <f t="shared" si="74"/>
        <v>30037.273824680306</v>
      </c>
      <c r="AD272" s="103"/>
      <c r="AE272" s="97">
        <f t="shared" si="77"/>
        <v>7509.3184561700764</v>
      </c>
      <c r="AF272" s="97">
        <f t="shared" si="77"/>
        <v>7509.3184561700764</v>
      </c>
      <c r="AG272" s="97">
        <f t="shared" si="77"/>
        <v>7509.3184561700764</v>
      </c>
      <c r="AH272" s="97">
        <f t="shared" si="77"/>
        <v>7509.3184561700764</v>
      </c>
    </row>
    <row r="273" spans="2:34" x14ac:dyDescent="0.25">
      <c r="B273" s="18">
        <v>830</v>
      </c>
      <c r="C273" s="28">
        <v>9</v>
      </c>
      <c r="D273" s="35" t="s">
        <v>299</v>
      </c>
      <c r="E273" s="154">
        <f>INDEX('2019 Data Lockdown'!H$5:H$257,MATCH(B273,'2019 Data Lockdown'!B$5:B$257,0))</f>
        <v>16.12858136239133</v>
      </c>
      <c r="F273" s="5">
        <f>INDEX('2019 Data Lockdown'!E$5:E$257,MATCH(B273,'2019 Data Lockdown'!B$5:B$257,0))</f>
        <v>29445.96</v>
      </c>
      <c r="G273" s="5">
        <f>INDEX('2019 Data Lockdown'!F$5:F$257,MATCH(B273,'2019 Data Lockdown'!B$5:B$257,0))</f>
        <v>0</v>
      </c>
      <c r="H273" s="5">
        <f t="shared" si="59"/>
        <v>29445.96</v>
      </c>
      <c r="I273" s="95">
        <f t="shared" si="60"/>
        <v>1825.7005584299043</v>
      </c>
      <c r="J273" s="6">
        <f t="shared" si="61"/>
        <v>1693.3856735583604</v>
      </c>
      <c r="K273" s="5">
        <f t="shared" si="62"/>
        <v>27311.908613893862</v>
      </c>
      <c r="L273" s="135">
        <f>INDEX('2019 Best Practice Scores'!L$4:L$256,MATCH(B273,'2019 Best Practice Scores'!A$4:A$256,0))</f>
        <v>0.3125</v>
      </c>
      <c r="M273" s="97">
        <f t="shared" si="63"/>
        <v>6317.3116855660628</v>
      </c>
      <c r="N273" s="97">
        <f t="shared" si="64"/>
        <v>1154.3753163883771</v>
      </c>
      <c r="O273" s="97">
        <f t="shared" si="65"/>
        <v>592.24797052181839</v>
      </c>
      <c r="P273" s="97">
        <f t="shared" si="66"/>
        <v>331.8860735889557</v>
      </c>
      <c r="Q273" s="97">
        <f t="shared" si="67"/>
        <v>8395.8210460652153</v>
      </c>
      <c r="R273" s="104">
        <f t="shared" si="68"/>
        <v>0.30740513835031547</v>
      </c>
      <c r="S273" s="166">
        <f t="shared" si="69"/>
        <v>8396.1594206265636</v>
      </c>
      <c r="T273" s="97"/>
      <c r="U273" s="97">
        <f>IFERROR(INDEX('Revised 2020 MFAM(2018 PYAs)'!AD$26:AD$300,MATCH(B273,'Revised 2020 MFAM(2018 PYAs)'!B$26:B$300,0)),0)</f>
        <v>-4.0147735876744264</v>
      </c>
      <c r="V273" s="97">
        <f>IFERROR(INDEX('Revised 2019 MFAM(2017 PYAs)'!AF$26:AF$300,MATCH(B273,'Revised 2019 MFAM(2017 PYAs)'!B$26:B$300,0)),0)</f>
        <v>5.2591685783827415</v>
      </c>
      <c r="W273" s="97">
        <f t="shared" si="70"/>
        <v>-5.5918848884384757E-3</v>
      </c>
      <c r="X273" s="97">
        <f t="shared" si="71"/>
        <v>1.2388031058198767</v>
      </c>
      <c r="Y273" s="97"/>
      <c r="Z273" s="98">
        <f t="shared" si="72"/>
        <v>8397.3982237323835</v>
      </c>
      <c r="AA273" s="99">
        <v>0</v>
      </c>
      <c r="AB273" s="100">
        <f t="shared" si="73"/>
        <v>0</v>
      </c>
      <c r="AC273" s="97">
        <f t="shared" si="74"/>
        <v>8397.3982237323835</v>
      </c>
      <c r="AD273" s="103"/>
      <c r="AE273" s="97">
        <f t="shared" si="77"/>
        <v>2099.3495559330959</v>
      </c>
      <c r="AF273" s="97">
        <f t="shared" si="77"/>
        <v>2099.3495559330959</v>
      </c>
      <c r="AG273" s="97">
        <f t="shared" si="77"/>
        <v>2099.3495559330959</v>
      </c>
      <c r="AH273" s="97">
        <f t="shared" si="77"/>
        <v>2099.3495559330959</v>
      </c>
    </row>
    <row r="274" spans="2:34" x14ac:dyDescent="0.25">
      <c r="B274" s="18">
        <v>936</v>
      </c>
      <c r="C274" s="28">
        <v>9</v>
      </c>
      <c r="D274" s="35" t="s">
        <v>300</v>
      </c>
      <c r="E274" s="154">
        <f>INDEX('2019 Data Lockdown'!H$5:H$257,MATCH(B274,'2019 Data Lockdown'!B$5:B$257,0))</f>
        <v>40.443772007859948</v>
      </c>
      <c r="F274" s="5">
        <f>INDEX('2019 Data Lockdown'!E$5:E$257,MATCH(B274,'2019 Data Lockdown'!B$5:B$257,0))</f>
        <v>72884.08</v>
      </c>
      <c r="G274" s="5">
        <f>INDEX('2019 Data Lockdown'!F$5:F$257,MATCH(B274,'2019 Data Lockdown'!B$5:B$257,0))</f>
        <v>0</v>
      </c>
      <c r="H274" s="5">
        <f t="shared" si="59"/>
        <v>72884.08</v>
      </c>
      <c r="I274" s="95">
        <f t="shared" si="60"/>
        <v>1802.1088632839567</v>
      </c>
      <c r="J274" s="6">
        <f t="shared" si="61"/>
        <v>1693.3856735583604</v>
      </c>
      <c r="K274" s="5">
        <f t="shared" si="62"/>
        <v>68486.904102770684</v>
      </c>
      <c r="L274" s="135">
        <f>INDEX('2019 Best Practice Scores'!L$4:L$256,MATCH(B274,'2019 Best Practice Scores'!A$4:A$256,0))</f>
        <v>0.40509259259259256</v>
      </c>
      <c r="M274" s="97">
        <f t="shared" si="63"/>
        <v>15841.189486720099</v>
      </c>
      <c r="N274" s="97">
        <f t="shared" si="64"/>
        <v>2894.693033348753</v>
      </c>
      <c r="O274" s="97">
        <f t="shared" si="65"/>
        <v>1925.1445556777894</v>
      </c>
      <c r="P274" s="97">
        <f t="shared" si="66"/>
        <v>832.23219644814515</v>
      </c>
      <c r="Q274" s="97">
        <f t="shared" si="67"/>
        <v>21493.259272194788</v>
      </c>
      <c r="R274" s="104">
        <f t="shared" si="68"/>
        <v>0.31383020672013795</v>
      </c>
      <c r="S274" s="166">
        <f t="shared" si="69"/>
        <v>21494.125509354712</v>
      </c>
      <c r="T274" s="97"/>
      <c r="U274" s="97">
        <f>IFERROR(INDEX('Revised 2020 MFAM(2018 PYAs)'!AD$26:AD$300,MATCH(B274,'Revised 2020 MFAM(2018 PYAs)'!B$26:B$300,0)),0)</f>
        <v>934.85945136982627</v>
      </c>
      <c r="V274" s="97">
        <f>IFERROR(INDEX('Revised 2019 MFAM(2017 PYAs)'!AF$26:AF$300,MATCH(B274,'Revised 2019 MFAM(2017 PYAs)'!B$26:B$300,0)),0)</f>
        <v>9.2878794662483415</v>
      </c>
      <c r="W274" s="97">
        <f t="shared" si="70"/>
        <v>-1.431519693762451E-2</v>
      </c>
      <c r="X274" s="97">
        <f t="shared" si="71"/>
        <v>944.13301563913694</v>
      </c>
      <c r="Y274" s="97"/>
      <c r="Z274" s="98">
        <f t="shared" si="72"/>
        <v>22438.258524993849</v>
      </c>
      <c r="AA274" s="99">
        <v>0</v>
      </c>
      <c r="AB274" s="100">
        <f t="shared" si="73"/>
        <v>0</v>
      </c>
      <c r="AC274" s="97">
        <f t="shared" si="74"/>
        <v>22438.258524993849</v>
      </c>
      <c r="AD274" s="103"/>
      <c r="AE274" s="97">
        <f t="shared" si="77"/>
        <v>5609.5646312484623</v>
      </c>
      <c r="AF274" s="97">
        <f t="shared" si="77"/>
        <v>5609.5646312484623</v>
      </c>
      <c r="AG274" s="97">
        <f t="shared" si="77"/>
        <v>5609.5646312484623</v>
      </c>
      <c r="AH274" s="97">
        <f t="shared" si="77"/>
        <v>5609.5646312484623</v>
      </c>
    </row>
    <row r="275" spans="2:34" x14ac:dyDescent="0.25">
      <c r="B275" s="18">
        <v>952</v>
      </c>
      <c r="C275" s="28">
        <v>9</v>
      </c>
      <c r="D275" s="35" t="s">
        <v>301</v>
      </c>
      <c r="E275" s="154">
        <f>INDEX('2019 Data Lockdown'!H$5:H$257,MATCH(B275,'2019 Data Lockdown'!B$5:B$257,0))</f>
        <v>54.32</v>
      </c>
      <c r="F275" s="5">
        <f>INDEX('2019 Data Lockdown'!E$5:E$257,MATCH(B275,'2019 Data Lockdown'!B$5:B$257,0))</f>
        <v>71284.66</v>
      </c>
      <c r="G275" s="5">
        <f>INDEX('2019 Data Lockdown'!F$5:F$257,MATCH(B275,'2019 Data Lockdown'!B$5:B$257,0))</f>
        <v>1518.3</v>
      </c>
      <c r="H275" s="5">
        <f t="shared" si="59"/>
        <v>69766.36</v>
      </c>
      <c r="I275" s="95">
        <f t="shared" si="60"/>
        <v>1284.358615611193</v>
      </c>
      <c r="J275" s="6">
        <f t="shared" si="61"/>
        <v>1284.358615611193</v>
      </c>
      <c r="K275" s="5">
        <f t="shared" si="62"/>
        <v>69766.36</v>
      </c>
      <c r="L275" s="135">
        <f>INDEX('2019 Best Practice Scores'!L$4:L$256,MATCH(B275,'2019 Best Practice Scores'!A$4:A$256,0))</f>
        <v>0.51388888888888884</v>
      </c>
      <c r="M275" s="97">
        <f t="shared" si="63"/>
        <v>16137.130784891455</v>
      </c>
      <c r="N275" s="97">
        <f t="shared" si="64"/>
        <v>3887.8600527405279</v>
      </c>
      <c r="O275" s="97">
        <f t="shared" si="65"/>
        <v>2487.8076626707657</v>
      </c>
      <c r="P275" s="97">
        <f t="shared" si="66"/>
        <v>847.77975850485382</v>
      </c>
      <c r="Q275" s="97">
        <f t="shared" si="67"/>
        <v>23360.578258807604</v>
      </c>
      <c r="R275" s="104">
        <f t="shared" si="68"/>
        <v>0.33484014729745976</v>
      </c>
      <c r="S275" s="166">
        <f t="shared" si="69"/>
        <v>23361.519754032168</v>
      </c>
      <c r="T275" s="97"/>
      <c r="U275" s="97">
        <f>IFERROR(INDEX('Revised 2020 MFAM(2018 PYAs)'!AD$26:AD$300,MATCH(B275,'Revised 2020 MFAM(2018 PYAs)'!B$26:B$300,0)),0)</f>
        <v>-13.626506516251538</v>
      </c>
      <c r="V275" s="97">
        <f>IFERROR(INDEX('Revised 2019 MFAM(2017 PYAs)'!AF$26:AF$300,MATCH(B275,'Revised 2019 MFAM(2017 PYAs)'!B$26:B$300,0)),0)</f>
        <v>17.114551938535442</v>
      </c>
      <c r="W275" s="97">
        <f t="shared" si="70"/>
        <v>-1.5558891004689948E-2</v>
      </c>
      <c r="X275" s="97">
        <f t="shared" si="71"/>
        <v>3.4724865312792135</v>
      </c>
      <c r="Y275" s="97"/>
      <c r="Z275" s="98">
        <f t="shared" si="72"/>
        <v>23364.992240563446</v>
      </c>
      <c r="AA275" s="99">
        <v>0</v>
      </c>
      <c r="AB275" s="100">
        <f t="shared" si="73"/>
        <v>0</v>
      </c>
      <c r="AC275" s="97">
        <f t="shared" si="74"/>
        <v>23364.992240563446</v>
      </c>
      <c r="AD275" s="103"/>
      <c r="AE275" s="97">
        <f t="shared" si="77"/>
        <v>5841.2480601408615</v>
      </c>
      <c r="AF275" s="97">
        <f t="shared" si="77"/>
        <v>5841.2480601408615</v>
      </c>
      <c r="AG275" s="97">
        <f t="shared" si="77"/>
        <v>5841.2480601408615</v>
      </c>
      <c r="AH275" s="97">
        <f t="shared" si="77"/>
        <v>5841.2480601408615</v>
      </c>
    </row>
    <row r="276" spans="2:34" x14ac:dyDescent="0.25">
      <c r="B276" s="26">
        <v>982</v>
      </c>
      <c r="C276" s="28">
        <v>9</v>
      </c>
      <c r="D276" s="35" t="s">
        <v>302</v>
      </c>
      <c r="E276" s="154">
        <f>INDEX('2019 Data Lockdown'!H$5:H$257,MATCH(B276,'2019 Data Lockdown'!B$5:B$257,0))</f>
        <v>106.72298014171729</v>
      </c>
      <c r="F276" s="5">
        <f>INDEX('2019 Data Lockdown'!E$5:E$257,MATCH(B276,'2019 Data Lockdown'!B$5:B$257,0))</f>
        <v>139517.66</v>
      </c>
      <c r="G276" s="5">
        <f>INDEX('2019 Data Lockdown'!F$5:F$257,MATCH(B276,'2019 Data Lockdown'!B$5:B$257,0))</f>
        <v>0</v>
      </c>
      <c r="H276" s="5">
        <f t="shared" si="59"/>
        <v>139517.66</v>
      </c>
      <c r="I276" s="95">
        <f t="shared" si="60"/>
        <v>1307.2878944603563</v>
      </c>
      <c r="J276" s="6">
        <f t="shared" si="61"/>
        <v>1307.2878944603563</v>
      </c>
      <c r="K276" s="5">
        <f t="shared" si="62"/>
        <v>139517.66</v>
      </c>
      <c r="L276" s="135">
        <f>INDEX('2019 Best Practice Scores'!L$4:L$256,MATCH(B276,'2019 Best Practice Scores'!A$4:A$256,0))</f>
        <v>8.3333333333333329E-2</v>
      </c>
      <c r="M276" s="97">
        <f t="shared" si="63"/>
        <v>32270.778154715528</v>
      </c>
      <c r="N276" s="97">
        <f t="shared" si="64"/>
        <v>7638.5127246392358</v>
      </c>
      <c r="O276" s="97">
        <f t="shared" si="65"/>
        <v>806.76945386788805</v>
      </c>
      <c r="P276" s="97">
        <f t="shared" si="66"/>
        <v>1695.3765124332458</v>
      </c>
      <c r="Q276" s="97">
        <f t="shared" si="67"/>
        <v>42411.436845655902</v>
      </c>
      <c r="R276" s="104">
        <f t="shared" si="68"/>
        <v>0.30398615376473415</v>
      </c>
      <c r="S276" s="166">
        <f t="shared" si="69"/>
        <v>42413.146142609716</v>
      </c>
      <c r="T276" s="97"/>
      <c r="U276" s="97">
        <f>IFERROR(INDEX('Revised 2020 MFAM(2018 PYAs)'!AD$26:AD$300,MATCH(B276,'Revised 2020 MFAM(2018 PYAs)'!B$26:B$300,0)),0)</f>
        <v>-16.586174238276726</v>
      </c>
      <c r="V276" s="97">
        <f>IFERROR(INDEX('Revised 2019 MFAM(2017 PYAs)'!AF$26:AF$300,MATCH(B276,'Revised 2019 MFAM(2017 PYAs)'!B$26:B$300,0)),0)</f>
        <v>1.7164515412478067</v>
      </c>
      <c r="W276" s="97">
        <f t="shared" si="70"/>
        <v>-2.8247371102000006E-2</v>
      </c>
      <c r="X276" s="97">
        <f t="shared" si="71"/>
        <v>-14.897970068130919</v>
      </c>
      <c r="Y276" s="97"/>
      <c r="Z276" s="98">
        <f t="shared" si="72"/>
        <v>42398.248172541586</v>
      </c>
      <c r="AA276" s="99">
        <v>0</v>
      </c>
      <c r="AB276" s="100">
        <f t="shared" si="73"/>
        <v>0</v>
      </c>
      <c r="AC276" s="97">
        <f t="shared" si="74"/>
        <v>42398.248172541586</v>
      </c>
      <c r="AD276" s="103"/>
      <c r="AE276" s="97">
        <f t="shared" si="77"/>
        <v>10599.562043135396</v>
      </c>
      <c r="AF276" s="97">
        <f t="shared" si="77"/>
        <v>10599.562043135396</v>
      </c>
      <c r="AG276" s="97">
        <f t="shared" si="77"/>
        <v>10599.562043135396</v>
      </c>
      <c r="AH276" s="97">
        <f t="shared" si="77"/>
        <v>10599.562043135396</v>
      </c>
    </row>
    <row r="277" spans="2:34" x14ac:dyDescent="0.25">
      <c r="B277" s="26">
        <v>987</v>
      </c>
      <c r="C277" s="28">
        <v>9</v>
      </c>
      <c r="D277" s="35" t="s">
        <v>303</v>
      </c>
      <c r="E277" s="154">
        <f>INDEX('2019 Data Lockdown'!H$5:H$257,MATCH(B277,'2019 Data Lockdown'!B$5:B$257,0))</f>
        <v>399.24791654162198</v>
      </c>
      <c r="F277" s="5">
        <f>INDEX('2019 Data Lockdown'!E$5:E$257,MATCH(B277,'2019 Data Lockdown'!B$5:B$257,0))</f>
        <v>108258.73</v>
      </c>
      <c r="G277" s="5">
        <f>INDEX('2019 Data Lockdown'!F$5:F$257,MATCH(B277,'2019 Data Lockdown'!B$5:B$257,0))</f>
        <v>0</v>
      </c>
      <c r="H277" s="5">
        <f t="shared" si="59"/>
        <v>108258.73</v>
      </c>
      <c r="I277" s="95">
        <f t="shared" si="60"/>
        <v>271.15665608918442</v>
      </c>
      <c r="J277" s="6">
        <f t="shared" si="61"/>
        <v>271.15665608918442</v>
      </c>
      <c r="K277" s="5">
        <f t="shared" si="62"/>
        <v>108258.73</v>
      </c>
      <c r="L277" s="135">
        <f>INDEX('2019 Best Practice Scores'!L$4:L$256,MATCH(B277,'2019 Best Practice Scores'!A$4:A$256,0))</f>
        <v>0.53703703703703698</v>
      </c>
      <c r="M277" s="97">
        <f t="shared" si="63"/>
        <v>25040.510707685655</v>
      </c>
      <c r="N277" s="97">
        <f t="shared" si="64"/>
        <v>28575.479121171873</v>
      </c>
      <c r="O277" s="97">
        <f t="shared" si="65"/>
        <v>4034.3045029049104</v>
      </c>
      <c r="P277" s="97">
        <f t="shared" si="66"/>
        <v>1315.5274257599533</v>
      </c>
      <c r="Q277" s="97">
        <f t="shared" si="67"/>
        <v>58965.82175752239</v>
      </c>
      <c r="R277" s="104">
        <f t="shared" si="68"/>
        <v>0.54467498147745119</v>
      </c>
      <c r="S277" s="166">
        <f t="shared" si="69"/>
        <v>58968.198241485334</v>
      </c>
      <c r="T277" s="97"/>
      <c r="U277" s="97">
        <f>IFERROR(INDEX('Revised 2020 MFAM(2018 PYAs)'!AD$26:AD$300,MATCH(B277,'Revised 2020 MFAM(2018 PYAs)'!B$26:B$300,0)),0)</f>
        <v>-12.528247816269868</v>
      </c>
      <c r="V277" s="97">
        <f>IFERROR(INDEX('Revised 2019 MFAM(2017 PYAs)'!AF$26:AF$300,MATCH(B277,'Revised 2019 MFAM(2017 PYAs)'!B$26:B$300,0)),0)</f>
        <v>6.2718101892387494</v>
      </c>
      <c r="W277" s="97">
        <f t="shared" si="70"/>
        <v>-3.9273120021391758E-2</v>
      </c>
      <c r="X277" s="97">
        <f t="shared" si="71"/>
        <v>-6.2957107470525102</v>
      </c>
      <c r="Y277" s="97"/>
      <c r="Z277" s="98">
        <f t="shared" si="72"/>
        <v>58961.902530738284</v>
      </c>
      <c r="AA277" s="99">
        <v>0</v>
      </c>
      <c r="AB277" s="100">
        <f t="shared" si="73"/>
        <v>0</v>
      </c>
      <c r="AC277" s="97">
        <f t="shared" si="74"/>
        <v>58961.902530738284</v>
      </c>
      <c r="AD277" s="103"/>
      <c r="AE277" s="97">
        <f t="shared" si="77"/>
        <v>14740.475632684571</v>
      </c>
      <c r="AF277" s="97">
        <f t="shared" si="77"/>
        <v>14740.475632684571</v>
      </c>
      <c r="AG277" s="97">
        <f t="shared" si="77"/>
        <v>14740.475632684571</v>
      </c>
      <c r="AH277" s="97">
        <f t="shared" si="77"/>
        <v>14740.475632684571</v>
      </c>
    </row>
    <row r="278" spans="2:34" x14ac:dyDescent="0.25">
      <c r="B278" s="26">
        <v>998</v>
      </c>
      <c r="C278" s="28">
        <v>9</v>
      </c>
      <c r="D278" s="35" t="s">
        <v>304</v>
      </c>
      <c r="E278" s="154">
        <f>INDEX('2019 Data Lockdown'!H$5:H$257,MATCH(B278,'2019 Data Lockdown'!B$5:B$257,0))</f>
        <v>43.685214957722998</v>
      </c>
      <c r="F278" s="5">
        <f>INDEX('2019 Data Lockdown'!E$5:E$257,MATCH(B278,'2019 Data Lockdown'!B$5:B$257,0))</f>
        <v>227035.45</v>
      </c>
      <c r="G278" s="5">
        <f>INDEX('2019 Data Lockdown'!F$5:F$257,MATCH(B278,'2019 Data Lockdown'!B$5:B$257,0))</f>
        <v>0</v>
      </c>
      <c r="H278" s="5">
        <f t="shared" si="59"/>
        <v>227035.45</v>
      </c>
      <c r="I278" s="95">
        <f t="shared" si="60"/>
        <v>5197.0775517464399</v>
      </c>
      <c r="J278" s="6">
        <f t="shared" si="61"/>
        <v>1693.3856735583604</v>
      </c>
      <c r="K278" s="5">
        <f t="shared" si="62"/>
        <v>73975.917155725518</v>
      </c>
      <c r="L278" s="135">
        <f>INDEX('2019 Best Practice Scores'!L$4:L$256,MATCH(B278,'2019 Best Practice Scores'!A$4:A$256,0))</f>
        <v>0.55902777777777779</v>
      </c>
      <c r="M278" s="97">
        <f t="shared" si="63"/>
        <v>17110.811716051092</v>
      </c>
      <c r="N278" s="97">
        <f t="shared" si="64"/>
        <v>3126.6937063607184</v>
      </c>
      <c r="O278" s="97">
        <f t="shared" si="65"/>
        <v>2869.625714879402</v>
      </c>
      <c r="P278" s="97">
        <f t="shared" si="66"/>
        <v>898.93302705567635</v>
      </c>
      <c r="Q278" s="97">
        <f t="shared" si="67"/>
        <v>24006.064164346888</v>
      </c>
      <c r="R278" s="104">
        <f t="shared" si="68"/>
        <v>0.32451188288496791</v>
      </c>
      <c r="S278" s="166">
        <f t="shared" si="69"/>
        <v>24007.031674419664</v>
      </c>
      <c r="T278" s="97"/>
      <c r="U278" s="97">
        <f>IFERROR(INDEX('Revised 2020 MFAM(2018 PYAs)'!AD$26:AD$300,MATCH(B278,'Revised 2020 MFAM(2018 PYAs)'!B$26:B$300,0)),0)</f>
        <v>-16916.464566401683</v>
      </c>
      <c r="V278" s="97">
        <f>IFERROR(INDEX('Revised 2019 MFAM(2017 PYAs)'!AF$26:AF$300,MATCH(B278,'Revised 2019 MFAM(2017 PYAs)'!B$26:B$300,0)),0)</f>
        <v>0</v>
      </c>
      <c r="W278" s="97">
        <f t="shared" si="70"/>
        <v>-1.5988805227620743E-2</v>
      </c>
      <c r="X278" s="97">
        <f t="shared" si="71"/>
        <v>-16916.480555206912</v>
      </c>
      <c r="Y278" s="97"/>
      <c r="Z278" s="98">
        <f t="shared" si="72"/>
        <v>7090.5511192127524</v>
      </c>
      <c r="AA278" s="99">
        <v>0</v>
      </c>
      <c r="AB278" s="100">
        <f t="shared" si="73"/>
        <v>0</v>
      </c>
      <c r="AC278" s="97">
        <f t="shared" si="74"/>
        <v>7090.5511192127524</v>
      </c>
      <c r="AD278" s="103"/>
      <c r="AE278" s="97">
        <f t="shared" si="77"/>
        <v>1772.6377798031881</v>
      </c>
      <c r="AF278" s="97">
        <f t="shared" si="77"/>
        <v>1772.6377798031881</v>
      </c>
      <c r="AG278" s="97">
        <f t="shared" si="77"/>
        <v>1772.6377798031881</v>
      </c>
      <c r="AH278" s="97">
        <f t="shared" si="77"/>
        <v>1772.6377798031881</v>
      </c>
    </row>
  </sheetData>
  <sheetProtection sheet="1"/>
  <mergeCells count="5">
    <mergeCell ref="U24:X24"/>
    <mergeCell ref="B2:G2"/>
    <mergeCell ref="P2:Q2"/>
    <mergeCell ref="R24:S24"/>
    <mergeCell ref="M18:S18"/>
  </mergeCells>
  <conditionalFormatting sqref="B171:B183 B185:B190 B234:B256 B103:B169 B192:B202 B204:B232 W22:X23 B26:H26 B71:B100 B27:B69 C27:D274 E27:H278 K26:Y278">
    <cfRule type="expression" dxfId="81" priority="56">
      <formula>$C22&lt;&gt;$C21</formula>
    </cfRule>
  </conditionalFormatting>
  <conditionalFormatting sqref="R26:R278">
    <cfRule type="expression" dxfId="80" priority="55">
      <formula>R26&gt;75%</formula>
    </cfRule>
  </conditionalFormatting>
  <conditionalFormatting sqref="AE26:AH278 Z26:AC278">
    <cfRule type="expression" dxfId="79" priority="54">
      <formula>$C26&lt;&gt;$C25=TRUE</formula>
    </cfRule>
  </conditionalFormatting>
  <conditionalFormatting sqref="B70 B184 B233 B101 B203">
    <cfRule type="expression" dxfId="78" priority="57">
      <formula>$C70&lt;&gt;$C68</formula>
    </cfRule>
  </conditionalFormatting>
  <conditionalFormatting sqref="B170 B191">
    <cfRule type="expression" dxfId="77" priority="59">
      <formula>$C170&lt;&gt;#REF!</formula>
    </cfRule>
  </conditionalFormatting>
  <conditionalFormatting sqref="B102">
    <cfRule type="expression" dxfId="76" priority="61">
      <formula>$C102&lt;&gt;$C99</formula>
    </cfRule>
  </conditionalFormatting>
  <conditionalFormatting sqref="L3:L11">
    <cfRule type="expression" dxfId="75" priority="53">
      <formula>$C3&lt;&gt;$C2</formula>
    </cfRule>
  </conditionalFormatting>
  <conditionalFormatting sqref="U23:V23">
    <cfRule type="expression" dxfId="74" priority="48">
      <formula>$C23&lt;&gt;$C22</formula>
    </cfRule>
  </conditionalFormatting>
  <conditionalFormatting sqref="E26:F278">
    <cfRule type="expression" dxfId="73" priority="46">
      <formula>E26&lt;=0=TRUE</formula>
    </cfRule>
  </conditionalFormatting>
  <conditionalFormatting sqref="E24">
    <cfRule type="expression" dxfId="72" priority="33">
      <formula>$C24&lt;&gt;$C23</formula>
    </cfRule>
  </conditionalFormatting>
  <conditionalFormatting sqref="E24">
    <cfRule type="expression" dxfId="71" priority="32">
      <formula>E24&lt;=0=TRUE</formula>
    </cfRule>
  </conditionalFormatting>
  <conditionalFormatting sqref="E24">
    <cfRule type="expression" dxfId="70" priority="31">
      <formula>$C24&lt;&gt;$C23</formula>
    </cfRule>
  </conditionalFormatting>
  <conditionalFormatting sqref="E24">
    <cfRule type="expression" dxfId="69" priority="30">
      <formula>E24&lt;=0=TRUE</formula>
    </cfRule>
  </conditionalFormatting>
  <conditionalFormatting sqref="J3:J10">
    <cfRule type="expression" dxfId="68" priority="29">
      <formula>$C3&lt;&gt;$C2</formula>
    </cfRule>
  </conditionalFormatting>
  <conditionalFormatting sqref="J3:J10">
    <cfRule type="expression" dxfId="67" priority="28">
      <formula>J3&lt;=0=TRUE</formula>
    </cfRule>
  </conditionalFormatting>
  <conditionalFormatting sqref="J3:J10">
    <cfRule type="expression" dxfId="66" priority="27">
      <formula>$C3&lt;&gt;$C2</formula>
    </cfRule>
  </conditionalFormatting>
  <conditionalFormatting sqref="J3:J10">
    <cfRule type="expression" dxfId="65" priority="26">
      <formula>J3&lt;=0=TRUE</formula>
    </cfRule>
  </conditionalFormatting>
  <conditionalFormatting sqref="J11">
    <cfRule type="expression" dxfId="64" priority="25">
      <formula>$C11&lt;&gt;$C10</formula>
    </cfRule>
  </conditionalFormatting>
  <conditionalFormatting sqref="J11">
    <cfRule type="expression" dxfId="63" priority="24">
      <formula>J11&lt;=0=TRUE</formula>
    </cfRule>
  </conditionalFormatting>
  <conditionalFormatting sqref="J11">
    <cfRule type="expression" dxfId="62" priority="23">
      <formula>$C11&lt;&gt;$C10</formula>
    </cfRule>
  </conditionalFormatting>
  <conditionalFormatting sqref="J11">
    <cfRule type="expression" dxfId="61" priority="22">
      <formula>J11&lt;=0=TRUE</formula>
    </cfRule>
  </conditionalFormatting>
  <conditionalFormatting sqref="E19">
    <cfRule type="expression" dxfId="60" priority="21">
      <formula>$C19&lt;&gt;$C18</formula>
    </cfRule>
  </conditionalFormatting>
  <conditionalFormatting sqref="E19">
    <cfRule type="expression" dxfId="59" priority="20">
      <formula>E19&lt;=0=TRUE</formula>
    </cfRule>
  </conditionalFormatting>
  <conditionalFormatting sqref="E19">
    <cfRule type="expression" dxfId="58" priority="19">
      <formula>$C19&lt;&gt;$C18</formula>
    </cfRule>
  </conditionalFormatting>
  <conditionalFormatting sqref="E19">
    <cfRule type="expression" dxfId="57" priority="18">
      <formula>E19&lt;=0=TRUE</formula>
    </cfRule>
  </conditionalFormatting>
  <conditionalFormatting sqref="J26:J278">
    <cfRule type="expression" dxfId="56" priority="16">
      <formula>$C26&lt;&gt;$C25</formula>
    </cfRule>
  </conditionalFormatting>
  <conditionalFormatting sqref="J26:J278">
    <cfRule type="expression" dxfId="55" priority="15">
      <formula>J26&lt;I26=TRUE</formula>
    </cfRule>
  </conditionalFormatting>
  <conditionalFormatting sqref="C275:D278">
    <cfRule type="expression" dxfId="54" priority="12">
      <formula>$C275&lt;&gt;$C274</formula>
    </cfRule>
  </conditionalFormatting>
  <conditionalFormatting sqref="I26:I278">
    <cfRule type="expression" dxfId="53" priority="1">
      <formula>$C26&lt;&gt;$C25</formula>
    </cfRule>
  </conditionalFormatting>
  <pageMargins left="0.7" right="0.7" top="0.75" bottom="0.75" header="0.3" footer="0.3"/>
  <pageSetup orientation="portrait" r:id="rId1"/>
  <ignoredErrors>
    <ignoredError sqref="O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9" tint="0.79998168889431442"/>
  </sheetPr>
  <dimension ref="B2:Z258"/>
  <sheetViews>
    <sheetView workbookViewId="0"/>
  </sheetViews>
  <sheetFormatPr defaultRowHeight="14.3" x14ac:dyDescent="0.25"/>
  <cols>
    <col min="1" max="1" width="5.75" customWidth="1"/>
    <col min="2" max="3" width="6.75" style="1" customWidth="1"/>
    <col min="4" max="4" width="50.75" customWidth="1"/>
    <col min="5" max="11" width="14.75" customWidth="1"/>
    <col min="12" max="12" width="5.75" customWidth="1"/>
    <col min="13" max="19" width="12.75" customWidth="1"/>
  </cols>
  <sheetData>
    <row r="2" spans="2:19" x14ac:dyDescent="0.25">
      <c r="B2" s="23" t="s">
        <v>326</v>
      </c>
      <c r="E2" s="22"/>
      <c r="F2" s="22"/>
      <c r="G2" s="22"/>
      <c r="I2" t="s">
        <v>13</v>
      </c>
      <c r="J2" s="21">
        <v>0</v>
      </c>
    </row>
    <row r="3" spans="2:19" x14ac:dyDescent="0.25">
      <c r="D3" s="19"/>
      <c r="E3" s="20"/>
      <c r="F3" s="20"/>
      <c r="G3" s="20"/>
      <c r="H3" s="19"/>
      <c r="K3" s="17"/>
    </row>
    <row r="4" spans="2:19" ht="14.95" thickBot="1" x14ac:dyDescent="0.3">
      <c r="E4" s="154">
        <f>SUM(E6:E300)</f>
        <v>729906.48724807648</v>
      </c>
      <c r="F4" s="7">
        <f>SUM(F6:F300)</f>
        <v>383550745.09000021</v>
      </c>
      <c r="G4" s="7">
        <f>SUM(G6:G300)</f>
        <v>55390218.039999977</v>
      </c>
      <c r="H4" s="7">
        <f>SUM(H6:H300)</f>
        <v>328160527.05000001</v>
      </c>
      <c r="J4" t="s">
        <v>12</v>
      </c>
      <c r="K4" s="7">
        <f>SUM(K6:K300)</f>
        <v>322656034.40255457</v>
      </c>
      <c r="Q4" s="16">
        <f>100%-R4</f>
        <v>9.9999999999999978E-2</v>
      </c>
      <c r="R4" s="15">
        <f>'2021 Funding'!I2</f>
        <v>0.9</v>
      </c>
    </row>
    <row r="5" spans="2:19" ht="43.5" thickBot="1" x14ac:dyDescent="0.3">
      <c r="B5" s="14" t="s">
        <v>11</v>
      </c>
      <c r="C5" s="14" t="s">
        <v>10</v>
      </c>
      <c r="D5" s="14" t="s">
        <v>9</v>
      </c>
      <c r="E5" s="14" t="s">
        <v>340</v>
      </c>
      <c r="F5" s="14" t="s">
        <v>341</v>
      </c>
      <c r="G5" s="14" t="s">
        <v>342</v>
      </c>
      <c r="H5" s="14" t="s">
        <v>343</v>
      </c>
      <c r="I5" s="14" t="s">
        <v>8</v>
      </c>
      <c r="J5" s="14" t="s">
        <v>1</v>
      </c>
      <c r="K5" s="14" t="s">
        <v>307</v>
      </c>
      <c r="M5" s="14" t="s">
        <v>7</v>
      </c>
      <c r="N5" s="14" t="s">
        <v>6</v>
      </c>
      <c r="O5" s="13" t="s">
        <v>5</v>
      </c>
      <c r="P5" s="13" t="s">
        <v>4</v>
      </c>
      <c r="Q5" s="13" t="s">
        <v>3</v>
      </c>
      <c r="R5" s="13" t="s">
        <v>2</v>
      </c>
      <c r="S5" s="13" t="s">
        <v>1</v>
      </c>
    </row>
    <row r="6" spans="2:19" x14ac:dyDescent="0.25">
      <c r="B6">
        <v>1</v>
      </c>
      <c r="C6" s="28">
        <v>1</v>
      </c>
      <c r="D6" s="35" t="s">
        <v>62</v>
      </c>
      <c r="E6" s="154">
        <f>INDEX('2019 Data Lockdown'!H$5:H$257,MATCH(B6,'2019 Data Lockdown'!B$5:B$257,0))</f>
        <v>28377.279999999999</v>
      </c>
      <c r="F6" s="7">
        <f>INDEX('2019 Data Lockdown'!E$5:E$257,MATCH(B6,'2019 Data Lockdown'!B$5:B$257,0))</f>
        <v>9839514.6300000008</v>
      </c>
      <c r="G6" s="7">
        <f>INDEX('2019 Data Lockdown'!F$5:F$257,MATCH(B6,'2019 Data Lockdown'!B$5:B$257,0))</f>
        <v>303786.2</v>
      </c>
      <c r="H6" s="7">
        <f>F6-G6</f>
        <v>9535728.4300000016</v>
      </c>
      <c r="I6" s="6">
        <f>H6/E6</f>
        <v>336.03391269353517</v>
      </c>
      <c r="J6" s="6">
        <f>IF(ISERROR(IF($J$2=1,MAX(MIN(I6,R6),Q6),MIN(I6,R6))),R6,IF($J$2=1,MAX(MIN(I6,R6),Q6),MIN(I6,R6)))</f>
        <v>336.03391269353517</v>
      </c>
      <c r="K6" s="5">
        <f>J6*E6</f>
        <v>9535728.4300000016</v>
      </c>
      <c r="L6" s="4">
        <f t="shared" ref="L6:L69" si="0">IF(ISERROR(I6),1,0)</f>
        <v>0</v>
      </c>
      <c r="M6" s="2" cm="1">
        <f t="array" ref="M6">SUMPRODUCT(--($L$6:$L$300&lt;&gt;1),--($C$6:$C$300=$C6),$H$6:$H$300)/SUMPRODUCT(--($L$6:$L$300&lt;&gt;1),--($C$6:$C$300=$C6),$E$6:$E$300)</f>
        <v>502.5554745939981</v>
      </c>
      <c r="N6" s="1" cm="1">
        <f t="array" ref="N6">SUMPRODUCT(--($L$6:$L$300&lt;&gt;1),--($C$6:$C$300=$C6))</f>
        <v>6</v>
      </c>
      <c r="O6" s="3">
        <f>IF(ISERROR((I6-M6)^2),0,(I6-M6)^2)</f>
        <v>27729.430577769708</v>
      </c>
      <c r="P6" s="2" cm="1">
        <f t="array" ref="P6">SQRT(SUMPRODUCT(--($L$6:$L$300&lt;&gt;1),--($C$6:$C$300=$C6),$E$6:$E$300,$O$6:$O$300)/((N6-1)*SUMPRODUCT(--($L$6:$L$300&lt;&gt;1),--($C$6:$C$300=$C6),$E$6:$E$300)/N6))</f>
        <v>106.7949528764222</v>
      </c>
      <c r="Q6" s="2">
        <f t="shared" ref="Q6:R114" si="1">NORMINV(Q$4,$M6,$P6)</f>
        <v>365.69223554295741</v>
      </c>
      <c r="R6" s="2">
        <f t="shared" si="1"/>
        <v>639.41871364503879</v>
      </c>
      <c r="S6" s="2">
        <f>IF($J$2=1,MAX(MIN(I6,R6),Q6),MIN(R6,I6))</f>
        <v>336.03391269353517</v>
      </c>
    </row>
    <row r="7" spans="2:19" x14ac:dyDescent="0.25">
      <c r="B7">
        <v>20</v>
      </c>
      <c r="C7" s="28">
        <v>1</v>
      </c>
      <c r="D7" s="35" t="s">
        <v>63</v>
      </c>
      <c r="E7" s="154">
        <f>INDEX('2019 Data Lockdown'!H$5:H$257,MATCH(B7,'2019 Data Lockdown'!B$5:B$257,0))</f>
        <v>99784.55</v>
      </c>
      <c r="F7" s="7">
        <f>INDEX('2019 Data Lockdown'!E$5:E$257,MATCH(B7,'2019 Data Lockdown'!B$5:B$257,0))</f>
        <v>71101496.409999996</v>
      </c>
      <c r="G7" s="7">
        <f>INDEX('2019 Data Lockdown'!F$5:F$257,MATCH(B7,'2019 Data Lockdown'!B$5:B$257,0))</f>
        <v>8915663.2400000002</v>
      </c>
      <c r="H7" s="7">
        <f t="shared" ref="H7:H70" si="2">F7-G7</f>
        <v>62185833.169999994</v>
      </c>
      <c r="I7" s="6">
        <f t="shared" ref="I7:I70" si="3">H7/E7</f>
        <v>623.20101829391422</v>
      </c>
      <c r="J7" s="6">
        <f t="shared" ref="J7:J70" si="4">IF(ISERROR(IF($J$2=1,MAX(MIN(I7,R7),Q7),MIN(I7,R7))),R7,IF($J$2=1,MAX(MIN(I7,R7),Q7),MIN(I7,R7)))</f>
        <v>623.20101829391422</v>
      </c>
      <c r="K7" s="5">
        <f t="shared" ref="K7:K70" si="5">J7*E7</f>
        <v>62185833.170000002</v>
      </c>
      <c r="L7" s="4">
        <f t="shared" si="0"/>
        <v>0</v>
      </c>
      <c r="M7" s="2" cm="1">
        <f t="array" ref="M7">SUMPRODUCT(--($L$6:$L$300&lt;&gt;1),--($C$6:$C$300=$C7),$H$6:$H$300)/SUMPRODUCT(--($L$6:$L$300&lt;&gt;1),--($C$6:$C$300=$C7),$E$6:$E$300)</f>
        <v>502.5554745939981</v>
      </c>
      <c r="N7" s="1" cm="1">
        <f t="array" ref="N7">SUMPRODUCT(--($L$6:$L$300&lt;&gt;1),--($C$6:$C$300=$C7))</f>
        <v>6</v>
      </c>
      <c r="O7" s="3">
        <f t="shared" ref="O7:O70" si="6">IF(ISERROR((I7-M7)^2),0,(I7-M7)^2)</f>
        <v>14555.347214648369</v>
      </c>
      <c r="P7" s="2" cm="1">
        <f t="array" ref="P7">SQRT(SUMPRODUCT(--($L$6:$L$300&lt;&gt;1),--($C$6:$C$300=$C7),$E$6:$E$300,$O$6:$O$300)/((N7-1)*SUMPRODUCT(--($L$6:$L$300&lt;&gt;1),--($C$6:$C$300=$C7),$E$6:$E$300)/N7))</f>
        <v>106.7949528764222</v>
      </c>
      <c r="Q7" s="2">
        <f t="shared" si="1"/>
        <v>365.69223554295741</v>
      </c>
      <c r="R7" s="2">
        <f t="shared" si="1"/>
        <v>639.41871364503879</v>
      </c>
      <c r="S7" s="2">
        <f t="shared" ref="S7:S70" si="7">IF($J$2=1,MAX(MIN(I7,R7),Q7),MIN(R7,I7))</f>
        <v>623.20101829391422</v>
      </c>
    </row>
    <row r="8" spans="2:19" x14ac:dyDescent="0.25">
      <c r="B8">
        <v>50</v>
      </c>
      <c r="C8" s="28">
        <v>1</v>
      </c>
      <c r="D8" s="35" t="s">
        <v>64</v>
      </c>
      <c r="E8" s="154">
        <f>INDEX('2019 Data Lockdown'!H$5:H$257,MATCH(B8,'2019 Data Lockdown'!B$5:B$257,0))</f>
        <v>21706.59</v>
      </c>
      <c r="F8" s="7">
        <f>INDEX('2019 Data Lockdown'!E$5:E$257,MATCH(B8,'2019 Data Lockdown'!B$5:B$257,0))</f>
        <v>10769002.390000001</v>
      </c>
      <c r="G8" s="7">
        <f>INDEX('2019 Data Lockdown'!F$5:F$257,MATCH(B8,'2019 Data Lockdown'!B$5:B$257,0))</f>
        <v>1985825.52</v>
      </c>
      <c r="H8" s="7">
        <f t="shared" si="2"/>
        <v>8783176.870000001</v>
      </c>
      <c r="I8" s="6">
        <f t="shared" si="3"/>
        <v>404.63181319590046</v>
      </c>
      <c r="J8" s="6">
        <f t="shared" si="4"/>
        <v>404.63181319590046</v>
      </c>
      <c r="K8" s="5">
        <f t="shared" si="5"/>
        <v>8783176.870000001</v>
      </c>
      <c r="L8" s="4">
        <f t="shared" si="0"/>
        <v>0</v>
      </c>
      <c r="M8" s="2" cm="1">
        <f t="array" ref="M8">SUMPRODUCT(--($L$6:$L$300&lt;&gt;1),--($C$6:$C$300=$C8),$H$6:$H$300)/SUMPRODUCT(--($L$6:$L$300&lt;&gt;1),--($C$6:$C$300=$C8),$E$6:$E$300)</f>
        <v>502.5554745939981</v>
      </c>
      <c r="N8" s="1" cm="1">
        <f t="array" ref="N8">SUMPRODUCT(--($L$6:$L$300&lt;&gt;1),--($C$6:$C$300=$C8))</f>
        <v>6</v>
      </c>
      <c r="O8" s="3">
        <f t="shared" si="6"/>
        <v>9589.0434616092771</v>
      </c>
      <c r="P8" s="2" cm="1">
        <f t="array" ref="P8">SQRT(SUMPRODUCT(--($L$6:$L$300&lt;&gt;1),--($C$6:$C$300=$C8),$E$6:$E$300,$O$6:$O$300)/((N8-1)*SUMPRODUCT(--($L$6:$L$300&lt;&gt;1),--($C$6:$C$300=$C8),$E$6:$E$300)/N8))</f>
        <v>106.7949528764222</v>
      </c>
      <c r="Q8" s="2">
        <f t="shared" si="1"/>
        <v>365.69223554295741</v>
      </c>
      <c r="R8" s="2">
        <f t="shared" si="1"/>
        <v>639.41871364503879</v>
      </c>
      <c r="S8" s="2">
        <f t="shared" si="7"/>
        <v>404.63181319590046</v>
      </c>
    </row>
    <row r="9" spans="2:19" x14ac:dyDescent="0.25">
      <c r="B9">
        <v>97</v>
      </c>
      <c r="C9" s="28">
        <v>1</v>
      </c>
      <c r="D9" s="35" t="s">
        <v>65</v>
      </c>
      <c r="E9" s="154">
        <f>INDEX('2019 Data Lockdown'!H$5:H$257,MATCH(B9,'2019 Data Lockdown'!B$5:B$257,0))</f>
        <v>53554.62000000001</v>
      </c>
      <c r="F9" s="7">
        <f>INDEX('2019 Data Lockdown'!E$5:E$257,MATCH(B9,'2019 Data Lockdown'!B$5:B$257,0))</f>
        <v>29964286.199999999</v>
      </c>
      <c r="G9" s="7">
        <f>INDEX('2019 Data Lockdown'!F$5:F$257,MATCH(B9,'2019 Data Lockdown'!B$5:B$257,0))</f>
        <v>4815316.72</v>
      </c>
      <c r="H9" s="7">
        <f t="shared" si="2"/>
        <v>25148969.48</v>
      </c>
      <c r="I9" s="6">
        <f t="shared" si="3"/>
        <v>469.59477034847777</v>
      </c>
      <c r="J9" s="6">
        <f>IF(ISERROR(IF($J$2=1,MAX(MIN(I9,R9),Q9),MIN(I9,R9))),R9,IF($J$2=1,MAX(MIN(I9,R9),Q9),MIN(I9,R9)))</f>
        <v>469.59477034847777</v>
      </c>
      <c r="K9" s="5">
        <f t="shared" si="5"/>
        <v>25148969.48</v>
      </c>
      <c r="L9" s="4">
        <f t="shared" si="0"/>
        <v>0</v>
      </c>
      <c r="M9" s="2" cm="1">
        <f t="array" ref="M9">SUMPRODUCT(--($L$6:$L$300&lt;&gt;1),--($C$6:$C$300=$C9),$H$6:$H$300)/SUMPRODUCT(--($L$6:$L$300&lt;&gt;1),--($C$6:$C$300=$C9),$E$6:$E$300)</f>
        <v>502.5554745939981</v>
      </c>
      <c r="N9" s="1" cm="1">
        <f t="array" ref="N9">SUMPRODUCT(--($L$6:$L$300&lt;&gt;1),--($C$6:$C$300=$C9))</f>
        <v>6</v>
      </c>
      <c r="O9" s="3">
        <f t="shared" si="6"/>
        <v>1086.408024360662</v>
      </c>
      <c r="P9" s="2" cm="1">
        <f t="array" ref="P9">SQRT(SUMPRODUCT(--($L$6:$L$300&lt;&gt;1),--($C$6:$C$300=$C9),$E$6:$E$300,$O$6:$O$300)/((N9-1)*SUMPRODUCT(--($L$6:$L$300&lt;&gt;1),--($C$6:$C$300=$C9),$E$6:$E$300)/N9))</f>
        <v>106.7949528764222</v>
      </c>
      <c r="Q9" s="2">
        <f t="shared" si="1"/>
        <v>365.69223554295741</v>
      </c>
      <c r="R9" s="2">
        <f t="shared" si="1"/>
        <v>639.41871364503879</v>
      </c>
      <c r="S9" s="2">
        <f t="shared" si="7"/>
        <v>469.59477034847777</v>
      </c>
    </row>
    <row r="10" spans="2:19" x14ac:dyDescent="0.25">
      <c r="B10">
        <v>172</v>
      </c>
      <c r="C10" s="28">
        <v>1</v>
      </c>
      <c r="D10" s="35" t="s">
        <v>66</v>
      </c>
      <c r="E10" s="154">
        <f>INDEX('2019 Data Lockdown'!H$5:H$257,MATCH(B10,'2019 Data Lockdown'!B$5:B$257,0))</f>
        <v>33148.810000000005</v>
      </c>
      <c r="F10" s="7">
        <f>INDEX('2019 Data Lockdown'!E$5:E$257,MATCH(B10,'2019 Data Lockdown'!B$5:B$257,0))</f>
        <v>15527274.060000001</v>
      </c>
      <c r="G10" s="7">
        <f>INDEX('2019 Data Lockdown'!F$5:F$257,MATCH(B10,'2019 Data Lockdown'!B$5:B$257,0))</f>
        <v>2705559.01</v>
      </c>
      <c r="H10" s="7">
        <f t="shared" si="2"/>
        <v>12821715.050000001</v>
      </c>
      <c r="I10" s="6">
        <f t="shared" si="3"/>
        <v>386.79261940323045</v>
      </c>
      <c r="J10" s="6">
        <f t="shared" si="4"/>
        <v>386.79261940323045</v>
      </c>
      <c r="K10" s="5">
        <f t="shared" si="5"/>
        <v>12821715.050000001</v>
      </c>
      <c r="L10" s="4">
        <f t="shared" si="0"/>
        <v>0</v>
      </c>
      <c r="M10" s="2" cm="1">
        <f t="array" ref="M10">SUMPRODUCT(--($L$6:$L$300&lt;&gt;1),--($C$6:$C$300=$C10),$H$6:$H$300)/SUMPRODUCT(--($L$6:$L$300&lt;&gt;1),--($C$6:$C$300=$C10),$E$6:$E$300)</f>
        <v>502.5554745939981</v>
      </c>
      <c r="N10" s="1" cm="1">
        <f t="array" ref="N10">SUMPRODUCT(--($L$6:$L$300&lt;&gt;1),--($C$6:$C$300=$C10))</f>
        <v>6</v>
      </c>
      <c r="O10" s="3">
        <f t="shared" si="6"/>
        <v>13401.038641918642</v>
      </c>
      <c r="P10" s="2" cm="1">
        <f t="array" ref="P10">SQRT(SUMPRODUCT(--($L$6:$L$300&lt;&gt;1),--($C$6:$C$300=$C10),$E$6:$E$300,$O$6:$O$300)/((N10-1)*SUMPRODUCT(--($L$6:$L$300&lt;&gt;1),--($C$6:$C$300=$C10),$E$6:$E$300)/N10))</f>
        <v>106.7949528764222</v>
      </c>
      <c r="Q10" s="2">
        <f t="shared" si="1"/>
        <v>365.69223554295741</v>
      </c>
      <c r="R10" s="2">
        <f t="shared" si="1"/>
        <v>639.41871364503879</v>
      </c>
      <c r="S10" s="2">
        <f t="shared" si="7"/>
        <v>386.79261940323045</v>
      </c>
    </row>
    <row r="11" spans="2:19" x14ac:dyDescent="0.25">
      <c r="B11">
        <v>270</v>
      </c>
      <c r="C11" s="28">
        <v>1</v>
      </c>
      <c r="D11" s="35" t="s">
        <v>67</v>
      </c>
      <c r="E11" s="154">
        <f>INDEX('2019 Data Lockdown'!H$5:H$257,MATCH(B11,'2019 Data Lockdown'!B$5:B$257,0))</f>
        <v>74041.960000000006</v>
      </c>
      <c r="F11" s="7">
        <f>INDEX('2019 Data Lockdown'!E$5:E$257,MATCH(B11,'2019 Data Lockdown'!B$5:B$257,0))</f>
        <v>40222621.619999997</v>
      </c>
      <c r="G11" s="7">
        <f>INDEX('2019 Data Lockdown'!F$5:F$257,MATCH(B11,'2019 Data Lockdown'!B$5:B$257,0))</f>
        <v>2597373.92</v>
      </c>
      <c r="H11" s="7">
        <f t="shared" si="2"/>
        <v>37625247.699999996</v>
      </c>
      <c r="I11" s="6">
        <f t="shared" si="3"/>
        <v>508.16115213589688</v>
      </c>
      <c r="J11" s="6">
        <f t="shared" si="4"/>
        <v>508.16115213589688</v>
      </c>
      <c r="K11" s="5">
        <f t="shared" si="5"/>
        <v>37625247.699999996</v>
      </c>
      <c r="L11" s="4">
        <f t="shared" si="0"/>
        <v>0</v>
      </c>
      <c r="M11" s="2" cm="1">
        <f t="array" ref="M11">SUMPRODUCT(--($L$6:$L$300&lt;&gt;1),--($C$6:$C$300=$C11),$H$6:$H$300)/SUMPRODUCT(--($L$6:$L$300&lt;&gt;1),--($C$6:$C$300=$C11),$E$6:$E$300)</f>
        <v>502.5554745939981</v>
      </c>
      <c r="N11" s="1" cm="1">
        <f t="array" ref="N11">SUMPRODUCT(--($L$6:$L$300&lt;&gt;1),--($C$6:$C$300=$C11))</f>
        <v>6</v>
      </c>
      <c r="O11" s="3">
        <f t="shared" si="6"/>
        <v>31.423620703748409</v>
      </c>
      <c r="P11" s="2" cm="1">
        <f t="array" ref="P11">SQRT(SUMPRODUCT(--($L$6:$L$300&lt;&gt;1),--($C$6:$C$300=$C11),$E$6:$E$300,$O$6:$O$300)/((N11-1)*SUMPRODUCT(--($L$6:$L$300&lt;&gt;1),--($C$6:$C$300=$C11),$E$6:$E$300)/N11))</f>
        <v>106.7949528764222</v>
      </c>
      <c r="Q11" s="2">
        <f t="shared" si="1"/>
        <v>365.69223554295741</v>
      </c>
      <c r="R11" s="2">
        <f t="shared" si="1"/>
        <v>639.41871364503879</v>
      </c>
      <c r="S11" s="2">
        <f t="shared" si="7"/>
        <v>508.16115213589688</v>
      </c>
    </row>
    <row r="12" spans="2:19" x14ac:dyDescent="0.25">
      <c r="B12">
        <v>6</v>
      </c>
      <c r="C12" s="28">
        <v>2</v>
      </c>
      <c r="D12" s="35" t="s">
        <v>68</v>
      </c>
      <c r="E12" s="154">
        <f>INDEX('2019 Data Lockdown'!H$5:H$257,MATCH(B12,'2019 Data Lockdown'!B$5:B$257,0))</f>
        <v>41206.969999999987</v>
      </c>
      <c r="F12" s="7">
        <f>INDEX('2019 Data Lockdown'!E$5:E$257,MATCH(B12,'2019 Data Lockdown'!B$5:B$257,0))</f>
        <v>19734526.949999999</v>
      </c>
      <c r="G12" s="7">
        <f>INDEX('2019 Data Lockdown'!F$5:F$257,MATCH(B12,'2019 Data Lockdown'!B$5:B$257,0))</f>
        <v>3742083.3</v>
      </c>
      <c r="H12" s="7">
        <f t="shared" si="2"/>
        <v>15992443.649999999</v>
      </c>
      <c r="I12" s="6">
        <f t="shared" si="3"/>
        <v>388.10045121007448</v>
      </c>
      <c r="J12" s="6">
        <f t="shared" si="4"/>
        <v>388.10045121007448</v>
      </c>
      <c r="K12" s="5">
        <f t="shared" si="5"/>
        <v>15992443.649999999</v>
      </c>
      <c r="L12" s="4">
        <f t="shared" si="0"/>
        <v>0</v>
      </c>
      <c r="M12" s="2" cm="1">
        <f t="array" ref="M12">SUMPRODUCT(--($L$6:$L$300&lt;&gt;1),--($C$6:$C$300=$C12),$H$6:$H$300)/SUMPRODUCT(--($L$6:$L$300&lt;&gt;1),--($C$6:$C$300=$C12),$E$6:$E$300)</f>
        <v>313.58206945068127</v>
      </c>
      <c r="N12" s="1" cm="1">
        <f t="array" ref="N12">SUMPRODUCT(--($L$6:$L$300&lt;&gt;1),--($C$6:$C$300=$C12))</f>
        <v>6</v>
      </c>
      <c r="O12" s="3">
        <f t="shared" si="6"/>
        <v>5552.9892200386666</v>
      </c>
      <c r="P12" s="2" cm="1">
        <f t="array" ref="P12">SQRT(SUMPRODUCT(--($L$6:$L$300&lt;&gt;1),--($C$6:$C$300=$C12),$E$6:$E$300,$O$6:$O$300)/((N12-1)*SUMPRODUCT(--($L$6:$L$300&lt;&gt;1),--($C$6:$C$300=$C12),$E$6:$E$300)/N12))</f>
        <v>101.94150208680463</v>
      </c>
      <c r="Q12" s="2">
        <f t="shared" si="1"/>
        <v>182.93877785736862</v>
      </c>
      <c r="R12" s="2">
        <f t="shared" si="1"/>
        <v>444.22536104399393</v>
      </c>
      <c r="S12" s="2">
        <f t="shared" si="7"/>
        <v>388.10045121007448</v>
      </c>
    </row>
    <row r="13" spans="2:19" x14ac:dyDescent="0.25">
      <c r="B13">
        <v>18</v>
      </c>
      <c r="C13" s="28">
        <v>2</v>
      </c>
      <c r="D13" s="35" t="s">
        <v>69</v>
      </c>
      <c r="E13" s="154">
        <f>INDEX('2019 Data Lockdown'!H$5:H$257,MATCH(B13,'2019 Data Lockdown'!B$5:B$257,0))</f>
        <v>19941.120000000003</v>
      </c>
      <c r="F13" s="7">
        <f>INDEX('2019 Data Lockdown'!E$5:E$257,MATCH(B13,'2019 Data Lockdown'!B$5:B$257,0))</f>
        <v>8788831.7100000009</v>
      </c>
      <c r="G13" s="7">
        <f>INDEX('2019 Data Lockdown'!F$5:F$257,MATCH(B13,'2019 Data Lockdown'!B$5:B$257,0))</f>
        <v>2133782.5100000002</v>
      </c>
      <c r="H13" s="7">
        <f t="shared" si="2"/>
        <v>6655049.2000000011</v>
      </c>
      <c r="I13" s="6">
        <f t="shared" si="3"/>
        <v>333.73497576866293</v>
      </c>
      <c r="J13" s="6">
        <f t="shared" si="4"/>
        <v>333.73497576866293</v>
      </c>
      <c r="K13" s="5">
        <f t="shared" si="5"/>
        <v>6655049.2000000011</v>
      </c>
      <c r="L13" s="4">
        <f t="shared" si="0"/>
        <v>0</v>
      </c>
      <c r="M13" s="2" cm="1">
        <f t="array" ref="M13">SUMPRODUCT(--($L$6:$L$300&lt;&gt;1),--($C$6:$C$300=$C13),$H$6:$H$300)/SUMPRODUCT(--($L$6:$L$300&lt;&gt;1),--($C$6:$C$300=$C13),$E$6:$E$300)</f>
        <v>313.58206945068127</v>
      </c>
      <c r="N13" s="1" cm="1">
        <f t="array" ref="N13">SUMPRODUCT(--($L$6:$L$300&lt;&gt;1),--($C$6:$C$300=$C13))</f>
        <v>6</v>
      </c>
      <c r="O13" s="3">
        <f t="shared" si="6"/>
        <v>406.13963306134514</v>
      </c>
      <c r="P13" s="2" cm="1">
        <f t="array" ref="P13">SQRT(SUMPRODUCT(--($L$6:$L$300&lt;&gt;1),--($C$6:$C$300=$C13),$E$6:$E$300,$O$6:$O$300)/((N13-1)*SUMPRODUCT(--($L$6:$L$300&lt;&gt;1),--($C$6:$C$300=$C13),$E$6:$E$300)/N13))</f>
        <v>101.94150208680463</v>
      </c>
      <c r="Q13" s="2">
        <f t="shared" si="1"/>
        <v>182.93877785736862</v>
      </c>
      <c r="R13" s="2">
        <f t="shared" si="1"/>
        <v>444.22536104399393</v>
      </c>
      <c r="S13" s="2">
        <f t="shared" si="7"/>
        <v>333.73497576866293</v>
      </c>
    </row>
    <row r="14" spans="2:19" x14ac:dyDescent="0.25">
      <c r="B14">
        <v>53</v>
      </c>
      <c r="C14" s="28">
        <v>2</v>
      </c>
      <c r="D14" s="35" t="s">
        <v>70</v>
      </c>
      <c r="E14" s="154">
        <f>INDEX('2019 Data Lockdown'!H$5:H$257,MATCH(B14,'2019 Data Lockdown'!B$5:B$257,0))</f>
        <v>34960.206400000003</v>
      </c>
      <c r="F14" s="7">
        <f>INDEX('2019 Data Lockdown'!E$5:E$257,MATCH(B14,'2019 Data Lockdown'!B$5:B$257,0))</f>
        <v>10395927.890000001</v>
      </c>
      <c r="G14" s="7">
        <f>INDEX('2019 Data Lockdown'!F$5:F$257,MATCH(B14,'2019 Data Lockdown'!B$5:B$257,0))</f>
        <v>2947532.46</v>
      </c>
      <c r="H14" s="7">
        <f t="shared" si="2"/>
        <v>7448395.4300000006</v>
      </c>
      <c r="I14" s="6">
        <f t="shared" si="3"/>
        <v>213.05353134299574</v>
      </c>
      <c r="J14" s="6">
        <f t="shared" si="4"/>
        <v>213.05353134299574</v>
      </c>
      <c r="K14" s="5">
        <f t="shared" si="5"/>
        <v>7448395.4300000006</v>
      </c>
      <c r="L14" s="4">
        <f t="shared" si="0"/>
        <v>0</v>
      </c>
      <c r="M14" s="2" cm="1">
        <f t="array" ref="M14">SUMPRODUCT(--($L$6:$L$300&lt;&gt;1),--($C$6:$C$300=$C14),$H$6:$H$300)/SUMPRODUCT(--($L$6:$L$300&lt;&gt;1),--($C$6:$C$300=$C14),$E$6:$E$300)</f>
        <v>313.58206945068127</v>
      </c>
      <c r="N14" s="1" cm="1">
        <f t="array" ref="N14">SUMPRODUCT(--($L$6:$L$300&lt;&gt;1),--($C$6:$C$300=$C14))</f>
        <v>6</v>
      </c>
      <c r="O14" s="3">
        <f t="shared" si="6"/>
        <v>10105.986974068383</v>
      </c>
      <c r="P14" s="2" cm="1">
        <f t="array" ref="P14">SQRT(SUMPRODUCT(--($L$6:$L$300&lt;&gt;1),--($C$6:$C$300=$C14),$E$6:$E$300,$O$6:$O$300)/((N14-1)*SUMPRODUCT(--($L$6:$L$300&lt;&gt;1),--($C$6:$C$300=$C14),$E$6:$E$300)/N14))</f>
        <v>101.94150208680463</v>
      </c>
      <c r="Q14" s="2">
        <f t="shared" si="1"/>
        <v>182.93877785736862</v>
      </c>
      <c r="R14" s="2">
        <f t="shared" si="1"/>
        <v>444.22536104399393</v>
      </c>
      <c r="S14" s="2">
        <f t="shared" si="7"/>
        <v>213.05353134299574</v>
      </c>
    </row>
    <row r="15" spans="2:19" x14ac:dyDescent="0.25">
      <c r="B15">
        <v>335</v>
      </c>
      <c r="C15" s="28">
        <v>2</v>
      </c>
      <c r="D15" s="35" t="s">
        <v>71</v>
      </c>
      <c r="E15" s="154">
        <f>INDEX('2019 Data Lockdown'!H$5:H$257,MATCH(B15,'2019 Data Lockdown'!B$5:B$257,0))</f>
        <v>25689.83</v>
      </c>
      <c r="F15" s="7">
        <f>INDEX('2019 Data Lockdown'!E$5:E$257,MATCH(B15,'2019 Data Lockdown'!B$5:B$257,0))</f>
        <v>14903554.119999999</v>
      </c>
      <c r="G15" s="7">
        <f>INDEX('2019 Data Lockdown'!F$5:F$257,MATCH(B15,'2019 Data Lockdown'!B$5:B$257,0))</f>
        <v>1961104.7</v>
      </c>
      <c r="H15" s="7">
        <f t="shared" si="2"/>
        <v>12942449.42</v>
      </c>
      <c r="I15" s="6">
        <f t="shared" si="3"/>
        <v>503.79661601497554</v>
      </c>
      <c r="J15" s="6">
        <f t="shared" si="4"/>
        <v>444.22536104399393</v>
      </c>
      <c r="K15" s="5">
        <f t="shared" si="5"/>
        <v>11412074.006908827</v>
      </c>
      <c r="L15" s="4">
        <f t="shared" si="0"/>
        <v>0</v>
      </c>
      <c r="M15" s="2" cm="1">
        <f t="array" ref="M15">SUMPRODUCT(--($L$6:$L$300&lt;&gt;1),--($C$6:$C$300=$C15),$H$6:$H$300)/SUMPRODUCT(--($L$6:$L$300&lt;&gt;1),--($C$6:$C$300=$C15),$E$6:$E$300)</f>
        <v>313.58206945068127</v>
      </c>
      <c r="N15" s="1" cm="1">
        <f t="array" ref="N15">SUMPRODUCT(--($L$6:$L$300&lt;&gt;1),--($C$6:$C$300=$C15))</f>
        <v>6</v>
      </c>
      <c r="O15" s="3">
        <f t="shared" si="6"/>
        <v>36181.573724660069</v>
      </c>
      <c r="P15" s="2" cm="1">
        <f t="array" ref="P15">SQRT(SUMPRODUCT(--($L$6:$L$300&lt;&gt;1),--($C$6:$C$300=$C15),$E$6:$E$300,$O$6:$O$300)/((N15-1)*SUMPRODUCT(--($L$6:$L$300&lt;&gt;1),--($C$6:$C$300=$C15),$E$6:$E$300)/N15))</f>
        <v>101.94150208680463</v>
      </c>
      <c r="Q15" s="2">
        <f t="shared" si="1"/>
        <v>182.93877785736862</v>
      </c>
      <c r="R15" s="2">
        <f t="shared" si="1"/>
        <v>444.22536104399393</v>
      </c>
      <c r="S15" s="2">
        <f t="shared" si="7"/>
        <v>444.22536104399393</v>
      </c>
    </row>
    <row r="16" spans="2:19" x14ac:dyDescent="0.25">
      <c r="B16">
        <v>357</v>
      </c>
      <c r="C16" s="28">
        <v>2</v>
      </c>
      <c r="D16" s="35" t="s">
        <v>72</v>
      </c>
      <c r="E16" s="154">
        <f>INDEX('2019 Data Lockdown'!H$5:H$257,MATCH(B16,'2019 Data Lockdown'!B$5:B$257,0))</f>
        <v>34912.030000000006</v>
      </c>
      <c r="F16" s="7">
        <f>INDEX('2019 Data Lockdown'!E$5:E$257,MATCH(B16,'2019 Data Lockdown'!B$5:B$257,0))</f>
        <v>13658152.119999999</v>
      </c>
      <c r="G16" s="7">
        <f>INDEX('2019 Data Lockdown'!F$5:F$257,MATCH(B16,'2019 Data Lockdown'!B$5:B$257,0))</f>
        <v>3498711.4300000006</v>
      </c>
      <c r="H16" s="7">
        <f t="shared" si="2"/>
        <v>10159440.689999998</v>
      </c>
      <c r="I16" s="6">
        <f t="shared" si="3"/>
        <v>291.00114459113365</v>
      </c>
      <c r="J16" s="6">
        <f t="shared" si="4"/>
        <v>291.00114459113365</v>
      </c>
      <c r="K16" s="5">
        <f t="shared" si="5"/>
        <v>10159440.689999998</v>
      </c>
      <c r="L16" s="4">
        <f t="shared" si="0"/>
        <v>0</v>
      </c>
      <c r="M16" s="2" cm="1">
        <f t="array" ref="M16">SUMPRODUCT(--($L$6:$L$300&lt;&gt;1),--($C$6:$C$300=$C16),$H$6:$H$300)/SUMPRODUCT(--($L$6:$L$300&lt;&gt;1),--($C$6:$C$300=$C16),$E$6:$E$300)</f>
        <v>313.58206945068127</v>
      </c>
      <c r="N16" s="1" cm="1">
        <f t="array" ref="N16">SUMPRODUCT(--($L$6:$L$300&lt;&gt;1),--($C$6:$C$300=$C16))</f>
        <v>6</v>
      </c>
      <c r="O16" s="3">
        <f t="shared" si="6"/>
        <v>509.89816751253579</v>
      </c>
      <c r="P16" s="2" cm="1">
        <f t="array" ref="P16">SQRT(SUMPRODUCT(--($L$6:$L$300&lt;&gt;1),--($C$6:$C$300=$C16),$E$6:$E$300,$O$6:$O$300)/((N16-1)*SUMPRODUCT(--($L$6:$L$300&lt;&gt;1),--($C$6:$C$300=$C16),$E$6:$E$300)/N16))</f>
        <v>101.94150208680463</v>
      </c>
      <c r="Q16" s="2">
        <f t="shared" si="1"/>
        <v>182.93877785736862</v>
      </c>
      <c r="R16" s="2">
        <f t="shared" si="1"/>
        <v>444.22536104399393</v>
      </c>
      <c r="S16" s="2">
        <f t="shared" si="7"/>
        <v>291.00114459113365</v>
      </c>
    </row>
    <row r="17" spans="2:19" x14ac:dyDescent="0.25">
      <c r="B17">
        <v>441</v>
      </c>
      <c r="C17" s="28">
        <v>2</v>
      </c>
      <c r="D17" s="35" t="s">
        <v>73</v>
      </c>
      <c r="E17" s="154">
        <f>INDEX('2019 Data Lockdown'!H$5:H$257,MATCH(B17,'2019 Data Lockdown'!B$5:B$257,0))</f>
        <v>55231.539999999986</v>
      </c>
      <c r="F17" s="7">
        <f>INDEX('2019 Data Lockdown'!E$5:E$257,MATCH(B17,'2019 Data Lockdown'!B$5:B$257,0))</f>
        <v>19919415.420000002</v>
      </c>
      <c r="G17" s="7">
        <f>INDEX('2019 Data Lockdown'!F$5:F$257,MATCH(B17,'2019 Data Lockdown'!B$5:B$257,0))</f>
        <v>6656078.0499999989</v>
      </c>
      <c r="H17" s="7">
        <f t="shared" si="2"/>
        <v>13263337.370000003</v>
      </c>
      <c r="I17" s="6">
        <f t="shared" si="3"/>
        <v>240.14064011251554</v>
      </c>
      <c r="J17" s="6">
        <f t="shared" si="4"/>
        <v>240.14064011251554</v>
      </c>
      <c r="K17" s="5">
        <f t="shared" si="5"/>
        <v>13263337.370000003</v>
      </c>
      <c r="L17" s="4">
        <f t="shared" si="0"/>
        <v>0</v>
      </c>
      <c r="M17" s="2" cm="1">
        <f t="array" ref="M17">SUMPRODUCT(--($L$6:$L$300&lt;&gt;1),--($C$6:$C$300=$C17),$H$6:$H$300)/SUMPRODUCT(--($L$6:$L$300&lt;&gt;1),--($C$6:$C$300=$C17),$E$6:$E$300)</f>
        <v>313.58206945068127</v>
      </c>
      <c r="N17" s="1" cm="1">
        <f t="array" ref="N17">SUMPRODUCT(--($L$6:$L$300&lt;&gt;1),--($C$6:$C$300=$C17))</f>
        <v>6</v>
      </c>
      <c r="O17" s="3">
        <f t="shared" si="6"/>
        <v>5393.6435432327908</v>
      </c>
      <c r="P17" s="2" cm="1">
        <f t="array" ref="P17">SQRT(SUMPRODUCT(--($L$6:$L$300&lt;&gt;1),--($C$6:$C$300=$C17),$E$6:$E$300,$O$6:$O$300)/((N17-1)*SUMPRODUCT(--($L$6:$L$300&lt;&gt;1),--($C$6:$C$300=$C17),$E$6:$E$300)/N17))</f>
        <v>101.94150208680463</v>
      </c>
      <c r="Q17" s="2">
        <f t="shared" si="1"/>
        <v>182.93877785736862</v>
      </c>
      <c r="R17" s="2">
        <f t="shared" si="1"/>
        <v>444.22536104399393</v>
      </c>
      <c r="S17" s="2">
        <f t="shared" si="7"/>
        <v>240.14064011251554</v>
      </c>
    </row>
    <row r="18" spans="2:19" x14ac:dyDescent="0.25">
      <c r="B18">
        <v>14</v>
      </c>
      <c r="C18" s="28">
        <v>3</v>
      </c>
      <c r="D18" s="35" t="s">
        <v>74</v>
      </c>
      <c r="E18" s="154">
        <f>INDEX('2019 Data Lockdown'!H$5:H$257,MATCH(B18,'2019 Data Lockdown'!B$5:B$257,0))</f>
        <v>11108.29</v>
      </c>
      <c r="F18" s="7">
        <f>INDEX('2019 Data Lockdown'!E$5:E$257,MATCH(B18,'2019 Data Lockdown'!B$5:B$257,0))</f>
        <v>2679551.4300000002</v>
      </c>
      <c r="G18" s="7">
        <f>INDEX('2019 Data Lockdown'!F$5:F$257,MATCH(B18,'2019 Data Lockdown'!B$5:B$257,0))</f>
        <v>129351.95</v>
      </c>
      <c r="H18" s="7">
        <f t="shared" si="2"/>
        <v>2550199.48</v>
      </c>
      <c r="I18" s="6">
        <f t="shared" si="3"/>
        <v>229.57624260799815</v>
      </c>
      <c r="J18" s="6">
        <f t="shared" si="4"/>
        <v>229.57624260799815</v>
      </c>
      <c r="K18" s="5">
        <f t="shared" si="5"/>
        <v>2550199.48</v>
      </c>
      <c r="L18" s="4">
        <f t="shared" si="0"/>
        <v>0</v>
      </c>
      <c r="M18" s="2" cm="1">
        <f t="array" ref="M18">SUMPRODUCT(--($L$6:$L$300&lt;&gt;1),--($C$6:$C$300=$C18),$H$6:$H$300)/SUMPRODUCT(--($L$6:$L$300&lt;&gt;1),--($C$6:$C$300=$C18),$E$6:$E$300)</f>
        <v>424.36992931640611</v>
      </c>
      <c r="N18" s="1" cm="1">
        <f t="array" ref="N18">SUMPRODUCT(--($L$6:$L$300&lt;&gt;1),--($C$6:$C$300=$C18))</f>
        <v>7</v>
      </c>
      <c r="O18" s="3">
        <f t="shared" si="6"/>
        <v>37944.580381453394</v>
      </c>
      <c r="P18" s="2" cm="1">
        <f t="array" ref="P18">SQRT(SUMPRODUCT(--($L$6:$L$300&lt;&gt;1),--($C$6:$C$300=$C18),$E$6:$E$300,$O$6:$O$300)/((N18-1)*SUMPRODUCT(--($L$6:$L$300&lt;&gt;1),--($C$6:$C$300=$C18),$E$6:$E$300)/N18))</f>
        <v>289.1042934597412</v>
      </c>
      <c r="Q18" s="2">
        <f t="shared" si="1"/>
        <v>53.867869427409119</v>
      </c>
      <c r="R18" s="2">
        <f t="shared" si="1"/>
        <v>794.87198920540311</v>
      </c>
      <c r="S18" s="2">
        <f t="shared" si="7"/>
        <v>229.57624260799815</v>
      </c>
    </row>
    <row r="19" spans="2:19" x14ac:dyDescent="0.25">
      <c r="B19">
        <v>36</v>
      </c>
      <c r="C19" s="28">
        <v>3</v>
      </c>
      <c r="D19" s="35" t="s">
        <v>75</v>
      </c>
      <c r="E19" s="154">
        <f>INDEX('2019 Data Lockdown'!H$5:H$257,MATCH(B19,'2019 Data Lockdown'!B$5:B$257,0))</f>
        <v>5586.8</v>
      </c>
      <c r="F19" s="7">
        <f>INDEX('2019 Data Lockdown'!E$5:E$257,MATCH(B19,'2019 Data Lockdown'!B$5:B$257,0))</f>
        <v>6633340.9699999997</v>
      </c>
      <c r="G19" s="7">
        <f>INDEX('2019 Data Lockdown'!F$5:F$257,MATCH(B19,'2019 Data Lockdown'!B$5:B$257,0))</f>
        <v>622957</v>
      </c>
      <c r="H19" s="7">
        <f t="shared" si="2"/>
        <v>6010383.9699999997</v>
      </c>
      <c r="I19" s="6">
        <f t="shared" si="3"/>
        <v>1075.8187101739813</v>
      </c>
      <c r="J19" s="6">
        <f t="shared" si="4"/>
        <v>794.87198920540311</v>
      </c>
      <c r="K19" s="5">
        <f t="shared" si="5"/>
        <v>4440790.8292927463</v>
      </c>
      <c r="L19" s="4">
        <f t="shared" si="0"/>
        <v>0</v>
      </c>
      <c r="M19" s="2" cm="1">
        <f t="array" ref="M19">SUMPRODUCT(--($L$6:$L$300&lt;&gt;1),--($C$6:$C$300=$C19),$H$6:$H$300)/SUMPRODUCT(--($L$6:$L$300&lt;&gt;1),--($C$6:$C$300=$C19),$E$6:$E$300)</f>
        <v>424.36992931640611</v>
      </c>
      <c r="N19" s="1" cm="1">
        <f t="array" ref="N19">SUMPRODUCT(--($L$6:$L$300&lt;&gt;1),--($C$6:$C$300=$C19))</f>
        <v>7</v>
      </c>
      <c r="O19" s="3">
        <f t="shared" si="6"/>
        <v>424385.51408082107</v>
      </c>
      <c r="P19" s="2" cm="1">
        <f t="array" ref="P19">SQRT(SUMPRODUCT(--($L$6:$L$300&lt;&gt;1),--($C$6:$C$300=$C19),$E$6:$E$300,$O$6:$O$300)/((N19-1)*SUMPRODUCT(--($L$6:$L$300&lt;&gt;1),--($C$6:$C$300=$C19),$E$6:$E$300)/N19))</f>
        <v>289.1042934597412</v>
      </c>
      <c r="Q19" s="2">
        <f t="shared" si="1"/>
        <v>53.867869427409119</v>
      </c>
      <c r="R19" s="2">
        <f t="shared" si="1"/>
        <v>794.87198920540311</v>
      </c>
      <c r="S19" s="2">
        <f t="shared" si="7"/>
        <v>794.87198920540311</v>
      </c>
    </row>
    <row r="20" spans="2:19" x14ac:dyDescent="0.25">
      <c r="B20">
        <v>55</v>
      </c>
      <c r="C20" s="28">
        <v>3</v>
      </c>
      <c r="D20" s="35" t="s">
        <v>76</v>
      </c>
      <c r="E20" s="154">
        <f>INDEX('2019 Data Lockdown'!H$5:H$257,MATCH(B20,'2019 Data Lockdown'!B$5:B$257,0))</f>
        <v>3486.1699999999992</v>
      </c>
      <c r="F20" s="7">
        <f>INDEX('2019 Data Lockdown'!E$5:E$257,MATCH(B20,'2019 Data Lockdown'!B$5:B$257,0))</f>
        <v>1496659.65</v>
      </c>
      <c r="G20" s="7">
        <f>INDEX('2019 Data Lockdown'!F$5:F$257,MATCH(B20,'2019 Data Lockdown'!B$5:B$257,0))</f>
        <v>60217.409999999996</v>
      </c>
      <c r="H20" s="7">
        <f t="shared" si="2"/>
        <v>1436442.24</v>
      </c>
      <c r="I20" s="6">
        <f t="shared" si="3"/>
        <v>412.04021605372094</v>
      </c>
      <c r="J20" s="6">
        <f t="shared" si="4"/>
        <v>412.04021605372094</v>
      </c>
      <c r="K20" s="5">
        <f t="shared" si="5"/>
        <v>1436442.24</v>
      </c>
      <c r="L20" s="4">
        <f t="shared" si="0"/>
        <v>0</v>
      </c>
      <c r="M20" s="2" cm="1">
        <f t="array" ref="M20">SUMPRODUCT(--($L$6:$L$300&lt;&gt;1),--($C$6:$C$300=$C20),$H$6:$H$300)/SUMPRODUCT(--($L$6:$L$300&lt;&gt;1),--($C$6:$C$300=$C20),$E$6:$E$300)</f>
        <v>424.36992931640611</v>
      </c>
      <c r="N20" s="1" cm="1">
        <f t="array" ref="N20">SUMPRODUCT(--($L$6:$L$300&lt;&gt;1),--($C$6:$C$300=$C20))</f>
        <v>7</v>
      </c>
      <c r="O20" s="3">
        <f t="shared" si="6"/>
        <v>152.0218291400347</v>
      </c>
      <c r="P20" s="2" cm="1">
        <f t="array" ref="P20">SQRT(SUMPRODUCT(--($L$6:$L$300&lt;&gt;1),--($C$6:$C$300=$C20),$E$6:$E$300,$O$6:$O$300)/((N20-1)*SUMPRODUCT(--($L$6:$L$300&lt;&gt;1),--($C$6:$C$300=$C20),$E$6:$E$300)/N20))</f>
        <v>289.1042934597412</v>
      </c>
      <c r="Q20" s="2">
        <f t="shared" si="1"/>
        <v>53.867869427409119</v>
      </c>
      <c r="R20" s="2">
        <f t="shared" si="1"/>
        <v>794.87198920540311</v>
      </c>
      <c r="S20" s="2">
        <f t="shared" si="7"/>
        <v>412.04021605372094</v>
      </c>
    </row>
    <row r="21" spans="2:19" x14ac:dyDescent="0.25">
      <c r="B21">
        <v>103</v>
      </c>
      <c r="C21" s="28">
        <v>3</v>
      </c>
      <c r="D21" s="35" t="s">
        <v>77</v>
      </c>
      <c r="E21" s="154">
        <f>INDEX('2019 Data Lockdown'!H$5:H$257,MATCH(B21,'2019 Data Lockdown'!B$5:B$257,0))</f>
        <v>4157.59</v>
      </c>
      <c r="F21" s="7">
        <f>INDEX('2019 Data Lockdown'!E$5:E$257,MATCH(B21,'2019 Data Lockdown'!B$5:B$257,0))</f>
        <v>1753178.73</v>
      </c>
      <c r="G21" s="7">
        <f>INDEX('2019 Data Lockdown'!F$5:F$257,MATCH(B21,'2019 Data Lockdown'!B$5:B$257,0))</f>
        <v>368978.78</v>
      </c>
      <c r="H21" s="7">
        <f t="shared" si="2"/>
        <v>1384199.95</v>
      </c>
      <c r="I21" s="6">
        <f t="shared" si="3"/>
        <v>332.93324979134542</v>
      </c>
      <c r="J21" s="6">
        <f t="shared" si="4"/>
        <v>332.93324979134542</v>
      </c>
      <c r="K21" s="5">
        <f t="shared" si="5"/>
        <v>1384199.95</v>
      </c>
      <c r="L21" s="4">
        <f t="shared" si="0"/>
        <v>0</v>
      </c>
      <c r="M21" s="2" cm="1">
        <f t="array" ref="M21">SUMPRODUCT(--($L$6:$L$300&lt;&gt;1),--($C$6:$C$300=$C21),$H$6:$H$300)/SUMPRODUCT(--($L$6:$L$300&lt;&gt;1),--($C$6:$C$300=$C21),$E$6:$E$300)</f>
        <v>424.36992931640611</v>
      </c>
      <c r="N21" s="1" cm="1">
        <f t="array" ref="N21">SUMPRODUCT(--($L$6:$L$300&lt;&gt;1),--($C$6:$C$300=$C21))</f>
        <v>7</v>
      </c>
      <c r="O21" s="3">
        <f t="shared" si="6"/>
        <v>8360.6663625686542</v>
      </c>
      <c r="P21" s="2" cm="1">
        <f t="array" ref="P21">SQRT(SUMPRODUCT(--($L$6:$L$300&lt;&gt;1),--($C$6:$C$300=$C21),$E$6:$E$300,$O$6:$O$300)/((N21-1)*SUMPRODUCT(--($L$6:$L$300&lt;&gt;1),--($C$6:$C$300=$C21),$E$6:$E$300)/N21))</f>
        <v>289.1042934597412</v>
      </c>
      <c r="Q21" s="2">
        <f t="shared" si="1"/>
        <v>53.867869427409119</v>
      </c>
      <c r="R21" s="2">
        <f t="shared" si="1"/>
        <v>794.87198920540311</v>
      </c>
      <c r="S21" s="2">
        <f t="shared" si="7"/>
        <v>332.93324979134542</v>
      </c>
    </row>
    <row r="22" spans="2:19" x14ac:dyDescent="0.25">
      <c r="B22">
        <v>123</v>
      </c>
      <c r="C22" s="28">
        <v>3</v>
      </c>
      <c r="D22" s="35" t="s">
        <v>78</v>
      </c>
      <c r="E22" s="154">
        <f>INDEX('2019 Data Lockdown'!H$5:H$257,MATCH(B22,'2019 Data Lockdown'!B$5:B$257,0))</f>
        <v>6660.2900000000009</v>
      </c>
      <c r="F22" s="7">
        <f>INDEX('2019 Data Lockdown'!E$5:E$257,MATCH(B22,'2019 Data Lockdown'!B$5:B$257,0))</f>
        <v>2566391.4700000002</v>
      </c>
      <c r="G22" s="7">
        <f>INDEX('2019 Data Lockdown'!F$5:F$257,MATCH(B22,'2019 Data Lockdown'!B$5:B$257,0))</f>
        <v>0</v>
      </c>
      <c r="H22" s="7">
        <f t="shared" si="2"/>
        <v>2566391.4700000002</v>
      </c>
      <c r="I22" s="6">
        <f t="shared" si="3"/>
        <v>385.32728604910596</v>
      </c>
      <c r="J22" s="6">
        <f t="shared" si="4"/>
        <v>385.32728604910596</v>
      </c>
      <c r="K22" s="5">
        <f t="shared" si="5"/>
        <v>2566391.4700000002</v>
      </c>
      <c r="L22" s="4">
        <f t="shared" si="0"/>
        <v>0</v>
      </c>
      <c r="M22" s="2" cm="1">
        <f t="array" ref="M22">SUMPRODUCT(--($L$6:$L$300&lt;&gt;1),--($C$6:$C$300=$C22),$H$6:$H$300)/SUMPRODUCT(--($L$6:$L$300&lt;&gt;1),--($C$6:$C$300=$C22),$E$6:$E$300)</f>
        <v>424.36992931640611</v>
      </c>
      <c r="N22" s="1" cm="1">
        <f t="array" ref="N22">SUMPRODUCT(--($L$6:$L$300&lt;&gt;1),--($C$6:$C$300=$C22))</f>
        <v>7</v>
      </c>
      <c r="O22" s="3">
        <f t="shared" si="6"/>
        <v>1524.3279932976577</v>
      </c>
      <c r="P22" s="2" cm="1">
        <f t="array" ref="P22">SQRT(SUMPRODUCT(--($L$6:$L$300&lt;&gt;1),--($C$6:$C$300=$C22),$E$6:$E$300,$O$6:$O$300)/((N22-1)*SUMPRODUCT(--($L$6:$L$300&lt;&gt;1),--($C$6:$C$300=$C22),$E$6:$E$300)/N22))</f>
        <v>289.1042934597412</v>
      </c>
      <c r="Q22" s="2">
        <f t="shared" si="1"/>
        <v>53.867869427409119</v>
      </c>
      <c r="R22" s="2">
        <f t="shared" si="1"/>
        <v>794.87198920540311</v>
      </c>
      <c r="S22" s="2">
        <f t="shared" si="7"/>
        <v>385.32728604910596</v>
      </c>
    </row>
    <row r="23" spans="2:19" x14ac:dyDescent="0.25">
      <c r="B23">
        <v>179</v>
      </c>
      <c r="C23" s="28">
        <v>3</v>
      </c>
      <c r="D23" s="35" t="s">
        <v>79</v>
      </c>
      <c r="E23" s="154">
        <f>INDEX('2019 Data Lockdown'!H$5:H$257,MATCH(B23,'2019 Data Lockdown'!B$5:B$257,0))</f>
        <v>4762.12</v>
      </c>
      <c r="F23" s="7">
        <f>INDEX('2019 Data Lockdown'!E$5:E$257,MATCH(B23,'2019 Data Lockdown'!B$5:B$257,0))</f>
        <v>2968846.76</v>
      </c>
      <c r="G23" s="7">
        <f>INDEX('2019 Data Lockdown'!F$5:F$257,MATCH(B23,'2019 Data Lockdown'!B$5:B$257,0))</f>
        <v>514798.43000000005</v>
      </c>
      <c r="H23" s="7">
        <f t="shared" si="2"/>
        <v>2454048.3299999996</v>
      </c>
      <c r="I23" s="6">
        <f t="shared" si="3"/>
        <v>515.32685652608495</v>
      </c>
      <c r="J23" s="6">
        <f t="shared" si="4"/>
        <v>515.32685652608495</v>
      </c>
      <c r="K23" s="5">
        <f t="shared" si="5"/>
        <v>2454048.3299999996</v>
      </c>
      <c r="L23" s="4">
        <f t="shared" si="0"/>
        <v>0</v>
      </c>
      <c r="M23" s="2" cm="1">
        <f t="array" ref="M23">SUMPRODUCT(--($L$6:$L$300&lt;&gt;1),--($C$6:$C$300=$C23),$H$6:$H$300)/SUMPRODUCT(--($L$6:$L$300&lt;&gt;1),--($C$6:$C$300=$C23),$E$6:$E$300)</f>
        <v>424.36992931640611</v>
      </c>
      <c r="N23" s="1" cm="1">
        <f t="array" ref="N23">SUMPRODUCT(--($L$6:$L$300&lt;&gt;1),--($C$6:$C$300=$C23))</f>
        <v>7</v>
      </c>
      <c r="O23" s="3">
        <f t="shared" si="6"/>
        <v>8273.1626074268152</v>
      </c>
      <c r="P23" s="2" cm="1">
        <f t="array" ref="P23">SQRT(SUMPRODUCT(--($L$6:$L$300&lt;&gt;1),--($C$6:$C$300=$C23),$E$6:$E$300,$O$6:$O$300)/((N23-1)*SUMPRODUCT(--($L$6:$L$300&lt;&gt;1),--($C$6:$C$300=$C23),$E$6:$E$300)/N23))</f>
        <v>289.1042934597412</v>
      </c>
      <c r="Q23" s="2">
        <f t="shared" si="1"/>
        <v>53.867869427409119</v>
      </c>
      <c r="R23" s="2">
        <f t="shared" si="1"/>
        <v>794.87198920540311</v>
      </c>
      <c r="S23" s="2">
        <f t="shared" si="7"/>
        <v>515.32685652608495</v>
      </c>
    </row>
    <row r="24" spans="2:19" x14ac:dyDescent="0.25">
      <c r="B24">
        <v>293</v>
      </c>
      <c r="C24" s="28">
        <v>3</v>
      </c>
      <c r="D24" s="35" t="s">
        <v>80</v>
      </c>
      <c r="E24" s="154">
        <f>INDEX('2019 Data Lockdown'!H$5:H$257,MATCH(B24,'2019 Data Lockdown'!B$5:B$257,0))</f>
        <v>7281.260000000002</v>
      </c>
      <c r="F24" s="7">
        <f>INDEX('2019 Data Lockdown'!E$5:E$257,MATCH(B24,'2019 Data Lockdown'!B$5:B$257,0))</f>
        <v>2668555.6</v>
      </c>
      <c r="G24" s="7">
        <f>INDEX('2019 Data Lockdown'!F$5:F$257,MATCH(B24,'2019 Data Lockdown'!B$5:B$257,0))</f>
        <v>804269.87</v>
      </c>
      <c r="H24" s="7">
        <f t="shared" si="2"/>
        <v>1864285.73</v>
      </c>
      <c r="I24" s="6">
        <f t="shared" si="3"/>
        <v>256.0388902470176</v>
      </c>
      <c r="J24" s="6">
        <f t="shared" si="4"/>
        <v>256.0388902470176</v>
      </c>
      <c r="K24" s="5">
        <f t="shared" si="5"/>
        <v>1864285.73</v>
      </c>
      <c r="L24" s="4">
        <f t="shared" si="0"/>
        <v>0</v>
      </c>
      <c r="M24" s="2" cm="1">
        <f t="array" ref="M24">SUMPRODUCT(--($L$6:$L$300&lt;&gt;1),--($C$6:$C$300=$C24),$H$6:$H$300)/SUMPRODUCT(--($L$6:$L$300&lt;&gt;1),--($C$6:$C$300=$C24),$E$6:$E$300)</f>
        <v>424.36992931640611</v>
      </c>
      <c r="N24" s="1" cm="1">
        <f t="array" ref="N24">SUMPRODUCT(--($L$6:$L$300&lt;&gt;1),--($C$6:$C$300=$C24))</f>
        <v>7</v>
      </c>
      <c r="O24" s="3">
        <f t="shared" si="6"/>
        <v>28335.338714180001</v>
      </c>
      <c r="P24" s="2" cm="1">
        <f t="array" ref="P24">SQRT(SUMPRODUCT(--($L$6:$L$300&lt;&gt;1),--($C$6:$C$300=$C24),$E$6:$E$300,$O$6:$O$300)/((N24-1)*SUMPRODUCT(--($L$6:$L$300&lt;&gt;1),--($C$6:$C$300=$C24),$E$6:$E$300)/N24))</f>
        <v>289.1042934597412</v>
      </c>
      <c r="Q24" s="2">
        <f t="shared" si="1"/>
        <v>53.867869427409119</v>
      </c>
      <c r="R24" s="2">
        <f t="shared" si="1"/>
        <v>794.87198920540311</v>
      </c>
      <c r="S24" s="2">
        <f t="shared" si="7"/>
        <v>256.0388902470176</v>
      </c>
    </row>
    <row r="25" spans="2:19" x14ac:dyDescent="0.25">
      <c r="B25">
        <v>12</v>
      </c>
      <c r="C25" s="28">
        <v>4</v>
      </c>
      <c r="D25" s="35" t="s">
        <v>81</v>
      </c>
      <c r="E25" s="154">
        <f>INDEX('2019 Data Lockdown'!H$5:H$257,MATCH(B25,'2019 Data Lockdown'!B$5:B$257,0))</f>
        <v>4825.329999999999</v>
      </c>
      <c r="F25" s="7">
        <f>INDEX('2019 Data Lockdown'!E$5:E$257,MATCH(B25,'2019 Data Lockdown'!B$5:B$257,0))</f>
        <v>3046146.58</v>
      </c>
      <c r="G25" s="7">
        <f>INDEX('2019 Data Lockdown'!F$5:F$257,MATCH(B25,'2019 Data Lockdown'!B$5:B$257,0))</f>
        <v>488646.3899999999</v>
      </c>
      <c r="H25" s="7">
        <f t="shared" si="2"/>
        <v>2557500.1900000004</v>
      </c>
      <c r="I25" s="6">
        <f t="shared" si="3"/>
        <v>530.01560307792442</v>
      </c>
      <c r="J25" s="6">
        <f t="shared" si="4"/>
        <v>530.01560307792442</v>
      </c>
      <c r="K25" s="5">
        <f t="shared" si="5"/>
        <v>2557500.1900000004</v>
      </c>
      <c r="L25" s="4">
        <f t="shared" si="0"/>
        <v>0</v>
      </c>
      <c r="M25" s="2" cm="1">
        <f t="array" ref="M25">SUMPRODUCT(--($L$6:$L$300&lt;&gt;1),--($C$6:$C$300=$C25),$H$6:$H$300)/SUMPRODUCT(--($L$6:$L$300&lt;&gt;1),--($C$6:$C$300=$C25),$E$6:$E$300)</f>
        <v>488.10881751216084</v>
      </c>
      <c r="N25" s="1" cm="1">
        <f t="array" ref="N25">SUMPRODUCT(--($L$6:$L$300&lt;&gt;1),--($C$6:$C$300=$C25))</f>
        <v>15</v>
      </c>
      <c r="O25" s="3">
        <f t="shared" si="6"/>
        <v>1756.178676454891</v>
      </c>
      <c r="P25" s="2" cm="1">
        <f t="array" ref="P25">SQRT(SUMPRODUCT(--($L$6:$L$300&lt;&gt;1),--($C$6:$C$300=$C25),$E$6:$E$300,$O$6:$O$300)/((N25-1)*SUMPRODUCT(--($L$6:$L$300&lt;&gt;1),--($C$6:$C$300=$C25),$E$6:$E$300)/N25))</f>
        <v>171.1151908786747</v>
      </c>
      <c r="Q25" s="2">
        <f t="shared" si="1"/>
        <v>268.8158767531321</v>
      </c>
      <c r="R25" s="2">
        <f t="shared" si="1"/>
        <v>707.40175827118958</v>
      </c>
      <c r="S25" s="2">
        <f t="shared" si="7"/>
        <v>530.01560307792442</v>
      </c>
    </row>
    <row r="26" spans="2:19" x14ac:dyDescent="0.25">
      <c r="B26">
        <v>21</v>
      </c>
      <c r="C26" s="28">
        <v>4</v>
      </c>
      <c r="D26" s="35" t="s">
        <v>82</v>
      </c>
      <c r="E26" s="154">
        <f>INDEX('2019 Data Lockdown'!H$5:H$257,MATCH(B26,'2019 Data Lockdown'!B$5:B$257,0))</f>
        <v>5084.4800000000014</v>
      </c>
      <c r="F26" s="7">
        <f>INDEX('2019 Data Lockdown'!E$5:E$257,MATCH(B26,'2019 Data Lockdown'!B$5:B$257,0))</f>
        <v>3295191.2</v>
      </c>
      <c r="G26" s="7">
        <f>INDEX('2019 Data Lockdown'!F$5:F$257,MATCH(B26,'2019 Data Lockdown'!B$5:B$257,0))</f>
        <v>429434.07</v>
      </c>
      <c r="H26" s="7">
        <f t="shared" si="2"/>
        <v>2865757.1300000004</v>
      </c>
      <c r="I26" s="6">
        <f t="shared" si="3"/>
        <v>563.6283612090125</v>
      </c>
      <c r="J26" s="6">
        <f t="shared" si="4"/>
        <v>563.6283612090125</v>
      </c>
      <c r="K26" s="5">
        <f t="shared" si="5"/>
        <v>2865757.1300000008</v>
      </c>
      <c r="L26" s="4">
        <f t="shared" si="0"/>
        <v>0</v>
      </c>
      <c r="M26" s="2" cm="1">
        <f t="array" ref="M26">SUMPRODUCT(--($L$6:$L$300&lt;&gt;1),--($C$6:$C$300=$C26),$H$6:$H$300)/SUMPRODUCT(--($L$6:$L$300&lt;&gt;1),--($C$6:$C$300=$C26),$E$6:$E$300)</f>
        <v>488.10881751216084</v>
      </c>
      <c r="N26" s="1" cm="1">
        <f t="array" ref="N26">SUMPRODUCT(--($L$6:$L$300&lt;&gt;1),--($C$6:$C$300=$C26))</f>
        <v>15</v>
      </c>
      <c r="O26" s="3">
        <f t="shared" si="6"/>
        <v>5703.2014801806863</v>
      </c>
      <c r="P26" s="2" cm="1">
        <f t="array" ref="P26">SQRT(SUMPRODUCT(--($L$6:$L$300&lt;&gt;1),--($C$6:$C$300=$C26),$E$6:$E$300,$O$6:$O$300)/((N26-1)*SUMPRODUCT(--($L$6:$L$300&lt;&gt;1),--($C$6:$C$300=$C26),$E$6:$E$300)/N26))</f>
        <v>171.1151908786747</v>
      </c>
      <c r="Q26" s="2">
        <f t="shared" si="1"/>
        <v>268.8158767531321</v>
      </c>
      <c r="R26" s="2">
        <f t="shared" si="1"/>
        <v>707.40175827118958</v>
      </c>
      <c r="S26" s="2">
        <f t="shared" si="7"/>
        <v>563.6283612090125</v>
      </c>
    </row>
    <row r="27" spans="2:19" x14ac:dyDescent="0.25">
      <c r="B27">
        <v>34</v>
      </c>
      <c r="C27" s="28">
        <v>4</v>
      </c>
      <c r="D27" s="35" t="s">
        <v>83</v>
      </c>
      <c r="E27" s="154">
        <f>INDEX('2019 Data Lockdown'!H$5:H$257,MATCH(B27,'2019 Data Lockdown'!B$5:B$257,0))</f>
        <v>4463.82</v>
      </c>
      <c r="F27" s="7">
        <f>INDEX('2019 Data Lockdown'!E$5:E$257,MATCH(B27,'2019 Data Lockdown'!B$5:B$257,0))</f>
        <v>2138130.23</v>
      </c>
      <c r="G27" s="7">
        <f>INDEX('2019 Data Lockdown'!F$5:F$257,MATCH(B27,'2019 Data Lockdown'!B$5:B$257,0))</f>
        <v>417619.64</v>
      </c>
      <c r="H27" s="7">
        <f t="shared" si="2"/>
        <v>1720510.5899999999</v>
      </c>
      <c r="I27" s="6">
        <f t="shared" si="3"/>
        <v>385.43458069545812</v>
      </c>
      <c r="J27" s="6">
        <f t="shared" si="4"/>
        <v>385.43458069545812</v>
      </c>
      <c r="K27" s="5">
        <f t="shared" si="5"/>
        <v>1720510.5899999999</v>
      </c>
      <c r="L27" s="4">
        <f t="shared" si="0"/>
        <v>0</v>
      </c>
      <c r="M27" s="2" cm="1">
        <f t="array" ref="M27">SUMPRODUCT(--($L$6:$L$300&lt;&gt;1),--($C$6:$C$300=$C27),$H$6:$H$300)/SUMPRODUCT(--($L$6:$L$300&lt;&gt;1),--($C$6:$C$300=$C27),$E$6:$E$300)</f>
        <v>488.10881751216084</v>
      </c>
      <c r="N27" s="1" cm="1">
        <f t="array" ref="N27">SUMPRODUCT(--($L$6:$L$300&lt;&gt;1),--($C$6:$C$300=$C27))</f>
        <v>15</v>
      </c>
      <c r="O27" s="3">
        <f t="shared" si="6"/>
        <v>10541.998905892351</v>
      </c>
      <c r="P27" s="2" cm="1">
        <f t="array" ref="P27">SQRT(SUMPRODUCT(--($L$6:$L$300&lt;&gt;1),--($C$6:$C$300=$C27),$E$6:$E$300,$O$6:$O$300)/((N27-1)*SUMPRODUCT(--($L$6:$L$300&lt;&gt;1),--($C$6:$C$300=$C27),$E$6:$E$300)/N27))</f>
        <v>171.1151908786747</v>
      </c>
      <c r="Q27" s="2">
        <f t="shared" si="1"/>
        <v>268.8158767531321</v>
      </c>
      <c r="R27" s="2">
        <f t="shared" si="1"/>
        <v>707.40175827118958</v>
      </c>
      <c r="S27" s="2">
        <f t="shared" si="7"/>
        <v>385.43458069545812</v>
      </c>
    </row>
    <row r="28" spans="2:19" x14ac:dyDescent="0.25">
      <c r="B28">
        <v>87</v>
      </c>
      <c r="C28" s="28">
        <v>4</v>
      </c>
      <c r="D28" s="35" t="s">
        <v>84</v>
      </c>
      <c r="E28" s="154">
        <f>INDEX('2019 Data Lockdown'!H$5:H$257,MATCH(B28,'2019 Data Lockdown'!B$5:B$257,0))</f>
        <v>10810.4</v>
      </c>
      <c r="F28" s="7">
        <f>INDEX('2019 Data Lockdown'!E$5:E$257,MATCH(B28,'2019 Data Lockdown'!B$5:B$257,0))</f>
        <v>4847089.93</v>
      </c>
      <c r="G28" s="7">
        <f>INDEX('2019 Data Lockdown'!F$5:F$257,MATCH(B28,'2019 Data Lockdown'!B$5:B$257,0))</f>
        <v>1112264.4600000002</v>
      </c>
      <c r="H28" s="7">
        <f t="shared" si="2"/>
        <v>3734825.4699999997</v>
      </c>
      <c r="I28" s="6">
        <f t="shared" si="3"/>
        <v>345.48448438540663</v>
      </c>
      <c r="J28" s="6">
        <f t="shared" si="4"/>
        <v>345.48448438540663</v>
      </c>
      <c r="K28" s="5">
        <f t="shared" si="5"/>
        <v>3734825.4699999997</v>
      </c>
      <c r="L28" s="4">
        <f t="shared" si="0"/>
        <v>0</v>
      </c>
      <c r="M28" s="2" cm="1">
        <f t="array" ref="M28">SUMPRODUCT(--($L$6:$L$300&lt;&gt;1),--($C$6:$C$300=$C28),$H$6:$H$300)/SUMPRODUCT(--($L$6:$L$300&lt;&gt;1),--($C$6:$C$300=$C28),$E$6:$E$300)</f>
        <v>488.10881751216084</v>
      </c>
      <c r="N28" s="1" cm="1">
        <f t="array" ref="N28">SUMPRODUCT(--($L$6:$L$300&lt;&gt;1),--($C$6:$C$300=$C28))</f>
        <v>15</v>
      </c>
      <c r="O28" s="3">
        <f t="shared" si="6"/>
        <v>20341.700399851357</v>
      </c>
      <c r="P28" s="2" cm="1">
        <f t="array" ref="P28">SQRT(SUMPRODUCT(--($L$6:$L$300&lt;&gt;1),--($C$6:$C$300=$C28),$E$6:$E$300,$O$6:$O$300)/((N28-1)*SUMPRODUCT(--($L$6:$L$300&lt;&gt;1),--($C$6:$C$300=$C28),$E$6:$E$300)/N28))</f>
        <v>171.1151908786747</v>
      </c>
      <c r="Q28" s="2">
        <f t="shared" si="1"/>
        <v>268.8158767531321</v>
      </c>
      <c r="R28" s="2">
        <f t="shared" si="1"/>
        <v>707.40175827118958</v>
      </c>
      <c r="S28" s="2">
        <f t="shared" si="7"/>
        <v>345.48448438540663</v>
      </c>
    </row>
    <row r="29" spans="2:19" x14ac:dyDescent="0.25">
      <c r="B29">
        <v>88</v>
      </c>
      <c r="C29" s="28">
        <v>4</v>
      </c>
      <c r="D29" s="35" t="s">
        <v>85</v>
      </c>
      <c r="E29" s="154">
        <f>INDEX('2019 Data Lockdown'!H$5:H$257,MATCH(B29,'2019 Data Lockdown'!B$5:B$257,0))</f>
        <v>4907.8008</v>
      </c>
      <c r="F29" s="7">
        <f>INDEX('2019 Data Lockdown'!E$5:E$257,MATCH(B29,'2019 Data Lockdown'!B$5:B$257,0))</f>
        <v>2453153.67</v>
      </c>
      <c r="G29" s="7">
        <f>INDEX('2019 Data Lockdown'!F$5:F$257,MATCH(B29,'2019 Data Lockdown'!B$5:B$257,0))</f>
        <v>459020.94</v>
      </c>
      <c r="H29" s="7">
        <f t="shared" si="2"/>
        <v>1994132.73</v>
      </c>
      <c r="I29" s="6">
        <f t="shared" si="3"/>
        <v>406.31900341187441</v>
      </c>
      <c r="J29" s="6">
        <f t="shared" si="4"/>
        <v>406.31900341187441</v>
      </c>
      <c r="K29" s="5">
        <f t="shared" si="5"/>
        <v>1994132.73</v>
      </c>
      <c r="L29" s="4">
        <f t="shared" si="0"/>
        <v>0</v>
      </c>
      <c r="M29" s="2" cm="1">
        <f t="array" ref="M29">SUMPRODUCT(--($L$6:$L$300&lt;&gt;1),--($C$6:$C$300=$C29),$H$6:$H$300)/SUMPRODUCT(--($L$6:$L$300&lt;&gt;1),--($C$6:$C$300=$C29),$E$6:$E$300)</f>
        <v>488.10881751216084</v>
      </c>
      <c r="N29" s="1" cm="1">
        <f t="array" ref="N29">SUMPRODUCT(--($L$6:$L$300&lt;&gt;1),--($C$6:$C$300=$C29))</f>
        <v>15</v>
      </c>
      <c r="O29" s="3">
        <f t="shared" si="6"/>
        <v>6689.573690559414</v>
      </c>
      <c r="P29" s="2" cm="1">
        <f t="array" ref="P29">SQRT(SUMPRODUCT(--($L$6:$L$300&lt;&gt;1),--($C$6:$C$300=$C29),$E$6:$E$300,$O$6:$O$300)/((N29-1)*SUMPRODUCT(--($L$6:$L$300&lt;&gt;1),--($C$6:$C$300=$C29),$E$6:$E$300)/N29))</f>
        <v>171.1151908786747</v>
      </c>
      <c r="Q29" s="2">
        <f t="shared" si="1"/>
        <v>268.8158767531321</v>
      </c>
      <c r="R29" s="2">
        <f t="shared" si="1"/>
        <v>707.40175827118958</v>
      </c>
      <c r="S29" s="2">
        <f t="shared" si="7"/>
        <v>406.31900341187441</v>
      </c>
    </row>
    <row r="30" spans="2:19" x14ac:dyDescent="0.25">
      <c r="B30">
        <v>89</v>
      </c>
      <c r="C30" s="28">
        <v>4</v>
      </c>
      <c r="D30" s="35" t="s">
        <v>310</v>
      </c>
      <c r="E30" s="154">
        <f>INDEX('2019 Data Lockdown'!H$5:H$257,MATCH(B30,'2019 Data Lockdown'!B$5:B$257,0))</f>
        <v>5289.19</v>
      </c>
      <c r="F30" s="7">
        <f>INDEX('2019 Data Lockdown'!E$5:E$257,MATCH(B30,'2019 Data Lockdown'!B$5:B$257,0))</f>
        <v>4597599.62</v>
      </c>
      <c r="G30" s="7">
        <f>INDEX('2019 Data Lockdown'!F$5:F$257,MATCH(B30,'2019 Data Lockdown'!B$5:B$257,0))</f>
        <v>379921.47</v>
      </c>
      <c r="H30" s="7">
        <f t="shared" si="2"/>
        <v>4217678.1500000004</v>
      </c>
      <c r="I30" s="6">
        <f t="shared" si="3"/>
        <v>797.41475537842291</v>
      </c>
      <c r="J30" s="6">
        <f t="shared" si="4"/>
        <v>707.40175827118958</v>
      </c>
      <c r="K30" s="5">
        <f t="shared" si="5"/>
        <v>3741582.305830393</v>
      </c>
      <c r="L30" s="4">
        <f t="shared" si="0"/>
        <v>0</v>
      </c>
      <c r="M30" s="2" cm="1">
        <f t="array" ref="M30">SUMPRODUCT(--($L$6:$L$300&lt;&gt;1),--($C$6:$C$300=$C30),$H$6:$H$300)/SUMPRODUCT(--($L$6:$L$300&lt;&gt;1),--($C$6:$C$300=$C30),$E$6:$E$300)</f>
        <v>488.10881751216084</v>
      </c>
      <c r="N30" s="1" cm="1">
        <f t="array" ref="N30">SUMPRODUCT(--($L$6:$L$300&lt;&gt;1),--($C$6:$C$300=$C30))</f>
        <v>15</v>
      </c>
      <c r="O30" s="3">
        <f t="shared" si="6"/>
        <v>95670.163199327973</v>
      </c>
      <c r="P30" s="2" cm="1">
        <f t="array" ref="P30">SQRT(SUMPRODUCT(--($L$6:$L$300&lt;&gt;1),--($C$6:$C$300=$C30),$E$6:$E$300,$O$6:$O$300)/((N30-1)*SUMPRODUCT(--($L$6:$L$300&lt;&gt;1),--($C$6:$C$300=$C30),$E$6:$E$300)/N30))</f>
        <v>171.1151908786747</v>
      </c>
      <c r="Q30" s="2">
        <f t="shared" si="1"/>
        <v>268.8158767531321</v>
      </c>
      <c r="R30" s="2">
        <f t="shared" si="1"/>
        <v>707.40175827118958</v>
      </c>
      <c r="S30" s="2">
        <f t="shared" si="7"/>
        <v>707.40175827118958</v>
      </c>
    </row>
    <row r="31" spans="2:19" x14ac:dyDescent="0.25">
      <c r="B31">
        <v>143</v>
      </c>
      <c r="C31" s="28">
        <v>4</v>
      </c>
      <c r="D31" s="35" t="s">
        <v>87</v>
      </c>
      <c r="E31" s="154">
        <f>INDEX('2019 Data Lockdown'!H$5:H$257,MATCH(B31,'2019 Data Lockdown'!B$5:B$257,0))</f>
        <v>2868.39</v>
      </c>
      <c r="F31" s="7">
        <f>INDEX('2019 Data Lockdown'!E$5:E$257,MATCH(B31,'2019 Data Lockdown'!B$5:B$257,0))</f>
        <v>871204.41</v>
      </c>
      <c r="G31" s="7">
        <f>INDEX('2019 Data Lockdown'!F$5:F$257,MATCH(B31,'2019 Data Lockdown'!B$5:B$257,0))</f>
        <v>280661.95</v>
      </c>
      <c r="H31" s="7">
        <f t="shared" si="2"/>
        <v>590542.46</v>
      </c>
      <c r="I31" s="6">
        <f t="shared" si="3"/>
        <v>205.87941667625392</v>
      </c>
      <c r="J31" s="6">
        <f t="shared" si="4"/>
        <v>205.87941667625392</v>
      </c>
      <c r="K31" s="5">
        <f t="shared" si="5"/>
        <v>590542.46</v>
      </c>
      <c r="L31" s="4">
        <f t="shared" si="0"/>
        <v>0</v>
      </c>
      <c r="M31" s="2" cm="1">
        <f t="array" ref="M31">SUMPRODUCT(--($L$6:$L$300&lt;&gt;1),--($C$6:$C$300=$C31),$H$6:$H$300)/SUMPRODUCT(--($L$6:$L$300&lt;&gt;1),--($C$6:$C$300=$C31),$E$6:$E$300)</f>
        <v>488.10881751216084</v>
      </c>
      <c r="N31" s="1" cm="1">
        <f t="array" ref="N31">SUMPRODUCT(--($L$6:$L$300&lt;&gt;1),--($C$6:$C$300=$C31))</f>
        <v>15</v>
      </c>
      <c r="O31" s="3">
        <f t="shared" si="6"/>
        <v>79653.434696195021</v>
      </c>
      <c r="P31" s="2" cm="1">
        <f t="array" ref="P31">SQRT(SUMPRODUCT(--($L$6:$L$300&lt;&gt;1),--($C$6:$C$300=$C31),$E$6:$E$300,$O$6:$O$300)/((N31-1)*SUMPRODUCT(--($L$6:$L$300&lt;&gt;1),--($C$6:$C$300=$C31),$E$6:$E$300)/N31))</f>
        <v>171.1151908786747</v>
      </c>
      <c r="Q31" s="2">
        <f t="shared" si="1"/>
        <v>268.8158767531321</v>
      </c>
      <c r="R31" s="2">
        <f t="shared" si="1"/>
        <v>707.40175827118958</v>
      </c>
      <c r="S31" s="2">
        <f t="shared" si="7"/>
        <v>205.87941667625392</v>
      </c>
    </row>
    <row r="32" spans="2:19" x14ac:dyDescent="0.25">
      <c r="B32">
        <v>183</v>
      </c>
      <c r="C32" s="28">
        <v>4</v>
      </c>
      <c r="D32" s="35" t="s">
        <v>88</v>
      </c>
      <c r="E32" s="154">
        <f>INDEX('2019 Data Lockdown'!H$5:H$257,MATCH(B32,'2019 Data Lockdown'!B$5:B$257,0))</f>
        <v>9420.8800000000028</v>
      </c>
      <c r="F32" s="7">
        <f>INDEX('2019 Data Lockdown'!E$5:E$257,MATCH(B32,'2019 Data Lockdown'!B$5:B$257,0))</f>
        <v>6636509.4800000004</v>
      </c>
      <c r="G32" s="7">
        <f>INDEX('2019 Data Lockdown'!F$5:F$257,MATCH(B32,'2019 Data Lockdown'!B$5:B$257,0))</f>
        <v>345255.24999999994</v>
      </c>
      <c r="H32" s="7">
        <f t="shared" si="2"/>
        <v>6291254.2300000004</v>
      </c>
      <c r="I32" s="6">
        <f t="shared" si="3"/>
        <v>667.79899860734861</v>
      </c>
      <c r="J32" s="6">
        <f t="shared" si="4"/>
        <v>667.79899860734861</v>
      </c>
      <c r="K32" s="5">
        <f t="shared" si="5"/>
        <v>6291254.2300000004</v>
      </c>
      <c r="L32" s="4">
        <f t="shared" si="0"/>
        <v>0</v>
      </c>
      <c r="M32" s="2" cm="1">
        <f t="array" ref="M32">SUMPRODUCT(--($L$6:$L$300&lt;&gt;1),--($C$6:$C$300=$C32),$H$6:$H$300)/SUMPRODUCT(--($L$6:$L$300&lt;&gt;1),--($C$6:$C$300=$C32),$E$6:$E$300)</f>
        <v>488.10881751216084</v>
      </c>
      <c r="N32" s="1" cm="1">
        <f t="array" ref="N32">SUMPRODUCT(--($L$6:$L$300&lt;&gt;1),--($C$6:$C$300=$C32))</f>
        <v>15</v>
      </c>
      <c r="O32" s="3">
        <f t="shared" si="6"/>
        <v>32288.561182021374</v>
      </c>
      <c r="P32" s="2" cm="1">
        <f t="array" ref="P32">SQRT(SUMPRODUCT(--($L$6:$L$300&lt;&gt;1),--($C$6:$C$300=$C32),$E$6:$E$300,$O$6:$O$300)/((N32-1)*SUMPRODUCT(--($L$6:$L$300&lt;&gt;1),--($C$6:$C$300=$C32),$E$6:$E$300)/N32))</f>
        <v>171.1151908786747</v>
      </c>
      <c r="Q32" s="2">
        <f t="shared" si="1"/>
        <v>268.8158767531321</v>
      </c>
      <c r="R32" s="2">
        <f t="shared" si="1"/>
        <v>707.40175827118958</v>
      </c>
      <c r="S32" s="2">
        <f t="shared" si="7"/>
        <v>667.79899860734861</v>
      </c>
    </row>
    <row r="33" spans="2:19" x14ac:dyDescent="0.25">
      <c r="B33">
        <v>186</v>
      </c>
      <c r="C33" s="28">
        <v>4</v>
      </c>
      <c r="D33" s="35" t="s">
        <v>89</v>
      </c>
      <c r="E33" s="154">
        <f>INDEX('2019 Data Lockdown'!H$5:H$257,MATCH(B33,'2019 Data Lockdown'!B$5:B$257,0))</f>
        <v>10708.64</v>
      </c>
      <c r="F33" s="7">
        <f>INDEX('2019 Data Lockdown'!E$5:E$257,MATCH(B33,'2019 Data Lockdown'!B$5:B$257,0))</f>
        <v>8376430.6799999997</v>
      </c>
      <c r="G33" s="7">
        <f>INDEX('2019 Data Lockdown'!F$5:F$257,MATCH(B33,'2019 Data Lockdown'!B$5:B$257,0))</f>
        <v>1283505.8</v>
      </c>
      <c r="H33" s="7">
        <f t="shared" si="2"/>
        <v>7092924.8799999999</v>
      </c>
      <c r="I33" s="6">
        <f t="shared" si="3"/>
        <v>662.3553392400903</v>
      </c>
      <c r="J33" s="6">
        <f t="shared" si="4"/>
        <v>662.3553392400903</v>
      </c>
      <c r="K33" s="5">
        <f t="shared" si="5"/>
        <v>7092924.8799999999</v>
      </c>
      <c r="L33" s="4">
        <f t="shared" si="0"/>
        <v>0</v>
      </c>
      <c r="M33" s="2" cm="1">
        <f t="array" ref="M33">SUMPRODUCT(--($L$6:$L$300&lt;&gt;1),--($C$6:$C$300=$C33),$H$6:$H$300)/SUMPRODUCT(--($L$6:$L$300&lt;&gt;1),--($C$6:$C$300=$C33),$E$6:$E$300)</f>
        <v>488.10881751216084</v>
      </c>
      <c r="N33" s="1" cm="1">
        <f t="array" ref="N33">SUMPRODUCT(--($L$6:$L$300&lt;&gt;1),--($C$6:$C$300=$C33))</f>
        <v>15</v>
      </c>
      <c r="O33" s="3">
        <f t="shared" si="6"/>
        <v>30361.850334281793</v>
      </c>
      <c r="P33" s="2" cm="1">
        <f t="array" ref="P33">SQRT(SUMPRODUCT(--($L$6:$L$300&lt;&gt;1),--($C$6:$C$300=$C33),$E$6:$E$300,$O$6:$O$300)/((N33-1)*SUMPRODUCT(--($L$6:$L$300&lt;&gt;1),--($C$6:$C$300=$C33),$E$6:$E$300)/N33))</f>
        <v>171.1151908786747</v>
      </c>
      <c r="Q33" s="2">
        <f t="shared" si="1"/>
        <v>268.8158767531321</v>
      </c>
      <c r="R33" s="2">
        <f t="shared" si="1"/>
        <v>707.40175827118958</v>
      </c>
      <c r="S33" s="2">
        <f t="shared" si="7"/>
        <v>662.3553392400903</v>
      </c>
    </row>
    <row r="34" spans="2:19" x14ac:dyDescent="0.25">
      <c r="B34">
        <v>190</v>
      </c>
      <c r="C34" s="28">
        <v>4</v>
      </c>
      <c r="D34" s="35" t="s">
        <v>90</v>
      </c>
      <c r="E34" s="154">
        <f>INDEX('2019 Data Lockdown'!H$5:H$257,MATCH(B34,'2019 Data Lockdown'!B$5:B$257,0))</f>
        <v>3049.19</v>
      </c>
      <c r="F34" s="7">
        <f>INDEX('2019 Data Lockdown'!E$5:E$257,MATCH(B34,'2019 Data Lockdown'!B$5:B$257,0))</f>
        <v>2361886.33</v>
      </c>
      <c r="G34" s="7">
        <f>INDEX('2019 Data Lockdown'!F$5:F$257,MATCH(B34,'2019 Data Lockdown'!B$5:B$257,0))</f>
        <v>436295.02999999997</v>
      </c>
      <c r="H34" s="7">
        <f t="shared" si="2"/>
        <v>1925591.3</v>
      </c>
      <c r="I34" s="6">
        <f t="shared" si="3"/>
        <v>631.50912209472028</v>
      </c>
      <c r="J34" s="6">
        <f t="shared" si="4"/>
        <v>631.50912209472028</v>
      </c>
      <c r="K34" s="5">
        <f t="shared" si="5"/>
        <v>1925591.3000000003</v>
      </c>
      <c r="L34" s="4">
        <f t="shared" si="0"/>
        <v>0</v>
      </c>
      <c r="M34" s="2" cm="1">
        <f t="array" ref="M34">SUMPRODUCT(--($L$6:$L$300&lt;&gt;1),--($C$6:$C$300=$C34),$H$6:$H$300)/SUMPRODUCT(--($L$6:$L$300&lt;&gt;1),--($C$6:$C$300=$C34),$E$6:$E$300)</f>
        <v>488.10881751216084</v>
      </c>
      <c r="N34" s="1" cm="1">
        <f t="array" ref="N34">SUMPRODUCT(--($L$6:$L$300&lt;&gt;1),--($C$6:$C$300=$C34))</f>
        <v>15</v>
      </c>
      <c r="O34" s="3">
        <f t="shared" si="6"/>
        <v>20563.64735437082</v>
      </c>
      <c r="P34" s="2" cm="1">
        <f t="array" ref="P34">SQRT(SUMPRODUCT(--($L$6:$L$300&lt;&gt;1),--($C$6:$C$300=$C34),$E$6:$E$300,$O$6:$O$300)/((N34-1)*SUMPRODUCT(--($L$6:$L$300&lt;&gt;1),--($C$6:$C$300=$C34),$E$6:$E$300)/N34))</f>
        <v>171.1151908786747</v>
      </c>
      <c r="Q34" s="2">
        <f t="shared" si="1"/>
        <v>268.8158767531321</v>
      </c>
      <c r="R34" s="2">
        <f t="shared" si="1"/>
        <v>707.40175827118958</v>
      </c>
      <c r="S34" s="2">
        <f t="shared" si="7"/>
        <v>631.50912209472028</v>
      </c>
    </row>
    <row r="35" spans="2:19" x14ac:dyDescent="0.25">
      <c r="B35">
        <v>324</v>
      </c>
      <c r="C35" s="28">
        <v>4</v>
      </c>
      <c r="D35" s="35" t="s">
        <v>91</v>
      </c>
      <c r="E35" s="154">
        <f>INDEX('2019 Data Lockdown'!H$5:H$257,MATCH(B35,'2019 Data Lockdown'!B$5:B$257,0))</f>
        <v>7376.43</v>
      </c>
      <c r="F35" s="7">
        <f>INDEX('2019 Data Lockdown'!E$5:E$257,MATCH(B35,'2019 Data Lockdown'!B$5:B$257,0))</f>
        <v>4459243.79</v>
      </c>
      <c r="G35" s="7">
        <f>INDEX('2019 Data Lockdown'!F$5:F$257,MATCH(B35,'2019 Data Lockdown'!B$5:B$257,0))</f>
        <v>744094.01</v>
      </c>
      <c r="H35" s="7">
        <f t="shared" si="2"/>
        <v>3715149.7800000003</v>
      </c>
      <c r="I35" s="6">
        <f t="shared" si="3"/>
        <v>503.65146554634151</v>
      </c>
      <c r="J35" s="6">
        <f t="shared" si="4"/>
        <v>503.65146554634151</v>
      </c>
      <c r="K35" s="5">
        <f t="shared" si="5"/>
        <v>3715149.7800000003</v>
      </c>
      <c r="L35" s="4">
        <f t="shared" si="0"/>
        <v>0</v>
      </c>
      <c r="M35" s="2" cm="1">
        <f t="array" ref="M35">SUMPRODUCT(--($L$6:$L$300&lt;&gt;1),--($C$6:$C$300=$C35),$H$6:$H$300)/SUMPRODUCT(--($L$6:$L$300&lt;&gt;1),--($C$6:$C$300=$C35),$E$6:$E$300)</f>
        <v>488.10881751216084</v>
      </c>
      <c r="N35" s="1" cm="1">
        <f t="array" ref="N35">SUMPRODUCT(--($L$6:$L$300&lt;&gt;1),--($C$6:$C$300=$C35))</f>
        <v>15</v>
      </c>
      <c r="O35" s="3">
        <f t="shared" si="6"/>
        <v>241.57390791442032</v>
      </c>
      <c r="P35" s="2" cm="1">
        <f t="array" ref="P35">SQRT(SUMPRODUCT(--($L$6:$L$300&lt;&gt;1),--($C$6:$C$300=$C35),$E$6:$E$300,$O$6:$O$300)/((N35-1)*SUMPRODUCT(--($L$6:$L$300&lt;&gt;1),--($C$6:$C$300=$C35),$E$6:$E$300)/N35))</f>
        <v>171.1151908786747</v>
      </c>
      <c r="Q35" s="2">
        <f t="shared" si="1"/>
        <v>268.8158767531321</v>
      </c>
      <c r="R35" s="2">
        <f t="shared" si="1"/>
        <v>707.40175827118958</v>
      </c>
      <c r="S35" s="2">
        <f t="shared" si="7"/>
        <v>503.65146554634151</v>
      </c>
    </row>
    <row r="36" spans="2:19" x14ac:dyDescent="0.25">
      <c r="B36">
        <v>429</v>
      </c>
      <c r="C36" s="28">
        <v>4</v>
      </c>
      <c r="D36" s="35" t="s">
        <v>92</v>
      </c>
      <c r="E36" s="154">
        <f>INDEX('2019 Data Lockdown'!H$5:H$257,MATCH(B36,'2019 Data Lockdown'!B$5:B$257,0))</f>
        <v>4180.4643999999998</v>
      </c>
      <c r="F36" s="7">
        <f>INDEX('2019 Data Lockdown'!E$5:E$257,MATCH(B36,'2019 Data Lockdown'!B$5:B$257,0))</f>
        <v>1615598.05</v>
      </c>
      <c r="G36" s="7">
        <f>INDEX('2019 Data Lockdown'!F$5:F$257,MATCH(B36,'2019 Data Lockdown'!B$5:B$257,0))</f>
        <v>324593.48</v>
      </c>
      <c r="H36" s="7">
        <f t="shared" si="2"/>
        <v>1291004.57</v>
      </c>
      <c r="I36" s="6">
        <f t="shared" si="3"/>
        <v>308.81845806413281</v>
      </c>
      <c r="J36" s="6">
        <f t="shared" si="4"/>
        <v>308.81845806413281</v>
      </c>
      <c r="K36" s="5">
        <f t="shared" si="5"/>
        <v>1291004.57</v>
      </c>
      <c r="L36" s="4">
        <f t="shared" si="0"/>
        <v>0</v>
      </c>
      <c r="M36" s="2" cm="1">
        <f t="array" ref="M36">SUMPRODUCT(--($L$6:$L$300&lt;&gt;1),--($C$6:$C$300=$C36),$H$6:$H$300)/SUMPRODUCT(--($L$6:$L$300&lt;&gt;1),--($C$6:$C$300=$C36),$E$6:$E$300)</f>
        <v>488.10881751216084</v>
      </c>
      <c r="N36" s="1" cm="1">
        <f t="array" ref="N36">SUMPRODUCT(--($L$6:$L$300&lt;&gt;1),--($C$6:$C$300=$C36))</f>
        <v>15</v>
      </c>
      <c r="O36" s="3">
        <f t="shared" si="6"/>
        <v>32145.032991003092</v>
      </c>
      <c r="P36" s="2" cm="1">
        <f t="array" ref="P36">SQRT(SUMPRODUCT(--($L$6:$L$300&lt;&gt;1),--($C$6:$C$300=$C36),$E$6:$E$300,$O$6:$O$300)/((N36-1)*SUMPRODUCT(--($L$6:$L$300&lt;&gt;1),--($C$6:$C$300=$C36),$E$6:$E$300)/N36))</f>
        <v>171.1151908786747</v>
      </c>
      <c r="Q36" s="2">
        <f t="shared" si="1"/>
        <v>268.8158767531321</v>
      </c>
      <c r="R36" s="2">
        <f t="shared" si="1"/>
        <v>707.40175827118958</v>
      </c>
      <c r="S36" s="2">
        <f t="shared" si="7"/>
        <v>308.81845806413281</v>
      </c>
    </row>
    <row r="37" spans="2:19" x14ac:dyDescent="0.25">
      <c r="B37">
        <v>601</v>
      </c>
      <c r="C37" s="28">
        <v>4</v>
      </c>
      <c r="D37" s="35" t="s">
        <v>93</v>
      </c>
      <c r="E37" s="154">
        <f>INDEX('2019 Data Lockdown'!H$5:H$257,MATCH(B37,'2019 Data Lockdown'!B$5:B$257,0))</f>
        <v>5551.27</v>
      </c>
      <c r="F37" s="7">
        <f>INDEX('2019 Data Lockdown'!E$5:E$257,MATCH(B37,'2019 Data Lockdown'!B$5:B$257,0))</f>
        <v>3050653.27</v>
      </c>
      <c r="G37" s="7">
        <f>INDEX('2019 Data Lockdown'!F$5:F$257,MATCH(B37,'2019 Data Lockdown'!B$5:B$257,0))</f>
        <v>210627.25999999998</v>
      </c>
      <c r="H37" s="7">
        <f t="shared" si="2"/>
        <v>2840026.0100000002</v>
      </c>
      <c r="I37" s="6">
        <f t="shared" si="3"/>
        <v>511.59932952279388</v>
      </c>
      <c r="J37" s="6">
        <f t="shared" si="4"/>
        <v>511.59932952279388</v>
      </c>
      <c r="K37" s="5">
        <f t="shared" si="5"/>
        <v>2840026.0100000002</v>
      </c>
      <c r="L37" s="4">
        <f t="shared" si="0"/>
        <v>0</v>
      </c>
      <c r="M37" s="2" cm="1">
        <f t="array" ref="M37">SUMPRODUCT(--($L$6:$L$300&lt;&gt;1),--($C$6:$C$300=$C37),$H$6:$H$300)/SUMPRODUCT(--($L$6:$L$300&lt;&gt;1),--($C$6:$C$300=$C37),$E$6:$E$300)</f>
        <v>488.10881751216084</v>
      </c>
      <c r="N37" s="1" cm="1">
        <f t="array" ref="N37">SUMPRODUCT(--($L$6:$L$300&lt;&gt;1),--($C$6:$C$300=$C37))</f>
        <v>15</v>
      </c>
      <c r="O37" s="3">
        <f t="shared" si="6"/>
        <v>551.80415452169507</v>
      </c>
      <c r="P37" s="2" cm="1">
        <f t="array" ref="P37">SQRT(SUMPRODUCT(--($L$6:$L$300&lt;&gt;1),--($C$6:$C$300=$C37),$E$6:$E$300,$O$6:$O$300)/((N37-1)*SUMPRODUCT(--($L$6:$L$300&lt;&gt;1),--($C$6:$C$300=$C37),$E$6:$E$300)/N37))</f>
        <v>171.1151908786747</v>
      </c>
      <c r="Q37" s="2">
        <f t="shared" si="1"/>
        <v>268.8158767531321</v>
      </c>
      <c r="R37" s="2">
        <f t="shared" si="1"/>
        <v>707.40175827118958</v>
      </c>
      <c r="S37" s="2">
        <f t="shared" si="7"/>
        <v>511.59932952279388</v>
      </c>
    </row>
    <row r="38" spans="2:19" x14ac:dyDescent="0.25">
      <c r="B38">
        <v>760</v>
      </c>
      <c r="C38" s="28">
        <v>4</v>
      </c>
      <c r="D38" s="35" t="s">
        <v>94</v>
      </c>
      <c r="E38" s="154">
        <f>INDEX('2019 Data Lockdown'!H$5:H$257,MATCH(B38,'2019 Data Lockdown'!B$5:B$257,0))</f>
        <v>5012.8599999999997</v>
      </c>
      <c r="F38" s="7">
        <f>INDEX('2019 Data Lockdown'!E$5:E$257,MATCH(B38,'2019 Data Lockdown'!B$5:B$257,0))</f>
        <v>1509097.88</v>
      </c>
      <c r="G38" s="7">
        <f>INDEX('2019 Data Lockdown'!F$5:F$257,MATCH(B38,'2019 Data Lockdown'!B$5:B$257,0))</f>
        <v>554553.47</v>
      </c>
      <c r="H38" s="7">
        <f t="shared" si="2"/>
        <v>954544.40999999992</v>
      </c>
      <c r="I38" s="6">
        <f t="shared" si="3"/>
        <v>190.41912401303847</v>
      </c>
      <c r="J38" s="6">
        <f t="shared" si="4"/>
        <v>190.41912401303847</v>
      </c>
      <c r="K38" s="5">
        <f t="shared" si="5"/>
        <v>954544.40999999992</v>
      </c>
      <c r="L38" s="4">
        <f t="shared" si="0"/>
        <v>0</v>
      </c>
      <c r="M38" s="2" cm="1">
        <f t="array" ref="M38">SUMPRODUCT(--($L$6:$L$300&lt;&gt;1),--($C$6:$C$300=$C38),$H$6:$H$300)/SUMPRODUCT(--($L$6:$L$300&lt;&gt;1),--($C$6:$C$300=$C38),$E$6:$E$300)</f>
        <v>488.10881751216084</v>
      </c>
      <c r="N38" s="1" cm="1">
        <f t="array" ref="N38">SUMPRODUCT(--($L$6:$L$300&lt;&gt;1),--($C$6:$C$300=$C38))</f>
        <v>15</v>
      </c>
      <c r="O38" s="3">
        <f t="shared" si="6"/>
        <v>88619.153615601419</v>
      </c>
      <c r="P38" s="2" cm="1">
        <f t="array" ref="P38">SQRT(SUMPRODUCT(--($L$6:$L$300&lt;&gt;1),--($C$6:$C$300=$C38),$E$6:$E$300,$O$6:$O$300)/((N38-1)*SUMPRODUCT(--($L$6:$L$300&lt;&gt;1),--($C$6:$C$300=$C38),$E$6:$E$300)/N38))</f>
        <v>171.1151908786747</v>
      </c>
      <c r="Q38" s="2">
        <f t="shared" si="1"/>
        <v>268.8158767531321</v>
      </c>
      <c r="R38" s="2">
        <f t="shared" si="1"/>
        <v>707.40175827118958</v>
      </c>
      <c r="S38" s="2">
        <f t="shared" si="7"/>
        <v>190.41912401303847</v>
      </c>
    </row>
    <row r="39" spans="2:19" x14ac:dyDescent="0.25">
      <c r="B39">
        <v>878</v>
      </c>
      <c r="C39" s="28">
        <v>4</v>
      </c>
      <c r="D39" s="35" t="s">
        <v>95</v>
      </c>
      <c r="E39" s="154">
        <f>INDEX('2019 Data Lockdown'!H$5:H$257,MATCH(B39,'2019 Data Lockdown'!B$5:B$257,0))</f>
        <v>7393.5</v>
      </c>
      <c r="F39" s="7">
        <f>INDEX('2019 Data Lockdown'!E$5:E$257,MATCH(B39,'2019 Data Lockdown'!B$5:B$257,0))</f>
        <v>3017896.76</v>
      </c>
      <c r="G39" s="7">
        <f>INDEX('2019 Data Lockdown'!F$5:F$257,MATCH(B39,'2019 Data Lockdown'!B$5:B$257,0))</f>
        <v>419431.65</v>
      </c>
      <c r="H39" s="7">
        <f t="shared" si="2"/>
        <v>2598465.11</v>
      </c>
      <c r="I39" s="6">
        <f t="shared" si="3"/>
        <v>351.45264218570367</v>
      </c>
      <c r="J39" s="6">
        <f t="shared" si="4"/>
        <v>351.45264218570367</v>
      </c>
      <c r="K39" s="5">
        <f t="shared" si="5"/>
        <v>2598465.11</v>
      </c>
      <c r="L39" s="4">
        <f t="shared" si="0"/>
        <v>0</v>
      </c>
      <c r="M39" s="2" cm="1">
        <f t="array" ref="M39">SUMPRODUCT(--($L$6:$L$300&lt;&gt;1),--($C$6:$C$300=$C39),$H$6:$H$300)/SUMPRODUCT(--($L$6:$L$300&lt;&gt;1),--($C$6:$C$300=$C39),$E$6:$E$300)</f>
        <v>488.10881751216084</v>
      </c>
      <c r="N39" s="1" cm="1">
        <f t="array" ref="N39">SUMPRODUCT(--($L$6:$L$300&lt;&gt;1),--($C$6:$C$300=$C39))</f>
        <v>15</v>
      </c>
      <c r="O39" s="3">
        <f t="shared" si="6"/>
        <v>18674.910254855404</v>
      </c>
      <c r="P39" s="2" cm="1">
        <f t="array" ref="P39">SQRT(SUMPRODUCT(--($L$6:$L$300&lt;&gt;1),--($C$6:$C$300=$C39),$E$6:$E$300,$O$6:$O$300)/((N39-1)*SUMPRODUCT(--($L$6:$L$300&lt;&gt;1),--($C$6:$C$300=$C39),$E$6:$E$300)/N39))</f>
        <v>171.1151908786747</v>
      </c>
      <c r="Q39" s="2">
        <f t="shared" si="1"/>
        <v>268.8158767531321</v>
      </c>
      <c r="R39" s="2">
        <f t="shared" si="1"/>
        <v>707.40175827118958</v>
      </c>
      <c r="S39" s="2">
        <f t="shared" si="7"/>
        <v>351.45264218570367</v>
      </c>
    </row>
    <row r="40" spans="2:19" x14ac:dyDescent="0.25">
      <c r="B40">
        <v>8</v>
      </c>
      <c r="C40" s="28">
        <v>5</v>
      </c>
      <c r="D40" s="35" t="s">
        <v>96</v>
      </c>
      <c r="E40" s="154">
        <f>INDEX('2019 Data Lockdown'!H$5:H$257,MATCH(B40,'2019 Data Lockdown'!B$5:B$257,0))</f>
        <v>2075.63</v>
      </c>
      <c r="F40" s="7">
        <f>INDEX('2019 Data Lockdown'!E$5:E$257,MATCH(B40,'2019 Data Lockdown'!B$5:B$257,0))</f>
        <v>864369.87</v>
      </c>
      <c r="G40" s="7">
        <f>INDEX('2019 Data Lockdown'!F$5:F$257,MATCH(B40,'2019 Data Lockdown'!B$5:B$257,0))</f>
        <v>93052.72</v>
      </c>
      <c r="H40" s="7">
        <f t="shared" si="2"/>
        <v>771317.15</v>
      </c>
      <c r="I40" s="6">
        <f t="shared" si="3"/>
        <v>371.60628339347574</v>
      </c>
      <c r="J40" s="6">
        <f t="shared" si="4"/>
        <v>371.60628339347574</v>
      </c>
      <c r="K40" s="5">
        <f t="shared" si="5"/>
        <v>771317.15</v>
      </c>
      <c r="L40" s="4">
        <f t="shared" si="0"/>
        <v>0</v>
      </c>
      <c r="M40" s="2" cm="1">
        <f t="array" ref="M40">SUMPRODUCT(--($L$6:$L$300&lt;&gt;1),--($C$6:$C$300=$C40),$H$6:$H$300)/SUMPRODUCT(--($L$6:$L$300&lt;&gt;1),--($C$6:$C$300=$C40),$E$6:$E$300)</f>
        <v>347.94958790604153</v>
      </c>
      <c r="N40" s="1" cm="1">
        <f t="array" ref="N40">SUMPRODUCT(--($L$6:$L$300&lt;&gt;1),--($C$6:$C$300=$C40))</f>
        <v>21</v>
      </c>
      <c r="O40" s="3">
        <f t="shared" si="6"/>
        <v>559.63924138518996</v>
      </c>
      <c r="P40" s="2" cm="1">
        <f t="array" ref="P40">SQRT(SUMPRODUCT(--($L$6:$L$300&lt;&gt;1),--($C$6:$C$300=$C40),$E$6:$E$300,$O$6:$O$300)/((N40-1)*SUMPRODUCT(--($L$6:$L$300&lt;&gt;1),--($C$6:$C$300=$C40),$E$6:$E$300)/N40))</f>
        <v>149.28919006211922</v>
      </c>
      <c r="Q40" s="2">
        <f t="shared" si="1"/>
        <v>156.62779266304722</v>
      </c>
      <c r="R40" s="2">
        <f t="shared" si="1"/>
        <v>539.27138314903584</v>
      </c>
      <c r="S40" s="2">
        <f t="shared" si="7"/>
        <v>371.60628339347574</v>
      </c>
    </row>
    <row r="41" spans="2:19" x14ac:dyDescent="0.25">
      <c r="B41">
        <v>41</v>
      </c>
      <c r="C41" s="36">
        <v>5</v>
      </c>
      <c r="D41" s="35" t="s">
        <v>97</v>
      </c>
      <c r="E41" s="154">
        <f>INDEX('2019 Data Lockdown'!H$5:H$257,MATCH(B41,'2019 Data Lockdown'!B$5:B$257,0))</f>
        <v>993.22</v>
      </c>
      <c r="F41" s="7">
        <f>INDEX('2019 Data Lockdown'!E$5:E$257,MATCH(B41,'2019 Data Lockdown'!B$5:B$257,0))</f>
        <v>598036.62</v>
      </c>
      <c r="G41" s="7">
        <f>INDEX('2019 Data Lockdown'!F$5:F$257,MATCH(B41,'2019 Data Lockdown'!B$5:B$257,0))</f>
        <v>171251.26000000004</v>
      </c>
      <c r="H41" s="7">
        <f t="shared" si="2"/>
        <v>426785.36</v>
      </c>
      <c r="I41" s="6">
        <f t="shared" si="3"/>
        <v>429.69871730331647</v>
      </c>
      <c r="J41" s="6">
        <f t="shared" si="4"/>
        <v>429.69871730331647</v>
      </c>
      <c r="K41" s="5">
        <f t="shared" si="5"/>
        <v>426785.36</v>
      </c>
      <c r="L41" s="4">
        <f t="shared" si="0"/>
        <v>0</v>
      </c>
      <c r="M41" s="2" cm="1">
        <f t="array" ref="M41">SUMPRODUCT(--($L$6:$L$300&lt;&gt;1),--($C$6:$C$300=$C41),$H$6:$H$300)/SUMPRODUCT(--($L$6:$L$300&lt;&gt;1),--($C$6:$C$300=$C41),$E$6:$E$300)</f>
        <v>347.94958790604153</v>
      </c>
      <c r="N41" s="1" cm="1">
        <f t="array" ref="N41">SUMPRODUCT(--($L$6:$L$300&lt;&gt;1),--($C$6:$C$300=$C41))</f>
        <v>21</v>
      </c>
      <c r="O41" s="3">
        <f t="shared" si="6"/>
        <v>6682.920157212402</v>
      </c>
      <c r="P41" s="2" cm="1">
        <f t="array" ref="P41">SQRT(SUMPRODUCT(--($L$6:$L$300&lt;&gt;1),--($C$6:$C$300=$C41),$E$6:$E$300,$O$6:$O$300)/((N41-1)*SUMPRODUCT(--($L$6:$L$300&lt;&gt;1),--($C$6:$C$300=$C41),$E$6:$E$300)/N41))</f>
        <v>149.28919006211922</v>
      </c>
      <c r="Q41" s="2">
        <f t="shared" si="1"/>
        <v>156.62779266304722</v>
      </c>
      <c r="R41" s="2">
        <f t="shared" si="1"/>
        <v>539.27138314903584</v>
      </c>
      <c r="S41" s="2">
        <f t="shared" si="7"/>
        <v>429.69871730331647</v>
      </c>
    </row>
    <row r="42" spans="2:19" x14ac:dyDescent="0.25">
      <c r="B42">
        <v>56</v>
      </c>
      <c r="C42" s="36">
        <v>5</v>
      </c>
      <c r="D42" s="35" t="s">
        <v>98</v>
      </c>
      <c r="E42" s="154">
        <f>INDEX('2019 Data Lockdown'!H$5:H$257,MATCH(B42,'2019 Data Lockdown'!B$5:B$257,0))</f>
        <v>2867.28</v>
      </c>
      <c r="F42" s="7">
        <f>INDEX('2019 Data Lockdown'!E$5:E$257,MATCH(B42,'2019 Data Lockdown'!B$5:B$257,0))</f>
        <v>572395.97</v>
      </c>
      <c r="G42" s="7">
        <f>INDEX('2019 Data Lockdown'!F$5:F$257,MATCH(B42,'2019 Data Lockdown'!B$5:B$257,0))</f>
        <v>2299.3900000000003</v>
      </c>
      <c r="H42" s="7">
        <f t="shared" si="2"/>
        <v>570096.57999999996</v>
      </c>
      <c r="I42" s="6">
        <f t="shared" si="3"/>
        <v>198.82835997879522</v>
      </c>
      <c r="J42" s="6">
        <f t="shared" si="4"/>
        <v>198.82835997879522</v>
      </c>
      <c r="K42" s="5">
        <f t="shared" si="5"/>
        <v>570096.57999999996</v>
      </c>
      <c r="L42" s="4">
        <f t="shared" si="0"/>
        <v>0</v>
      </c>
      <c r="M42" s="2" cm="1">
        <f t="array" ref="M42">SUMPRODUCT(--($L$6:$L$300&lt;&gt;1),--($C$6:$C$300=$C42),$H$6:$H$300)/SUMPRODUCT(--($L$6:$L$300&lt;&gt;1),--($C$6:$C$300=$C42),$E$6:$E$300)</f>
        <v>347.94958790604153</v>
      </c>
      <c r="N42" s="1" cm="1">
        <f t="array" ref="N42">SUMPRODUCT(--($L$6:$L$300&lt;&gt;1),--($C$6:$C$300=$C42))</f>
        <v>21</v>
      </c>
      <c r="O42" s="3">
        <f t="shared" si="6"/>
        <v>22237.140618529746</v>
      </c>
      <c r="P42" s="2" cm="1">
        <f t="array" ref="P42">SQRT(SUMPRODUCT(--($L$6:$L$300&lt;&gt;1),--($C$6:$C$300=$C42),$E$6:$E$300,$O$6:$O$300)/((N42-1)*SUMPRODUCT(--($L$6:$L$300&lt;&gt;1),--($C$6:$C$300=$C42),$E$6:$E$300)/N42))</f>
        <v>149.28919006211922</v>
      </c>
      <c r="Q42" s="2">
        <f t="shared" si="1"/>
        <v>156.62779266304722</v>
      </c>
      <c r="R42" s="2">
        <f t="shared" si="1"/>
        <v>539.27138314903584</v>
      </c>
      <c r="S42" s="2">
        <f t="shared" si="7"/>
        <v>198.82835997879522</v>
      </c>
    </row>
    <row r="43" spans="2:19" x14ac:dyDescent="0.25">
      <c r="B43">
        <v>67</v>
      </c>
      <c r="C43" s="28">
        <v>5</v>
      </c>
      <c r="D43" s="35" t="s">
        <v>99</v>
      </c>
      <c r="E43" s="154">
        <f>INDEX('2019 Data Lockdown'!H$5:H$257,MATCH(B43,'2019 Data Lockdown'!B$5:B$257,0))</f>
        <v>1347.1733959092533</v>
      </c>
      <c r="F43" s="7">
        <f>INDEX('2019 Data Lockdown'!E$5:E$257,MATCH(B43,'2019 Data Lockdown'!B$5:B$257,0))</f>
        <v>207963.68</v>
      </c>
      <c r="G43" s="7">
        <f>INDEX('2019 Data Lockdown'!F$5:F$257,MATCH(B43,'2019 Data Lockdown'!B$5:B$257,0))</f>
        <v>0</v>
      </c>
      <c r="H43" s="7">
        <f t="shared" si="2"/>
        <v>207963.68</v>
      </c>
      <c r="I43" s="6">
        <f t="shared" si="3"/>
        <v>154.37038812634674</v>
      </c>
      <c r="J43" s="6">
        <f t="shared" si="4"/>
        <v>154.37038812634674</v>
      </c>
      <c r="K43" s="5">
        <f t="shared" si="5"/>
        <v>207963.68</v>
      </c>
      <c r="L43" s="4">
        <f t="shared" si="0"/>
        <v>0</v>
      </c>
      <c r="M43" s="2" cm="1">
        <f t="array" ref="M43">SUMPRODUCT(--($L$6:$L$300&lt;&gt;1),--($C$6:$C$300=$C43),$H$6:$H$300)/SUMPRODUCT(--($L$6:$L$300&lt;&gt;1),--($C$6:$C$300=$C43),$E$6:$E$300)</f>
        <v>347.94958790604153</v>
      </c>
      <c r="N43" s="1" cm="1">
        <f t="array" ref="N43">SUMPRODUCT(--($L$6:$L$300&lt;&gt;1),--($C$6:$C$300=$C43))</f>
        <v>21</v>
      </c>
      <c r="O43" s="3">
        <f t="shared" si="6"/>
        <v>37472.906587346988</v>
      </c>
      <c r="P43" s="2" cm="1">
        <f t="array" ref="P43">SQRT(SUMPRODUCT(--($L$6:$L$300&lt;&gt;1),--($C$6:$C$300=$C43),$E$6:$E$300,$O$6:$O$300)/((N43-1)*SUMPRODUCT(--($L$6:$L$300&lt;&gt;1),--($C$6:$C$300=$C43),$E$6:$E$300)/N43))</f>
        <v>149.28919006211922</v>
      </c>
      <c r="Q43" s="2">
        <f t="shared" si="1"/>
        <v>156.62779266304722</v>
      </c>
      <c r="R43" s="2">
        <f t="shared" si="1"/>
        <v>539.27138314903584</v>
      </c>
      <c r="S43" s="2">
        <f t="shared" si="7"/>
        <v>154.37038812634674</v>
      </c>
    </row>
    <row r="44" spans="2:19" x14ac:dyDescent="0.25">
      <c r="B44">
        <v>157</v>
      </c>
      <c r="C44" s="28">
        <v>5</v>
      </c>
      <c r="D44" s="35" t="s">
        <v>100</v>
      </c>
      <c r="E44" s="154">
        <f>INDEX('2019 Data Lockdown'!H$5:H$257,MATCH(B44,'2019 Data Lockdown'!B$5:B$257,0))</f>
        <v>391.46461159743643</v>
      </c>
      <c r="F44" s="7">
        <f>INDEX('2019 Data Lockdown'!E$5:E$257,MATCH(B44,'2019 Data Lockdown'!B$5:B$257,0))</f>
        <v>154392.98000000001</v>
      </c>
      <c r="G44" s="7">
        <f>INDEX('2019 Data Lockdown'!F$5:F$257,MATCH(B44,'2019 Data Lockdown'!B$5:B$257,0))</f>
        <v>250</v>
      </c>
      <c r="H44" s="7">
        <f t="shared" si="2"/>
        <v>154142.98000000001</v>
      </c>
      <c r="I44" s="6">
        <f t="shared" si="3"/>
        <v>393.75967950460182</v>
      </c>
      <c r="J44" s="6">
        <f t="shared" si="4"/>
        <v>393.75967950460182</v>
      </c>
      <c r="K44" s="5">
        <f t="shared" si="5"/>
        <v>154142.98000000001</v>
      </c>
      <c r="L44" s="4">
        <f t="shared" si="0"/>
        <v>0</v>
      </c>
      <c r="M44" s="2" cm="1">
        <f t="array" ref="M44">SUMPRODUCT(--($L$6:$L$300&lt;&gt;1),--($C$6:$C$300=$C44),$H$6:$H$300)/SUMPRODUCT(--($L$6:$L$300&lt;&gt;1),--($C$6:$C$300=$C44),$E$6:$E$300)</f>
        <v>347.94958790604153</v>
      </c>
      <c r="N44" s="1" cm="1">
        <f t="array" ref="N44">SUMPRODUCT(--($L$6:$L$300&lt;&gt;1),--($C$6:$C$300=$C44))</f>
        <v>21</v>
      </c>
      <c r="O44" s="3">
        <f t="shared" si="6"/>
        <v>2098.5644922684842</v>
      </c>
      <c r="P44" s="2" cm="1">
        <f t="array" ref="P44">SQRT(SUMPRODUCT(--($L$6:$L$300&lt;&gt;1),--($C$6:$C$300=$C44),$E$6:$E$300,$O$6:$O$300)/((N44-1)*SUMPRODUCT(--($L$6:$L$300&lt;&gt;1),--($C$6:$C$300=$C44),$E$6:$E$300)/N44))</f>
        <v>149.28919006211922</v>
      </c>
      <c r="Q44" s="2">
        <f t="shared" si="1"/>
        <v>156.62779266304722</v>
      </c>
      <c r="R44" s="2">
        <f t="shared" si="1"/>
        <v>539.27138314903584</v>
      </c>
      <c r="S44" s="2">
        <f t="shared" si="7"/>
        <v>393.75967950460182</v>
      </c>
    </row>
    <row r="45" spans="2:19" x14ac:dyDescent="0.25">
      <c r="B45">
        <v>214</v>
      </c>
      <c r="C45" s="28">
        <v>5</v>
      </c>
      <c r="D45" s="35" t="s">
        <v>101</v>
      </c>
      <c r="E45" s="154">
        <f>INDEX('2019 Data Lockdown'!H$5:H$257,MATCH(B45,'2019 Data Lockdown'!B$5:B$257,0))</f>
        <v>2751.6000000000004</v>
      </c>
      <c r="F45" s="7">
        <f>INDEX('2019 Data Lockdown'!E$5:E$257,MATCH(B45,'2019 Data Lockdown'!B$5:B$257,0))</f>
        <v>1755275.05</v>
      </c>
      <c r="G45" s="7">
        <f>INDEX('2019 Data Lockdown'!F$5:F$257,MATCH(B45,'2019 Data Lockdown'!B$5:B$257,0))</f>
        <v>255085.94</v>
      </c>
      <c r="H45" s="7">
        <f t="shared" si="2"/>
        <v>1500189.11</v>
      </c>
      <c r="I45" s="6">
        <f t="shared" si="3"/>
        <v>545.2061019043465</v>
      </c>
      <c r="J45" s="6">
        <f t="shared" si="4"/>
        <v>539.27138314903584</v>
      </c>
      <c r="K45" s="5">
        <f t="shared" si="5"/>
        <v>1483859.1378728873</v>
      </c>
      <c r="L45" s="4">
        <f t="shared" si="0"/>
        <v>0</v>
      </c>
      <c r="M45" s="2" cm="1">
        <f t="array" ref="M45">SUMPRODUCT(--($L$6:$L$300&lt;&gt;1),--($C$6:$C$300=$C45),$H$6:$H$300)/SUMPRODUCT(--($L$6:$L$300&lt;&gt;1),--($C$6:$C$300=$C45),$E$6:$E$300)</f>
        <v>347.94958790604153</v>
      </c>
      <c r="N45" s="1" cm="1">
        <f t="array" ref="N45">SUMPRODUCT(--($L$6:$L$300&lt;&gt;1),--($C$6:$C$300=$C45))</f>
        <v>21</v>
      </c>
      <c r="O45" s="3">
        <f t="shared" si="6"/>
        <v>38910.132314763483</v>
      </c>
      <c r="P45" s="2" cm="1">
        <f t="array" ref="P45">SQRT(SUMPRODUCT(--($L$6:$L$300&lt;&gt;1),--($C$6:$C$300=$C45),$E$6:$E$300,$O$6:$O$300)/((N45-1)*SUMPRODUCT(--($L$6:$L$300&lt;&gt;1),--($C$6:$C$300=$C45),$E$6:$E$300)/N45))</f>
        <v>149.28919006211922</v>
      </c>
      <c r="Q45" s="2">
        <f t="shared" si="1"/>
        <v>156.62779266304722</v>
      </c>
      <c r="R45" s="2">
        <f t="shared" si="1"/>
        <v>539.27138314903584</v>
      </c>
      <c r="S45" s="2">
        <f t="shared" si="7"/>
        <v>539.27138314903584</v>
      </c>
    </row>
    <row r="46" spans="2:19" x14ac:dyDescent="0.25">
      <c r="B46">
        <v>223</v>
      </c>
      <c r="C46" s="28">
        <v>5</v>
      </c>
      <c r="D46" s="35" t="s">
        <v>102</v>
      </c>
      <c r="E46" s="154">
        <f>INDEX('2019 Data Lockdown'!H$5:H$257,MATCH(B46,'2019 Data Lockdown'!B$5:B$257,0))</f>
        <v>274</v>
      </c>
      <c r="F46" s="7">
        <f>INDEX('2019 Data Lockdown'!E$5:E$257,MATCH(B46,'2019 Data Lockdown'!B$5:B$257,0))</f>
        <v>235853.73</v>
      </c>
      <c r="G46" s="7">
        <f>INDEX('2019 Data Lockdown'!F$5:F$257,MATCH(B46,'2019 Data Lockdown'!B$5:B$257,0))</f>
        <v>800.41</v>
      </c>
      <c r="H46" s="7">
        <f t="shared" si="2"/>
        <v>235053.32</v>
      </c>
      <c r="I46" s="6">
        <f t="shared" si="3"/>
        <v>857.85883211678834</v>
      </c>
      <c r="J46" s="6">
        <f t="shared" si="4"/>
        <v>539.27138314903584</v>
      </c>
      <c r="K46" s="5">
        <f t="shared" si="5"/>
        <v>147760.35898283581</v>
      </c>
      <c r="L46" s="4">
        <f t="shared" si="0"/>
        <v>0</v>
      </c>
      <c r="M46" s="2" cm="1">
        <f t="array" ref="M46">SUMPRODUCT(--($L$6:$L$300&lt;&gt;1),--($C$6:$C$300=$C46),$H$6:$H$300)/SUMPRODUCT(--($L$6:$L$300&lt;&gt;1),--($C$6:$C$300=$C46),$E$6:$E$300)</f>
        <v>347.94958790604153</v>
      </c>
      <c r="N46" s="1" cm="1">
        <f t="array" ref="N46">SUMPRODUCT(--($L$6:$L$300&lt;&gt;1),--($C$6:$C$300=$C46))</f>
        <v>21</v>
      </c>
      <c r="O46" s="3">
        <f t="shared" si="6"/>
        <v>260007.43733157503</v>
      </c>
      <c r="P46" s="2" cm="1">
        <f t="array" ref="P46">SQRT(SUMPRODUCT(--($L$6:$L$300&lt;&gt;1),--($C$6:$C$300=$C46),$E$6:$E$300,$O$6:$O$300)/((N46-1)*SUMPRODUCT(--($L$6:$L$300&lt;&gt;1),--($C$6:$C$300=$C46),$E$6:$E$300)/N46))</f>
        <v>149.28919006211922</v>
      </c>
      <c r="Q46" s="2">
        <f t="shared" si="1"/>
        <v>156.62779266304722</v>
      </c>
      <c r="R46" s="2">
        <f t="shared" si="1"/>
        <v>539.27138314903584</v>
      </c>
      <c r="S46" s="2">
        <f t="shared" si="7"/>
        <v>539.27138314903584</v>
      </c>
    </row>
    <row r="47" spans="2:19" x14ac:dyDescent="0.25">
      <c r="B47">
        <v>224</v>
      </c>
      <c r="C47" s="28">
        <v>5</v>
      </c>
      <c r="D47" s="35" t="s">
        <v>103</v>
      </c>
      <c r="E47" s="154">
        <f>INDEX('2019 Data Lockdown'!H$5:H$257,MATCH(B47,'2019 Data Lockdown'!B$5:B$257,0))</f>
        <v>196.82810451351673</v>
      </c>
      <c r="F47" s="7">
        <f>INDEX('2019 Data Lockdown'!E$5:E$257,MATCH(B47,'2019 Data Lockdown'!B$5:B$257,0))</f>
        <v>77631.63</v>
      </c>
      <c r="G47" s="7">
        <f>INDEX('2019 Data Lockdown'!F$5:F$257,MATCH(B47,'2019 Data Lockdown'!B$5:B$257,0))</f>
        <v>210</v>
      </c>
      <c r="H47" s="7">
        <f t="shared" si="2"/>
        <v>77421.63</v>
      </c>
      <c r="I47" s="6">
        <f t="shared" si="3"/>
        <v>393.34641864969666</v>
      </c>
      <c r="J47" s="6">
        <f t="shared" si="4"/>
        <v>393.34641864969666</v>
      </c>
      <c r="K47" s="5">
        <f t="shared" si="5"/>
        <v>77421.63</v>
      </c>
      <c r="L47" s="4">
        <f t="shared" si="0"/>
        <v>0</v>
      </c>
      <c r="M47" s="2" cm="1">
        <f t="array" ref="M47">SUMPRODUCT(--($L$6:$L$300&lt;&gt;1),--($C$6:$C$300=$C47),$H$6:$H$300)/SUMPRODUCT(--($L$6:$L$300&lt;&gt;1),--($C$6:$C$300=$C47),$E$6:$E$300)</f>
        <v>347.94958790604153</v>
      </c>
      <c r="N47" s="1" cm="1">
        <f t="array" ref="N47">SUMPRODUCT(--($L$6:$L$300&lt;&gt;1),--($C$6:$C$300=$C47))</f>
        <v>21</v>
      </c>
      <c r="O47" s="3">
        <f t="shared" si="6"/>
        <v>2060.8722415680718</v>
      </c>
      <c r="P47" s="2" cm="1">
        <f t="array" ref="P47">SQRT(SUMPRODUCT(--($L$6:$L$300&lt;&gt;1),--($C$6:$C$300=$C47),$E$6:$E$300,$O$6:$O$300)/((N47-1)*SUMPRODUCT(--($L$6:$L$300&lt;&gt;1),--($C$6:$C$300=$C47),$E$6:$E$300)/N47))</f>
        <v>149.28919006211922</v>
      </c>
      <c r="Q47" s="2">
        <f t="shared" si="1"/>
        <v>156.62779266304722</v>
      </c>
      <c r="R47" s="2">
        <f t="shared" si="1"/>
        <v>539.27138314903584</v>
      </c>
      <c r="S47" s="2">
        <f t="shared" si="7"/>
        <v>393.34641864969666</v>
      </c>
    </row>
    <row r="48" spans="2:19" x14ac:dyDescent="0.25">
      <c r="B48">
        <v>233</v>
      </c>
      <c r="C48" s="36">
        <v>5</v>
      </c>
      <c r="D48" s="35" t="s">
        <v>104</v>
      </c>
      <c r="E48" s="154">
        <f>INDEX('2019 Data Lockdown'!H$5:H$257,MATCH(B48,'2019 Data Lockdown'!B$5:B$257,0))</f>
        <v>2130.7600000000002</v>
      </c>
      <c r="F48" s="7">
        <f>INDEX('2019 Data Lockdown'!E$5:E$257,MATCH(B48,'2019 Data Lockdown'!B$5:B$257,0))</f>
        <v>703293.56</v>
      </c>
      <c r="G48" s="7">
        <f>INDEX('2019 Data Lockdown'!F$5:F$257,MATCH(B48,'2019 Data Lockdown'!B$5:B$257,0))</f>
        <v>171134.77</v>
      </c>
      <c r="H48" s="7">
        <f t="shared" si="2"/>
        <v>532158.79</v>
      </c>
      <c r="I48" s="6">
        <f t="shared" si="3"/>
        <v>249.7506945878466</v>
      </c>
      <c r="J48" s="6">
        <f t="shared" si="4"/>
        <v>249.7506945878466</v>
      </c>
      <c r="K48" s="5">
        <f t="shared" si="5"/>
        <v>532158.79</v>
      </c>
      <c r="L48" s="4">
        <f t="shared" si="0"/>
        <v>0</v>
      </c>
      <c r="M48" s="2" cm="1">
        <f t="array" ref="M48">SUMPRODUCT(--($L$6:$L$300&lt;&gt;1),--($C$6:$C$300=$C48),$H$6:$H$300)/SUMPRODUCT(--($L$6:$L$300&lt;&gt;1),--($C$6:$C$300=$C48),$E$6:$E$300)</f>
        <v>347.94958790604153</v>
      </c>
      <c r="N48" s="1" cm="1">
        <f t="array" ref="N48">SUMPRODUCT(--($L$6:$L$300&lt;&gt;1),--($C$6:$C$300=$C48))</f>
        <v>21</v>
      </c>
      <c r="O48" s="3">
        <f t="shared" si="6"/>
        <v>9643.0226489182296</v>
      </c>
      <c r="P48" s="2" cm="1">
        <f t="array" ref="P48">SQRT(SUMPRODUCT(--($L$6:$L$300&lt;&gt;1),--($C$6:$C$300=$C48),$E$6:$E$300,$O$6:$O$300)/((N48-1)*SUMPRODUCT(--($L$6:$L$300&lt;&gt;1),--($C$6:$C$300=$C48),$E$6:$E$300)/N48))</f>
        <v>149.28919006211922</v>
      </c>
      <c r="Q48" s="2">
        <f t="shared" si="1"/>
        <v>156.62779266304722</v>
      </c>
      <c r="R48" s="2">
        <f t="shared" si="1"/>
        <v>539.27138314903584</v>
      </c>
      <c r="S48" s="2">
        <f t="shared" si="7"/>
        <v>249.7506945878466</v>
      </c>
    </row>
    <row r="49" spans="2:19" x14ac:dyDescent="0.25">
      <c r="B49">
        <v>272</v>
      </c>
      <c r="C49" s="28">
        <v>5</v>
      </c>
      <c r="D49" s="35" t="s">
        <v>105</v>
      </c>
      <c r="E49" s="154">
        <f>INDEX('2019 Data Lockdown'!H$5:H$257,MATCH(B49,'2019 Data Lockdown'!B$5:B$257,0))</f>
        <v>311.79011619626056</v>
      </c>
      <c r="F49" s="7">
        <f>INDEX('2019 Data Lockdown'!E$5:E$257,MATCH(B49,'2019 Data Lockdown'!B$5:B$257,0))</f>
        <v>96048.45</v>
      </c>
      <c r="G49" s="7">
        <f>INDEX('2019 Data Lockdown'!F$5:F$257,MATCH(B49,'2019 Data Lockdown'!B$5:B$257,0))</f>
        <v>0</v>
      </c>
      <c r="H49" s="7">
        <f t="shared" si="2"/>
        <v>96048.45</v>
      </c>
      <c r="I49" s="6">
        <f t="shared" si="3"/>
        <v>308.05482602130013</v>
      </c>
      <c r="J49" s="6">
        <f t="shared" si="4"/>
        <v>308.05482602130013</v>
      </c>
      <c r="K49" s="5">
        <f t="shared" si="5"/>
        <v>96048.45</v>
      </c>
      <c r="L49" s="4">
        <f t="shared" si="0"/>
        <v>0</v>
      </c>
      <c r="M49" s="2" cm="1">
        <f t="array" ref="M49">SUMPRODUCT(--($L$6:$L$300&lt;&gt;1),--($C$6:$C$300=$C49),$H$6:$H$300)/SUMPRODUCT(--($L$6:$L$300&lt;&gt;1),--($C$6:$C$300=$C49),$E$6:$E$300)</f>
        <v>347.94958790604153</v>
      </c>
      <c r="N49" s="1" cm="1">
        <f t="array" ref="N49">SUMPRODUCT(--($L$6:$L$300&lt;&gt;1),--($C$6:$C$300=$C49))</f>
        <v>21</v>
      </c>
      <c r="O49" s="3">
        <f t="shared" si="6"/>
        <v>1591.5920258402152</v>
      </c>
      <c r="P49" s="2" cm="1">
        <f t="array" ref="P49">SQRT(SUMPRODUCT(--($L$6:$L$300&lt;&gt;1),--($C$6:$C$300=$C49),$E$6:$E$300,$O$6:$O$300)/((N49-1)*SUMPRODUCT(--($L$6:$L$300&lt;&gt;1),--($C$6:$C$300=$C49),$E$6:$E$300)/N49))</f>
        <v>149.28919006211922</v>
      </c>
      <c r="Q49" s="2">
        <f t="shared" si="1"/>
        <v>156.62779266304722</v>
      </c>
      <c r="R49" s="2">
        <f t="shared" si="1"/>
        <v>539.27138314903584</v>
      </c>
      <c r="S49" s="2">
        <f t="shared" si="7"/>
        <v>308.05482602130013</v>
      </c>
    </row>
    <row r="50" spans="2:19" x14ac:dyDescent="0.25">
      <c r="B50">
        <v>427</v>
      </c>
      <c r="C50" s="28">
        <v>5</v>
      </c>
      <c r="D50" s="35" t="s">
        <v>106</v>
      </c>
      <c r="E50" s="154">
        <f>INDEX('2019 Data Lockdown'!H$5:H$257,MATCH(B50,'2019 Data Lockdown'!B$5:B$257,0))</f>
        <v>437.80999999999989</v>
      </c>
      <c r="F50" s="7">
        <f>INDEX('2019 Data Lockdown'!E$5:E$257,MATCH(B50,'2019 Data Lockdown'!B$5:B$257,0))</f>
        <v>207168.59</v>
      </c>
      <c r="G50" s="7">
        <f>INDEX('2019 Data Lockdown'!F$5:F$257,MATCH(B50,'2019 Data Lockdown'!B$5:B$257,0))</f>
        <v>41727.25</v>
      </c>
      <c r="H50" s="7">
        <f t="shared" si="2"/>
        <v>165441.34</v>
      </c>
      <c r="I50" s="6">
        <f t="shared" si="3"/>
        <v>377.88387656746085</v>
      </c>
      <c r="J50" s="6">
        <f t="shared" si="4"/>
        <v>377.88387656746085</v>
      </c>
      <c r="K50" s="5">
        <f t="shared" si="5"/>
        <v>165441.34</v>
      </c>
      <c r="L50" s="4">
        <f t="shared" si="0"/>
        <v>0</v>
      </c>
      <c r="M50" s="2" cm="1">
        <f t="array" ref="M50">SUMPRODUCT(--($L$6:$L$300&lt;&gt;1),--($C$6:$C$300=$C50),$H$6:$H$300)/SUMPRODUCT(--($L$6:$L$300&lt;&gt;1),--($C$6:$C$300=$C50),$E$6:$E$300)</f>
        <v>347.94958790604153</v>
      </c>
      <c r="N50" s="1" cm="1">
        <f t="array" ref="N50">SUMPRODUCT(--($L$6:$L$300&lt;&gt;1),--($C$6:$C$300=$C50))</f>
        <v>21</v>
      </c>
      <c r="O50" s="3">
        <f t="shared" si="6"/>
        <v>896.06163766517705</v>
      </c>
      <c r="P50" s="2" cm="1">
        <f t="array" ref="P50">SQRT(SUMPRODUCT(--($L$6:$L$300&lt;&gt;1),--($C$6:$C$300=$C50),$E$6:$E$300,$O$6:$O$300)/((N50-1)*SUMPRODUCT(--($L$6:$L$300&lt;&gt;1),--($C$6:$C$300=$C50),$E$6:$E$300)/N50))</f>
        <v>149.28919006211922</v>
      </c>
      <c r="Q50" s="2">
        <f t="shared" si="1"/>
        <v>156.62779266304722</v>
      </c>
      <c r="R50" s="2">
        <f t="shared" si="1"/>
        <v>539.27138314903584</v>
      </c>
      <c r="S50" s="2">
        <f t="shared" si="7"/>
        <v>377.88387656746085</v>
      </c>
    </row>
    <row r="51" spans="2:19" x14ac:dyDescent="0.25">
      <c r="B51">
        <v>524</v>
      </c>
      <c r="C51" s="28">
        <v>5</v>
      </c>
      <c r="D51" s="35" t="s">
        <v>107</v>
      </c>
      <c r="E51" s="154">
        <f>INDEX('2019 Data Lockdown'!H$5:H$257,MATCH(B51,'2019 Data Lockdown'!B$5:B$257,0))</f>
        <v>482.90262956638958</v>
      </c>
      <c r="F51" s="7">
        <f>INDEX('2019 Data Lockdown'!E$5:E$257,MATCH(B51,'2019 Data Lockdown'!B$5:B$257,0))</f>
        <v>318123.49</v>
      </c>
      <c r="G51" s="7">
        <f>INDEX('2019 Data Lockdown'!F$5:F$257,MATCH(B51,'2019 Data Lockdown'!B$5:B$257,0))</f>
        <v>89207.8</v>
      </c>
      <c r="H51" s="7">
        <f t="shared" si="2"/>
        <v>228915.69</v>
      </c>
      <c r="I51" s="6">
        <f t="shared" si="3"/>
        <v>474.04109231202398</v>
      </c>
      <c r="J51" s="6">
        <f t="shared" si="4"/>
        <v>474.04109231202398</v>
      </c>
      <c r="K51" s="5">
        <f t="shared" si="5"/>
        <v>228915.69</v>
      </c>
      <c r="L51" s="4">
        <f t="shared" si="0"/>
        <v>0</v>
      </c>
      <c r="M51" s="2" cm="1">
        <f t="array" ref="M51">SUMPRODUCT(--($L$6:$L$300&lt;&gt;1),--($C$6:$C$300=$C51),$H$6:$H$300)/SUMPRODUCT(--($L$6:$L$300&lt;&gt;1),--($C$6:$C$300=$C51),$E$6:$E$300)</f>
        <v>347.94958790604153</v>
      </c>
      <c r="N51" s="1" cm="1">
        <f t="array" ref="N51">SUMPRODUCT(--($L$6:$L$300&lt;&gt;1),--($C$6:$C$300=$C51))</f>
        <v>21</v>
      </c>
      <c r="O51" s="3">
        <f t="shared" si="6"/>
        <v>15899.067483363891</v>
      </c>
      <c r="P51" s="2" cm="1">
        <f t="array" ref="P51">SQRT(SUMPRODUCT(--($L$6:$L$300&lt;&gt;1),--($C$6:$C$300=$C51),$E$6:$E$300,$O$6:$O$300)/((N51-1)*SUMPRODUCT(--($L$6:$L$300&lt;&gt;1),--($C$6:$C$300=$C51),$E$6:$E$300)/N51))</f>
        <v>149.28919006211922</v>
      </c>
      <c r="Q51" s="2">
        <f t="shared" si="1"/>
        <v>156.62779266304722</v>
      </c>
      <c r="R51" s="2">
        <f t="shared" si="1"/>
        <v>539.27138314903584</v>
      </c>
      <c r="S51" s="2">
        <f t="shared" si="7"/>
        <v>474.04109231202398</v>
      </c>
    </row>
    <row r="52" spans="2:19" x14ac:dyDescent="0.25">
      <c r="B52">
        <v>565</v>
      </c>
      <c r="C52" s="28">
        <v>5</v>
      </c>
      <c r="D52" s="35" t="s">
        <v>108</v>
      </c>
      <c r="E52" s="154">
        <f>INDEX('2019 Data Lockdown'!H$5:H$257,MATCH(B52,'2019 Data Lockdown'!B$5:B$257,0))</f>
        <v>494.21083681672025</v>
      </c>
      <c r="F52" s="7">
        <f>INDEX('2019 Data Lockdown'!E$5:E$257,MATCH(B52,'2019 Data Lockdown'!B$5:B$257,0))</f>
        <v>274241.52</v>
      </c>
      <c r="G52" s="7">
        <f>INDEX('2019 Data Lockdown'!F$5:F$257,MATCH(B52,'2019 Data Lockdown'!B$5:B$257,0))</f>
        <v>88951.02</v>
      </c>
      <c r="H52" s="7">
        <f t="shared" si="2"/>
        <v>185290.5</v>
      </c>
      <c r="I52" s="6">
        <f t="shared" si="3"/>
        <v>374.92196891812716</v>
      </c>
      <c r="J52" s="6">
        <f t="shared" si="4"/>
        <v>374.92196891812716</v>
      </c>
      <c r="K52" s="5">
        <f t="shared" si="5"/>
        <v>185290.5</v>
      </c>
      <c r="L52" s="4">
        <f t="shared" si="0"/>
        <v>0</v>
      </c>
      <c r="M52" s="2" cm="1">
        <f t="array" ref="M52">SUMPRODUCT(--($L$6:$L$300&lt;&gt;1),--($C$6:$C$300=$C52),$H$6:$H$300)/SUMPRODUCT(--($L$6:$L$300&lt;&gt;1),--($C$6:$C$300=$C52),$E$6:$E$300)</f>
        <v>347.94958790604153</v>
      </c>
      <c r="N52" s="1" cm="1">
        <f t="array" ref="N52">SUMPRODUCT(--($L$6:$L$300&lt;&gt;1),--($C$6:$C$300=$C52))</f>
        <v>21</v>
      </c>
      <c r="O52" s="3">
        <f t="shared" si="6"/>
        <v>727.50933746111764</v>
      </c>
      <c r="P52" s="2" cm="1">
        <f t="array" ref="P52">SQRT(SUMPRODUCT(--($L$6:$L$300&lt;&gt;1),--($C$6:$C$300=$C52),$E$6:$E$300,$O$6:$O$300)/((N52-1)*SUMPRODUCT(--($L$6:$L$300&lt;&gt;1),--($C$6:$C$300=$C52),$E$6:$E$300)/N52))</f>
        <v>149.28919006211922</v>
      </c>
      <c r="Q52" s="2">
        <f t="shared" si="1"/>
        <v>156.62779266304722</v>
      </c>
      <c r="R52" s="2">
        <f t="shared" si="1"/>
        <v>539.27138314903584</v>
      </c>
      <c r="S52" s="2">
        <f t="shared" si="7"/>
        <v>374.92196891812716</v>
      </c>
    </row>
    <row r="53" spans="2:19" x14ac:dyDescent="0.25">
      <c r="B53">
        <v>613</v>
      </c>
      <c r="C53" s="28">
        <v>5</v>
      </c>
      <c r="D53" s="35" t="s">
        <v>109</v>
      </c>
      <c r="E53" s="154">
        <f>INDEX('2019 Data Lockdown'!H$5:H$257,MATCH(B53,'2019 Data Lockdown'!B$5:B$257,0))</f>
        <v>131.44881180778847</v>
      </c>
      <c r="F53" s="7">
        <f>INDEX('2019 Data Lockdown'!E$5:E$257,MATCH(B53,'2019 Data Lockdown'!B$5:B$257,0))</f>
        <v>69874.64</v>
      </c>
      <c r="G53" s="7">
        <f>INDEX('2019 Data Lockdown'!F$5:F$257,MATCH(B53,'2019 Data Lockdown'!B$5:B$257,0))</f>
        <v>0</v>
      </c>
      <c r="H53" s="7">
        <f t="shared" si="2"/>
        <v>69874.64</v>
      </c>
      <c r="I53" s="6">
        <f t="shared" si="3"/>
        <v>531.57300578855336</v>
      </c>
      <c r="J53" s="6">
        <f t="shared" si="4"/>
        <v>531.57300578855336</v>
      </c>
      <c r="K53" s="5">
        <f t="shared" si="5"/>
        <v>69874.64</v>
      </c>
      <c r="L53" s="4">
        <f t="shared" si="0"/>
        <v>0</v>
      </c>
      <c r="M53" s="2" cm="1">
        <f t="array" ref="M53">SUMPRODUCT(--($L$6:$L$300&lt;&gt;1),--($C$6:$C$300=$C53),$H$6:$H$300)/SUMPRODUCT(--($L$6:$L$300&lt;&gt;1),--($C$6:$C$300=$C53),$E$6:$E$300)</f>
        <v>347.94958790604153</v>
      </c>
      <c r="N53" s="1" cm="1">
        <f t="array" ref="N53">SUMPRODUCT(--($L$6:$L$300&lt;&gt;1),--($C$6:$C$300=$C53))</f>
        <v>21</v>
      </c>
      <c r="O53" s="3">
        <f t="shared" si="6"/>
        <v>33717.559594855564</v>
      </c>
      <c r="P53" s="2" cm="1">
        <f t="array" ref="P53">SQRT(SUMPRODUCT(--($L$6:$L$300&lt;&gt;1),--($C$6:$C$300=$C53),$E$6:$E$300,$O$6:$O$300)/((N53-1)*SUMPRODUCT(--($L$6:$L$300&lt;&gt;1),--($C$6:$C$300=$C53),$E$6:$E$300)/N53))</f>
        <v>149.28919006211922</v>
      </c>
      <c r="Q53" s="2">
        <f t="shared" si="1"/>
        <v>156.62779266304722</v>
      </c>
      <c r="R53" s="2">
        <f t="shared" si="1"/>
        <v>539.27138314903584</v>
      </c>
      <c r="S53" s="2">
        <f t="shared" si="7"/>
        <v>531.57300578855336</v>
      </c>
    </row>
    <row r="54" spans="2:19" x14ac:dyDescent="0.25">
      <c r="B54">
        <v>696</v>
      </c>
      <c r="C54" s="28">
        <v>5</v>
      </c>
      <c r="D54" s="35" t="s">
        <v>110</v>
      </c>
      <c r="E54" s="154">
        <f>INDEX('2019 Data Lockdown'!H$5:H$257,MATCH(B54,'2019 Data Lockdown'!B$5:B$257,0))</f>
        <v>255.58264483294207</v>
      </c>
      <c r="F54" s="7">
        <f>INDEX('2019 Data Lockdown'!E$5:E$257,MATCH(B54,'2019 Data Lockdown'!B$5:B$257,0))</f>
        <v>129470.73</v>
      </c>
      <c r="G54" s="7">
        <f>INDEX('2019 Data Lockdown'!F$5:F$257,MATCH(B54,'2019 Data Lockdown'!B$5:B$257,0))</f>
        <v>201.75</v>
      </c>
      <c r="H54" s="7">
        <f t="shared" si="2"/>
        <v>129268.98</v>
      </c>
      <c r="I54" s="6">
        <f t="shared" si="3"/>
        <v>505.78152551983652</v>
      </c>
      <c r="J54" s="6">
        <f t="shared" si="4"/>
        <v>505.78152551983652</v>
      </c>
      <c r="K54" s="5">
        <f t="shared" si="5"/>
        <v>129268.98</v>
      </c>
      <c r="L54" s="4">
        <f t="shared" si="0"/>
        <v>0</v>
      </c>
      <c r="M54" s="2" cm="1">
        <f t="array" ref="M54">SUMPRODUCT(--($L$6:$L$300&lt;&gt;1),--($C$6:$C$300=$C54),$H$6:$H$300)/SUMPRODUCT(--($L$6:$L$300&lt;&gt;1),--($C$6:$C$300=$C54),$E$6:$E$300)</f>
        <v>347.94958790604153</v>
      </c>
      <c r="N54" s="1" cm="1">
        <f t="array" ref="N54">SUMPRODUCT(--($L$6:$L$300&lt;&gt;1),--($C$6:$C$300=$C54))</f>
        <v>21</v>
      </c>
      <c r="O54" s="3">
        <f t="shared" si="6"/>
        <v>24910.920530924875</v>
      </c>
      <c r="P54" s="2" cm="1">
        <f t="array" ref="P54">SQRT(SUMPRODUCT(--($L$6:$L$300&lt;&gt;1),--($C$6:$C$300=$C54),$E$6:$E$300,$O$6:$O$300)/((N54-1)*SUMPRODUCT(--($L$6:$L$300&lt;&gt;1),--($C$6:$C$300=$C54),$E$6:$E$300)/N54))</f>
        <v>149.28919006211922</v>
      </c>
      <c r="Q54" s="2">
        <f t="shared" si="1"/>
        <v>156.62779266304722</v>
      </c>
      <c r="R54" s="2">
        <f t="shared" si="1"/>
        <v>539.27138314903584</v>
      </c>
      <c r="S54" s="2">
        <f t="shared" si="7"/>
        <v>505.78152551983652</v>
      </c>
    </row>
    <row r="55" spans="2:19" x14ac:dyDescent="0.25">
      <c r="B55">
        <v>731</v>
      </c>
      <c r="C55" s="28">
        <v>5</v>
      </c>
      <c r="D55" s="35" t="s">
        <v>111</v>
      </c>
      <c r="E55" s="154">
        <f>INDEX('2019 Data Lockdown'!H$5:H$257,MATCH(B55,'2019 Data Lockdown'!B$5:B$257,0))</f>
        <v>1049.3999999999999</v>
      </c>
      <c r="F55" s="7">
        <f>INDEX('2019 Data Lockdown'!E$5:E$257,MATCH(B55,'2019 Data Lockdown'!B$5:B$257,0))</f>
        <v>268966.73</v>
      </c>
      <c r="G55" s="7">
        <f>INDEX('2019 Data Lockdown'!F$5:F$257,MATCH(B55,'2019 Data Lockdown'!B$5:B$257,0))</f>
        <v>41367.85</v>
      </c>
      <c r="H55" s="7">
        <f t="shared" si="2"/>
        <v>227598.87999999998</v>
      </c>
      <c r="I55" s="6">
        <f t="shared" si="3"/>
        <v>216.88477225080999</v>
      </c>
      <c r="J55" s="6">
        <f t="shared" si="4"/>
        <v>216.88477225080999</v>
      </c>
      <c r="K55" s="5">
        <f t="shared" si="5"/>
        <v>227598.87999999998</v>
      </c>
      <c r="L55" s="4">
        <f t="shared" si="0"/>
        <v>0</v>
      </c>
      <c r="M55" s="2" cm="1">
        <f t="array" ref="M55">SUMPRODUCT(--($L$6:$L$300&lt;&gt;1),--($C$6:$C$300=$C55),$H$6:$H$300)/SUMPRODUCT(--($L$6:$L$300&lt;&gt;1),--($C$6:$C$300=$C55),$E$6:$E$300)</f>
        <v>347.94958790604153</v>
      </c>
      <c r="N55" s="1" cm="1">
        <f t="array" ref="N55">SUMPRODUCT(--($L$6:$L$300&lt;&gt;1),--($C$6:$C$300=$C55))</f>
        <v>21</v>
      </c>
      <c r="O55" s="3">
        <f t="shared" si="6"/>
        <v>17177.985902739827</v>
      </c>
      <c r="P55" s="2" cm="1">
        <f t="array" ref="P55">SQRT(SUMPRODUCT(--($L$6:$L$300&lt;&gt;1),--($C$6:$C$300=$C55),$E$6:$E$300,$O$6:$O$300)/((N55-1)*SUMPRODUCT(--($L$6:$L$300&lt;&gt;1),--($C$6:$C$300=$C55),$E$6:$E$300)/N55))</f>
        <v>149.28919006211922</v>
      </c>
      <c r="Q55" s="2">
        <f t="shared" si="1"/>
        <v>156.62779266304722</v>
      </c>
      <c r="R55" s="2">
        <f t="shared" si="1"/>
        <v>539.27138314903584</v>
      </c>
      <c r="S55" s="2">
        <f t="shared" si="7"/>
        <v>216.88477225080999</v>
      </c>
    </row>
    <row r="56" spans="2:19" x14ac:dyDescent="0.25">
      <c r="B56">
        <v>732</v>
      </c>
      <c r="C56" s="28">
        <v>5</v>
      </c>
      <c r="D56" s="35" t="s">
        <v>112</v>
      </c>
      <c r="E56" s="154">
        <f>INDEX('2019 Data Lockdown'!H$5:H$257,MATCH(B56,'2019 Data Lockdown'!B$5:B$257,0))</f>
        <v>190.20939315714199</v>
      </c>
      <c r="F56" s="7">
        <f>INDEX('2019 Data Lockdown'!E$5:E$257,MATCH(B56,'2019 Data Lockdown'!B$5:B$257,0))</f>
        <v>70626.64</v>
      </c>
      <c r="G56" s="7">
        <f>INDEX('2019 Data Lockdown'!F$5:F$257,MATCH(B56,'2019 Data Lockdown'!B$5:B$257,0))</f>
        <v>0</v>
      </c>
      <c r="H56" s="7">
        <f t="shared" si="2"/>
        <v>70626.64</v>
      </c>
      <c r="I56" s="6">
        <f t="shared" si="3"/>
        <v>371.3099486188446</v>
      </c>
      <c r="J56" s="6">
        <f t="shared" si="4"/>
        <v>371.3099486188446</v>
      </c>
      <c r="K56" s="5">
        <f t="shared" si="5"/>
        <v>70626.64</v>
      </c>
      <c r="L56" s="4">
        <f t="shared" si="0"/>
        <v>0</v>
      </c>
      <c r="M56" s="2" cm="1">
        <f t="array" ref="M56">SUMPRODUCT(--($L$6:$L$300&lt;&gt;1),--($C$6:$C$300=$C56),$H$6:$H$300)/SUMPRODUCT(--($L$6:$L$300&lt;&gt;1),--($C$6:$C$300=$C56),$E$6:$E$300)</f>
        <v>347.94958790604153</v>
      </c>
      <c r="N56" s="1" cm="1">
        <f t="array" ref="N56">SUMPRODUCT(--($L$6:$L$300&lt;&gt;1),--($C$6:$C$300=$C56))</f>
        <v>21</v>
      </c>
      <c r="O56" s="3">
        <f t="shared" si="6"/>
        <v>545.70645263227323</v>
      </c>
      <c r="P56" s="2" cm="1">
        <f t="array" ref="P56">SQRT(SUMPRODUCT(--($L$6:$L$300&lt;&gt;1),--($C$6:$C$300=$C56),$E$6:$E$300,$O$6:$O$300)/((N56-1)*SUMPRODUCT(--($L$6:$L$300&lt;&gt;1),--($C$6:$C$300=$C56),$E$6:$E$300)/N56))</f>
        <v>149.28919006211922</v>
      </c>
      <c r="Q56" s="2">
        <f t="shared" si="1"/>
        <v>156.62779266304722</v>
      </c>
      <c r="R56" s="2">
        <f t="shared" si="1"/>
        <v>539.27138314903584</v>
      </c>
      <c r="S56" s="2">
        <f t="shared" si="7"/>
        <v>371.3099486188446</v>
      </c>
    </row>
    <row r="57" spans="2:19" x14ac:dyDescent="0.25">
      <c r="B57">
        <v>754</v>
      </c>
      <c r="C57" s="28">
        <v>5</v>
      </c>
      <c r="D57" s="35" t="s">
        <v>113</v>
      </c>
      <c r="E57" s="154">
        <f>INDEX('2019 Data Lockdown'!H$5:H$257,MATCH(B57,'2019 Data Lockdown'!B$5:B$257,0))</f>
        <v>100.39736101583898</v>
      </c>
      <c r="F57" s="7">
        <f>INDEX('2019 Data Lockdown'!E$5:E$257,MATCH(B57,'2019 Data Lockdown'!B$5:B$257,0))</f>
        <v>35014.82</v>
      </c>
      <c r="G57" s="7">
        <f>INDEX('2019 Data Lockdown'!F$5:F$257,MATCH(B57,'2019 Data Lockdown'!B$5:B$257,0))</f>
        <v>0</v>
      </c>
      <c r="H57" s="7">
        <f t="shared" si="2"/>
        <v>35014.82</v>
      </c>
      <c r="I57" s="6">
        <f t="shared" si="3"/>
        <v>348.762354365828</v>
      </c>
      <c r="J57" s="6">
        <f t="shared" si="4"/>
        <v>348.762354365828</v>
      </c>
      <c r="K57" s="5">
        <f t="shared" si="5"/>
        <v>35014.82</v>
      </c>
      <c r="L57" s="4">
        <f t="shared" si="0"/>
        <v>0</v>
      </c>
      <c r="M57" s="2" cm="1">
        <f t="array" ref="M57">SUMPRODUCT(--($L$6:$L$300&lt;&gt;1),--($C$6:$C$300=$C57),$H$6:$H$300)/SUMPRODUCT(--($L$6:$L$300&lt;&gt;1),--($C$6:$C$300=$C57),$E$6:$E$300)</f>
        <v>347.94958790604153</v>
      </c>
      <c r="N57" s="1" cm="1">
        <f t="array" ref="N57">SUMPRODUCT(--($L$6:$L$300&lt;&gt;1),--($C$6:$C$300=$C57))</f>
        <v>21</v>
      </c>
      <c r="O57" s="3">
        <f t="shared" si="6"/>
        <v>0.66058931815383748</v>
      </c>
      <c r="P57" s="2" cm="1">
        <f t="array" ref="P57">SQRT(SUMPRODUCT(--($L$6:$L$300&lt;&gt;1),--($C$6:$C$300=$C57),$E$6:$E$300,$O$6:$O$300)/((N57-1)*SUMPRODUCT(--($L$6:$L$300&lt;&gt;1),--($C$6:$C$300=$C57),$E$6:$E$300)/N57))</f>
        <v>149.28919006211922</v>
      </c>
      <c r="Q57" s="2">
        <f t="shared" si="1"/>
        <v>156.62779266304722</v>
      </c>
      <c r="R57" s="2">
        <f t="shared" si="1"/>
        <v>539.27138314903584</v>
      </c>
      <c r="S57" s="2">
        <f t="shared" si="7"/>
        <v>348.762354365828</v>
      </c>
    </row>
    <row r="58" spans="2:19" x14ac:dyDescent="0.25">
      <c r="B58">
        <v>885</v>
      </c>
      <c r="C58" s="28">
        <v>5</v>
      </c>
      <c r="D58" s="35" t="s">
        <v>114</v>
      </c>
      <c r="E58" s="154">
        <f>INDEX('2019 Data Lockdown'!H$5:H$257,MATCH(B58,'2019 Data Lockdown'!B$5:B$257,0))</f>
        <v>441.47999999999996</v>
      </c>
      <c r="F58" s="7">
        <f>INDEX('2019 Data Lockdown'!E$5:E$257,MATCH(B58,'2019 Data Lockdown'!B$5:B$257,0))</f>
        <v>146152.16</v>
      </c>
      <c r="G58" s="7">
        <f>INDEX('2019 Data Lockdown'!F$5:F$257,MATCH(B58,'2019 Data Lockdown'!B$5:B$257,0))</f>
        <v>0</v>
      </c>
      <c r="H58" s="7">
        <f t="shared" si="2"/>
        <v>146152.16</v>
      </c>
      <c r="I58" s="6">
        <f t="shared" si="3"/>
        <v>331.05046661230409</v>
      </c>
      <c r="J58" s="6">
        <f t="shared" si="4"/>
        <v>331.05046661230409</v>
      </c>
      <c r="K58" s="5">
        <f t="shared" si="5"/>
        <v>146152.16</v>
      </c>
      <c r="L58" s="4">
        <f t="shared" si="0"/>
        <v>0</v>
      </c>
      <c r="M58" s="2" cm="1">
        <f t="array" ref="M58">SUMPRODUCT(--($L$6:$L$300&lt;&gt;1),--($C$6:$C$300=$C58),$H$6:$H$300)/SUMPRODUCT(--($L$6:$L$300&lt;&gt;1),--($C$6:$C$300=$C58),$E$6:$E$300)</f>
        <v>347.94958790604153</v>
      </c>
      <c r="N58" s="1" cm="1">
        <f t="array" ref="N58">SUMPRODUCT(--($L$6:$L$300&lt;&gt;1),--($C$6:$C$300=$C58))</f>
        <v>21</v>
      </c>
      <c r="O58" s="3">
        <f t="shared" si="6"/>
        <v>285.58030050045005</v>
      </c>
      <c r="P58" s="2" cm="1">
        <f t="array" ref="P58">SQRT(SUMPRODUCT(--($L$6:$L$300&lt;&gt;1),--($C$6:$C$300=$C58),$E$6:$E$300,$O$6:$O$300)/((N58-1)*SUMPRODUCT(--($L$6:$L$300&lt;&gt;1),--($C$6:$C$300=$C58),$E$6:$E$300)/N58))</f>
        <v>149.28919006211922</v>
      </c>
      <c r="Q58" s="2">
        <f t="shared" si="1"/>
        <v>156.62779266304722</v>
      </c>
      <c r="R58" s="2">
        <f t="shared" si="1"/>
        <v>539.27138314903584</v>
      </c>
      <c r="S58" s="2">
        <f t="shared" si="7"/>
        <v>331.05046661230409</v>
      </c>
    </row>
    <row r="59" spans="2:19" x14ac:dyDescent="0.25">
      <c r="B59">
        <v>909</v>
      </c>
      <c r="C59" s="28">
        <v>5</v>
      </c>
      <c r="D59" s="35" t="s">
        <v>115</v>
      </c>
      <c r="E59" s="154">
        <f>INDEX('2019 Data Lockdown'!H$5:H$257,MATCH(B59,'2019 Data Lockdown'!B$5:B$257,0))</f>
        <v>447.85999999999996</v>
      </c>
      <c r="F59" s="7">
        <f>INDEX('2019 Data Lockdown'!E$5:E$257,MATCH(B59,'2019 Data Lockdown'!B$5:B$257,0))</f>
        <v>200038.02</v>
      </c>
      <c r="G59" s="7">
        <f>INDEX('2019 Data Lockdown'!F$5:F$257,MATCH(B59,'2019 Data Lockdown'!B$5:B$257,0))</f>
        <v>620.13</v>
      </c>
      <c r="H59" s="7">
        <f t="shared" si="2"/>
        <v>199417.88999999998</v>
      </c>
      <c r="I59" s="6">
        <f t="shared" si="3"/>
        <v>445.26836511409817</v>
      </c>
      <c r="J59" s="6">
        <f t="shared" si="4"/>
        <v>445.26836511409817</v>
      </c>
      <c r="K59" s="5">
        <f t="shared" si="5"/>
        <v>199417.88999999998</v>
      </c>
      <c r="L59" s="4">
        <f t="shared" si="0"/>
        <v>0</v>
      </c>
      <c r="M59" s="2" cm="1">
        <f t="array" ref="M59">SUMPRODUCT(--($L$6:$L$300&lt;&gt;1),--($C$6:$C$300=$C59),$H$6:$H$300)/SUMPRODUCT(--($L$6:$L$300&lt;&gt;1),--($C$6:$C$300=$C59),$E$6:$E$300)</f>
        <v>347.94958790604153</v>
      </c>
      <c r="N59" s="1" cm="1">
        <f t="array" ref="N59">SUMPRODUCT(--($L$6:$L$300&lt;&gt;1),--($C$6:$C$300=$C59))</f>
        <v>21</v>
      </c>
      <c r="O59" s="3">
        <f t="shared" si="6"/>
        <v>9470.9443972713652</v>
      </c>
      <c r="P59" s="2" cm="1">
        <f t="array" ref="P59">SQRT(SUMPRODUCT(--($L$6:$L$300&lt;&gt;1),--($C$6:$C$300=$C59),$E$6:$E$300,$O$6:$O$300)/((N59-1)*SUMPRODUCT(--($L$6:$L$300&lt;&gt;1),--($C$6:$C$300=$C59),$E$6:$E$300)/N59))</f>
        <v>149.28919006211922</v>
      </c>
      <c r="Q59" s="2">
        <f t="shared" si="1"/>
        <v>156.62779266304722</v>
      </c>
      <c r="R59" s="2">
        <f t="shared" si="1"/>
        <v>539.27138314903584</v>
      </c>
      <c r="S59" s="2">
        <f t="shared" si="7"/>
        <v>445.26836511409817</v>
      </c>
    </row>
    <row r="60" spans="2:19" x14ac:dyDescent="0.25">
      <c r="B60">
        <v>923</v>
      </c>
      <c r="C60" s="28">
        <v>5</v>
      </c>
      <c r="D60" s="35" t="s">
        <v>116</v>
      </c>
      <c r="E60" s="154">
        <f>INDEX('2019 Data Lockdown'!H$5:H$257,MATCH(B60,'2019 Data Lockdown'!B$5:B$257,0))</f>
        <v>44.943349148505419</v>
      </c>
      <c r="F60" s="7">
        <f>INDEX('2019 Data Lockdown'!E$5:E$257,MATCH(B60,'2019 Data Lockdown'!B$5:B$257,0))</f>
        <v>31192.39</v>
      </c>
      <c r="G60" s="7">
        <f>INDEX('2019 Data Lockdown'!F$5:F$257,MATCH(B60,'2019 Data Lockdown'!B$5:B$257,0))</f>
        <v>84</v>
      </c>
      <c r="H60" s="7">
        <f t="shared" si="2"/>
        <v>31108.39</v>
      </c>
      <c r="I60" s="6">
        <f t="shared" si="3"/>
        <v>692.16893243111815</v>
      </c>
      <c r="J60" s="6">
        <f t="shared" si="4"/>
        <v>539.27138314903584</v>
      </c>
      <c r="K60" s="5">
        <f t="shared" si="5"/>
        <v>24236.662058664559</v>
      </c>
      <c r="L60" s="4">
        <f t="shared" si="0"/>
        <v>0</v>
      </c>
      <c r="M60" s="2" cm="1">
        <f t="array" ref="M60">SUMPRODUCT(--($L$6:$L$300&lt;&gt;1),--($C$6:$C$300=$C60),$H$6:$H$300)/SUMPRODUCT(--($L$6:$L$300&lt;&gt;1),--($C$6:$C$300=$C60),$E$6:$E$300)</f>
        <v>347.94958790604153</v>
      </c>
      <c r="N60" s="1" cm="1">
        <f t="array" ref="N60">SUMPRODUCT(--($L$6:$L$300&lt;&gt;1),--($C$6:$C$300=$C60))</f>
        <v>21</v>
      </c>
      <c r="O60" s="3">
        <f t="shared" si="6"/>
        <v>118486.95714527339</v>
      </c>
      <c r="P60" s="2" cm="1">
        <f t="array" ref="P60">SQRT(SUMPRODUCT(--($L$6:$L$300&lt;&gt;1),--($C$6:$C$300=$C60),$E$6:$E$300,$O$6:$O$300)/((N60-1)*SUMPRODUCT(--($L$6:$L$300&lt;&gt;1),--($C$6:$C$300=$C60),$E$6:$E$300)/N60))</f>
        <v>149.28919006211922</v>
      </c>
      <c r="Q60" s="2">
        <f t="shared" si="1"/>
        <v>156.62779266304722</v>
      </c>
      <c r="R60" s="2">
        <f t="shared" si="1"/>
        <v>539.27138314903584</v>
      </c>
      <c r="S60" s="2">
        <f t="shared" si="7"/>
        <v>539.27138314903584</v>
      </c>
    </row>
    <row r="61" spans="2:19" x14ac:dyDescent="0.25">
      <c r="B61">
        <v>394</v>
      </c>
      <c r="C61" s="28">
        <v>6</v>
      </c>
      <c r="D61" s="35" t="s">
        <v>117</v>
      </c>
      <c r="E61" s="154">
        <f>INDEX('2019 Data Lockdown'!H$5:H$257,MATCH(B61,'2019 Data Lockdown'!B$5:B$257,0))</f>
        <v>594.22</v>
      </c>
      <c r="F61" s="7">
        <f>INDEX('2019 Data Lockdown'!E$5:E$257,MATCH(B61,'2019 Data Lockdown'!B$5:B$257,0))</f>
        <v>421357.69</v>
      </c>
      <c r="G61" s="7">
        <f>INDEX('2019 Data Lockdown'!F$5:F$257,MATCH(B61,'2019 Data Lockdown'!B$5:B$257,0))</f>
        <v>25617.809999999998</v>
      </c>
      <c r="H61" s="7">
        <f t="shared" si="2"/>
        <v>395739.88</v>
      </c>
      <c r="I61" s="6">
        <f t="shared" si="3"/>
        <v>665.982094173875</v>
      </c>
      <c r="J61" s="6">
        <f t="shared" si="4"/>
        <v>665.982094173875</v>
      </c>
      <c r="K61" s="5">
        <f t="shared" si="5"/>
        <v>395739.88</v>
      </c>
      <c r="L61" s="4">
        <f t="shared" si="0"/>
        <v>0</v>
      </c>
      <c r="M61" s="2" cm="1">
        <f t="array" ref="M61">SUMPRODUCT(--($L$6:$L$300&lt;&gt;1),--($C$6:$C$300=$C61),$H$6:$H$300)/SUMPRODUCT(--($L$6:$L$300&lt;&gt;1),--($C$6:$C$300=$C61),$E$6:$E$300)</f>
        <v>815.46704246978834</v>
      </c>
      <c r="N61" s="1" cm="1">
        <f t="array" ref="N61">SUMPRODUCT(--($L$6:$L$300&lt;&gt;1),--($C$6:$C$300=$C61))</f>
        <v>49</v>
      </c>
      <c r="O61" s="3">
        <f t="shared" si="6"/>
        <v>22345.749767031884</v>
      </c>
      <c r="P61" s="2" cm="1">
        <f t="array" ref="P61">SQRT(SUMPRODUCT(--($L$6:$L$300&lt;&gt;1),--($C$6:$C$300=$C61),$E$6:$E$300,$O$6:$O$300)/((N61-1)*SUMPRODUCT(--($L$6:$L$300&lt;&gt;1),--($C$6:$C$300=$C61),$E$6:$E$300)/N61))</f>
        <v>551.67127750155043</v>
      </c>
      <c r="Q61" s="2">
        <f t="shared" si="1"/>
        <v>108.47185312168654</v>
      </c>
      <c r="R61" s="2">
        <f t="shared" si="1"/>
        <v>1522.4622318178901</v>
      </c>
      <c r="S61" s="2">
        <f t="shared" si="7"/>
        <v>665.982094173875</v>
      </c>
    </row>
    <row r="62" spans="2:19" x14ac:dyDescent="0.25">
      <c r="B62">
        <v>414</v>
      </c>
      <c r="C62" s="28">
        <v>6</v>
      </c>
      <c r="D62" s="35" t="s">
        <v>118</v>
      </c>
      <c r="E62" s="154">
        <f>INDEX('2019 Data Lockdown'!H$5:H$257,MATCH(B62,'2019 Data Lockdown'!B$5:B$257,0))</f>
        <v>165.57466674439706</v>
      </c>
      <c r="F62" s="7">
        <f>INDEX('2019 Data Lockdown'!E$5:E$257,MATCH(B62,'2019 Data Lockdown'!B$5:B$257,0))</f>
        <v>222802.48</v>
      </c>
      <c r="G62" s="7">
        <f>INDEX('2019 Data Lockdown'!F$5:F$257,MATCH(B62,'2019 Data Lockdown'!B$5:B$257,0))</f>
        <v>11641.15</v>
      </c>
      <c r="H62" s="7">
        <f t="shared" si="2"/>
        <v>211161.33000000002</v>
      </c>
      <c r="I62" s="6">
        <f t="shared" si="3"/>
        <v>1275.3239016085506</v>
      </c>
      <c r="J62" s="6">
        <f t="shared" si="4"/>
        <v>1275.3239016085506</v>
      </c>
      <c r="K62" s="5">
        <f t="shared" si="5"/>
        <v>211161.33</v>
      </c>
      <c r="L62" s="4">
        <f t="shared" si="0"/>
        <v>0</v>
      </c>
      <c r="M62" s="2" cm="1">
        <f t="array" ref="M62">SUMPRODUCT(--($L$6:$L$300&lt;&gt;1),--($C$6:$C$300=$C62),$H$6:$H$300)/SUMPRODUCT(--($L$6:$L$300&lt;&gt;1),--($C$6:$C$300=$C62),$E$6:$E$300)</f>
        <v>815.46704246978834</v>
      </c>
      <c r="N62" s="1" cm="1">
        <f t="array" ref="N62">SUMPRODUCT(--($L$6:$L$300&lt;&gt;1),--($C$6:$C$300=$C62))</f>
        <v>49</v>
      </c>
      <c r="O62" s="3">
        <f t="shared" si="6"/>
        <v>211468.33089696744</v>
      </c>
      <c r="P62" s="2" cm="1">
        <f t="array" ref="P62">SQRT(SUMPRODUCT(--($L$6:$L$300&lt;&gt;1),--($C$6:$C$300=$C62),$E$6:$E$300,$O$6:$O$300)/((N62-1)*SUMPRODUCT(--($L$6:$L$300&lt;&gt;1),--($C$6:$C$300=$C62),$E$6:$E$300)/N62))</f>
        <v>551.67127750155043</v>
      </c>
      <c r="Q62" s="2">
        <f t="shared" si="1"/>
        <v>108.47185312168654</v>
      </c>
      <c r="R62" s="2">
        <f t="shared" si="1"/>
        <v>1522.4622318178901</v>
      </c>
      <c r="S62" s="2">
        <f t="shared" si="7"/>
        <v>1275.3239016085506</v>
      </c>
    </row>
    <row r="63" spans="2:19" x14ac:dyDescent="0.25">
      <c r="B63">
        <v>426</v>
      </c>
      <c r="C63" s="28">
        <v>6</v>
      </c>
      <c r="D63" s="35" t="s">
        <v>119</v>
      </c>
      <c r="E63" s="154">
        <f>INDEX('2019 Data Lockdown'!H$5:H$257,MATCH(B63,'2019 Data Lockdown'!B$5:B$257,0))</f>
        <v>463.46518252947482</v>
      </c>
      <c r="F63" s="7">
        <f>INDEX('2019 Data Lockdown'!E$5:E$257,MATCH(B63,'2019 Data Lockdown'!B$5:B$257,0))</f>
        <v>170973.35</v>
      </c>
      <c r="G63" s="7">
        <f>INDEX('2019 Data Lockdown'!F$5:F$257,MATCH(B63,'2019 Data Lockdown'!B$5:B$257,0))</f>
        <v>420</v>
      </c>
      <c r="H63" s="7">
        <f t="shared" si="2"/>
        <v>170553.35</v>
      </c>
      <c r="I63" s="6">
        <f t="shared" si="3"/>
        <v>367.9960360110835</v>
      </c>
      <c r="J63" s="6">
        <f t="shared" si="4"/>
        <v>367.9960360110835</v>
      </c>
      <c r="K63" s="5">
        <f t="shared" si="5"/>
        <v>170553.35</v>
      </c>
      <c r="L63" s="4">
        <f t="shared" si="0"/>
        <v>0</v>
      </c>
      <c r="M63" s="2" cm="1">
        <f t="array" ref="M63">SUMPRODUCT(--($L$6:$L$300&lt;&gt;1),--($C$6:$C$300=$C63),$H$6:$H$300)/SUMPRODUCT(--($L$6:$L$300&lt;&gt;1),--($C$6:$C$300=$C63),$E$6:$E$300)</f>
        <v>815.46704246978834</v>
      </c>
      <c r="N63" s="1" cm="1">
        <f t="array" ref="N63">SUMPRODUCT(--($L$6:$L$300&lt;&gt;1),--($C$6:$C$300=$C63))</f>
        <v>49</v>
      </c>
      <c r="O63" s="3">
        <f t="shared" si="6"/>
        <v>200230.30162116626</v>
      </c>
      <c r="P63" s="2" cm="1">
        <f t="array" ref="P63">SQRT(SUMPRODUCT(--($L$6:$L$300&lt;&gt;1),--($C$6:$C$300=$C63),$E$6:$E$300,$O$6:$O$300)/((N63-1)*SUMPRODUCT(--($L$6:$L$300&lt;&gt;1),--($C$6:$C$300=$C63),$E$6:$E$300)/N63))</f>
        <v>551.67127750155043</v>
      </c>
      <c r="Q63" s="2">
        <f t="shared" si="1"/>
        <v>108.47185312168654</v>
      </c>
      <c r="R63" s="2">
        <f t="shared" si="1"/>
        <v>1522.4622318178901</v>
      </c>
      <c r="S63" s="2">
        <f t="shared" si="7"/>
        <v>367.9960360110835</v>
      </c>
    </row>
    <row r="64" spans="2:19" x14ac:dyDescent="0.25">
      <c r="B64">
        <v>430</v>
      </c>
      <c r="C64" s="28">
        <v>6</v>
      </c>
      <c r="D64" s="35" t="s">
        <v>120</v>
      </c>
      <c r="E64" s="154">
        <f>INDEX('2019 Data Lockdown'!H$5:H$257,MATCH(B64,'2019 Data Lockdown'!B$5:B$257,0))</f>
        <v>2460.6196060451061</v>
      </c>
      <c r="F64" s="7">
        <f>INDEX('2019 Data Lockdown'!E$5:E$257,MATCH(B64,'2019 Data Lockdown'!B$5:B$257,0))</f>
        <v>1748413.46</v>
      </c>
      <c r="G64" s="7">
        <f>INDEX('2019 Data Lockdown'!F$5:F$257,MATCH(B64,'2019 Data Lockdown'!B$5:B$257,0))</f>
        <v>480</v>
      </c>
      <c r="H64" s="7">
        <f t="shared" si="2"/>
        <v>1747933.46</v>
      </c>
      <c r="I64" s="6">
        <f t="shared" si="3"/>
        <v>710.36313605962471</v>
      </c>
      <c r="J64" s="6">
        <f t="shared" si="4"/>
        <v>710.36313605962471</v>
      </c>
      <c r="K64" s="5">
        <f t="shared" si="5"/>
        <v>1747933.46</v>
      </c>
      <c r="L64" s="4">
        <f t="shared" si="0"/>
        <v>0</v>
      </c>
      <c r="M64" s="2" cm="1">
        <f t="array" ref="M64">SUMPRODUCT(--($L$6:$L$300&lt;&gt;1),--($C$6:$C$300=$C64),$H$6:$H$300)/SUMPRODUCT(--($L$6:$L$300&lt;&gt;1),--($C$6:$C$300=$C64),$E$6:$E$300)</f>
        <v>815.46704246978834</v>
      </c>
      <c r="N64" s="1" cm="1">
        <f t="array" ref="N64">SUMPRODUCT(--($L$6:$L$300&lt;&gt;1),--($C$6:$C$300=$C64))</f>
        <v>49</v>
      </c>
      <c r="O64" s="3">
        <f t="shared" si="6"/>
        <v>11046.831142676436</v>
      </c>
      <c r="P64" s="2" cm="1">
        <f t="array" ref="P64">SQRT(SUMPRODUCT(--($L$6:$L$300&lt;&gt;1),--($C$6:$C$300=$C64),$E$6:$E$300,$O$6:$O$300)/((N64-1)*SUMPRODUCT(--($L$6:$L$300&lt;&gt;1),--($C$6:$C$300=$C64),$E$6:$E$300)/N64))</f>
        <v>551.67127750155043</v>
      </c>
      <c r="Q64" s="2">
        <f t="shared" si="1"/>
        <v>108.47185312168654</v>
      </c>
      <c r="R64" s="2">
        <f t="shared" si="1"/>
        <v>1522.4622318178901</v>
      </c>
      <c r="S64" s="2">
        <f t="shared" si="7"/>
        <v>710.36313605962471</v>
      </c>
    </row>
    <row r="65" spans="2:19" x14ac:dyDescent="0.25">
      <c r="B65">
        <v>443</v>
      </c>
      <c r="C65" s="28">
        <v>6</v>
      </c>
      <c r="D65" s="35" t="s">
        <v>121</v>
      </c>
      <c r="E65" s="154">
        <f>INDEX('2019 Data Lockdown'!H$5:H$257,MATCH(B65,'2019 Data Lockdown'!B$5:B$257,0))</f>
        <v>15.06</v>
      </c>
      <c r="F65" s="7">
        <f>INDEX('2019 Data Lockdown'!E$5:E$257,MATCH(B65,'2019 Data Lockdown'!B$5:B$257,0))</f>
        <v>15830.2</v>
      </c>
      <c r="G65" s="7">
        <f>INDEX('2019 Data Lockdown'!F$5:F$257,MATCH(B65,'2019 Data Lockdown'!B$5:B$257,0))</f>
        <v>0</v>
      </c>
      <c r="H65" s="7">
        <f t="shared" si="2"/>
        <v>15830.2</v>
      </c>
      <c r="I65" s="6">
        <f t="shared" si="3"/>
        <v>1051.1420982735724</v>
      </c>
      <c r="J65" s="6">
        <f t="shared" si="4"/>
        <v>1051.1420982735724</v>
      </c>
      <c r="K65" s="5">
        <f t="shared" si="5"/>
        <v>15830.2</v>
      </c>
      <c r="L65" s="4">
        <f t="shared" si="0"/>
        <v>0</v>
      </c>
      <c r="M65" s="2" cm="1">
        <f t="array" ref="M65">SUMPRODUCT(--($L$6:$L$300&lt;&gt;1),--($C$6:$C$300=$C65),$H$6:$H$300)/SUMPRODUCT(--($L$6:$L$300&lt;&gt;1),--($C$6:$C$300=$C65),$E$6:$E$300)</f>
        <v>815.46704246978834</v>
      </c>
      <c r="N65" s="1" cm="1">
        <f t="array" ref="N65">SUMPRODUCT(--($L$6:$L$300&lt;&gt;1),--($C$6:$C$300=$C65))</f>
        <v>49</v>
      </c>
      <c r="O65" s="3">
        <f t="shared" si="6"/>
        <v>55542.731928116729</v>
      </c>
      <c r="P65" s="2" cm="1">
        <f t="array" ref="P65">SQRT(SUMPRODUCT(--($L$6:$L$300&lt;&gt;1),--($C$6:$C$300=$C65),$E$6:$E$300,$O$6:$O$300)/((N65-1)*SUMPRODUCT(--($L$6:$L$300&lt;&gt;1),--($C$6:$C$300=$C65),$E$6:$E$300)/N65))</f>
        <v>551.67127750155043</v>
      </c>
      <c r="Q65" s="2">
        <f t="shared" si="1"/>
        <v>108.47185312168654</v>
      </c>
      <c r="R65" s="2">
        <f t="shared" si="1"/>
        <v>1522.4622318178901</v>
      </c>
      <c r="S65" s="2">
        <f t="shared" si="7"/>
        <v>1051.1420982735724</v>
      </c>
    </row>
    <row r="66" spans="2:19" x14ac:dyDescent="0.25">
      <c r="B66">
        <v>562</v>
      </c>
      <c r="C66" s="28">
        <v>6</v>
      </c>
      <c r="D66" s="35" t="s">
        <v>122</v>
      </c>
      <c r="E66" s="154">
        <f>INDEX('2019 Data Lockdown'!H$5:H$257,MATCH(B66,'2019 Data Lockdown'!B$5:B$257,0))</f>
        <v>81.472925896153384</v>
      </c>
      <c r="F66" s="7">
        <f>INDEX('2019 Data Lockdown'!E$5:E$257,MATCH(B66,'2019 Data Lockdown'!B$5:B$257,0))</f>
        <v>48863.76</v>
      </c>
      <c r="G66" s="7">
        <f>INDEX('2019 Data Lockdown'!F$5:F$257,MATCH(B66,'2019 Data Lockdown'!B$5:B$257,0))</f>
        <v>0</v>
      </c>
      <c r="H66" s="7">
        <f t="shared" si="2"/>
        <v>48863.76</v>
      </c>
      <c r="I66" s="6">
        <f t="shared" si="3"/>
        <v>599.75457444946176</v>
      </c>
      <c r="J66" s="6">
        <f t="shared" si="4"/>
        <v>599.75457444946176</v>
      </c>
      <c r="K66" s="5">
        <f t="shared" si="5"/>
        <v>48863.760000000009</v>
      </c>
      <c r="L66" s="4">
        <f t="shared" si="0"/>
        <v>0</v>
      </c>
      <c r="M66" s="2" cm="1">
        <f t="array" ref="M66">SUMPRODUCT(--($L$6:$L$300&lt;&gt;1),--($C$6:$C$300=$C66),$H$6:$H$300)/SUMPRODUCT(--($L$6:$L$300&lt;&gt;1),--($C$6:$C$300=$C66),$E$6:$E$300)</f>
        <v>815.46704246978834</v>
      </c>
      <c r="N66" s="1" cm="1">
        <f t="array" ref="N66">SUMPRODUCT(--($L$6:$L$300&lt;&gt;1),--($C$6:$C$300=$C66))</f>
        <v>49</v>
      </c>
      <c r="O66" s="3">
        <f t="shared" si="6"/>
        <v>46531.868859420421</v>
      </c>
      <c r="P66" s="2" cm="1">
        <f t="array" ref="P66">SQRT(SUMPRODUCT(--($L$6:$L$300&lt;&gt;1),--($C$6:$C$300=$C66),$E$6:$E$300,$O$6:$O$300)/((N66-1)*SUMPRODUCT(--($L$6:$L$300&lt;&gt;1),--($C$6:$C$300=$C66),$E$6:$E$300)/N66))</f>
        <v>551.67127750155043</v>
      </c>
      <c r="Q66" s="2">
        <f t="shared" si="1"/>
        <v>108.47185312168654</v>
      </c>
      <c r="R66" s="2">
        <f t="shared" si="1"/>
        <v>1522.4622318178901</v>
      </c>
      <c r="S66" s="2">
        <f t="shared" si="7"/>
        <v>599.75457444946176</v>
      </c>
    </row>
    <row r="67" spans="2:19" x14ac:dyDescent="0.25">
      <c r="B67">
        <v>603</v>
      </c>
      <c r="C67" s="28">
        <v>6</v>
      </c>
      <c r="D67" s="35" t="s">
        <v>123</v>
      </c>
      <c r="E67" s="154">
        <f>INDEX('2019 Data Lockdown'!H$5:H$257,MATCH(B67,'2019 Data Lockdown'!B$5:B$257,0))</f>
        <v>97.242711867752604</v>
      </c>
      <c r="F67" s="7">
        <f>INDEX('2019 Data Lockdown'!E$5:E$257,MATCH(B67,'2019 Data Lockdown'!B$5:B$257,0))</f>
        <v>86512.44</v>
      </c>
      <c r="G67" s="7">
        <f>INDEX('2019 Data Lockdown'!F$5:F$257,MATCH(B67,'2019 Data Lockdown'!B$5:B$257,0))</f>
        <v>0</v>
      </c>
      <c r="H67" s="7">
        <f t="shared" si="2"/>
        <v>86512.44</v>
      </c>
      <c r="I67" s="6">
        <f t="shared" si="3"/>
        <v>889.65474469340722</v>
      </c>
      <c r="J67" s="6">
        <f t="shared" si="4"/>
        <v>889.65474469340722</v>
      </c>
      <c r="K67" s="5">
        <f t="shared" si="5"/>
        <v>86512.44</v>
      </c>
      <c r="L67" s="4">
        <f t="shared" si="0"/>
        <v>0</v>
      </c>
      <c r="M67" s="2" cm="1">
        <f t="array" ref="M67">SUMPRODUCT(--($L$6:$L$300&lt;&gt;1),--($C$6:$C$300=$C67),$H$6:$H$300)/SUMPRODUCT(--($L$6:$L$300&lt;&gt;1),--($C$6:$C$300=$C67),$E$6:$E$300)</f>
        <v>815.46704246978834</v>
      </c>
      <c r="N67" s="1" cm="1">
        <f t="array" ref="N67">SUMPRODUCT(--($L$6:$L$300&lt;&gt;1),--($C$6:$C$300=$C67))</f>
        <v>49</v>
      </c>
      <c r="O67" s="3">
        <f t="shared" si="6"/>
        <v>5503.8151612203465</v>
      </c>
      <c r="P67" s="2" cm="1">
        <f t="array" ref="P67">SQRT(SUMPRODUCT(--($L$6:$L$300&lt;&gt;1),--($C$6:$C$300=$C67),$E$6:$E$300,$O$6:$O$300)/((N67-1)*SUMPRODUCT(--($L$6:$L$300&lt;&gt;1),--($C$6:$C$300=$C67),$E$6:$E$300)/N67))</f>
        <v>551.67127750155043</v>
      </c>
      <c r="Q67" s="2">
        <f t="shared" si="1"/>
        <v>108.47185312168654</v>
      </c>
      <c r="R67" s="2">
        <f t="shared" si="1"/>
        <v>1522.4622318178901</v>
      </c>
      <c r="S67" s="2">
        <f t="shared" si="7"/>
        <v>889.65474469340722</v>
      </c>
    </row>
    <row r="68" spans="2:19" x14ac:dyDescent="0.25">
      <c r="B68">
        <v>618</v>
      </c>
      <c r="C68" s="28">
        <v>6</v>
      </c>
      <c r="D68" s="35" t="s">
        <v>124</v>
      </c>
      <c r="E68" s="154">
        <f>INDEX('2019 Data Lockdown'!H$5:H$257,MATCH(B68,'2019 Data Lockdown'!B$5:B$257,0))</f>
        <v>17.61132857645476</v>
      </c>
      <c r="F68" s="7">
        <f>INDEX('2019 Data Lockdown'!E$5:E$257,MATCH(B68,'2019 Data Lockdown'!B$5:B$257,0))</f>
        <v>17288.669999999998</v>
      </c>
      <c r="G68" s="7">
        <f>INDEX('2019 Data Lockdown'!F$5:F$257,MATCH(B68,'2019 Data Lockdown'!B$5:B$257,0))</f>
        <v>16785.12</v>
      </c>
      <c r="H68" s="7">
        <f t="shared" si="2"/>
        <v>503.54999999999927</v>
      </c>
      <c r="I68" s="6">
        <f t="shared" si="3"/>
        <v>28.592391415217474</v>
      </c>
      <c r="J68" s="6">
        <f t="shared" si="4"/>
        <v>28.592391415217474</v>
      </c>
      <c r="K68" s="5">
        <f t="shared" si="5"/>
        <v>503.54999999999927</v>
      </c>
      <c r="L68" s="4">
        <f t="shared" si="0"/>
        <v>0</v>
      </c>
      <c r="M68" s="2" cm="1">
        <f t="array" ref="M68">SUMPRODUCT(--($L$6:$L$300&lt;&gt;1),--($C$6:$C$300=$C68),$H$6:$H$300)/SUMPRODUCT(--($L$6:$L$300&lt;&gt;1),--($C$6:$C$300=$C68),$E$6:$E$300)</f>
        <v>815.46704246978834</v>
      </c>
      <c r="N68" s="1" cm="1">
        <f t="array" ref="N68">SUMPRODUCT(--($L$6:$L$300&lt;&gt;1),--($C$6:$C$300=$C68))</f>
        <v>49</v>
      </c>
      <c r="O68" s="3">
        <f t="shared" si="6"/>
        <v>619171.71647225274</v>
      </c>
      <c r="P68" s="2" cm="1">
        <f t="array" ref="P68">SQRT(SUMPRODUCT(--($L$6:$L$300&lt;&gt;1),--($C$6:$C$300=$C68),$E$6:$E$300,$O$6:$O$300)/((N68-1)*SUMPRODUCT(--($L$6:$L$300&lt;&gt;1),--($C$6:$C$300=$C68),$E$6:$E$300)/N68))</f>
        <v>551.67127750155043</v>
      </c>
      <c r="Q68" s="2">
        <f t="shared" si="1"/>
        <v>108.47185312168654</v>
      </c>
      <c r="R68" s="2">
        <f t="shared" si="1"/>
        <v>1522.4622318178901</v>
      </c>
      <c r="S68" s="2">
        <f t="shared" si="7"/>
        <v>28.592391415217474</v>
      </c>
    </row>
    <row r="69" spans="2:19" x14ac:dyDescent="0.25">
      <c r="B69">
        <v>620</v>
      </c>
      <c r="C69" s="28">
        <v>6</v>
      </c>
      <c r="D69" s="35" t="s">
        <v>125</v>
      </c>
      <c r="E69" s="154">
        <f>INDEX('2019 Data Lockdown'!H$5:H$257,MATCH(B69,'2019 Data Lockdown'!B$5:B$257,0))</f>
        <v>235.76910512683102</v>
      </c>
      <c r="F69" s="7">
        <f>INDEX('2019 Data Lockdown'!E$5:E$257,MATCH(B69,'2019 Data Lockdown'!B$5:B$257,0))</f>
        <v>122866.55</v>
      </c>
      <c r="G69" s="7">
        <f>INDEX('2019 Data Lockdown'!F$5:F$257,MATCH(B69,'2019 Data Lockdown'!B$5:B$257,0))</f>
        <v>0</v>
      </c>
      <c r="H69" s="7">
        <f t="shared" si="2"/>
        <v>122866.55</v>
      </c>
      <c r="I69" s="6">
        <f t="shared" si="3"/>
        <v>521.13083236204523</v>
      </c>
      <c r="J69" s="6">
        <f t="shared" si="4"/>
        <v>521.13083236204523</v>
      </c>
      <c r="K69" s="5">
        <f t="shared" si="5"/>
        <v>122866.54999999999</v>
      </c>
      <c r="L69" s="4">
        <f t="shared" si="0"/>
        <v>0</v>
      </c>
      <c r="M69" s="2" cm="1">
        <f t="array" ref="M69">SUMPRODUCT(--($L$6:$L$300&lt;&gt;1),--($C$6:$C$300=$C69),$H$6:$H$300)/SUMPRODUCT(--($L$6:$L$300&lt;&gt;1),--($C$6:$C$300=$C69),$E$6:$E$300)</f>
        <v>815.46704246978834</v>
      </c>
      <c r="N69" s="1" cm="1">
        <f t="array" ref="N69">SUMPRODUCT(--($L$6:$L$300&lt;&gt;1),--($C$6:$C$300=$C69))</f>
        <v>49</v>
      </c>
      <c r="O69" s="3">
        <f t="shared" si="6"/>
        <v>86633.804580589494</v>
      </c>
      <c r="P69" s="2" cm="1">
        <f t="array" ref="P69">SQRT(SUMPRODUCT(--($L$6:$L$300&lt;&gt;1),--($C$6:$C$300=$C69),$E$6:$E$300,$O$6:$O$300)/((N69-1)*SUMPRODUCT(--($L$6:$L$300&lt;&gt;1),--($C$6:$C$300=$C69),$E$6:$E$300)/N69))</f>
        <v>551.67127750155043</v>
      </c>
      <c r="Q69" s="2">
        <f t="shared" si="1"/>
        <v>108.47185312168654</v>
      </c>
      <c r="R69" s="2">
        <f t="shared" si="1"/>
        <v>1522.4622318178901</v>
      </c>
      <c r="S69" s="2">
        <f t="shared" si="7"/>
        <v>521.13083236204523</v>
      </c>
    </row>
    <row r="70" spans="2:19" x14ac:dyDescent="0.25">
      <c r="B70">
        <v>622</v>
      </c>
      <c r="C70" s="28">
        <v>6</v>
      </c>
      <c r="D70" s="35" t="s">
        <v>126</v>
      </c>
      <c r="E70" s="154">
        <f>INDEX('2019 Data Lockdown'!H$5:H$257,MATCH(B70,'2019 Data Lockdown'!B$5:B$257,0))</f>
        <v>122.59818725735381</v>
      </c>
      <c r="F70" s="7">
        <f>INDEX('2019 Data Lockdown'!E$5:E$257,MATCH(B70,'2019 Data Lockdown'!B$5:B$257,0))</f>
        <v>83536.710000000006</v>
      </c>
      <c r="G70" s="7">
        <f>INDEX('2019 Data Lockdown'!F$5:F$257,MATCH(B70,'2019 Data Lockdown'!B$5:B$257,0))</f>
        <v>396</v>
      </c>
      <c r="H70" s="7">
        <f t="shared" si="2"/>
        <v>83140.710000000006</v>
      </c>
      <c r="I70" s="6">
        <f t="shared" si="3"/>
        <v>678.15611192907727</v>
      </c>
      <c r="J70" s="6">
        <f t="shared" si="4"/>
        <v>678.15611192907727</v>
      </c>
      <c r="K70" s="5">
        <f t="shared" si="5"/>
        <v>83140.710000000006</v>
      </c>
      <c r="L70" s="4">
        <f t="shared" ref="L70:L132" si="8">IF(ISERROR(I70),1,0)</f>
        <v>0</v>
      </c>
      <c r="M70" s="2" cm="1">
        <f t="array" ref="M70">SUMPRODUCT(--($L$6:$L$300&lt;&gt;1),--($C$6:$C$300=$C70),$H$6:$H$300)/SUMPRODUCT(--($L$6:$L$300&lt;&gt;1),--($C$6:$C$300=$C70),$E$6:$E$300)</f>
        <v>815.46704246978834</v>
      </c>
      <c r="N70" s="1" cm="1">
        <f t="array" ref="N70">SUMPRODUCT(--($L$6:$L$300&lt;&gt;1),--($C$6:$C$300=$C70))</f>
        <v>49</v>
      </c>
      <c r="O70" s="3">
        <f t="shared" si="6"/>
        <v>18854.291645955978</v>
      </c>
      <c r="P70" s="2" cm="1">
        <f t="array" ref="P70">SQRT(SUMPRODUCT(--($L$6:$L$300&lt;&gt;1),--($C$6:$C$300=$C70),$E$6:$E$300,$O$6:$O$300)/((N70-1)*SUMPRODUCT(--($L$6:$L$300&lt;&gt;1),--($C$6:$C$300=$C70),$E$6:$E$300)/N70))</f>
        <v>551.67127750155043</v>
      </c>
      <c r="Q70" s="2">
        <f t="shared" si="1"/>
        <v>108.47185312168654</v>
      </c>
      <c r="R70" s="2">
        <f t="shared" si="1"/>
        <v>1522.4622318178901</v>
      </c>
      <c r="S70" s="2">
        <f t="shared" si="7"/>
        <v>678.15611192907727</v>
      </c>
    </row>
    <row r="71" spans="2:19" x14ac:dyDescent="0.25">
      <c r="B71">
        <v>623</v>
      </c>
      <c r="C71" s="28">
        <v>6</v>
      </c>
      <c r="D71" s="35" t="s">
        <v>127</v>
      </c>
      <c r="E71" s="154">
        <f>INDEX('2019 Data Lockdown'!H$5:H$257,MATCH(B71,'2019 Data Lockdown'!B$5:B$257,0))</f>
        <v>230.09002718232705</v>
      </c>
      <c r="F71" s="7">
        <f>INDEX('2019 Data Lockdown'!E$5:E$257,MATCH(B71,'2019 Data Lockdown'!B$5:B$257,0))</f>
        <v>79811.240000000005</v>
      </c>
      <c r="G71" s="7">
        <f>INDEX('2019 Data Lockdown'!F$5:F$257,MATCH(B71,'2019 Data Lockdown'!B$5:B$257,0))</f>
        <v>0</v>
      </c>
      <c r="H71" s="7">
        <f t="shared" ref="H71:H133" si="9">F71-G71</f>
        <v>79811.240000000005</v>
      </c>
      <c r="I71" s="6">
        <f t="shared" ref="I71:I133" si="10">H71/E71</f>
        <v>346.86961871996431</v>
      </c>
      <c r="J71" s="6">
        <f t="shared" ref="J71:J133" si="11">IF(ISERROR(IF($J$2=1,MAX(MIN(I71,R71),Q71),MIN(I71,R71))),R71,IF($J$2=1,MAX(MIN(I71,R71),Q71),MIN(I71,R71)))</f>
        <v>346.86961871996431</v>
      </c>
      <c r="K71" s="5">
        <f t="shared" ref="K71:K133" si="12">J71*E71</f>
        <v>79811.240000000005</v>
      </c>
      <c r="L71" s="4">
        <f t="shared" si="8"/>
        <v>0</v>
      </c>
      <c r="M71" s="2" cm="1">
        <f t="array" ref="M71">SUMPRODUCT(--($L$6:$L$300&lt;&gt;1),--($C$6:$C$300=$C71),$H$6:$H$300)/SUMPRODUCT(--($L$6:$L$300&lt;&gt;1),--($C$6:$C$300=$C71),$E$6:$E$300)</f>
        <v>815.46704246978834</v>
      </c>
      <c r="N71" s="1" cm="1">
        <f t="array" ref="N71">SUMPRODUCT(--($L$6:$L$300&lt;&gt;1),--($C$6:$C$300=$C71))</f>
        <v>49</v>
      </c>
      <c r="O71" s="3">
        <f t="shared" ref="O71:O134" si="13">IF(ISERROR((I71-M71)^2),0,(I71-M71)^2)</f>
        <v>219583.54554497215</v>
      </c>
      <c r="P71" s="2" cm="1">
        <f t="array" ref="P71">SQRT(SUMPRODUCT(--($L$6:$L$300&lt;&gt;1),--($C$6:$C$300=$C71),$E$6:$E$300,$O$6:$O$300)/((N71-1)*SUMPRODUCT(--($L$6:$L$300&lt;&gt;1),--($C$6:$C$300=$C71),$E$6:$E$300)/N71))</f>
        <v>551.67127750155043</v>
      </c>
      <c r="Q71" s="2">
        <f t="shared" si="1"/>
        <v>108.47185312168654</v>
      </c>
      <c r="R71" s="2">
        <f t="shared" si="1"/>
        <v>1522.4622318178901</v>
      </c>
      <c r="S71" s="2">
        <f t="shared" ref="S71:S134" si="14">IF($J$2=1,MAX(MIN(I71,R71),Q71),MIN(R71,I71))</f>
        <v>346.86961871996431</v>
      </c>
    </row>
    <row r="72" spans="2:19" x14ac:dyDescent="0.25">
      <c r="B72">
        <v>626</v>
      </c>
      <c r="C72" s="28">
        <v>6</v>
      </c>
      <c r="D72" s="35" t="s">
        <v>128</v>
      </c>
      <c r="E72" s="154">
        <f>INDEX('2019 Data Lockdown'!H$5:H$257,MATCH(B72,'2019 Data Lockdown'!B$5:B$257,0))</f>
        <v>21.510599845182803</v>
      </c>
      <c r="F72" s="7">
        <f>INDEX('2019 Data Lockdown'!E$5:E$257,MATCH(B72,'2019 Data Lockdown'!B$5:B$257,0))</f>
        <v>17900.14</v>
      </c>
      <c r="G72" s="7">
        <f>INDEX('2019 Data Lockdown'!F$5:F$257,MATCH(B72,'2019 Data Lockdown'!B$5:B$257,0))</f>
        <v>0</v>
      </c>
      <c r="H72" s="7">
        <f t="shared" si="9"/>
        <v>17900.14</v>
      </c>
      <c r="I72" s="6">
        <f t="shared" si="10"/>
        <v>832.15438569039497</v>
      </c>
      <c r="J72" s="6">
        <f t="shared" si="11"/>
        <v>832.15438569039497</v>
      </c>
      <c r="K72" s="5">
        <f t="shared" si="12"/>
        <v>17900.14</v>
      </c>
      <c r="L72" s="4">
        <f t="shared" si="8"/>
        <v>0</v>
      </c>
      <c r="M72" s="2" cm="1">
        <f t="array" ref="M72">SUMPRODUCT(--($L$6:$L$300&lt;&gt;1),--($C$6:$C$300=$C72),$H$6:$H$300)/SUMPRODUCT(--($L$6:$L$300&lt;&gt;1),--($C$6:$C$300=$C72),$E$6:$E$300)</f>
        <v>815.46704246978834</v>
      </c>
      <c r="N72" s="1" cm="1">
        <f t="array" ref="N72">SUMPRODUCT(--($L$6:$L$300&lt;&gt;1),--($C$6:$C$300=$C72))</f>
        <v>49</v>
      </c>
      <c r="O72" s="3">
        <f t="shared" si="13"/>
        <v>278.46742376232623</v>
      </c>
      <c r="P72" s="2" cm="1">
        <f t="array" ref="P72">SQRT(SUMPRODUCT(--($L$6:$L$300&lt;&gt;1),--($C$6:$C$300=$C72),$E$6:$E$300,$O$6:$O$300)/((N72-1)*SUMPRODUCT(--($L$6:$L$300&lt;&gt;1),--($C$6:$C$300=$C72),$E$6:$E$300)/N72))</f>
        <v>551.67127750155043</v>
      </c>
      <c r="Q72" s="2">
        <f t="shared" si="1"/>
        <v>108.47185312168654</v>
      </c>
      <c r="R72" s="2">
        <f t="shared" si="1"/>
        <v>1522.4622318178901</v>
      </c>
      <c r="S72" s="2">
        <f t="shared" si="14"/>
        <v>832.15438569039497</v>
      </c>
    </row>
    <row r="73" spans="2:19" x14ac:dyDescent="0.25">
      <c r="B73">
        <v>627</v>
      </c>
      <c r="C73" s="28">
        <v>6</v>
      </c>
      <c r="D73" s="35" t="s">
        <v>129</v>
      </c>
      <c r="E73" s="154">
        <f>INDEX('2019 Data Lockdown'!H$5:H$257,MATCH(B73,'2019 Data Lockdown'!B$5:B$257,0))</f>
        <v>166.68530619268788</v>
      </c>
      <c r="F73" s="7">
        <f>INDEX('2019 Data Lockdown'!E$5:E$257,MATCH(B73,'2019 Data Lockdown'!B$5:B$257,0))</f>
        <v>81020.789999999994</v>
      </c>
      <c r="G73" s="7">
        <f>INDEX('2019 Data Lockdown'!F$5:F$257,MATCH(B73,'2019 Data Lockdown'!B$5:B$257,0))</f>
        <v>0</v>
      </c>
      <c r="H73" s="7">
        <f t="shared" si="9"/>
        <v>81020.789999999994</v>
      </c>
      <c r="I73" s="6">
        <f t="shared" si="10"/>
        <v>486.07037927110457</v>
      </c>
      <c r="J73" s="6">
        <f t="shared" si="11"/>
        <v>486.07037927110457</v>
      </c>
      <c r="K73" s="5">
        <f t="shared" si="12"/>
        <v>81020.789999999994</v>
      </c>
      <c r="L73" s="4">
        <f t="shared" si="8"/>
        <v>0</v>
      </c>
      <c r="M73" s="2" cm="1">
        <f t="array" ref="M73">SUMPRODUCT(--($L$6:$L$300&lt;&gt;1),--($C$6:$C$300=$C73),$H$6:$H$300)/SUMPRODUCT(--($L$6:$L$300&lt;&gt;1),--($C$6:$C$300=$C73),$E$6:$E$300)</f>
        <v>815.46704246978834</v>
      </c>
      <c r="N73" s="1" cm="1">
        <f t="array" ref="N73">SUMPRODUCT(--($L$6:$L$300&lt;&gt;1),--($C$6:$C$300=$C73))</f>
        <v>49</v>
      </c>
      <c r="O73" s="3">
        <f t="shared" si="13"/>
        <v>108502.1617264271</v>
      </c>
      <c r="P73" s="2" cm="1">
        <f t="array" ref="P73">SQRT(SUMPRODUCT(--($L$6:$L$300&lt;&gt;1),--($C$6:$C$300=$C73),$E$6:$E$300,$O$6:$O$300)/((N73-1)*SUMPRODUCT(--($L$6:$L$300&lt;&gt;1),--($C$6:$C$300=$C73),$E$6:$E$300)/N73))</f>
        <v>551.67127750155043</v>
      </c>
      <c r="Q73" s="2">
        <f t="shared" si="1"/>
        <v>108.47185312168654</v>
      </c>
      <c r="R73" s="2">
        <f t="shared" si="1"/>
        <v>1522.4622318178901</v>
      </c>
      <c r="S73" s="2">
        <f t="shared" si="14"/>
        <v>486.07037927110457</v>
      </c>
    </row>
    <row r="74" spans="2:19" x14ac:dyDescent="0.25">
      <c r="B74">
        <v>634</v>
      </c>
      <c r="C74" s="28">
        <v>6</v>
      </c>
      <c r="D74" s="35" t="s">
        <v>130</v>
      </c>
      <c r="E74" s="154">
        <f>INDEX('2019 Data Lockdown'!H$5:H$257,MATCH(B74,'2019 Data Lockdown'!B$5:B$257,0))</f>
        <v>627.63252780769471</v>
      </c>
      <c r="F74" s="7">
        <f>INDEX('2019 Data Lockdown'!E$5:E$257,MATCH(B74,'2019 Data Lockdown'!B$5:B$257,0))</f>
        <v>651840.68999999994</v>
      </c>
      <c r="G74" s="7">
        <f>INDEX('2019 Data Lockdown'!F$5:F$257,MATCH(B74,'2019 Data Lockdown'!B$5:B$257,0))</f>
        <v>0</v>
      </c>
      <c r="H74" s="7">
        <f t="shared" si="9"/>
        <v>651840.68999999994</v>
      </c>
      <c r="I74" s="6">
        <f t="shared" si="10"/>
        <v>1038.5705984310018</v>
      </c>
      <c r="J74" s="6">
        <f t="shared" si="11"/>
        <v>1038.5705984310018</v>
      </c>
      <c r="K74" s="5">
        <f t="shared" si="12"/>
        <v>651840.68999999994</v>
      </c>
      <c r="L74" s="4">
        <f t="shared" si="8"/>
        <v>0</v>
      </c>
      <c r="M74" s="2" cm="1">
        <f t="array" ref="M74">SUMPRODUCT(--($L$6:$L$300&lt;&gt;1),--($C$6:$C$300=$C74),$H$6:$H$300)/SUMPRODUCT(--($L$6:$L$300&lt;&gt;1),--($C$6:$C$300=$C74),$E$6:$E$300)</f>
        <v>815.46704246978834</v>
      </c>
      <c r="N74" s="1" cm="1">
        <f t="array" ref="N74">SUMPRODUCT(--($L$6:$L$300&lt;&gt;1),--($C$6:$C$300=$C74))</f>
        <v>49</v>
      </c>
      <c r="O74" s="3">
        <f t="shared" si="13"/>
        <v>49775.196682538321</v>
      </c>
      <c r="P74" s="2" cm="1">
        <f t="array" ref="P74">SQRT(SUMPRODUCT(--($L$6:$L$300&lt;&gt;1),--($C$6:$C$300=$C74),$E$6:$E$300,$O$6:$O$300)/((N74-1)*SUMPRODUCT(--($L$6:$L$300&lt;&gt;1),--($C$6:$C$300=$C74),$E$6:$E$300)/N74))</f>
        <v>551.67127750155043</v>
      </c>
      <c r="Q74" s="2">
        <f t="shared" si="1"/>
        <v>108.47185312168654</v>
      </c>
      <c r="R74" s="2">
        <f t="shared" si="1"/>
        <v>1522.4622318178901</v>
      </c>
      <c r="S74" s="2">
        <f t="shared" si="14"/>
        <v>1038.5705984310018</v>
      </c>
    </row>
    <row r="75" spans="2:19" x14ac:dyDescent="0.25">
      <c r="B75">
        <v>636</v>
      </c>
      <c r="C75" s="28">
        <v>6</v>
      </c>
      <c r="D75" s="35" t="s">
        <v>313</v>
      </c>
      <c r="E75" s="154">
        <f>INDEX('2019 Data Lockdown'!H$5:H$257,MATCH(B75,'2019 Data Lockdown'!B$5:B$257,0))</f>
        <v>71.040896564249138</v>
      </c>
      <c r="F75" s="7">
        <f>INDEX('2019 Data Lockdown'!E$5:E$257,MATCH(B75,'2019 Data Lockdown'!B$5:B$257,0))</f>
        <v>82605.94</v>
      </c>
      <c r="G75" s="7">
        <f>INDEX('2019 Data Lockdown'!F$5:F$257,MATCH(B75,'2019 Data Lockdown'!B$5:B$257,0))</f>
        <v>76356</v>
      </c>
      <c r="H75" s="7">
        <f t="shared" si="9"/>
        <v>6249.9400000000023</v>
      </c>
      <c r="I75" s="6">
        <f t="shared" si="10"/>
        <v>87.976648694848308</v>
      </c>
      <c r="J75" s="6">
        <f t="shared" si="11"/>
        <v>87.976648694848308</v>
      </c>
      <c r="K75" s="5">
        <f t="shared" si="12"/>
        <v>6249.9400000000023</v>
      </c>
      <c r="L75" s="4">
        <f t="shared" si="8"/>
        <v>0</v>
      </c>
      <c r="M75" s="2" cm="1">
        <f t="array" ref="M75">SUMPRODUCT(--($L$6:$L$300&lt;&gt;1),--($C$6:$C$300=$C75),$H$6:$H$300)/SUMPRODUCT(--($L$6:$L$300&lt;&gt;1),--($C$6:$C$300=$C75),$E$6:$E$300)</f>
        <v>815.46704246978834</v>
      </c>
      <c r="N75" s="1" cm="1">
        <f t="array" ref="N75">SUMPRODUCT(--($L$6:$L$300&lt;&gt;1),--($C$6:$C$300=$C75))</f>
        <v>49</v>
      </c>
      <c r="O75" s="3">
        <f t="shared" si="13"/>
        <v>529242.27303481731</v>
      </c>
      <c r="P75" s="2" cm="1">
        <f t="array" ref="P75">SQRT(SUMPRODUCT(--($L$6:$L$300&lt;&gt;1),--($C$6:$C$300=$C75),$E$6:$E$300,$O$6:$O$300)/((N75-1)*SUMPRODUCT(--($L$6:$L$300&lt;&gt;1),--($C$6:$C$300=$C75),$E$6:$E$300)/N75))</f>
        <v>551.67127750155043</v>
      </c>
      <c r="Q75" s="2">
        <f t="shared" si="1"/>
        <v>108.47185312168654</v>
      </c>
      <c r="R75" s="2">
        <f t="shared" si="1"/>
        <v>1522.4622318178901</v>
      </c>
      <c r="S75" s="2">
        <f t="shared" si="14"/>
        <v>87.976648694848308</v>
      </c>
    </row>
    <row r="76" spans="2:19" x14ac:dyDescent="0.25">
      <c r="B76">
        <v>641</v>
      </c>
      <c r="C76" s="28">
        <v>6</v>
      </c>
      <c r="D76" s="35" t="s">
        <v>335</v>
      </c>
      <c r="E76" s="154">
        <f>INDEX('2019 Data Lockdown'!H$5:H$257,MATCH(B76,'2019 Data Lockdown'!B$5:B$257,0))</f>
        <v>7.6885978325592479</v>
      </c>
      <c r="F76" s="7">
        <f>INDEX('2019 Data Lockdown'!E$5:E$257,MATCH(B76,'2019 Data Lockdown'!B$5:B$257,0))</f>
        <v>28951.200000000001</v>
      </c>
      <c r="G76" s="7">
        <f>INDEX('2019 Data Lockdown'!F$5:F$257,MATCH(B76,'2019 Data Lockdown'!B$5:B$257,0))</f>
        <v>0</v>
      </c>
      <c r="H76" s="7">
        <f t="shared" si="9"/>
        <v>28951.200000000001</v>
      </c>
      <c r="I76" s="6">
        <f t="shared" si="10"/>
        <v>3765.4720184997923</v>
      </c>
      <c r="J76" s="6">
        <f t="shared" si="11"/>
        <v>1522.4622318178901</v>
      </c>
      <c r="K76" s="5">
        <f t="shared" si="12"/>
        <v>11705.599815708345</v>
      </c>
      <c r="L76" s="4">
        <f t="shared" si="8"/>
        <v>0</v>
      </c>
      <c r="M76" s="2" cm="1">
        <f t="array" ref="M76">SUMPRODUCT(--($L$6:$L$300&lt;&gt;1),--($C$6:$C$300=$C76),$H$6:$H$300)/SUMPRODUCT(--($L$6:$L$300&lt;&gt;1),--($C$6:$C$300=$C76),$E$6:$E$300)</f>
        <v>815.46704246978834</v>
      </c>
      <c r="N76" s="1" cm="1">
        <f t="array" ref="N76">SUMPRODUCT(--($L$6:$L$300&lt;&gt;1),--($C$6:$C$300=$C76))</f>
        <v>49</v>
      </c>
      <c r="O76" s="3">
        <f t="shared" si="13"/>
        <v>8702529.3586017843</v>
      </c>
      <c r="P76" s="2" cm="1">
        <f t="array" ref="P76">SQRT(SUMPRODUCT(--($L$6:$L$300&lt;&gt;1),--($C$6:$C$300=$C76),$E$6:$E$300,$O$6:$O$300)/((N76-1)*SUMPRODUCT(--($L$6:$L$300&lt;&gt;1),--($C$6:$C$300=$C76),$E$6:$E$300)/N76))</f>
        <v>551.67127750155043</v>
      </c>
      <c r="Q76" s="2">
        <f t="shared" si="1"/>
        <v>108.47185312168654</v>
      </c>
      <c r="R76" s="2">
        <f t="shared" si="1"/>
        <v>1522.4622318178901</v>
      </c>
      <c r="S76" s="2">
        <f t="shared" si="14"/>
        <v>1522.4622318178901</v>
      </c>
    </row>
    <row r="77" spans="2:19" x14ac:dyDescent="0.25">
      <c r="B77">
        <v>694</v>
      </c>
      <c r="C77" s="28">
        <v>6</v>
      </c>
      <c r="D77" s="35" t="s">
        <v>131</v>
      </c>
      <c r="E77" s="154">
        <f>INDEX('2019 Data Lockdown'!H$5:H$257,MATCH(B77,'2019 Data Lockdown'!B$5:B$257,0))</f>
        <v>13.652301912467729</v>
      </c>
      <c r="F77" s="7">
        <f>INDEX('2019 Data Lockdown'!E$5:E$257,MATCH(B77,'2019 Data Lockdown'!B$5:B$257,0))</f>
        <v>89610.08</v>
      </c>
      <c r="G77" s="7">
        <f>INDEX('2019 Data Lockdown'!F$5:F$257,MATCH(B77,'2019 Data Lockdown'!B$5:B$257,0))</f>
        <v>0</v>
      </c>
      <c r="H77" s="7">
        <f t="shared" si="9"/>
        <v>89610.08</v>
      </c>
      <c r="I77" s="6">
        <f t="shared" si="10"/>
        <v>6563.7341288332582</v>
      </c>
      <c r="J77" s="6">
        <f t="shared" si="11"/>
        <v>1522.4622318178901</v>
      </c>
      <c r="K77" s="5">
        <f t="shared" si="12"/>
        <v>20785.114039107269</v>
      </c>
      <c r="L77" s="4">
        <f t="shared" si="8"/>
        <v>0</v>
      </c>
      <c r="M77" s="2" cm="1">
        <f t="array" ref="M77">SUMPRODUCT(--($L$6:$L$300&lt;&gt;1),--($C$6:$C$300=$C77),$H$6:$H$300)/SUMPRODUCT(--($L$6:$L$300&lt;&gt;1),--($C$6:$C$300=$C77),$E$6:$E$300)</f>
        <v>815.46704246978834</v>
      </c>
      <c r="N77" s="1" cm="1">
        <f t="array" ref="N77">SUMPRODUCT(--($L$6:$L$300&lt;&gt;1),--($C$6:$C$300=$C77))</f>
        <v>49</v>
      </c>
      <c r="O77" s="3">
        <f t="shared" si="13"/>
        <v>33042574.496169578</v>
      </c>
      <c r="P77" s="2" cm="1">
        <f t="array" ref="P77">SQRT(SUMPRODUCT(--($L$6:$L$300&lt;&gt;1),--($C$6:$C$300=$C77),$E$6:$E$300,$O$6:$O$300)/((N77-1)*SUMPRODUCT(--($L$6:$L$300&lt;&gt;1),--($C$6:$C$300=$C77),$E$6:$E$300)/N77))</f>
        <v>551.67127750155043</v>
      </c>
      <c r="Q77" s="2">
        <f t="shared" si="1"/>
        <v>108.47185312168654</v>
      </c>
      <c r="R77" s="2">
        <f t="shared" si="1"/>
        <v>1522.4622318178901</v>
      </c>
      <c r="S77" s="2">
        <f t="shared" si="14"/>
        <v>1522.4622318178901</v>
      </c>
    </row>
    <row r="78" spans="2:19" x14ac:dyDescent="0.25">
      <c r="B78">
        <v>706</v>
      </c>
      <c r="C78" s="28">
        <v>6</v>
      </c>
      <c r="D78" s="35" t="s">
        <v>239</v>
      </c>
      <c r="E78" s="154">
        <f>INDEX('2019 Data Lockdown'!H$5:H$257,MATCH(B78,'2019 Data Lockdown'!B$5:B$257,0))</f>
        <v>56.018113935987294</v>
      </c>
      <c r="F78" s="7">
        <f>INDEX('2019 Data Lockdown'!E$5:E$257,MATCH(B78,'2019 Data Lockdown'!B$5:B$257,0))</f>
        <v>63477.03</v>
      </c>
      <c r="G78" s="7">
        <f>INDEX('2019 Data Lockdown'!F$5:F$257,MATCH(B78,'2019 Data Lockdown'!B$5:B$257,0))</f>
        <v>0</v>
      </c>
      <c r="H78" s="7">
        <f t="shared" si="9"/>
        <v>63477.03</v>
      </c>
      <c r="I78" s="6">
        <f t="shared" si="10"/>
        <v>1133.1518599954313</v>
      </c>
      <c r="J78" s="6">
        <f t="shared" si="11"/>
        <v>1133.1518599954313</v>
      </c>
      <c r="K78" s="5">
        <f t="shared" si="12"/>
        <v>63477.029999999992</v>
      </c>
      <c r="L78" s="4">
        <f t="shared" si="8"/>
        <v>0</v>
      </c>
      <c r="M78" s="2" cm="1">
        <f t="array" ref="M78">SUMPRODUCT(--($L$6:$L$300&lt;&gt;1),--($C$6:$C$300=$C78),$H$6:$H$300)/SUMPRODUCT(--($L$6:$L$300&lt;&gt;1),--($C$6:$C$300=$C78),$E$6:$E$300)</f>
        <v>815.46704246978834</v>
      </c>
      <c r="N78" s="1" cm="1">
        <f t="array" ref="N78">SUMPRODUCT(--($L$6:$L$300&lt;&gt;1),--($C$6:$C$300=$C78))</f>
        <v>49</v>
      </c>
      <c r="O78" s="3">
        <f t="shared" si="13"/>
        <v>100923.64328630109</v>
      </c>
      <c r="P78" s="2" cm="1">
        <f t="array" ref="P78">SQRT(SUMPRODUCT(--($L$6:$L$300&lt;&gt;1),--($C$6:$C$300=$C78),$E$6:$E$300,$O$6:$O$300)/((N78-1)*SUMPRODUCT(--($L$6:$L$300&lt;&gt;1),--($C$6:$C$300=$C78),$E$6:$E$300)/N78))</f>
        <v>551.67127750155043</v>
      </c>
      <c r="Q78" s="2">
        <f t="shared" si="1"/>
        <v>108.47185312168654</v>
      </c>
      <c r="R78" s="2">
        <f t="shared" si="1"/>
        <v>1522.4622318178901</v>
      </c>
      <c r="S78" s="2">
        <f t="shared" si="14"/>
        <v>1133.1518599954313</v>
      </c>
    </row>
    <row r="79" spans="2:19" x14ac:dyDescent="0.25">
      <c r="B79">
        <v>710</v>
      </c>
      <c r="C79" s="28">
        <v>6</v>
      </c>
      <c r="D79" s="35" t="s">
        <v>133</v>
      </c>
      <c r="E79" s="154">
        <f>INDEX('2019 Data Lockdown'!H$5:H$257,MATCH(B79,'2019 Data Lockdown'!B$5:B$257,0))</f>
        <v>69.210000000000008</v>
      </c>
      <c r="F79" s="7">
        <f>INDEX('2019 Data Lockdown'!E$5:E$257,MATCH(B79,'2019 Data Lockdown'!B$5:B$257,0))</f>
        <v>68111.539999999994</v>
      </c>
      <c r="G79" s="7">
        <f>INDEX('2019 Data Lockdown'!F$5:F$257,MATCH(B79,'2019 Data Lockdown'!B$5:B$257,0))</f>
        <v>0</v>
      </c>
      <c r="H79" s="7">
        <f t="shared" si="9"/>
        <v>68111.539999999994</v>
      </c>
      <c r="I79" s="6">
        <f t="shared" si="10"/>
        <v>984.12859413379545</v>
      </c>
      <c r="J79" s="6">
        <f t="shared" si="11"/>
        <v>984.12859413379545</v>
      </c>
      <c r="K79" s="5">
        <f t="shared" si="12"/>
        <v>68111.539999999994</v>
      </c>
      <c r="L79" s="4">
        <f t="shared" si="8"/>
        <v>0</v>
      </c>
      <c r="M79" s="2" cm="1">
        <f t="array" ref="M79">SUMPRODUCT(--($L$6:$L$300&lt;&gt;1),--($C$6:$C$300=$C79),$H$6:$H$300)/SUMPRODUCT(--($L$6:$L$300&lt;&gt;1),--($C$6:$C$300=$C79),$E$6:$E$300)</f>
        <v>815.46704246978834</v>
      </c>
      <c r="N79" s="1" cm="1">
        <f t="array" ref="N79">SUMPRODUCT(--($L$6:$L$300&lt;&gt;1),--($C$6:$C$300=$C79))</f>
        <v>49</v>
      </c>
      <c r="O79" s="3">
        <f t="shared" si="13"/>
        <v>28446.719009710538</v>
      </c>
      <c r="P79" s="2" cm="1">
        <f t="array" ref="P79">SQRT(SUMPRODUCT(--($L$6:$L$300&lt;&gt;1),--($C$6:$C$300=$C79),$E$6:$E$300,$O$6:$O$300)/((N79-1)*SUMPRODUCT(--($L$6:$L$300&lt;&gt;1),--($C$6:$C$300=$C79),$E$6:$E$300)/N79))</f>
        <v>551.67127750155043</v>
      </c>
      <c r="Q79" s="2">
        <f t="shared" si="1"/>
        <v>108.47185312168654</v>
      </c>
      <c r="R79" s="2">
        <f t="shared" si="1"/>
        <v>1522.4622318178901</v>
      </c>
      <c r="S79" s="2">
        <f t="shared" si="14"/>
        <v>984.12859413379545</v>
      </c>
    </row>
    <row r="80" spans="2:19" x14ac:dyDescent="0.25">
      <c r="B80">
        <v>743</v>
      </c>
      <c r="C80" s="28">
        <v>6</v>
      </c>
      <c r="D80" s="35" t="s">
        <v>134</v>
      </c>
      <c r="E80" s="154">
        <f>INDEX('2019 Data Lockdown'!H$5:H$257,MATCH(B80,'2019 Data Lockdown'!B$5:B$257,0))</f>
        <v>71.128633854585487</v>
      </c>
      <c r="F80" s="7">
        <f>INDEX('2019 Data Lockdown'!E$5:E$257,MATCH(B80,'2019 Data Lockdown'!B$5:B$257,0))</f>
        <v>137831.6</v>
      </c>
      <c r="G80" s="7">
        <f>INDEX('2019 Data Lockdown'!F$5:F$257,MATCH(B80,'2019 Data Lockdown'!B$5:B$257,0))</f>
        <v>0</v>
      </c>
      <c r="H80" s="7">
        <f t="shared" si="9"/>
        <v>137831.6</v>
      </c>
      <c r="I80" s="6">
        <f t="shared" si="10"/>
        <v>1937.7793798455521</v>
      </c>
      <c r="J80" s="6">
        <f t="shared" si="11"/>
        <v>1522.4622318178901</v>
      </c>
      <c r="K80" s="5">
        <f t="shared" si="12"/>
        <v>108290.65864440976</v>
      </c>
      <c r="L80" s="4">
        <f t="shared" si="8"/>
        <v>0</v>
      </c>
      <c r="M80" s="2" cm="1">
        <f t="array" ref="M80">SUMPRODUCT(--($L$6:$L$300&lt;&gt;1),--($C$6:$C$300=$C80),$H$6:$H$300)/SUMPRODUCT(--($L$6:$L$300&lt;&gt;1),--($C$6:$C$300=$C80),$E$6:$E$300)</f>
        <v>815.46704246978834</v>
      </c>
      <c r="N80" s="1" cm="1">
        <f t="array" ref="N80">SUMPRODUCT(--($L$6:$L$300&lt;&gt;1),--($C$6:$C$300=$C80))</f>
        <v>49</v>
      </c>
      <c r="O80" s="3">
        <f t="shared" si="13"/>
        <v>1259584.98262585</v>
      </c>
      <c r="P80" s="2" cm="1">
        <f t="array" ref="P80">SQRT(SUMPRODUCT(--($L$6:$L$300&lt;&gt;1),--($C$6:$C$300=$C80),$E$6:$E$300,$O$6:$O$300)/((N80-1)*SUMPRODUCT(--($L$6:$L$300&lt;&gt;1),--($C$6:$C$300=$C80),$E$6:$E$300)/N80))</f>
        <v>551.67127750155043</v>
      </c>
      <c r="Q80" s="2">
        <f t="shared" si="1"/>
        <v>108.47185312168654</v>
      </c>
      <c r="R80" s="2">
        <f t="shared" si="1"/>
        <v>1522.4622318178901</v>
      </c>
      <c r="S80" s="2">
        <f t="shared" si="14"/>
        <v>1522.4622318178901</v>
      </c>
    </row>
    <row r="81" spans="2:19" x14ac:dyDescent="0.25">
      <c r="B81">
        <v>747</v>
      </c>
      <c r="C81" s="28">
        <v>6</v>
      </c>
      <c r="D81" s="35" t="s">
        <v>135</v>
      </c>
      <c r="E81" s="154">
        <f>INDEX('2019 Data Lockdown'!H$5:H$257,MATCH(B81,'2019 Data Lockdown'!B$5:B$257,0))</f>
        <v>38</v>
      </c>
      <c r="F81" s="7">
        <f>INDEX('2019 Data Lockdown'!E$5:E$257,MATCH(B81,'2019 Data Lockdown'!B$5:B$257,0))</f>
        <v>67182.81</v>
      </c>
      <c r="G81" s="7">
        <f>INDEX('2019 Data Lockdown'!F$5:F$257,MATCH(B81,'2019 Data Lockdown'!B$5:B$257,0))</f>
        <v>0</v>
      </c>
      <c r="H81" s="7">
        <f t="shared" si="9"/>
        <v>67182.81</v>
      </c>
      <c r="I81" s="6">
        <f t="shared" si="10"/>
        <v>1767.9686842105264</v>
      </c>
      <c r="J81" s="6">
        <f t="shared" si="11"/>
        <v>1522.4622318178901</v>
      </c>
      <c r="K81" s="5">
        <f t="shared" si="12"/>
        <v>57853.564809079828</v>
      </c>
      <c r="L81" s="4">
        <f t="shared" si="8"/>
        <v>0</v>
      </c>
      <c r="M81" s="2" cm="1">
        <f t="array" ref="M81">SUMPRODUCT(--($L$6:$L$300&lt;&gt;1),--($C$6:$C$300=$C81),$H$6:$H$300)/SUMPRODUCT(--($L$6:$L$300&lt;&gt;1),--($C$6:$C$300=$C81),$E$6:$E$300)</f>
        <v>815.46704246978834</v>
      </c>
      <c r="N81" s="1" cm="1">
        <f t="array" ref="N81">SUMPRODUCT(--($L$6:$L$300&lt;&gt;1),--($C$6:$C$300=$C81))</f>
        <v>49</v>
      </c>
      <c r="O81" s="3">
        <f t="shared" si="13"/>
        <v>907259.37751880125</v>
      </c>
      <c r="P81" s="2" cm="1">
        <f t="array" ref="P81">SQRT(SUMPRODUCT(--($L$6:$L$300&lt;&gt;1),--($C$6:$C$300=$C81),$E$6:$E$300,$O$6:$O$300)/((N81-1)*SUMPRODUCT(--($L$6:$L$300&lt;&gt;1),--($C$6:$C$300=$C81),$E$6:$E$300)/N81))</f>
        <v>551.67127750155043</v>
      </c>
      <c r="Q81" s="2">
        <f t="shared" si="1"/>
        <v>108.47185312168654</v>
      </c>
      <c r="R81" s="2">
        <f t="shared" si="1"/>
        <v>1522.4622318178901</v>
      </c>
      <c r="S81" s="2">
        <f t="shared" si="14"/>
        <v>1522.4622318178901</v>
      </c>
    </row>
    <row r="82" spans="2:19" x14ac:dyDescent="0.25">
      <c r="B82">
        <v>758</v>
      </c>
      <c r="C82" s="28">
        <v>6</v>
      </c>
      <c r="D82" s="35" t="s">
        <v>136</v>
      </c>
      <c r="E82" s="154">
        <f>INDEX('2019 Data Lockdown'!H$5:H$257,MATCH(B82,'2019 Data Lockdown'!B$5:B$257,0))</f>
        <v>242.43754918347622</v>
      </c>
      <c r="F82" s="7">
        <f>INDEX('2019 Data Lockdown'!E$5:E$257,MATCH(B82,'2019 Data Lockdown'!B$5:B$257,0))</f>
        <v>340319.42</v>
      </c>
      <c r="G82" s="7">
        <f>INDEX('2019 Data Lockdown'!F$5:F$257,MATCH(B82,'2019 Data Lockdown'!B$5:B$257,0))</f>
        <v>142.1</v>
      </c>
      <c r="H82" s="7">
        <f t="shared" si="9"/>
        <v>340177.32</v>
      </c>
      <c r="I82" s="6">
        <f t="shared" si="10"/>
        <v>1403.1544253178147</v>
      </c>
      <c r="J82" s="6">
        <f t="shared" si="11"/>
        <v>1403.1544253178147</v>
      </c>
      <c r="K82" s="5">
        <f t="shared" si="12"/>
        <v>340177.32</v>
      </c>
      <c r="L82" s="4">
        <f t="shared" si="8"/>
        <v>0</v>
      </c>
      <c r="M82" s="2" cm="1">
        <f t="array" ref="M82">SUMPRODUCT(--($L$6:$L$300&lt;&gt;1),--($C$6:$C$300=$C82),$H$6:$H$300)/SUMPRODUCT(--($L$6:$L$300&lt;&gt;1),--($C$6:$C$300=$C82),$E$6:$E$300)</f>
        <v>815.46704246978834</v>
      </c>
      <c r="N82" s="1" cm="1">
        <f t="array" ref="N82">SUMPRODUCT(--($L$6:$L$300&lt;&gt;1),--($C$6:$C$300=$C82))</f>
        <v>49</v>
      </c>
      <c r="O82" s="3">
        <f t="shared" si="13"/>
        <v>345376.45995876269</v>
      </c>
      <c r="P82" s="2" cm="1">
        <f t="array" ref="P82">SQRT(SUMPRODUCT(--($L$6:$L$300&lt;&gt;1),--($C$6:$C$300=$C82),$E$6:$E$300,$O$6:$O$300)/((N82-1)*SUMPRODUCT(--($L$6:$L$300&lt;&gt;1),--($C$6:$C$300=$C82),$E$6:$E$300)/N82))</f>
        <v>551.67127750155043</v>
      </c>
      <c r="Q82" s="2">
        <f t="shared" si="1"/>
        <v>108.47185312168654</v>
      </c>
      <c r="R82" s="2">
        <f t="shared" si="1"/>
        <v>1522.4622318178901</v>
      </c>
      <c r="S82" s="2">
        <f t="shared" si="14"/>
        <v>1403.1544253178147</v>
      </c>
    </row>
    <row r="83" spans="2:19" x14ac:dyDescent="0.25">
      <c r="B83">
        <v>765</v>
      </c>
      <c r="C83" s="28">
        <v>6</v>
      </c>
      <c r="D83" s="35" t="s">
        <v>137</v>
      </c>
      <c r="E83" s="154">
        <f>INDEX('2019 Data Lockdown'!H$5:H$257,MATCH(B83,'2019 Data Lockdown'!B$5:B$257,0))</f>
        <v>86.906400000000005</v>
      </c>
      <c r="F83" s="7">
        <f>INDEX('2019 Data Lockdown'!E$5:E$257,MATCH(B83,'2019 Data Lockdown'!B$5:B$257,0))</f>
        <v>83939.95</v>
      </c>
      <c r="G83" s="7">
        <f>INDEX('2019 Data Lockdown'!F$5:F$257,MATCH(B83,'2019 Data Lockdown'!B$5:B$257,0))</f>
        <v>0</v>
      </c>
      <c r="H83" s="7">
        <f t="shared" si="9"/>
        <v>83939.95</v>
      </c>
      <c r="I83" s="6">
        <f t="shared" si="10"/>
        <v>965.86615024900345</v>
      </c>
      <c r="J83" s="6">
        <f t="shared" si="11"/>
        <v>965.86615024900345</v>
      </c>
      <c r="K83" s="5">
        <f t="shared" si="12"/>
        <v>83939.95</v>
      </c>
      <c r="L83" s="4">
        <f t="shared" si="8"/>
        <v>0</v>
      </c>
      <c r="M83" s="2" cm="1">
        <f t="array" ref="M83">SUMPRODUCT(--($L$6:$L$300&lt;&gt;1),--($C$6:$C$300=$C83),$H$6:$H$300)/SUMPRODUCT(--($L$6:$L$300&lt;&gt;1),--($C$6:$C$300=$C83),$E$6:$E$300)</f>
        <v>815.46704246978834</v>
      </c>
      <c r="N83" s="1" cm="1">
        <f t="array" ref="N83">SUMPRODUCT(--($L$6:$L$300&lt;&gt;1),--($C$6:$C$300=$C83))</f>
        <v>49</v>
      </c>
      <c r="O83" s="3">
        <f t="shared" si="13"/>
        <v>22619.891620783965</v>
      </c>
      <c r="P83" s="2" cm="1">
        <f t="array" ref="P83">SQRT(SUMPRODUCT(--($L$6:$L$300&lt;&gt;1),--($C$6:$C$300=$C83),$E$6:$E$300,$O$6:$O$300)/((N83-1)*SUMPRODUCT(--($L$6:$L$300&lt;&gt;1),--($C$6:$C$300=$C83),$E$6:$E$300)/N83))</f>
        <v>551.67127750155043</v>
      </c>
      <c r="Q83" s="2">
        <f t="shared" si="1"/>
        <v>108.47185312168654</v>
      </c>
      <c r="R83" s="2">
        <f t="shared" si="1"/>
        <v>1522.4622318178901</v>
      </c>
      <c r="S83" s="2">
        <f t="shared" si="14"/>
        <v>965.86615024900345</v>
      </c>
    </row>
    <row r="84" spans="2:19" x14ac:dyDescent="0.25">
      <c r="B84">
        <v>770</v>
      </c>
      <c r="C84" s="28">
        <v>6</v>
      </c>
      <c r="D84" s="35" t="s">
        <v>138</v>
      </c>
      <c r="E84" s="154">
        <f>INDEX('2019 Data Lockdown'!H$5:H$257,MATCH(B84,'2019 Data Lockdown'!B$5:B$257,0))</f>
        <v>26.529705367571449</v>
      </c>
      <c r="F84" s="7">
        <f>INDEX('2019 Data Lockdown'!E$5:E$257,MATCH(B84,'2019 Data Lockdown'!B$5:B$257,0))</f>
        <v>30839.79</v>
      </c>
      <c r="G84" s="7">
        <f>INDEX('2019 Data Lockdown'!F$5:F$257,MATCH(B84,'2019 Data Lockdown'!B$5:B$257,0))</f>
        <v>0</v>
      </c>
      <c r="H84" s="7">
        <f t="shared" si="9"/>
        <v>30839.79</v>
      </c>
      <c r="I84" s="6">
        <f t="shared" si="10"/>
        <v>1162.4625894902315</v>
      </c>
      <c r="J84" s="6">
        <f t="shared" si="11"/>
        <v>1162.4625894902315</v>
      </c>
      <c r="K84" s="5">
        <f t="shared" si="12"/>
        <v>30839.79</v>
      </c>
      <c r="L84" s="4">
        <f t="shared" si="8"/>
        <v>0</v>
      </c>
      <c r="M84" s="2" cm="1">
        <f t="array" ref="M84">SUMPRODUCT(--($L$6:$L$300&lt;&gt;1),--($C$6:$C$300=$C84),$H$6:$H$300)/SUMPRODUCT(--($L$6:$L$300&lt;&gt;1),--($C$6:$C$300=$C84),$E$6:$E$300)</f>
        <v>815.46704246978834</v>
      </c>
      <c r="N84" s="1" cm="1">
        <f t="array" ref="N84">SUMPRODUCT(--($L$6:$L$300&lt;&gt;1),--($C$6:$C$300=$C84))</f>
        <v>49</v>
      </c>
      <c r="O84" s="3">
        <f t="shared" si="13"/>
        <v>120405.90965201658</v>
      </c>
      <c r="P84" s="2" cm="1">
        <f t="array" ref="P84">SQRT(SUMPRODUCT(--($L$6:$L$300&lt;&gt;1),--($C$6:$C$300=$C84),$E$6:$E$300,$O$6:$O$300)/((N84-1)*SUMPRODUCT(--($L$6:$L$300&lt;&gt;1),--($C$6:$C$300=$C84),$E$6:$E$300)/N84))</f>
        <v>551.67127750155043</v>
      </c>
      <c r="Q84" s="2">
        <f t="shared" si="1"/>
        <v>108.47185312168654</v>
      </c>
      <c r="R84" s="2">
        <f t="shared" si="1"/>
        <v>1522.4622318178901</v>
      </c>
      <c r="S84" s="2">
        <f t="shared" si="14"/>
        <v>1162.4625894902315</v>
      </c>
    </row>
    <row r="85" spans="2:19" x14ac:dyDescent="0.25">
      <c r="B85">
        <v>774</v>
      </c>
      <c r="C85" s="28">
        <v>6</v>
      </c>
      <c r="D85" s="35" t="s">
        <v>139</v>
      </c>
      <c r="E85" s="154">
        <f>INDEX('2019 Data Lockdown'!H$5:H$257,MATCH(B85,'2019 Data Lockdown'!B$5:B$257,0))</f>
        <v>357.53110369632333</v>
      </c>
      <c r="F85" s="7">
        <f>INDEX('2019 Data Lockdown'!E$5:E$257,MATCH(B85,'2019 Data Lockdown'!B$5:B$257,0))</f>
        <v>291174.90000000002</v>
      </c>
      <c r="G85" s="7">
        <f>INDEX('2019 Data Lockdown'!F$5:F$257,MATCH(B85,'2019 Data Lockdown'!B$5:B$257,0))</f>
        <v>0</v>
      </c>
      <c r="H85" s="7">
        <f t="shared" si="9"/>
        <v>291174.90000000002</v>
      </c>
      <c r="I85" s="6">
        <f t="shared" si="10"/>
        <v>814.40438884812556</v>
      </c>
      <c r="J85" s="6">
        <f t="shared" si="11"/>
        <v>814.40438884812556</v>
      </c>
      <c r="K85" s="5">
        <f t="shared" si="12"/>
        <v>291174.90000000002</v>
      </c>
      <c r="L85" s="4">
        <f t="shared" si="8"/>
        <v>0</v>
      </c>
      <c r="M85" s="2" cm="1">
        <f t="array" ref="M85">SUMPRODUCT(--($L$6:$L$300&lt;&gt;1),--($C$6:$C$300=$C85),$H$6:$H$300)/SUMPRODUCT(--($L$6:$L$300&lt;&gt;1),--($C$6:$C$300=$C85),$E$6:$E$300)</f>
        <v>815.46704246978834</v>
      </c>
      <c r="N85" s="1" cm="1">
        <f t="array" ref="N85">SUMPRODUCT(--($L$6:$L$300&lt;&gt;1),--($C$6:$C$300=$C85))</f>
        <v>49</v>
      </c>
      <c r="O85" s="3">
        <f t="shared" si="13"/>
        <v>1.1292327196330134</v>
      </c>
      <c r="P85" s="2" cm="1">
        <f t="array" ref="P85">SQRT(SUMPRODUCT(--($L$6:$L$300&lt;&gt;1),--($C$6:$C$300=$C85),$E$6:$E$300,$O$6:$O$300)/((N85-1)*SUMPRODUCT(--($L$6:$L$300&lt;&gt;1),--($C$6:$C$300=$C85),$E$6:$E$300)/N85))</f>
        <v>551.67127750155043</v>
      </c>
      <c r="Q85" s="2">
        <f t="shared" si="1"/>
        <v>108.47185312168654</v>
      </c>
      <c r="R85" s="2">
        <f t="shared" si="1"/>
        <v>1522.4622318178901</v>
      </c>
      <c r="S85" s="2">
        <f t="shared" si="14"/>
        <v>814.40438884812556</v>
      </c>
    </row>
    <row r="86" spans="2:19" x14ac:dyDescent="0.25">
      <c r="B86">
        <v>794</v>
      </c>
      <c r="C86" s="28">
        <v>6</v>
      </c>
      <c r="D86" s="35" t="s">
        <v>140</v>
      </c>
      <c r="E86" s="154">
        <f>INDEX('2019 Data Lockdown'!H$5:H$257,MATCH(B86,'2019 Data Lockdown'!B$5:B$257,0))</f>
        <v>19.658346730975349</v>
      </c>
      <c r="F86" s="7">
        <f>INDEX('2019 Data Lockdown'!E$5:E$257,MATCH(B86,'2019 Data Lockdown'!B$5:B$257,0))</f>
        <v>44067.08</v>
      </c>
      <c r="G86" s="7">
        <f>INDEX('2019 Data Lockdown'!F$5:F$257,MATCH(B86,'2019 Data Lockdown'!B$5:B$257,0))</f>
        <v>0</v>
      </c>
      <c r="H86" s="7">
        <f t="shared" si="9"/>
        <v>44067.08</v>
      </c>
      <c r="I86" s="6">
        <f t="shared" si="10"/>
        <v>2241.6473065135328</v>
      </c>
      <c r="J86" s="6">
        <f t="shared" si="11"/>
        <v>1522.4622318178901</v>
      </c>
      <c r="K86" s="5">
        <f t="shared" si="12"/>
        <v>29929.090437890656</v>
      </c>
      <c r="L86" s="4">
        <f t="shared" si="8"/>
        <v>0</v>
      </c>
      <c r="M86" s="2" cm="1">
        <f t="array" ref="M86">SUMPRODUCT(--($L$6:$L$300&lt;&gt;1),--($C$6:$C$300=$C86),$H$6:$H$300)/SUMPRODUCT(--($L$6:$L$300&lt;&gt;1),--($C$6:$C$300=$C86),$E$6:$E$300)</f>
        <v>815.46704246978834</v>
      </c>
      <c r="N86" s="1" cm="1">
        <f t="array" ref="N86">SUMPRODUCT(--($L$6:$L$300&lt;&gt;1),--($C$6:$C$300=$C86))</f>
        <v>49</v>
      </c>
      <c r="O86" s="3">
        <f t="shared" si="13"/>
        <v>2033990.1455478847</v>
      </c>
      <c r="P86" s="2" cm="1">
        <f t="array" ref="P86">SQRT(SUMPRODUCT(--($L$6:$L$300&lt;&gt;1),--($C$6:$C$300=$C86),$E$6:$E$300,$O$6:$O$300)/((N86-1)*SUMPRODUCT(--($L$6:$L$300&lt;&gt;1),--($C$6:$C$300=$C86),$E$6:$E$300)/N86))</f>
        <v>551.67127750155043</v>
      </c>
      <c r="Q86" s="2">
        <f t="shared" si="1"/>
        <v>108.47185312168654</v>
      </c>
      <c r="R86" s="2">
        <f t="shared" si="1"/>
        <v>1522.4622318178901</v>
      </c>
      <c r="S86" s="2">
        <f t="shared" si="14"/>
        <v>1522.4622318178901</v>
      </c>
    </row>
    <row r="87" spans="2:19" x14ac:dyDescent="0.25">
      <c r="B87">
        <v>806</v>
      </c>
      <c r="C87" s="28">
        <v>6</v>
      </c>
      <c r="D87" s="35" t="s">
        <v>141</v>
      </c>
      <c r="E87" s="154">
        <f>INDEX('2019 Data Lockdown'!H$5:H$257,MATCH(B87,'2019 Data Lockdown'!B$5:B$257,0))</f>
        <v>28</v>
      </c>
      <c r="F87" s="7">
        <f>INDEX('2019 Data Lockdown'!E$5:E$257,MATCH(B87,'2019 Data Lockdown'!B$5:B$257,0))</f>
        <v>39624.269999999997</v>
      </c>
      <c r="G87" s="7">
        <f>INDEX('2019 Data Lockdown'!F$5:F$257,MATCH(B87,'2019 Data Lockdown'!B$5:B$257,0))</f>
        <v>0</v>
      </c>
      <c r="H87" s="7">
        <f t="shared" si="9"/>
        <v>39624.269999999997</v>
      </c>
      <c r="I87" s="6">
        <f t="shared" si="10"/>
        <v>1415.1524999999999</v>
      </c>
      <c r="J87" s="6">
        <f t="shared" si="11"/>
        <v>1415.1524999999999</v>
      </c>
      <c r="K87" s="5">
        <f t="shared" si="12"/>
        <v>39624.269999999997</v>
      </c>
      <c r="L87" s="4">
        <f t="shared" si="8"/>
        <v>0</v>
      </c>
      <c r="M87" s="2" cm="1">
        <f t="array" ref="M87">SUMPRODUCT(--($L$6:$L$300&lt;&gt;1),--($C$6:$C$300=$C87),$H$6:$H$300)/SUMPRODUCT(--($L$6:$L$300&lt;&gt;1),--($C$6:$C$300=$C87),$E$6:$E$300)</f>
        <v>815.46704246978834</v>
      </c>
      <c r="N87" s="1" cm="1">
        <f t="array" ref="N87">SUMPRODUCT(--($L$6:$L$300&lt;&gt;1),--($C$6:$C$300=$C87))</f>
        <v>49</v>
      </c>
      <c r="O87" s="3">
        <f t="shared" si="13"/>
        <v>359622.64797321922</v>
      </c>
      <c r="P87" s="2" cm="1">
        <f t="array" ref="P87">SQRT(SUMPRODUCT(--($L$6:$L$300&lt;&gt;1),--($C$6:$C$300=$C87),$E$6:$E$300,$O$6:$O$300)/((N87-1)*SUMPRODUCT(--($L$6:$L$300&lt;&gt;1),--($C$6:$C$300=$C87),$E$6:$E$300)/N87))</f>
        <v>551.67127750155043</v>
      </c>
      <c r="Q87" s="2">
        <f t="shared" si="1"/>
        <v>108.47185312168654</v>
      </c>
      <c r="R87" s="2">
        <f t="shared" si="1"/>
        <v>1522.4622318178901</v>
      </c>
      <c r="S87" s="2">
        <f t="shared" si="14"/>
        <v>1415.1524999999999</v>
      </c>
    </row>
    <row r="88" spans="2:19" x14ac:dyDescent="0.25">
      <c r="B88">
        <v>809</v>
      </c>
      <c r="C88" s="28">
        <v>6</v>
      </c>
      <c r="D88" s="35" t="s">
        <v>318</v>
      </c>
      <c r="E88" s="154">
        <f>INDEX('2019 Data Lockdown'!H$5:H$257,MATCH(B88,'2019 Data Lockdown'!B$5:B$257,0))</f>
        <v>348.46479174516446</v>
      </c>
      <c r="F88" s="7">
        <f>INDEX('2019 Data Lockdown'!E$5:E$257,MATCH(B88,'2019 Data Lockdown'!B$5:B$257,0))</f>
        <v>495521.19</v>
      </c>
      <c r="G88" s="7">
        <f>INDEX('2019 Data Lockdown'!F$5:F$257,MATCH(B88,'2019 Data Lockdown'!B$5:B$257,0))</f>
        <v>0</v>
      </c>
      <c r="H88" s="7">
        <f t="shared" si="9"/>
        <v>495521.19</v>
      </c>
      <c r="I88" s="6">
        <f t="shared" si="10"/>
        <v>1422.0122139696089</v>
      </c>
      <c r="J88" s="6">
        <f t="shared" si="11"/>
        <v>1422.0122139696089</v>
      </c>
      <c r="K88" s="5">
        <f t="shared" si="12"/>
        <v>495521.19</v>
      </c>
      <c r="L88" s="4">
        <f t="shared" si="8"/>
        <v>0</v>
      </c>
      <c r="M88" s="2" cm="1">
        <f t="array" ref="M88">SUMPRODUCT(--($L$6:$L$300&lt;&gt;1),--($C$6:$C$300=$C88),$H$6:$H$300)/SUMPRODUCT(--($L$6:$L$300&lt;&gt;1),--($C$6:$C$300=$C88),$E$6:$E$300)</f>
        <v>815.46704246978834</v>
      </c>
      <c r="N88" s="1" cm="1">
        <f t="array" ref="N88">SUMPRODUCT(--($L$6:$L$300&lt;&gt;1),--($C$6:$C$300=$C88))</f>
        <v>49</v>
      </c>
      <c r="O88" s="3">
        <f t="shared" si="13"/>
        <v>367897.04506974667</v>
      </c>
      <c r="P88" s="2" cm="1">
        <f t="array" ref="P88">SQRT(SUMPRODUCT(--($L$6:$L$300&lt;&gt;1),--($C$6:$C$300=$C88),$E$6:$E$300,$O$6:$O$300)/((N88-1)*SUMPRODUCT(--($L$6:$L$300&lt;&gt;1),--($C$6:$C$300=$C88),$E$6:$E$300)/N88))</f>
        <v>551.67127750155043</v>
      </c>
      <c r="Q88" s="2">
        <f t="shared" si="1"/>
        <v>108.47185312168654</v>
      </c>
      <c r="R88" s="2">
        <f t="shared" si="1"/>
        <v>1522.4622318178901</v>
      </c>
      <c r="S88" s="2">
        <f t="shared" si="14"/>
        <v>1422.0122139696089</v>
      </c>
    </row>
    <row r="89" spans="2:19" x14ac:dyDescent="0.25">
      <c r="B89">
        <v>811</v>
      </c>
      <c r="C89" s="28">
        <v>6</v>
      </c>
      <c r="D89" s="35" t="s">
        <v>142</v>
      </c>
      <c r="E89" s="154">
        <f>INDEX('2019 Data Lockdown'!H$5:H$257,MATCH(B89,'2019 Data Lockdown'!B$5:B$257,0))</f>
        <v>586.72493379030573</v>
      </c>
      <c r="F89" s="7">
        <f>INDEX('2019 Data Lockdown'!E$5:E$257,MATCH(B89,'2019 Data Lockdown'!B$5:B$257,0))</f>
        <v>529013.12</v>
      </c>
      <c r="G89" s="7">
        <f>INDEX('2019 Data Lockdown'!F$5:F$257,MATCH(B89,'2019 Data Lockdown'!B$5:B$257,0))</f>
        <v>7228.6</v>
      </c>
      <c r="H89" s="7">
        <f t="shared" si="9"/>
        <v>521784.52</v>
      </c>
      <c r="I89" s="6">
        <f t="shared" si="10"/>
        <v>889.31710576746127</v>
      </c>
      <c r="J89" s="6">
        <f t="shared" si="11"/>
        <v>889.31710576746127</v>
      </c>
      <c r="K89" s="5">
        <f t="shared" si="12"/>
        <v>521784.52</v>
      </c>
      <c r="L89" s="4">
        <f t="shared" si="8"/>
        <v>0</v>
      </c>
      <c r="M89" s="2" cm="1">
        <f t="array" ref="M89">SUMPRODUCT(--($L$6:$L$300&lt;&gt;1),--($C$6:$C$300=$C89),$H$6:$H$300)/SUMPRODUCT(--($L$6:$L$300&lt;&gt;1),--($C$6:$C$300=$C89),$E$6:$E$300)</f>
        <v>815.46704246978834</v>
      </c>
      <c r="N89" s="1" cm="1">
        <f t="array" ref="N89">SUMPRODUCT(--($L$6:$L$300&lt;&gt;1),--($C$6:$C$300=$C89))</f>
        <v>49</v>
      </c>
      <c r="O89" s="3">
        <f t="shared" si="13"/>
        <v>5453.8318490702986</v>
      </c>
      <c r="P89" s="2" cm="1">
        <f t="array" ref="P89">SQRT(SUMPRODUCT(--($L$6:$L$300&lt;&gt;1),--($C$6:$C$300=$C89),$E$6:$E$300,$O$6:$O$300)/((N89-1)*SUMPRODUCT(--($L$6:$L$300&lt;&gt;1),--($C$6:$C$300=$C89),$E$6:$E$300)/N89))</f>
        <v>551.67127750155043</v>
      </c>
      <c r="Q89" s="2">
        <f t="shared" si="1"/>
        <v>108.47185312168654</v>
      </c>
      <c r="R89" s="2">
        <f t="shared" si="1"/>
        <v>1522.4622318178901</v>
      </c>
      <c r="S89" s="2">
        <f t="shared" si="14"/>
        <v>889.31710576746127</v>
      </c>
    </row>
    <row r="90" spans="2:19" x14ac:dyDescent="0.25">
      <c r="B90">
        <v>824</v>
      </c>
      <c r="C90" s="28">
        <v>6</v>
      </c>
      <c r="D90" s="35" t="s">
        <v>143</v>
      </c>
      <c r="E90" s="154">
        <f>INDEX('2019 Data Lockdown'!H$5:H$257,MATCH(B90,'2019 Data Lockdown'!B$5:B$257,0))</f>
        <v>33.61</v>
      </c>
      <c r="F90" s="7">
        <f>INDEX('2019 Data Lockdown'!E$5:E$257,MATCH(B90,'2019 Data Lockdown'!B$5:B$257,0))</f>
        <v>64105.83</v>
      </c>
      <c r="G90" s="7">
        <f>INDEX('2019 Data Lockdown'!F$5:F$257,MATCH(B90,'2019 Data Lockdown'!B$5:B$257,0))</f>
        <v>0</v>
      </c>
      <c r="H90" s="7">
        <f t="shared" si="9"/>
        <v>64105.83</v>
      </c>
      <c r="I90" s="6">
        <f t="shared" si="10"/>
        <v>1907.3439452543887</v>
      </c>
      <c r="J90" s="6">
        <f t="shared" si="11"/>
        <v>1522.4622318178901</v>
      </c>
      <c r="K90" s="5">
        <f t="shared" si="12"/>
        <v>51169.955611399288</v>
      </c>
      <c r="L90" s="4">
        <f t="shared" si="8"/>
        <v>0</v>
      </c>
      <c r="M90" s="2" cm="1">
        <f t="array" ref="M90">SUMPRODUCT(--($L$6:$L$300&lt;&gt;1),--($C$6:$C$300=$C90),$H$6:$H$300)/SUMPRODUCT(--($L$6:$L$300&lt;&gt;1),--($C$6:$C$300=$C90),$E$6:$E$300)</f>
        <v>815.46704246978834</v>
      </c>
      <c r="N90" s="1" cm="1">
        <f t="array" ref="N90">SUMPRODUCT(--($L$6:$L$300&lt;&gt;1),--($C$6:$C$300=$C90))</f>
        <v>49</v>
      </c>
      <c r="O90" s="3">
        <f t="shared" si="13"/>
        <v>1192195.1708344917</v>
      </c>
      <c r="P90" s="2" cm="1">
        <f t="array" ref="P90">SQRT(SUMPRODUCT(--($L$6:$L$300&lt;&gt;1),--($C$6:$C$300=$C90),$E$6:$E$300,$O$6:$O$300)/((N90-1)*SUMPRODUCT(--($L$6:$L$300&lt;&gt;1),--($C$6:$C$300=$C90),$E$6:$E$300)/N90))</f>
        <v>551.67127750155043</v>
      </c>
      <c r="Q90" s="2">
        <f t="shared" si="1"/>
        <v>108.47185312168654</v>
      </c>
      <c r="R90" s="2">
        <f t="shared" si="1"/>
        <v>1522.4622318178901</v>
      </c>
      <c r="S90" s="2">
        <f t="shared" si="14"/>
        <v>1522.4622318178901</v>
      </c>
    </row>
    <row r="91" spans="2:19" x14ac:dyDescent="0.25">
      <c r="B91">
        <v>826</v>
      </c>
      <c r="C91" s="28">
        <v>6</v>
      </c>
      <c r="D91" s="35" t="s">
        <v>144</v>
      </c>
      <c r="E91" s="154">
        <f>INDEX('2019 Data Lockdown'!H$5:H$257,MATCH(B91,'2019 Data Lockdown'!B$5:B$257,0))</f>
        <v>39.180399999999999</v>
      </c>
      <c r="F91" s="7">
        <f>INDEX('2019 Data Lockdown'!E$5:E$257,MATCH(B91,'2019 Data Lockdown'!B$5:B$257,0))</f>
        <v>36328.44</v>
      </c>
      <c r="G91" s="7">
        <f>INDEX('2019 Data Lockdown'!F$5:F$257,MATCH(B91,'2019 Data Lockdown'!B$5:B$257,0))</f>
        <v>0</v>
      </c>
      <c r="H91" s="7">
        <f t="shared" si="9"/>
        <v>36328.44</v>
      </c>
      <c r="I91" s="6">
        <f t="shared" si="10"/>
        <v>927.20952312891143</v>
      </c>
      <c r="J91" s="6">
        <f t="shared" si="11"/>
        <v>927.20952312891143</v>
      </c>
      <c r="K91" s="5">
        <f t="shared" si="12"/>
        <v>36328.44</v>
      </c>
      <c r="L91" s="4">
        <f t="shared" si="8"/>
        <v>0</v>
      </c>
      <c r="M91" s="2" cm="1">
        <f t="array" ref="M91">SUMPRODUCT(--($L$6:$L$300&lt;&gt;1),--($C$6:$C$300=$C91),$H$6:$H$300)/SUMPRODUCT(--($L$6:$L$300&lt;&gt;1),--($C$6:$C$300=$C91),$E$6:$E$300)</f>
        <v>815.46704246978834</v>
      </c>
      <c r="N91" s="1" cm="1">
        <f t="array" ref="N91">SUMPRODUCT(--($L$6:$L$300&lt;&gt;1),--($C$6:$C$300=$C91))</f>
        <v>49</v>
      </c>
      <c r="O91" s="3">
        <f t="shared" si="13"/>
        <v>12486.381983854497</v>
      </c>
      <c r="P91" s="2" cm="1">
        <f t="array" ref="P91">SQRT(SUMPRODUCT(--($L$6:$L$300&lt;&gt;1),--($C$6:$C$300=$C91),$E$6:$E$300,$O$6:$O$300)/((N91-1)*SUMPRODUCT(--($L$6:$L$300&lt;&gt;1),--($C$6:$C$300=$C91),$E$6:$E$300)/N91))</f>
        <v>551.67127750155043</v>
      </c>
      <c r="Q91" s="2">
        <f t="shared" si="1"/>
        <v>108.47185312168654</v>
      </c>
      <c r="R91" s="2">
        <f t="shared" si="1"/>
        <v>1522.4622318178901</v>
      </c>
      <c r="S91" s="2">
        <f t="shared" si="14"/>
        <v>927.20952312891143</v>
      </c>
    </row>
    <row r="92" spans="2:19" x14ac:dyDescent="0.25">
      <c r="B92">
        <v>840</v>
      </c>
      <c r="C92" s="28">
        <v>6</v>
      </c>
      <c r="D92" s="35" t="s">
        <v>145</v>
      </c>
      <c r="E92" s="154">
        <f>INDEX('2019 Data Lockdown'!H$5:H$257,MATCH(B92,'2019 Data Lockdown'!B$5:B$257,0))</f>
        <v>138.55202775991427</v>
      </c>
      <c r="F92" s="7">
        <f>INDEX('2019 Data Lockdown'!E$5:E$257,MATCH(B92,'2019 Data Lockdown'!B$5:B$257,0))</f>
        <v>115261.04</v>
      </c>
      <c r="G92" s="7">
        <f>INDEX('2019 Data Lockdown'!F$5:F$257,MATCH(B92,'2019 Data Lockdown'!B$5:B$257,0))</f>
        <v>0</v>
      </c>
      <c r="H92" s="7">
        <f t="shared" si="9"/>
        <v>115261.04</v>
      </c>
      <c r="I92" s="6">
        <f t="shared" si="10"/>
        <v>831.89717150676881</v>
      </c>
      <c r="J92" s="6">
        <f t="shared" si="11"/>
        <v>831.89717150676881</v>
      </c>
      <c r="K92" s="5">
        <f t="shared" si="12"/>
        <v>115261.04</v>
      </c>
      <c r="L92" s="4">
        <f t="shared" si="8"/>
        <v>0</v>
      </c>
      <c r="M92" s="2" cm="1">
        <f t="array" ref="M92">SUMPRODUCT(--($L$6:$L$300&lt;&gt;1),--($C$6:$C$300=$C92),$H$6:$H$300)/SUMPRODUCT(--($L$6:$L$300&lt;&gt;1),--($C$6:$C$300=$C92),$E$6:$E$300)</f>
        <v>815.46704246978834</v>
      </c>
      <c r="N92" s="1" cm="1">
        <f t="array" ref="N92">SUMPRODUCT(--($L$6:$L$300&lt;&gt;1),--($C$6:$C$300=$C92))</f>
        <v>49</v>
      </c>
      <c r="O92" s="3">
        <f t="shared" si="13"/>
        <v>269.94914017182896</v>
      </c>
      <c r="P92" s="2" cm="1">
        <f t="array" ref="P92">SQRT(SUMPRODUCT(--($L$6:$L$300&lt;&gt;1),--($C$6:$C$300=$C92),$E$6:$E$300,$O$6:$O$300)/((N92-1)*SUMPRODUCT(--($L$6:$L$300&lt;&gt;1),--($C$6:$C$300=$C92),$E$6:$E$300)/N92))</f>
        <v>551.67127750155043</v>
      </c>
      <c r="Q92" s="2">
        <f t="shared" si="1"/>
        <v>108.47185312168654</v>
      </c>
      <c r="R92" s="2">
        <f t="shared" si="1"/>
        <v>1522.4622318178901</v>
      </c>
      <c r="S92" s="2">
        <f t="shared" si="14"/>
        <v>831.89717150676881</v>
      </c>
    </row>
    <row r="93" spans="2:19" x14ac:dyDescent="0.25">
      <c r="B93">
        <v>843</v>
      </c>
      <c r="C93" s="28">
        <v>6</v>
      </c>
      <c r="D93" s="35" t="s">
        <v>146</v>
      </c>
      <c r="E93" s="154">
        <f>INDEX('2019 Data Lockdown'!H$5:H$257,MATCH(B93,'2019 Data Lockdown'!B$5:B$257,0))</f>
        <v>24.72</v>
      </c>
      <c r="F93" s="7">
        <f>INDEX('2019 Data Lockdown'!E$5:E$257,MATCH(B93,'2019 Data Lockdown'!B$5:B$257,0))</f>
        <v>32653.86</v>
      </c>
      <c r="G93" s="7">
        <f>INDEX('2019 Data Lockdown'!F$5:F$257,MATCH(B93,'2019 Data Lockdown'!B$5:B$257,0))</f>
        <v>0</v>
      </c>
      <c r="H93" s="7">
        <f t="shared" si="9"/>
        <v>32653.86</v>
      </c>
      <c r="I93" s="6">
        <f t="shared" si="10"/>
        <v>1320.9490291262136</v>
      </c>
      <c r="J93" s="6">
        <f t="shared" si="11"/>
        <v>1320.9490291262136</v>
      </c>
      <c r="K93" s="5">
        <f t="shared" si="12"/>
        <v>32653.86</v>
      </c>
      <c r="L93" s="4">
        <f t="shared" si="8"/>
        <v>0</v>
      </c>
      <c r="M93" s="2" cm="1">
        <f t="array" ref="M93">SUMPRODUCT(--($L$6:$L$300&lt;&gt;1),--($C$6:$C$300=$C93),$H$6:$H$300)/SUMPRODUCT(--($L$6:$L$300&lt;&gt;1),--($C$6:$C$300=$C93),$E$6:$E$300)</f>
        <v>815.46704246978834</v>
      </c>
      <c r="N93" s="1" cm="1">
        <f t="array" ref="N93">SUMPRODUCT(--($L$6:$L$300&lt;&gt;1),--($C$6:$C$300=$C93))</f>
        <v>49</v>
      </c>
      <c r="O93" s="3">
        <f t="shared" si="13"/>
        <v>255512.03883412652</v>
      </c>
      <c r="P93" s="2" cm="1">
        <f t="array" ref="P93">SQRT(SUMPRODUCT(--($L$6:$L$300&lt;&gt;1),--($C$6:$C$300=$C93),$E$6:$E$300,$O$6:$O$300)/((N93-1)*SUMPRODUCT(--($L$6:$L$300&lt;&gt;1),--($C$6:$C$300=$C93),$E$6:$E$300)/N93))</f>
        <v>551.67127750155043</v>
      </c>
      <c r="Q93" s="2">
        <f t="shared" si="1"/>
        <v>108.47185312168654</v>
      </c>
      <c r="R93" s="2">
        <f t="shared" si="1"/>
        <v>1522.4622318178901</v>
      </c>
      <c r="S93" s="2">
        <f t="shared" si="14"/>
        <v>1320.9490291262136</v>
      </c>
    </row>
    <row r="94" spans="2:19" x14ac:dyDescent="0.25">
      <c r="B94">
        <v>846</v>
      </c>
      <c r="C94" s="28">
        <v>6</v>
      </c>
      <c r="D94" s="35" t="s">
        <v>147</v>
      </c>
      <c r="E94" s="154">
        <f>INDEX('2019 Data Lockdown'!H$5:H$257,MATCH(B94,'2019 Data Lockdown'!B$5:B$257,0))</f>
        <v>24.695999999999998</v>
      </c>
      <c r="F94" s="7">
        <f>INDEX('2019 Data Lockdown'!E$5:E$257,MATCH(B94,'2019 Data Lockdown'!B$5:B$257,0))</f>
        <v>35434.99</v>
      </c>
      <c r="G94" s="7">
        <f>INDEX('2019 Data Lockdown'!F$5:F$257,MATCH(B94,'2019 Data Lockdown'!B$5:B$257,0))</f>
        <v>0</v>
      </c>
      <c r="H94" s="7">
        <f t="shared" si="9"/>
        <v>35434.99</v>
      </c>
      <c r="I94" s="6">
        <f t="shared" si="10"/>
        <v>1434.8473436993845</v>
      </c>
      <c r="J94" s="6">
        <f t="shared" si="11"/>
        <v>1434.8473436993845</v>
      </c>
      <c r="K94" s="5">
        <f t="shared" si="12"/>
        <v>35434.99</v>
      </c>
      <c r="L94" s="4">
        <f t="shared" si="8"/>
        <v>0</v>
      </c>
      <c r="M94" s="2" cm="1">
        <f t="array" ref="M94">SUMPRODUCT(--($L$6:$L$300&lt;&gt;1),--($C$6:$C$300=$C94),$H$6:$H$300)/SUMPRODUCT(--($L$6:$L$300&lt;&gt;1),--($C$6:$C$300=$C94),$E$6:$E$300)</f>
        <v>815.46704246978834</v>
      </c>
      <c r="N94" s="1" cm="1">
        <f t="array" ref="N94">SUMPRODUCT(--($L$6:$L$300&lt;&gt;1),--($C$6:$C$300=$C94))</f>
        <v>49</v>
      </c>
      <c r="O94" s="3">
        <f t="shared" si="13"/>
        <v>383631.95755126531</v>
      </c>
      <c r="P94" s="2" cm="1">
        <f t="array" ref="P94">SQRT(SUMPRODUCT(--($L$6:$L$300&lt;&gt;1),--($C$6:$C$300=$C94),$E$6:$E$300,$O$6:$O$300)/((N94-1)*SUMPRODUCT(--($L$6:$L$300&lt;&gt;1),--($C$6:$C$300=$C94),$E$6:$E$300)/N94))</f>
        <v>551.67127750155043</v>
      </c>
      <c r="Q94" s="2">
        <f t="shared" si="1"/>
        <v>108.47185312168654</v>
      </c>
      <c r="R94" s="2">
        <f t="shared" si="1"/>
        <v>1522.4622318178901</v>
      </c>
      <c r="S94" s="2">
        <f t="shared" si="14"/>
        <v>1434.8473436993845</v>
      </c>
    </row>
    <row r="95" spans="2:19" x14ac:dyDescent="0.25">
      <c r="B95">
        <v>888</v>
      </c>
      <c r="C95" s="28">
        <v>6</v>
      </c>
      <c r="D95" s="35" t="s">
        <v>148</v>
      </c>
      <c r="E95" s="154">
        <f>INDEX('2019 Data Lockdown'!H$5:H$257,MATCH(B95,'2019 Data Lockdown'!B$5:B$257,0))</f>
        <v>103.64754100869358</v>
      </c>
      <c r="F95" s="7">
        <f>INDEX('2019 Data Lockdown'!E$5:E$257,MATCH(B95,'2019 Data Lockdown'!B$5:B$257,0))</f>
        <v>49302.5</v>
      </c>
      <c r="G95" s="7">
        <f>INDEX('2019 Data Lockdown'!F$5:F$257,MATCH(B95,'2019 Data Lockdown'!B$5:B$257,0))</f>
        <v>0</v>
      </c>
      <c r="H95" s="7">
        <f t="shared" si="9"/>
        <v>49302.5</v>
      </c>
      <c r="I95" s="6">
        <f t="shared" si="10"/>
        <v>475.67457481566964</v>
      </c>
      <c r="J95" s="6">
        <f t="shared" si="11"/>
        <v>475.67457481566964</v>
      </c>
      <c r="K95" s="5">
        <f t="shared" si="12"/>
        <v>49302.5</v>
      </c>
      <c r="L95" s="4">
        <f t="shared" si="8"/>
        <v>0</v>
      </c>
      <c r="M95" s="2" cm="1">
        <f t="array" ref="M95">SUMPRODUCT(--($L$6:$L$300&lt;&gt;1),--($C$6:$C$300=$C95),$H$6:$H$300)/SUMPRODUCT(--($L$6:$L$300&lt;&gt;1),--($C$6:$C$300=$C95),$E$6:$E$300)</f>
        <v>815.46704246978834</v>
      </c>
      <c r="N95" s="1" cm="1">
        <f t="array" ref="N95">SUMPRODUCT(--($L$6:$L$300&lt;&gt;1),--($C$6:$C$300=$C95))</f>
        <v>49</v>
      </c>
      <c r="O95" s="3">
        <f t="shared" si="13"/>
        <v>115458.92107447529</v>
      </c>
      <c r="P95" s="2" cm="1">
        <f t="array" ref="P95">SQRT(SUMPRODUCT(--($L$6:$L$300&lt;&gt;1),--($C$6:$C$300=$C95),$E$6:$E$300,$O$6:$O$300)/((N95-1)*SUMPRODUCT(--($L$6:$L$300&lt;&gt;1),--($C$6:$C$300=$C95),$E$6:$E$300)/N95))</f>
        <v>551.67127750155043</v>
      </c>
      <c r="Q95" s="2">
        <f t="shared" si="1"/>
        <v>108.47185312168654</v>
      </c>
      <c r="R95" s="2">
        <f t="shared" si="1"/>
        <v>1522.4622318178901</v>
      </c>
      <c r="S95" s="2">
        <f t="shared" si="14"/>
        <v>475.67457481566964</v>
      </c>
    </row>
    <row r="96" spans="2:19" x14ac:dyDescent="0.25">
      <c r="B96">
        <v>889</v>
      </c>
      <c r="C96" s="28">
        <v>6</v>
      </c>
      <c r="D96" s="35" t="s">
        <v>149</v>
      </c>
      <c r="E96" s="154">
        <f>INDEX('2019 Data Lockdown'!H$5:H$257,MATCH(B96,'2019 Data Lockdown'!B$5:B$257,0))</f>
        <v>36.258728414910088</v>
      </c>
      <c r="F96" s="7">
        <f>INDEX('2019 Data Lockdown'!E$5:E$257,MATCH(B96,'2019 Data Lockdown'!B$5:B$257,0))</f>
        <v>52828.79</v>
      </c>
      <c r="G96" s="7">
        <f>INDEX('2019 Data Lockdown'!F$5:F$257,MATCH(B96,'2019 Data Lockdown'!B$5:B$257,0))</f>
        <v>0</v>
      </c>
      <c r="H96" s="7">
        <f t="shared" si="9"/>
        <v>52828.79</v>
      </c>
      <c r="I96" s="6">
        <f t="shared" si="10"/>
        <v>1456.9951101284644</v>
      </c>
      <c r="J96" s="6">
        <f t="shared" si="11"/>
        <v>1456.9951101284644</v>
      </c>
      <c r="K96" s="5">
        <f t="shared" si="12"/>
        <v>52828.79</v>
      </c>
      <c r="L96" s="4">
        <f t="shared" si="8"/>
        <v>0</v>
      </c>
      <c r="M96" s="2" cm="1">
        <f t="array" ref="M96">SUMPRODUCT(--($L$6:$L$300&lt;&gt;1),--($C$6:$C$300=$C96),$H$6:$H$300)/SUMPRODUCT(--($L$6:$L$300&lt;&gt;1),--($C$6:$C$300=$C96),$E$6:$E$300)</f>
        <v>815.46704246978834</v>
      </c>
      <c r="N96" s="1" cm="1">
        <f t="array" ref="N96">SUMPRODUCT(--($L$6:$L$300&lt;&gt;1),--($C$6:$C$300=$C96))</f>
        <v>49</v>
      </c>
      <c r="O96" s="3">
        <f t="shared" si="13"/>
        <v>411558.26159387483</v>
      </c>
      <c r="P96" s="2" cm="1">
        <f t="array" ref="P96">SQRT(SUMPRODUCT(--($L$6:$L$300&lt;&gt;1),--($C$6:$C$300=$C96),$E$6:$E$300,$O$6:$O$300)/((N96-1)*SUMPRODUCT(--($L$6:$L$300&lt;&gt;1),--($C$6:$C$300=$C96),$E$6:$E$300)/N96))</f>
        <v>551.67127750155043</v>
      </c>
      <c r="Q96" s="2">
        <f t="shared" si="1"/>
        <v>108.47185312168654</v>
      </c>
      <c r="R96" s="2">
        <f t="shared" si="1"/>
        <v>1522.4622318178901</v>
      </c>
      <c r="S96" s="2">
        <f t="shared" si="14"/>
        <v>1456.9951101284644</v>
      </c>
    </row>
    <row r="97" spans="2:19" x14ac:dyDescent="0.25">
      <c r="B97">
        <v>891</v>
      </c>
      <c r="C97" s="28">
        <v>6</v>
      </c>
      <c r="D97" s="35" t="s">
        <v>150</v>
      </c>
      <c r="E97" s="154">
        <f>INDEX('2019 Data Lockdown'!H$5:H$257,MATCH(B97,'2019 Data Lockdown'!B$5:B$257,0))</f>
        <v>291.1434394945195</v>
      </c>
      <c r="F97" s="7">
        <f>INDEX('2019 Data Lockdown'!E$5:E$257,MATCH(B97,'2019 Data Lockdown'!B$5:B$257,0))</f>
        <v>101210.64</v>
      </c>
      <c r="G97" s="7">
        <f>INDEX('2019 Data Lockdown'!F$5:F$257,MATCH(B97,'2019 Data Lockdown'!B$5:B$257,0))</f>
        <v>0</v>
      </c>
      <c r="H97" s="7">
        <f t="shared" si="9"/>
        <v>101210.64</v>
      </c>
      <c r="I97" s="6">
        <f t="shared" si="10"/>
        <v>347.63153233238216</v>
      </c>
      <c r="J97" s="6">
        <f t="shared" si="11"/>
        <v>347.63153233238216</v>
      </c>
      <c r="K97" s="5">
        <f t="shared" si="12"/>
        <v>101210.64</v>
      </c>
      <c r="L97" s="4">
        <f t="shared" si="8"/>
        <v>0</v>
      </c>
      <c r="M97" s="2" cm="1">
        <f t="array" ref="M97">SUMPRODUCT(--($L$6:$L$300&lt;&gt;1),--($C$6:$C$300=$C97),$H$6:$H$300)/SUMPRODUCT(--($L$6:$L$300&lt;&gt;1),--($C$6:$C$300=$C97),$E$6:$E$300)</f>
        <v>815.46704246978834</v>
      </c>
      <c r="N97" s="1" cm="1">
        <f t="array" ref="N97">SUMPRODUCT(--($L$6:$L$300&lt;&gt;1),--($C$6:$C$300=$C97))</f>
        <v>49</v>
      </c>
      <c r="O97" s="3">
        <f t="shared" si="13"/>
        <v>218870.06454552707</v>
      </c>
      <c r="P97" s="2" cm="1">
        <f t="array" ref="P97">SQRT(SUMPRODUCT(--($L$6:$L$300&lt;&gt;1),--($C$6:$C$300=$C97),$E$6:$E$300,$O$6:$O$300)/((N97-1)*SUMPRODUCT(--($L$6:$L$300&lt;&gt;1),--($C$6:$C$300=$C97),$E$6:$E$300)/N97))</f>
        <v>551.67127750155043</v>
      </c>
      <c r="Q97" s="2">
        <f t="shared" si="1"/>
        <v>108.47185312168654</v>
      </c>
      <c r="R97" s="2">
        <f t="shared" si="1"/>
        <v>1522.4622318178901</v>
      </c>
      <c r="S97" s="2">
        <f t="shared" si="14"/>
        <v>347.63153233238216</v>
      </c>
    </row>
    <row r="98" spans="2:19" x14ac:dyDescent="0.25">
      <c r="B98">
        <v>897</v>
      </c>
      <c r="C98" s="28">
        <v>6</v>
      </c>
      <c r="D98" s="35" t="s">
        <v>260</v>
      </c>
      <c r="E98" s="154">
        <f>INDEX('2019 Data Lockdown'!H$5:H$257,MATCH(B98,'2019 Data Lockdown'!B$5:B$257,0))</f>
        <v>72.361426854937321</v>
      </c>
      <c r="F98" s="7">
        <f>INDEX('2019 Data Lockdown'!E$5:E$257,MATCH(B98,'2019 Data Lockdown'!B$5:B$257,0))</f>
        <v>311526.77</v>
      </c>
      <c r="G98" s="7">
        <f>INDEX('2019 Data Lockdown'!F$5:F$257,MATCH(B98,'2019 Data Lockdown'!B$5:B$257,0))</f>
        <v>84</v>
      </c>
      <c r="H98" s="7">
        <f t="shared" si="9"/>
        <v>311442.77</v>
      </c>
      <c r="I98" s="6">
        <f t="shared" si="10"/>
        <v>4303.9887898334036</v>
      </c>
      <c r="J98" s="6">
        <f t="shared" si="11"/>
        <v>1522.4622318178901</v>
      </c>
      <c r="K98" s="5">
        <f t="shared" si="12"/>
        <v>110167.53942709489</v>
      </c>
      <c r="L98" s="4">
        <f t="shared" si="8"/>
        <v>0</v>
      </c>
      <c r="M98" s="2" cm="1">
        <f t="array" ref="M98">SUMPRODUCT(--($L$6:$L$300&lt;&gt;1),--($C$6:$C$300=$C98),$H$6:$H$300)/SUMPRODUCT(--($L$6:$L$300&lt;&gt;1),--($C$6:$C$300=$C98),$E$6:$E$300)</f>
        <v>815.46704246978834</v>
      </c>
      <c r="N98" s="1" cm="1">
        <f t="array" ref="N98">SUMPRODUCT(--($L$6:$L$300&lt;&gt;1),--($C$6:$C$300=$C98))</f>
        <v>49</v>
      </c>
      <c r="O98" s="3">
        <f t="shared" si="13"/>
        <v>12169783.981828893</v>
      </c>
      <c r="P98" s="2" cm="1">
        <f t="array" ref="P98">SQRT(SUMPRODUCT(--($L$6:$L$300&lt;&gt;1),--($C$6:$C$300=$C98),$E$6:$E$300,$O$6:$O$300)/((N98-1)*SUMPRODUCT(--($L$6:$L$300&lt;&gt;1),--($C$6:$C$300=$C98),$E$6:$E$300)/N98))</f>
        <v>551.67127750155043</v>
      </c>
      <c r="Q98" s="2">
        <f t="shared" si="1"/>
        <v>108.47185312168654</v>
      </c>
      <c r="R98" s="2">
        <f t="shared" si="1"/>
        <v>1522.4622318178901</v>
      </c>
      <c r="S98" s="2">
        <f t="shared" si="14"/>
        <v>1522.4622318178901</v>
      </c>
    </row>
    <row r="99" spans="2:19" x14ac:dyDescent="0.25">
      <c r="B99">
        <v>904</v>
      </c>
      <c r="C99" s="28">
        <v>6</v>
      </c>
      <c r="D99" s="35" t="s">
        <v>151</v>
      </c>
      <c r="E99" s="154">
        <f>INDEX('2019 Data Lockdown'!H$5:H$257,MATCH(B99,'2019 Data Lockdown'!B$5:B$257,0))</f>
        <v>23.64144748103287</v>
      </c>
      <c r="F99" s="7">
        <f>INDEX('2019 Data Lockdown'!E$5:E$257,MATCH(B99,'2019 Data Lockdown'!B$5:B$257,0))</f>
        <v>14117.02</v>
      </c>
      <c r="G99" s="7">
        <f>INDEX('2019 Data Lockdown'!F$5:F$257,MATCH(B99,'2019 Data Lockdown'!B$5:B$257,0))</f>
        <v>0</v>
      </c>
      <c r="H99" s="7">
        <f t="shared" si="9"/>
        <v>14117.02</v>
      </c>
      <c r="I99" s="6">
        <f t="shared" si="10"/>
        <v>597.13010429356518</v>
      </c>
      <c r="J99" s="6">
        <f t="shared" si="11"/>
        <v>597.13010429356518</v>
      </c>
      <c r="K99" s="5">
        <f t="shared" si="12"/>
        <v>14117.020000000002</v>
      </c>
      <c r="L99" s="4">
        <f t="shared" si="8"/>
        <v>0</v>
      </c>
      <c r="M99" s="2" cm="1">
        <f t="array" ref="M99">SUMPRODUCT(--($L$6:$L$300&lt;&gt;1),--($C$6:$C$300=$C99),$H$6:$H$300)/SUMPRODUCT(--($L$6:$L$300&lt;&gt;1),--($C$6:$C$300=$C99),$E$6:$E$300)</f>
        <v>815.46704246978834</v>
      </c>
      <c r="N99" s="1" cm="1">
        <f t="array" ref="N99">SUMPRODUCT(--($L$6:$L$300&lt;&gt;1),--($C$6:$C$300=$C99))</f>
        <v>49</v>
      </c>
      <c r="O99" s="3">
        <f t="shared" si="13"/>
        <v>47671.018572167894</v>
      </c>
      <c r="P99" s="2" cm="1">
        <f t="array" ref="P99">SQRT(SUMPRODUCT(--($L$6:$L$300&lt;&gt;1),--($C$6:$C$300=$C99),$E$6:$E$300,$O$6:$O$300)/((N99-1)*SUMPRODUCT(--($L$6:$L$300&lt;&gt;1),--($C$6:$C$300=$C99),$E$6:$E$300)/N99))</f>
        <v>551.67127750155043</v>
      </c>
      <c r="Q99" s="2">
        <f t="shared" si="1"/>
        <v>108.47185312168654</v>
      </c>
      <c r="R99" s="2">
        <f t="shared" si="1"/>
        <v>1522.4622318178901</v>
      </c>
      <c r="S99" s="2">
        <f t="shared" si="14"/>
        <v>597.13010429356518</v>
      </c>
    </row>
    <row r="100" spans="2:19" x14ac:dyDescent="0.25">
      <c r="B100">
        <v>906</v>
      </c>
      <c r="C100" s="28">
        <v>6</v>
      </c>
      <c r="D100" s="35" t="s">
        <v>320</v>
      </c>
      <c r="E100" s="154">
        <f>INDEX('2019 Data Lockdown'!H$5:H$257,MATCH(B100,'2019 Data Lockdown'!B$5:B$257,0))</f>
        <v>251.9</v>
      </c>
      <c r="F100" s="7">
        <f>INDEX('2019 Data Lockdown'!E$5:E$257,MATCH(B100,'2019 Data Lockdown'!B$5:B$257,0))</f>
        <v>183746.4</v>
      </c>
      <c r="G100" s="7">
        <f>INDEX('2019 Data Lockdown'!F$5:F$257,MATCH(B100,'2019 Data Lockdown'!B$5:B$257,0))</f>
        <v>58.4</v>
      </c>
      <c r="H100" s="7">
        <f t="shared" si="9"/>
        <v>183688</v>
      </c>
      <c r="I100" s="6">
        <f t="shared" si="10"/>
        <v>729.21000396982924</v>
      </c>
      <c r="J100" s="6">
        <f t="shared" si="11"/>
        <v>729.21000396982924</v>
      </c>
      <c r="K100" s="5">
        <f t="shared" si="12"/>
        <v>183688</v>
      </c>
      <c r="L100" s="4">
        <f t="shared" si="8"/>
        <v>0</v>
      </c>
      <c r="M100" s="2" cm="1">
        <f t="array" ref="M100">SUMPRODUCT(--($L$6:$L$300&lt;&gt;1),--($C$6:$C$300=$C100),$H$6:$H$300)/SUMPRODUCT(--($L$6:$L$300&lt;&gt;1),--($C$6:$C$300=$C100),$E$6:$E$300)</f>
        <v>815.46704246978834</v>
      </c>
      <c r="N100" s="1" cm="1">
        <f t="array" ref="N100">SUMPRODUCT(--($L$6:$L$300&lt;&gt;1),--($C$6:$C$300=$C100))</f>
        <v>49</v>
      </c>
      <c r="O100" s="3">
        <f t="shared" si="13"/>
        <v>7440.2766907834257</v>
      </c>
      <c r="P100" s="2" cm="1">
        <f t="array" ref="P100">SQRT(SUMPRODUCT(--($L$6:$L$300&lt;&gt;1),--($C$6:$C$300=$C100),$E$6:$E$300,$O$6:$O$300)/((N100-1)*SUMPRODUCT(--($L$6:$L$300&lt;&gt;1),--($C$6:$C$300=$C100),$E$6:$E$300)/N100))</f>
        <v>551.67127750155043</v>
      </c>
      <c r="Q100" s="2">
        <f t="shared" si="1"/>
        <v>108.47185312168654</v>
      </c>
      <c r="R100" s="2">
        <f t="shared" si="1"/>
        <v>1522.4622318178901</v>
      </c>
      <c r="S100" s="2">
        <f t="shared" si="14"/>
        <v>729.21000396982924</v>
      </c>
    </row>
    <row r="101" spans="2:19" x14ac:dyDescent="0.25">
      <c r="B101">
        <v>917</v>
      </c>
      <c r="C101" s="28">
        <v>6</v>
      </c>
      <c r="D101" s="35" t="s">
        <v>153</v>
      </c>
      <c r="E101" s="154">
        <f>INDEX('2019 Data Lockdown'!H$5:H$257,MATCH(B101,'2019 Data Lockdown'!B$5:B$257,0))</f>
        <v>188.10307825939799</v>
      </c>
      <c r="F101" s="7">
        <f>INDEX('2019 Data Lockdown'!E$5:E$257,MATCH(B101,'2019 Data Lockdown'!B$5:B$257,0))</f>
        <v>59201.33</v>
      </c>
      <c r="G101" s="7">
        <f>INDEX('2019 Data Lockdown'!F$5:F$257,MATCH(B101,'2019 Data Lockdown'!B$5:B$257,0))</f>
        <v>0</v>
      </c>
      <c r="H101" s="7">
        <f t="shared" si="9"/>
        <v>59201.33</v>
      </c>
      <c r="I101" s="6">
        <f t="shared" si="10"/>
        <v>314.72812963943181</v>
      </c>
      <c r="J101" s="6">
        <f t="shared" si="11"/>
        <v>314.72812963943181</v>
      </c>
      <c r="K101" s="5">
        <f t="shared" si="12"/>
        <v>59201.33</v>
      </c>
      <c r="L101" s="4">
        <f t="shared" si="8"/>
        <v>0</v>
      </c>
      <c r="M101" s="2" cm="1">
        <f t="array" ref="M101">SUMPRODUCT(--($L$6:$L$300&lt;&gt;1),--($C$6:$C$300=$C101),$H$6:$H$300)/SUMPRODUCT(--($L$6:$L$300&lt;&gt;1),--($C$6:$C$300=$C101),$E$6:$E$300)</f>
        <v>815.46704246978834</v>
      </c>
      <c r="N101" s="1" cm="1">
        <f t="array" ref="N101">SUMPRODUCT(--($L$6:$L$300&lt;&gt;1),--($C$6:$C$300=$C101))</f>
        <v>49</v>
      </c>
      <c r="O101" s="3">
        <f t="shared" si="13"/>
        <v>250739.45882252741</v>
      </c>
      <c r="P101" s="2" cm="1">
        <f t="array" ref="P101">SQRT(SUMPRODUCT(--($L$6:$L$300&lt;&gt;1),--($C$6:$C$300=$C101),$E$6:$E$300,$O$6:$O$300)/((N101-1)*SUMPRODUCT(--($L$6:$L$300&lt;&gt;1),--($C$6:$C$300=$C101),$E$6:$E$300)/N101))</f>
        <v>551.67127750155043</v>
      </c>
      <c r="Q101" s="2">
        <f t="shared" si="1"/>
        <v>108.47185312168654</v>
      </c>
      <c r="R101" s="2">
        <f t="shared" si="1"/>
        <v>1522.4622318178901</v>
      </c>
      <c r="S101" s="2">
        <f t="shared" si="14"/>
        <v>314.72812963943181</v>
      </c>
    </row>
    <row r="102" spans="2:19" x14ac:dyDescent="0.25">
      <c r="B102">
        <v>957</v>
      </c>
      <c r="C102" s="28">
        <v>6</v>
      </c>
      <c r="D102" s="35" t="s">
        <v>154</v>
      </c>
      <c r="E102" s="154">
        <f>INDEX('2019 Data Lockdown'!H$5:H$257,MATCH(B102,'2019 Data Lockdown'!B$5:B$257,0))</f>
        <v>101.14874671311182</v>
      </c>
      <c r="F102" s="7">
        <f>INDEX('2019 Data Lockdown'!E$5:E$257,MATCH(B102,'2019 Data Lockdown'!B$5:B$257,0))</f>
        <v>40203.24</v>
      </c>
      <c r="G102" s="7">
        <f>INDEX('2019 Data Lockdown'!F$5:F$257,MATCH(B102,'2019 Data Lockdown'!B$5:B$257,0))</f>
        <v>0</v>
      </c>
      <c r="H102" s="7">
        <f t="shared" si="9"/>
        <v>40203.24</v>
      </c>
      <c r="I102" s="6">
        <f t="shared" si="10"/>
        <v>397.46651645648603</v>
      </c>
      <c r="J102" s="6">
        <f t="shared" si="11"/>
        <v>397.46651645648603</v>
      </c>
      <c r="K102" s="5">
        <f t="shared" si="12"/>
        <v>40203.24</v>
      </c>
      <c r="L102" s="4">
        <f t="shared" si="8"/>
        <v>0</v>
      </c>
      <c r="M102" s="2" cm="1">
        <f t="array" ref="M102">SUMPRODUCT(--($L$6:$L$300&lt;&gt;1),--($C$6:$C$300=$C102),$H$6:$H$300)/SUMPRODUCT(--($L$6:$L$300&lt;&gt;1),--($C$6:$C$300=$C102),$E$6:$E$300)</f>
        <v>815.46704246978834</v>
      </c>
      <c r="N102" s="1" cm="1">
        <f t="array" ref="N102">SUMPRODUCT(--($L$6:$L$300&lt;&gt;1),--($C$6:$C$300=$C102))</f>
        <v>49</v>
      </c>
      <c r="O102" s="3">
        <f t="shared" si="13"/>
        <v>174724.43974739741</v>
      </c>
      <c r="P102" s="2" cm="1">
        <f t="array" ref="P102">SQRT(SUMPRODUCT(--($L$6:$L$300&lt;&gt;1),--($C$6:$C$300=$C102),$E$6:$E$300,$O$6:$O$300)/((N102-1)*SUMPRODUCT(--($L$6:$L$300&lt;&gt;1),--($C$6:$C$300=$C102),$E$6:$E$300)/N102))</f>
        <v>551.67127750155043</v>
      </c>
      <c r="Q102" s="2">
        <f t="shared" si="1"/>
        <v>108.47185312168654</v>
      </c>
      <c r="R102" s="2">
        <f t="shared" si="1"/>
        <v>1522.4622318178901</v>
      </c>
      <c r="S102" s="2">
        <f t="shared" si="14"/>
        <v>397.46651645648603</v>
      </c>
    </row>
    <row r="103" spans="2:19" x14ac:dyDescent="0.25">
      <c r="B103">
        <v>959</v>
      </c>
      <c r="C103" s="28">
        <v>6</v>
      </c>
      <c r="D103" s="35" t="s">
        <v>155</v>
      </c>
      <c r="E103" s="154">
        <f>INDEX('2019 Data Lockdown'!H$5:H$257,MATCH(B103,'2019 Data Lockdown'!B$5:B$257,0))</f>
        <v>330.53645925433352</v>
      </c>
      <c r="F103" s="7">
        <f>INDEX('2019 Data Lockdown'!E$5:E$257,MATCH(B103,'2019 Data Lockdown'!B$5:B$257,0))</f>
        <v>123075.62</v>
      </c>
      <c r="G103" s="7">
        <f>INDEX('2019 Data Lockdown'!F$5:F$257,MATCH(B103,'2019 Data Lockdown'!B$5:B$257,0))</f>
        <v>0</v>
      </c>
      <c r="H103" s="7">
        <f t="shared" si="9"/>
        <v>123075.62</v>
      </c>
      <c r="I103" s="6">
        <f t="shared" si="10"/>
        <v>372.35111756702952</v>
      </c>
      <c r="J103" s="6">
        <f t="shared" si="11"/>
        <v>372.35111756702952</v>
      </c>
      <c r="K103" s="5">
        <f t="shared" si="12"/>
        <v>123075.62000000001</v>
      </c>
      <c r="L103" s="4">
        <f t="shared" si="8"/>
        <v>0</v>
      </c>
      <c r="M103" s="2" cm="1">
        <f t="array" ref="M103">SUMPRODUCT(--($L$6:$L$300&lt;&gt;1),--($C$6:$C$300=$C103),$H$6:$H$300)/SUMPRODUCT(--($L$6:$L$300&lt;&gt;1),--($C$6:$C$300=$C103),$E$6:$E$300)</f>
        <v>815.46704246978834</v>
      </c>
      <c r="N103" s="1" cm="1">
        <f t="array" ref="N103">SUMPRODUCT(--($L$6:$L$300&lt;&gt;1),--($C$6:$C$300=$C103))</f>
        <v>49</v>
      </c>
      <c r="O103" s="3">
        <f t="shared" si="13"/>
        <v>196351.7229024274</v>
      </c>
      <c r="P103" s="2" cm="1">
        <f t="array" ref="P103">SQRT(SUMPRODUCT(--($L$6:$L$300&lt;&gt;1),--($C$6:$C$300=$C103),$E$6:$E$300,$O$6:$O$300)/((N103-1)*SUMPRODUCT(--($L$6:$L$300&lt;&gt;1),--($C$6:$C$300=$C103),$E$6:$E$300)/N103))</f>
        <v>551.67127750155043</v>
      </c>
      <c r="Q103" s="2">
        <f t="shared" si="1"/>
        <v>108.47185312168654</v>
      </c>
      <c r="R103" s="2">
        <f t="shared" si="1"/>
        <v>1522.4622318178901</v>
      </c>
      <c r="S103" s="2">
        <f t="shared" si="14"/>
        <v>372.35111756702952</v>
      </c>
    </row>
    <row r="104" spans="2:19" x14ac:dyDescent="0.25">
      <c r="B104">
        <v>969</v>
      </c>
      <c r="C104" s="28">
        <v>6</v>
      </c>
      <c r="D104" s="35" t="s">
        <v>156</v>
      </c>
      <c r="E104" s="154">
        <f>INDEX('2019 Data Lockdown'!H$5:H$257,MATCH(B104,'2019 Data Lockdown'!B$5:B$257,0))</f>
        <v>20.253027862922973</v>
      </c>
      <c r="F104" s="7">
        <f>INDEX('2019 Data Lockdown'!E$5:E$257,MATCH(B104,'2019 Data Lockdown'!B$5:B$257,0))</f>
        <v>87738.63</v>
      </c>
      <c r="G104" s="7">
        <f>INDEX('2019 Data Lockdown'!F$5:F$257,MATCH(B104,'2019 Data Lockdown'!B$5:B$257,0))</f>
        <v>0</v>
      </c>
      <c r="H104" s="7">
        <f t="shared" si="9"/>
        <v>87738.63</v>
      </c>
      <c r="I104" s="6">
        <f t="shared" si="10"/>
        <v>4332.124094917298</v>
      </c>
      <c r="J104" s="6">
        <f t="shared" si="11"/>
        <v>1522.4622318178901</v>
      </c>
      <c r="K104" s="5">
        <f t="shared" si="12"/>
        <v>30834.470001255624</v>
      </c>
      <c r="L104" s="4">
        <f t="shared" si="8"/>
        <v>0</v>
      </c>
      <c r="M104" s="2" cm="1">
        <f t="array" ref="M104">SUMPRODUCT(--($L$6:$L$300&lt;&gt;1),--($C$6:$C$300=$C104),$H$6:$H$300)/SUMPRODUCT(--($L$6:$L$300&lt;&gt;1),--($C$6:$C$300=$C104),$E$6:$E$300)</f>
        <v>815.46704246978834</v>
      </c>
      <c r="N104" s="1" cm="1">
        <f t="array" ref="N104">SUMPRODUCT(--($L$6:$L$300&lt;&gt;1),--($C$6:$C$300=$C104))</f>
        <v>49</v>
      </c>
      <c r="O104" s="3">
        <f t="shared" si="13"/>
        <v>12366876.824528806</v>
      </c>
      <c r="P104" s="2" cm="1">
        <f t="array" ref="P104">SQRT(SUMPRODUCT(--($L$6:$L$300&lt;&gt;1),--($C$6:$C$300=$C104),$E$6:$E$300,$O$6:$O$300)/((N104-1)*SUMPRODUCT(--($L$6:$L$300&lt;&gt;1),--($C$6:$C$300=$C104),$E$6:$E$300)/N104))</f>
        <v>551.67127750155043</v>
      </c>
      <c r="Q104" s="2">
        <f t="shared" si="1"/>
        <v>108.47185312168654</v>
      </c>
      <c r="R104" s="2">
        <f t="shared" si="1"/>
        <v>1522.4622318178901</v>
      </c>
      <c r="S104" s="2">
        <f t="shared" si="14"/>
        <v>1522.4622318178901</v>
      </c>
    </row>
    <row r="105" spans="2:19" x14ac:dyDescent="0.25">
      <c r="B105">
        <v>970</v>
      </c>
      <c r="C105" s="28">
        <v>6</v>
      </c>
      <c r="D105" s="35" t="s">
        <v>157</v>
      </c>
      <c r="E105" s="154">
        <f>INDEX('2019 Data Lockdown'!H$5:H$257,MATCH(B105,'2019 Data Lockdown'!B$5:B$257,0))</f>
        <v>155.95183681022218</v>
      </c>
      <c r="F105" s="7">
        <f>INDEX('2019 Data Lockdown'!E$5:E$257,MATCH(B105,'2019 Data Lockdown'!B$5:B$257,0))</f>
        <v>73920.09</v>
      </c>
      <c r="G105" s="7">
        <f>INDEX('2019 Data Lockdown'!F$5:F$257,MATCH(B105,'2019 Data Lockdown'!B$5:B$257,0))</f>
        <v>161.72</v>
      </c>
      <c r="H105" s="7">
        <f t="shared" si="9"/>
        <v>73758.37</v>
      </c>
      <c r="I105" s="6">
        <f t="shared" si="10"/>
        <v>472.9560838052621</v>
      </c>
      <c r="J105" s="6">
        <f t="shared" si="11"/>
        <v>472.9560838052621</v>
      </c>
      <c r="K105" s="5">
        <f t="shared" si="12"/>
        <v>73758.37</v>
      </c>
      <c r="L105" s="4">
        <f t="shared" si="8"/>
        <v>0</v>
      </c>
      <c r="M105" s="2" cm="1">
        <f t="array" ref="M105">SUMPRODUCT(--($L$6:$L$300&lt;&gt;1),--($C$6:$C$300=$C105),$H$6:$H$300)/SUMPRODUCT(--($L$6:$L$300&lt;&gt;1),--($C$6:$C$300=$C105),$E$6:$E$300)</f>
        <v>815.46704246978834</v>
      </c>
      <c r="N105" s="1" cm="1">
        <f t="array" ref="N105">SUMPRODUCT(--($L$6:$L$300&lt;&gt;1),--($C$6:$C$300=$C105))</f>
        <v>49</v>
      </c>
      <c r="O105" s="3">
        <f t="shared" si="13"/>
        <v>117313.75680529281</v>
      </c>
      <c r="P105" s="2" cm="1">
        <f t="array" ref="P105">SQRT(SUMPRODUCT(--($L$6:$L$300&lt;&gt;1),--($C$6:$C$300=$C105),$E$6:$E$300,$O$6:$O$300)/((N105-1)*SUMPRODUCT(--($L$6:$L$300&lt;&gt;1),--($C$6:$C$300=$C105),$E$6:$E$300)/N105))</f>
        <v>551.67127750155043</v>
      </c>
      <c r="Q105" s="2">
        <f t="shared" si="1"/>
        <v>108.47185312168654</v>
      </c>
      <c r="R105" s="2">
        <f t="shared" si="1"/>
        <v>1522.4622318178901</v>
      </c>
      <c r="S105" s="2">
        <f t="shared" si="14"/>
        <v>472.9560838052621</v>
      </c>
    </row>
    <row r="106" spans="2:19" x14ac:dyDescent="0.25">
      <c r="B106">
        <v>978</v>
      </c>
      <c r="C106" s="28">
        <v>6</v>
      </c>
      <c r="D106" s="35" t="s">
        <v>270</v>
      </c>
      <c r="E106" s="154">
        <f>INDEX('2019 Data Lockdown'!H$5:H$257,MATCH(B106,'2019 Data Lockdown'!B$5:B$257,0))</f>
        <v>25.008086578565759</v>
      </c>
      <c r="F106" s="7">
        <f>INDEX('2019 Data Lockdown'!E$5:E$257,MATCH(B106,'2019 Data Lockdown'!B$5:B$257,0))</f>
        <v>28052.51</v>
      </c>
      <c r="G106" s="7">
        <f>INDEX('2019 Data Lockdown'!F$5:F$257,MATCH(B106,'2019 Data Lockdown'!B$5:B$257,0))</f>
        <v>0</v>
      </c>
      <c r="H106" s="7">
        <f t="shared" si="9"/>
        <v>28052.51</v>
      </c>
      <c r="I106" s="6">
        <f t="shared" si="10"/>
        <v>1121.7375592438805</v>
      </c>
      <c r="J106" s="6">
        <f t="shared" si="11"/>
        <v>1121.7375592438805</v>
      </c>
      <c r="K106" s="5">
        <f t="shared" si="12"/>
        <v>28052.510000000002</v>
      </c>
      <c r="L106" s="4">
        <f t="shared" si="8"/>
        <v>0</v>
      </c>
      <c r="M106" s="2" cm="1">
        <f t="array" ref="M106">SUMPRODUCT(--($L$6:$L$300&lt;&gt;1),--($C$6:$C$300=$C106),$H$6:$H$300)/SUMPRODUCT(--($L$6:$L$300&lt;&gt;1),--($C$6:$C$300=$C106),$E$6:$E$300)</f>
        <v>815.46704246978834</v>
      </c>
      <c r="N106" s="1" cm="1">
        <f t="array" ref="N106">SUMPRODUCT(--($L$6:$L$300&lt;&gt;1),--($C$6:$C$300=$C106))</f>
        <v>49</v>
      </c>
      <c r="O106" s="3">
        <f t="shared" si="13"/>
        <v>93801.629445069455</v>
      </c>
      <c r="P106" s="2" cm="1">
        <f t="array" ref="P106">SQRT(SUMPRODUCT(--($L$6:$L$300&lt;&gt;1),--($C$6:$C$300=$C106),$E$6:$E$300,$O$6:$O$300)/((N106-1)*SUMPRODUCT(--($L$6:$L$300&lt;&gt;1),--($C$6:$C$300=$C106),$E$6:$E$300)/N106))</f>
        <v>551.67127750155043</v>
      </c>
      <c r="Q106" s="2">
        <f t="shared" si="1"/>
        <v>108.47185312168654</v>
      </c>
      <c r="R106" s="2">
        <f t="shared" si="1"/>
        <v>1522.4622318178901</v>
      </c>
      <c r="S106" s="2">
        <f t="shared" si="14"/>
        <v>1121.7375592438805</v>
      </c>
    </row>
    <row r="107" spans="2:19" x14ac:dyDescent="0.25">
      <c r="B107">
        <v>986</v>
      </c>
      <c r="C107" s="28">
        <v>6</v>
      </c>
      <c r="D107" s="35" t="s">
        <v>159</v>
      </c>
      <c r="E107" s="154">
        <f>INDEX('2019 Data Lockdown'!H$5:H$257,MATCH(B107,'2019 Data Lockdown'!B$5:B$257,0))</f>
        <v>7.8194298879459128</v>
      </c>
      <c r="F107" s="7">
        <f>INDEX('2019 Data Lockdown'!E$5:E$257,MATCH(B107,'2019 Data Lockdown'!B$5:B$257,0))</f>
        <v>43562.55</v>
      </c>
      <c r="G107" s="7">
        <f>INDEX('2019 Data Lockdown'!F$5:F$257,MATCH(B107,'2019 Data Lockdown'!B$5:B$257,0))</f>
        <v>0</v>
      </c>
      <c r="H107" s="7">
        <f t="shared" si="9"/>
        <v>43562.55</v>
      </c>
      <c r="I107" s="6">
        <f t="shared" si="10"/>
        <v>5571.0647226537712</v>
      </c>
      <c r="J107" s="6">
        <f t="shared" si="11"/>
        <v>1522.4622318178901</v>
      </c>
      <c r="K107" s="5">
        <f t="shared" si="12"/>
        <v>11904.78667874565</v>
      </c>
      <c r="L107" s="4">
        <f t="shared" si="8"/>
        <v>0</v>
      </c>
      <c r="M107" s="2" cm="1">
        <f t="array" ref="M107">SUMPRODUCT(--($L$6:$L$300&lt;&gt;1),--($C$6:$C$300=$C107),$H$6:$H$300)/SUMPRODUCT(--($L$6:$L$300&lt;&gt;1),--($C$6:$C$300=$C107),$E$6:$E$300)</f>
        <v>815.46704246978834</v>
      </c>
      <c r="N107" s="1" cm="1">
        <f t="array" ref="N107">SUMPRODUCT(--($L$6:$L$300&lt;&gt;1),--($C$6:$C$300=$C107))</f>
        <v>49</v>
      </c>
      <c r="O107" s="3">
        <f t="shared" si="13"/>
        <v>22615709.295771275</v>
      </c>
      <c r="P107" s="2" cm="1">
        <f t="array" ref="P107">SQRT(SUMPRODUCT(--($L$6:$L$300&lt;&gt;1),--($C$6:$C$300=$C107),$E$6:$E$300,$O$6:$O$300)/((N107-1)*SUMPRODUCT(--($L$6:$L$300&lt;&gt;1),--($C$6:$C$300=$C107),$E$6:$E$300)/N107))</f>
        <v>551.67127750155043</v>
      </c>
      <c r="Q107" s="2">
        <f t="shared" si="1"/>
        <v>108.47185312168654</v>
      </c>
      <c r="R107" s="2">
        <f t="shared" si="1"/>
        <v>1522.4622318178901</v>
      </c>
      <c r="S107" s="2">
        <f t="shared" si="14"/>
        <v>1522.4622318178901</v>
      </c>
    </row>
    <row r="108" spans="2:19" x14ac:dyDescent="0.25">
      <c r="B108">
        <v>988</v>
      </c>
      <c r="C108" s="28">
        <v>6</v>
      </c>
      <c r="D108" s="35" t="s">
        <v>160</v>
      </c>
      <c r="E108" s="154">
        <f>INDEX('2019 Data Lockdown'!H$5:H$257,MATCH(B108,'2019 Data Lockdown'!B$5:B$257,0))</f>
        <v>133.20495744908894</v>
      </c>
      <c r="F108" s="7">
        <f>INDEX('2019 Data Lockdown'!E$5:E$257,MATCH(B108,'2019 Data Lockdown'!B$5:B$257,0))</f>
        <v>132703.88</v>
      </c>
      <c r="G108" s="7">
        <f>INDEX('2019 Data Lockdown'!F$5:F$257,MATCH(B108,'2019 Data Lockdown'!B$5:B$257,0))</f>
        <v>91</v>
      </c>
      <c r="H108" s="7">
        <f t="shared" si="9"/>
        <v>132612.88</v>
      </c>
      <c r="I108" s="6">
        <f t="shared" si="10"/>
        <v>995.55513953513912</v>
      </c>
      <c r="J108" s="6">
        <f t="shared" si="11"/>
        <v>995.55513953513912</v>
      </c>
      <c r="K108" s="5">
        <f t="shared" si="12"/>
        <v>132612.88</v>
      </c>
      <c r="L108" s="4">
        <f t="shared" si="8"/>
        <v>0</v>
      </c>
      <c r="M108" s="2" cm="1">
        <f t="array" ref="M108">SUMPRODUCT(--($L$6:$L$300&lt;&gt;1),--($C$6:$C$300=$C108),$H$6:$H$300)/SUMPRODUCT(--($L$6:$L$300&lt;&gt;1),--($C$6:$C$300=$C108),$E$6:$E$300)</f>
        <v>815.46704246978834</v>
      </c>
      <c r="N108" s="1" cm="1">
        <f t="array" ref="N108">SUMPRODUCT(--($L$6:$L$300&lt;&gt;1),--($C$6:$C$300=$C108))</f>
        <v>49</v>
      </c>
      <c r="O108" s="3">
        <f t="shared" si="13"/>
        <v>32431.722704619206</v>
      </c>
      <c r="P108" s="2" cm="1">
        <f t="array" ref="P108">SQRT(SUMPRODUCT(--($L$6:$L$300&lt;&gt;1),--($C$6:$C$300=$C108),$E$6:$E$300,$O$6:$O$300)/((N108-1)*SUMPRODUCT(--($L$6:$L$300&lt;&gt;1),--($C$6:$C$300=$C108),$E$6:$E$300)/N108))</f>
        <v>551.67127750155043</v>
      </c>
      <c r="Q108" s="2">
        <f t="shared" si="1"/>
        <v>108.47185312168654</v>
      </c>
      <c r="R108" s="2">
        <f t="shared" si="1"/>
        <v>1522.4622318178901</v>
      </c>
      <c r="S108" s="2">
        <f t="shared" si="14"/>
        <v>995.55513953513912</v>
      </c>
    </row>
    <row r="109" spans="2:19" x14ac:dyDescent="0.25">
      <c r="B109">
        <v>989</v>
      </c>
      <c r="C109" s="28">
        <v>6</v>
      </c>
      <c r="D109" s="35" t="s">
        <v>161</v>
      </c>
      <c r="E109" s="154">
        <f>INDEX('2019 Data Lockdown'!H$5:H$257,MATCH(B109,'2019 Data Lockdown'!B$5:B$257,0))</f>
        <v>326.70423415609696</v>
      </c>
      <c r="F109" s="7">
        <f>INDEX('2019 Data Lockdown'!E$5:E$257,MATCH(B109,'2019 Data Lockdown'!B$5:B$257,0))</f>
        <v>300886.87</v>
      </c>
      <c r="G109" s="7">
        <f>INDEX('2019 Data Lockdown'!F$5:F$257,MATCH(B109,'2019 Data Lockdown'!B$5:B$257,0))</f>
        <v>37627.469999999994</v>
      </c>
      <c r="H109" s="7">
        <f t="shared" si="9"/>
        <v>263259.40000000002</v>
      </c>
      <c r="I109" s="6">
        <f t="shared" si="10"/>
        <v>805.80345302233377</v>
      </c>
      <c r="J109" s="6">
        <f t="shared" si="11"/>
        <v>805.80345302233377</v>
      </c>
      <c r="K109" s="5">
        <f t="shared" si="12"/>
        <v>263259.40000000002</v>
      </c>
      <c r="L109" s="4">
        <f t="shared" si="8"/>
        <v>0</v>
      </c>
      <c r="M109" s="2" cm="1">
        <f t="array" ref="M109">SUMPRODUCT(--($L$6:$L$300&lt;&gt;1),--($C$6:$C$300=$C109),$H$6:$H$300)/SUMPRODUCT(--($L$6:$L$300&lt;&gt;1),--($C$6:$C$300=$C109),$E$6:$E$300)</f>
        <v>815.46704246978834</v>
      </c>
      <c r="N109" s="1" cm="1">
        <f t="array" ref="N109">SUMPRODUCT(--($L$6:$L$300&lt;&gt;1),--($C$6:$C$300=$C109))</f>
        <v>49</v>
      </c>
      <c r="O109" s="3">
        <f t="shared" si="13"/>
        <v>93.384961008955315</v>
      </c>
      <c r="P109" s="2" cm="1">
        <f t="array" ref="P109">SQRT(SUMPRODUCT(--($L$6:$L$300&lt;&gt;1),--($C$6:$C$300=$C109),$E$6:$E$300,$O$6:$O$300)/((N109-1)*SUMPRODUCT(--($L$6:$L$300&lt;&gt;1),--($C$6:$C$300=$C109),$E$6:$E$300)/N109))</f>
        <v>551.67127750155043</v>
      </c>
      <c r="Q109" s="2">
        <f t="shared" si="1"/>
        <v>108.47185312168654</v>
      </c>
      <c r="R109" s="2">
        <f t="shared" si="1"/>
        <v>1522.4622318178901</v>
      </c>
      <c r="S109" s="2">
        <f t="shared" si="14"/>
        <v>805.80345302233377</v>
      </c>
    </row>
    <row r="110" spans="2:19" x14ac:dyDescent="0.25">
      <c r="B110">
        <v>39</v>
      </c>
      <c r="C110" s="28">
        <v>7</v>
      </c>
      <c r="D110" s="35" t="s">
        <v>162</v>
      </c>
      <c r="E110" s="154">
        <f>INDEX('2019 Data Lockdown'!H$5:H$257,MATCH(B110,'2019 Data Lockdown'!B$5:B$257,0))</f>
        <v>314.39</v>
      </c>
      <c r="F110" s="7">
        <f>INDEX('2019 Data Lockdown'!E$5:E$257,MATCH(B110,'2019 Data Lockdown'!B$5:B$257,0))</f>
        <v>131981.43</v>
      </c>
      <c r="G110" s="7">
        <f>INDEX('2019 Data Lockdown'!F$5:F$257,MATCH(B110,'2019 Data Lockdown'!B$5:B$257,0))</f>
        <v>1501.53</v>
      </c>
      <c r="H110" s="7">
        <f t="shared" si="9"/>
        <v>130479.9</v>
      </c>
      <c r="I110" s="6">
        <f t="shared" si="10"/>
        <v>415.02560514011259</v>
      </c>
      <c r="J110" s="6">
        <f t="shared" si="11"/>
        <v>415.02560514011259</v>
      </c>
      <c r="K110" s="5">
        <f t="shared" si="12"/>
        <v>130479.9</v>
      </c>
      <c r="L110" s="4">
        <f t="shared" si="8"/>
        <v>0</v>
      </c>
      <c r="M110" s="2" cm="1">
        <f t="array" ref="M110">SUMPRODUCT(--($L$6:$L$300&lt;&gt;1),--($C$6:$C$300=$C110),$H$6:$H$300)/SUMPRODUCT(--($L$6:$L$300&lt;&gt;1),--($C$6:$C$300=$C110),$E$6:$E$300)</f>
        <v>543.72843951517063</v>
      </c>
      <c r="N110" s="1" cm="1">
        <f t="array" ref="N110">SUMPRODUCT(--($L$6:$L$300&lt;&gt;1),--($C$6:$C$300=$C110))</f>
        <v>69</v>
      </c>
      <c r="O110" s="3">
        <f t="shared" si="13"/>
        <v>16564.419576173623</v>
      </c>
      <c r="P110" s="2" cm="1">
        <f t="array" ref="P110">SQRT(SUMPRODUCT(--($L$6:$L$300&lt;&gt;1),--($C$6:$C$300=$C110),$E$6:$E$300,$O$6:$O$300)/((N110-1)*SUMPRODUCT(--($L$6:$L$300&lt;&gt;1),--($C$6:$C$300=$C110),$E$6:$E$300)/N110))</f>
        <v>193.10040445873076</v>
      </c>
      <c r="Q110" s="2">
        <f t="shared" si="1"/>
        <v>296.26031387378862</v>
      </c>
      <c r="R110" s="2">
        <f t="shared" si="1"/>
        <v>791.19656515655265</v>
      </c>
      <c r="S110" s="2">
        <f t="shared" si="14"/>
        <v>415.02560514011259</v>
      </c>
    </row>
    <row r="111" spans="2:19" x14ac:dyDescent="0.25">
      <c r="B111">
        <v>59</v>
      </c>
      <c r="C111" s="28">
        <v>7</v>
      </c>
      <c r="D111" s="35" t="s">
        <v>163</v>
      </c>
      <c r="E111" s="154">
        <f>INDEX('2019 Data Lockdown'!H$5:H$257,MATCH(B111,'2019 Data Lockdown'!B$5:B$257,0))</f>
        <v>199.24752698257859</v>
      </c>
      <c r="F111" s="7">
        <f>INDEX('2019 Data Lockdown'!E$5:E$257,MATCH(B111,'2019 Data Lockdown'!B$5:B$257,0))</f>
        <v>176388.86</v>
      </c>
      <c r="G111" s="7">
        <f>INDEX('2019 Data Lockdown'!F$5:F$257,MATCH(B111,'2019 Data Lockdown'!B$5:B$257,0))</f>
        <v>0</v>
      </c>
      <c r="H111" s="7">
        <f t="shared" si="9"/>
        <v>176388.86</v>
      </c>
      <c r="I111" s="6">
        <f t="shared" si="10"/>
        <v>885.27502785729791</v>
      </c>
      <c r="J111" s="6">
        <f t="shared" si="11"/>
        <v>791.19656515655265</v>
      </c>
      <c r="K111" s="5">
        <f t="shared" si="12"/>
        <v>157643.95896455372</v>
      </c>
      <c r="L111" s="4">
        <f t="shared" si="8"/>
        <v>0</v>
      </c>
      <c r="M111" s="2" cm="1">
        <f t="array" ref="M111">SUMPRODUCT(--($L$6:$L$300&lt;&gt;1),--($C$6:$C$300=$C111),$H$6:$H$300)/SUMPRODUCT(--($L$6:$L$300&lt;&gt;1),--($C$6:$C$300=$C111),$E$6:$E$300)</f>
        <v>543.72843951517063</v>
      </c>
      <c r="N111" s="1" cm="1">
        <f t="array" ref="N111">SUMPRODUCT(--($L$6:$L$300&lt;&gt;1),--($C$6:$C$300=$C111))</f>
        <v>69</v>
      </c>
      <c r="O111" s="3">
        <f t="shared" si="13"/>
        <v>116654.07200814656</v>
      </c>
      <c r="P111" s="2" cm="1">
        <f t="array" ref="P111">SQRT(SUMPRODUCT(--($L$6:$L$300&lt;&gt;1),--($C$6:$C$300=$C111),$E$6:$E$300,$O$6:$O$300)/((N111-1)*SUMPRODUCT(--($L$6:$L$300&lt;&gt;1),--($C$6:$C$300=$C111),$E$6:$E$300)/N111))</f>
        <v>193.10040445873076</v>
      </c>
      <c r="Q111" s="2">
        <f t="shared" si="1"/>
        <v>296.26031387378862</v>
      </c>
      <c r="R111" s="2">
        <f t="shared" si="1"/>
        <v>791.19656515655265</v>
      </c>
      <c r="S111" s="2">
        <f t="shared" si="14"/>
        <v>791.19656515655265</v>
      </c>
    </row>
    <row r="112" spans="2:19" x14ac:dyDescent="0.25">
      <c r="B112">
        <v>100</v>
      </c>
      <c r="C112" s="28">
        <v>7</v>
      </c>
      <c r="D112" s="35" t="s">
        <v>272</v>
      </c>
      <c r="E112" s="154">
        <f>INDEX('2019 Data Lockdown'!H$5:H$257,MATCH(B112,'2019 Data Lockdown'!B$5:B$257,0))</f>
        <v>28.459906979550897</v>
      </c>
      <c r="F112" s="7">
        <f>INDEX('2019 Data Lockdown'!E$5:E$257,MATCH(B112,'2019 Data Lockdown'!B$5:B$257,0))</f>
        <v>31057.59</v>
      </c>
      <c r="G112" s="7">
        <f>INDEX('2019 Data Lockdown'!F$5:F$257,MATCH(B112,'2019 Data Lockdown'!B$5:B$257,0))</f>
        <v>0</v>
      </c>
      <c r="H112" s="7">
        <f t="shared" si="9"/>
        <v>31057.59</v>
      </c>
      <c r="I112" s="6">
        <f t="shared" si="10"/>
        <v>1091.2751760684109</v>
      </c>
      <c r="J112" s="6">
        <f t="shared" si="11"/>
        <v>791.19656515655265</v>
      </c>
      <c r="K112" s="5">
        <f t="shared" si="12"/>
        <v>22517.380646895668</v>
      </c>
      <c r="L112" s="4">
        <f t="shared" si="8"/>
        <v>0</v>
      </c>
      <c r="M112" s="2" cm="1">
        <f t="array" ref="M112">SUMPRODUCT(--($L$6:$L$300&lt;&gt;1),--($C$6:$C$300=$C112),$H$6:$H$300)/SUMPRODUCT(--($L$6:$L$300&lt;&gt;1),--($C$6:$C$300=$C112),$E$6:$E$300)</f>
        <v>543.72843951517063</v>
      </c>
      <c r="N112" s="1" cm="1">
        <f t="array" ref="N112">SUMPRODUCT(--($L$6:$L$300&lt;&gt;1),--($C$6:$C$300=$C112))</f>
        <v>69</v>
      </c>
      <c r="O112" s="3">
        <f t="shared" si="13"/>
        <v>299807.42871010356</v>
      </c>
      <c r="P112" s="2" cm="1">
        <f t="array" ref="P112">SQRT(SUMPRODUCT(--($L$6:$L$300&lt;&gt;1),--($C$6:$C$300=$C112),$E$6:$E$300,$O$6:$O$300)/((N112-1)*SUMPRODUCT(--($L$6:$L$300&lt;&gt;1),--($C$6:$C$300=$C112),$E$6:$E$300)/N112))</f>
        <v>193.10040445873076</v>
      </c>
      <c r="Q112" s="2">
        <f t="shared" si="1"/>
        <v>296.26031387378862</v>
      </c>
      <c r="R112" s="2">
        <f t="shared" si="1"/>
        <v>791.19656515655265</v>
      </c>
      <c r="S112" s="2">
        <f t="shared" si="14"/>
        <v>791.19656515655265</v>
      </c>
    </row>
    <row r="113" spans="2:19" x14ac:dyDescent="0.25">
      <c r="B113">
        <v>128</v>
      </c>
      <c r="C113" s="28">
        <v>7</v>
      </c>
      <c r="D113" s="35" t="s">
        <v>164</v>
      </c>
      <c r="E113" s="154">
        <f>INDEX('2019 Data Lockdown'!H$5:H$257,MATCH(B113,'2019 Data Lockdown'!B$5:B$257,0))</f>
        <v>124.30075709261769</v>
      </c>
      <c r="F113" s="7">
        <f>INDEX('2019 Data Lockdown'!E$5:E$257,MATCH(B113,'2019 Data Lockdown'!B$5:B$257,0))</f>
        <v>94207.63</v>
      </c>
      <c r="G113" s="7">
        <f>INDEX('2019 Data Lockdown'!F$5:F$257,MATCH(B113,'2019 Data Lockdown'!B$5:B$257,0))</f>
        <v>265.42</v>
      </c>
      <c r="H113" s="7">
        <f t="shared" si="9"/>
        <v>93942.21</v>
      </c>
      <c r="I113" s="6">
        <f t="shared" si="10"/>
        <v>755.76538870155684</v>
      </c>
      <c r="J113" s="6">
        <f t="shared" si="11"/>
        <v>755.76538870155684</v>
      </c>
      <c r="K113" s="5">
        <f t="shared" si="12"/>
        <v>93942.21</v>
      </c>
      <c r="L113" s="4">
        <f t="shared" si="8"/>
        <v>0</v>
      </c>
      <c r="M113" s="2" cm="1">
        <f t="array" ref="M113">SUMPRODUCT(--($L$6:$L$300&lt;&gt;1),--($C$6:$C$300=$C113),$H$6:$H$300)/SUMPRODUCT(--($L$6:$L$300&lt;&gt;1),--($C$6:$C$300=$C113),$E$6:$E$300)</f>
        <v>543.72843951517063</v>
      </c>
      <c r="N113" s="1" cm="1">
        <f t="array" ref="N113">SUMPRODUCT(--($L$6:$L$300&lt;&gt;1),--($C$6:$C$300=$C113))</f>
        <v>69</v>
      </c>
      <c r="O113" s="3">
        <f t="shared" si="13"/>
        <v>44959.66782027013</v>
      </c>
      <c r="P113" s="2" cm="1">
        <f t="array" ref="P113">SQRT(SUMPRODUCT(--($L$6:$L$300&lt;&gt;1),--($C$6:$C$300=$C113),$E$6:$E$300,$O$6:$O$300)/((N113-1)*SUMPRODUCT(--($L$6:$L$300&lt;&gt;1),--($C$6:$C$300=$C113),$E$6:$E$300)/N113))</f>
        <v>193.10040445873076</v>
      </c>
      <c r="Q113" s="2">
        <f t="shared" si="1"/>
        <v>296.26031387378862</v>
      </c>
      <c r="R113" s="2">
        <f t="shared" si="1"/>
        <v>791.19656515655265</v>
      </c>
      <c r="S113" s="2">
        <f t="shared" si="14"/>
        <v>755.76538870155684</v>
      </c>
    </row>
    <row r="114" spans="2:19" x14ac:dyDescent="0.25">
      <c r="B114">
        <v>152</v>
      </c>
      <c r="C114" s="28">
        <v>7</v>
      </c>
      <c r="D114" s="35" t="s">
        <v>165</v>
      </c>
      <c r="E114" s="154">
        <f>INDEX('2019 Data Lockdown'!H$5:H$257,MATCH(B114,'2019 Data Lockdown'!B$5:B$257,0))</f>
        <v>416.02</v>
      </c>
      <c r="F114" s="7">
        <f>INDEX('2019 Data Lockdown'!E$5:E$257,MATCH(B114,'2019 Data Lockdown'!B$5:B$257,0))</f>
        <v>201392.59</v>
      </c>
      <c r="G114" s="7">
        <f>INDEX('2019 Data Lockdown'!F$5:F$257,MATCH(B114,'2019 Data Lockdown'!B$5:B$257,0))</f>
        <v>0</v>
      </c>
      <c r="H114" s="7">
        <f t="shared" si="9"/>
        <v>201392.59</v>
      </c>
      <c r="I114" s="6">
        <f t="shared" si="10"/>
        <v>484.09352915725208</v>
      </c>
      <c r="J114" s="6">
        <f t="shared" si="11"/>
        <v>484.09352915725208</v>
      </c>
      <c r="K114" s="5">
        <f t="shared" si="12"/>
        <v>201392.59</v>
      </c>
      <c r="L114" s="4">
        <f t="shared" si="8"/>
        <v>0</v>
      </c>
      <c r="M114" s="2" cm="1">
        <f t="array" ref="M114">SUMPRODUCT(--($L$6:$L$300&lt;&gt;1),--($C$6:$C$300=$C114),$H$6:$H$300)/SUMPRODUCT(--($L$6:$L$300&lt;&gt;1),--($C$6:$C$300=$C114),$E$6:$E$300)</f>
        <v>543.72843951517063</v>
      </c>
      <c r="N114" s="1" cm="1">
        <f t="array" ref="N114">SUMPRODUCT(--($L$6:$L$300&lt;&gt;1),--($C$6:$C$300=$C114))</f>
        <v>69</v>
      </c>
      <c r="O114" s="3">
        <f t="shared" si="13"/>
        <v>3556.3225333969822</v>
      </c>
      <c r="P114" s="2" cm="1">
        <f t="array" ref="P114">SQRT(SUMPRODUCT(--($L$6:$L$300&lt;&gt;1),--($C$6:$C$300=$C114),$E$6:$E$300,$O$6:$O$300)/((N114-1)*SUMPRODUCT(--($L$6:$L$300&lt;&gt;1),--($C$6:$C$300=$C114),$E$6:$E$300)/N114))</f>
        <v>193.10040445873076</v>
      </c>
      <c r="Q114" s="2">
        <f t="shared" si="1"/>
        <v>296.26031387378862</v>
      </c>
      <c r="R114" s="2">
        <f>NORMINV(R$4,$M114,$P114)</f>
        <v>791.19656515655265</v>
      </c>
      <c r="S114" s="2">
        <f t="shared" si="14"/>
        <v>484.09352915725208</v>
      </c>
    </row>
    <row r="115" spans="2:19" x14ac:dyDescent="0.25">
      <c r="B115">
        <v>162</v>
      </c>
      <c r="C115" s="28">
        <v>7</v>
      </c>
      <c r="D115" s="35" t="s">
        <v>166</v>
      </c>
      <c r="E115" s="154">
        <f>INDEX('2019 Data Lockdown'!H$5:H$257,MATCH(B115,'2019 Data Lockdown'!B$5:B$257,0))</f>
        <v>817.57999999999993</v>
      </c>
      <c r="F115" s="7">
        <f>INDEX('2019 Data Lockdown'!E$5:E$257,MATCH(B115,'2019 Data Lockdown'!B$5:B$257,0))</f>
        <v>406976.46</v>
      </c>
      <c r="G115" s="7">
        <f>INDEX('2019 Data Lockdown'!F$5:F$257,MATCH(B115,'2019 Data Lockdown'!B$5:B$257,0))</f>
        <v>20849.919999999998</v>
      </c>
      <c r="H115" s="7">
        <f t="shared" si="9"/>
        <v>386126.54000000004</v>
      </c>
      <c r="I115" s="6">
        <f t="shared" si="10"/>
        <v>472.27982582744204</v>
      </c>
      <c r="J115" s="6">
        <f t="shared" si="11"/>
        <v>472.27982582744204</v>
      </c>
      <c r="K115" s="5">
        <f t="shared" si="12"/>
        <v>386126.54000000004</v>
      </c>
      <c r="L115" s="4">
        <f t="shared" si="8"/>
        <v>0</v>
      </c>
      <c r="M115" s="2" cm="1">
        <f t="array" ref="M115">SUMPRODUCT(--($L$6:$L$300&lt;&gt;1),--($C$6:$C$300=$C115),$H$6:$H$300)/SUMPRODUCT(--($L$6:$L$300&lt;&gt;1),--($C$6:$C$300=$C115),$E$6:$E$300)</f>
        <v>543.72843951517063</v>
      </c>
      <c r="N115" s="1" cm="1">
        <f t="array" ref="N115">SUMPRODUCT(--($L$6:$L$300&lt;&gt;1),--($C$6:$C$300=$C115))</f>
        <v>69</v>
      </c>
      <c r="O115" s="3">
        <f t="shared" si="13"/>
        <v>5104.9043978982781</v>
      </c>
      <c r="P115" s="2" cm="1">
        <f t="array" ref="P115">SQRT(SUMPRODUCT(--($L$6:$L$300&lt;&gt;1),--($C$6:$C$300=$C115),$E$6:$E$300,$O$6:$O$300)/((N115-1)*SUMPRODUCT(--($L$6:$L$300&lt;&gt;1),--($C$6:$C$300=$C115),$E$6:$E$300)/N115))</f>
        <v>193.10040445873076</v>
      </c>
      <c r="Q115" s="2">
        <f t="shared" ref="Q115:R178" si="15">NORMINV(Q$4,$M115,$P115)</f>
        <v>296.26031387378862</v>
      </c>
      <c r="R115" s="2">
        <f t="shared" si="15"/>
        <v>791.19656515655265</v>
      </c>
      <c r="S115" s="2">
        <f t="shared" si="14"/>
        <v>472.27982582744204</v>
      </c>
    </row>
    <row r="116" spans="2:19" x14ac:dyDescent="0.25">
      <c r="B116">
        <v>166</v>
      </c>
      <c r="C116" s="28">
        <v>7</v>
      </c>
      <c r="D116" s="35" t="s">
        <v>167</v>
      </c>
      <c r="E116" s="154">
        <f>INDEX('2019 Data Lockdown'!H$5:H$257,MATCH(B116,'2019 Data Lockdown'!B$5:B$257,0))</f>
        <v>812.39060000000006</v>
      </c>
      <c r="F116" s="7">
        <f>INDEX('2019 Data Lockdown'!E$5:E$257,MATCH(B116,'2019 Data Lockdown'!B$5:B$257,0))</f>
        <v>468737.5</v>
      </c>
      <c r="G116" s="7">
        <f>INDEX('2019 Data Lockdown'!F$5:F$257,MATCH(B116,'2019 Data Lockdown'!B$5:B$257,0))</f>
        <v>69372.91</v>
      </c>
      <c r="H116" s="7">
        <f t="shared" si="9"/>
        <v>399364.58999999997</v>
      </c>
      <c r="I116" s="6">
        <f t="shared" si="10"/>
        <v>491.59184018131174</v>
      </c>
      <c r="J116" s="6">
        <f t="shared" si="11"/>
        <v>491.59184018131174</v>
      </c>
      <c r="K116" s="5">
        <f t="shared" si="12"/>
        <v>399364.58999999997</v>
      </c>
      <c r="L116" s="4">
        <f t="shared" si="8"/>
        <v>0</v>
      </c>
      <c r="M116" s="2" cm="1">
        <f t="array" ref="M116">SUMPRODUCT(--($L$6:$L$300&lt;&gt;1),--($C$6:$C$300=$C116),$H$6:$H$300)/SUMPRODUCT(--($L$6:$L$300&lt;&gt;1),--($C$6:$C$300=$C116),$E$6:$E$300)</f>
        <v>543.72843951517063</v>
      </c>
      <c r="N116" s="1" cm="1">
        <f t="array" ref="N116">SUMPRODUCT(--($L$6:$L$300&lt;&gt;1),--($C$6:$C$300=$C116))</f>
        <v>69</v>
      </c>
      <c r="O116" s="3">
        <f t="shared" si="13"/>
        <v>2718.2249900993361</v>
      </c>
      <c r="P116" s="2" cm="1">
        <f t="array" ref="P116">SQRT(SUMPRODUCT(--($L$6:$L$300&lt;&gt;1),--($C$6:$C$300=$C116),$E$6:$E$300,$O$6:$O$300)/((N116-1)*SUMPRODUCT(--($L$6:$L$300&lt;&gt;1),--($C$6:$C$300=$C116),$E$6:$E$300)/N116))</f>
        <v>193.10040445873076</v>
      </c>
      <c r="Q116" s="2">
        <f t="shared" si="15"/>
        <v>296.26031387378862</v>
      </c>
      <c r="R116" s="2">
        <f t="shared" si="15"/>
        <v>791.19656515655265</v>
      </c>
      <c r="S116" s="2">
        <f t="shared" si="14"/>
        <v>491.59184018131174</v>
      </c>
    </row>
    <row r="117" spans="2:19" x14ac:dyDescent="0.25">
      <c r="B117">
        <v>192</v>
      </c>
      <c r="C117" s="28">
        <v>7</v>
      </c>
      <c r="D117" s="35" t="s">
        <v>168</v>
      </c>
      <c r="E117" s="154">
        <f>INDEX('2019 Data Lockdown'!H$5:H$257,MATCH(B117,'2019 Data Lockdown'!B$5:B$257,0))</f>
        <v>176.93</v>
      </c>
      <c r="F117" s="7">
        <f>INDEX('2019 Data Lockdown'!E$5:E$257,MATCH(B117,'2019 Data Lockdown'!B$5:B$257,0))</f>
        <v>131883.44</v>
      </c>
      <c r="G117" s="7">
        <f>INDEX('2019 Data Lockdown'!F$5:F$257,MATCH(B117,'2019 Data Lockdown'!B$5:B$257,0))</f>
        <v>15209.029999999999</v>
      </c>
      <c r="H117" s="7">
        <f t="shared" si="9"/>
        <v>116674.41</v>
      </c>
      <c r="I117" s="6">
        <f t="shared" si="10"/>
        <v>659.43825241620982</v>
      </c>
      <c r="J117" s="6">
        <f t="shared" si="11"/>
        <v>659.43825241620982</v>
      </c>
      <c r="K117" s="5">
        <f t="shared" si="12"/>
        <v>116674.41</v>
      </c>
      <c r="L117" s="4">
        <f t="shared" si="8"/>
        <v>0</v>
      </c>
      <c r="M117" s="2" cm="1">
        <f t="array" ref="M117">SUMPRODUCT(--($L$6:$L$300&lt;&gt;1),--($C$6:$C$300=$C117),$H$6:$H$300)/SUMPRODUCT(--($L$6:$L$300&lt;&gt;1),--($C$6:$C$300=$C117),$E$6:$E$300)</f>
        <v>543.72843951517063</v>
      </c>
      <c r="N117" s="1" cm="1">
        <f t="array" ref="N117">SUMPRODUCT(--($L$6:$L$300&lt;&gt;1),--($C$6:$C$300=$C117))</f>
        <v>69</v>
      </c>
      <c r="O117" s="3">
        <f t="shared" si="13"/>
        <v>13388.760801593495</v>
      </c>
      <c r="P117" s="2" cm="1">
        <f t="array" ref="P117">SQRT(SUMPRODUCT(--($L$6:$L$300&lt;&gt;1),--($C$6:$C$300=$C117),$E$6:$E$300,$O$6:$O$300)/((N117-1)*SUMPRODUCT(--($L$6:$L$300&lt;&gt;1),--($C$6:$C$300=$C117),$E$6:$E$300)/N117))</f>
        <v>193.10040445873076</v>
      </c>
      <c r="Q117" s="2">
        <f t="shared" si="15"/>
        <v>296.26031387378862</v>
      </c>
      <c r="R117" s="2">
        <f t="shared" si="15"/>
        <v>791.19656515655265</v>
      </c>
      <c r="S117" s="2">
        <f t="shared" si="14"/>
        <v>659.43825241620982</v>
      </c>
    </row>
    <row r="118" spans="2:19" x14ac:dyDescent="0.25">
      <c r="B118">
        <v>205</v>
      </c>
      <c r="C118" s="28">
        <v>7</v>
      </c>
      <c r="D118" s="35" t="s">
        <v>169</v>
      </c>
      <c r="E118" s="154">
        <f>INDEX('2019 Data Lockdown'!H$5:H$257,MATCH(B118,'2019 Data Lockdown'!B$5:B$257,0))</f>
        <v>569.83868095153036</v>
      </c>
      <c r="F118" s="7">
        <f>INDEX('2019 Data Lockdown'!E$5:E$257,MATCH(B118,'2019 Data Lockdown'!B$5:B$257,0))</f>
        <v>404989.35</v>
      </c>
      <c r="G118" s="7">
        <f>INDEX('2019 Data Lockdown'!F$5:F$257,MATCH(B118,'2019 Data Lockdown'!B$5:B$257,0))</f>
        <v>12086.56</v>
      </c>
      <c r="H118" s="7">
        <f t="shared" si="9"/>
        <v>392902.79</v>
      </c>
      <c r="I118" s="6">
        <f t="shared" si="10"/>
        <v>689.49827930936772</v>
      </c>
      <c r="J118" s="6">
        <f t="shared" si="11"/>
        <v>689.49827930936772</v>
      </c>
      <c r="K118" s="5">
        <f t="shared" si="12"/>
        <v>392902.79</v>
      </c>
      <c r="L118" s="4">
        <f t="shared" si="8"/>
        <v>0</v>
      </c>
      <c r="M118" s="2" cm="1">
        <f t="array" ref="M118">SUMPRODUCT(--($L$6:$L$300&lt;&gt;1),--($C$6:$C$300=$C118),$H$6:$H$300)/SUMPRODUCT(--($L$6:$L$300&lt;&gt;1),--($C$6:$C$300=$C118),$E$6:$E$300)</f>
        <v>543.72843951517063</v>
      </c>
      <c r="N118" s="1" cm="1">
        <f t="array" ref="N118">SUMPRODUCT(--($L$6:$L$300&lt;&gt;1),--($C$6:$C$300=$C118))</f>
        <v>69</v>
      </c>
      <c r="O118" s="3">
        <f t="shared" si="13"/>
        <v>21248.846193625883</v>
      </c>
      <c r="P118" s="2" cm="1">
        <f t="array" ref="P118">SQRT(SUMPRODUCT(--($L$6:$L$300&lt;&gt;1),--($C$6:$C$300=$C118),$E$6:$E$300,$O$6:$O$300)/((N118-1)*SUMPRODUCT(--($L$6:$L$300&lt;&gt;1),--($C$6:$C$300=$C118),$E$6:$E$300)/N118))</f>
        <v>193.10040445873076</v>
      </c>
      <c r="Q118" s="2">
        <f t="shared" si="15"/>
        <v>296.26031387378862</v>
      </c>
      <c r="R118" s="2">
        <f t="shared" si="15"/>
        <v>791.19656515655265</v>
      </c>
      <c r="S118" s="2">
        <f t="shared" si="14"/>
        <v>689.49827930936772</v>
      </c>
    </row>
    <row r="119" spans="2:19" x14ac:dyDescent="0.25">
      <c r="B119">
        <v>212</v>
      </c>
      <c r="C119" s="36">
        <v>7</v>
      </c>
      <c r="D119" s="35" t="s">
        <v>170</v>
      </c>
      <c r="E119" s="154">
        <f>INDEX('2019 Data Lockdown'!H$5:H$257,MATCH(B119,'2019 Data Lockdown'!B$5:B$257,0))</f>
        <v>406.1665486930608</v>
      </c>
      <c r="F119" s="7">
        <f>INDEX('2019 Data Lockdown'!E$5:E$257,MATCH(B119,'2019 Data Lockdown'!B$5:B$257,0))</f>
        <v>252873.52</v>
      </c>
      <c r="G119" s="7">
        <f>INDEX('2019 Data Lockdown'!F$5:F$257,MATCH(B119,'2019 Data Lockdown'!B$5:B$257,0))</f>
        <v>851</v>
      </c>
      <c r="H119" s="7">
        <f t="shared" si="9"/>
        <v>252022.52</v>
      </c>
      <c r="I119" s="6">
        <f t="shared" si="10"/>
        <v>620.49058646248307</v>
      </c>
      <c r="J119" s="6">
        <f t="shared" si="11"/>
        <v>620.49058646248307</v>
      </c>
      <c r="K119" s="5">
        <f t="shared" si="12"/>
        <v>252022.52</v>
      </c>
      <c r="L119" s="4">
        <f t="shared" si="8"/>
        <v>0</v>
      </c>
      <c r="M119" s="2" cm="1">
        <f t="array" ref="M119">SUMPRODUCT(--($L$6:$L$300&lt;&gt;1),--($C$6:$C$300=$C119),$H$6:$H$300)/SUMPRODUCT(--($L$6:$L$300&lt;&gt;1),--($C$6:$C$300=$C119),$E$6:$E$300)</f>
        <v>543.72843951517063</v>
      </c>
      <c r="N119" s="1" cm="1">
        <f t="array" ref="N119">SUMPRODUCT(--($L$6:$L$300&lt;&gt;1),--($C$6:$C$300=$C119))</f>
        <v>69</v>
      </c>
      <c r="O119" s="3">
        <f t="shared" si="13"/>
        <v>5892.4272039607868</v>
      </c>
      <c r="P119" s="2" cm="1">
        <f t="array" ref="P119">SQRT(SUMPRODUCT(--($L$6:$L$300&lt;&gt;1),--($C$6:$C$300=$C119),$E$6:$E$300,$O$6:$O$300)/((N119-1)*SUMPRODUCT(--($L$6:$L$300&lt;&gt;1),--($C$6:$C$300=$C119),$E$6:$E$300)/N119))</f>
        <v>193.10040445873076</v>
      </c>
      <c r="Q119" s="2">
        <f t="shared" si="15"/>
        <v>296.26031387378862</v>
      </c>
      <c r="R119" s="2">
        <f t="shared" si="15"/>
        <v>791.19656515655265</v>
      </c>
      <c r="S119" s="2">
        <f t="shared" si="14"/>
        <v>620.49058646248307</v>
      </c>
    </row>
    <row r="120" spans="2:19" x14ac:dyDescent="0.25">
      <c r="B120">
        <v>216</v>
      </c>
      <c r="C120" s="28">
        <v>7</v>
      </c>
      <c r="D120" s="35" t="s">
        <v>171</v>
      </c>
      <c r="E120" s="154">
        <f>INDEX('2019 Data Lockdown'!H$5:H$257,MATCH(B120,'2019 Data Lockdown'!B$5:B$257,0))</f>
        <v>734.36593752530666</v>
      </c>
      <c r="F120" s="7">
        <f>INDEX('2019 Data Lockdown'!E$5:E$257,MATCH(B120,'2019 Data Lockdown'!B$5:B$257,0))</f>
        <v>322813.15000000002</v>
      </c>
      <c r="G120" s="7">
        <f>INDEX('2019 Data Lockdown'!F$5:F$257,MATCH(B120,'2019 Data Lockdown'!B$5:B$257,0))</f>
        <v>665</v>
      </c>
      <c r="H120" s="7">
        <f t="shared" si="9"/>
        <v>322148.15000000002</v>
      </c>
      <c r="I120" s="6">
        <f t="shared" si="10"/>
        <v>438.6752347005455</v>
      </c>
      <c r="J120" s="6">
        <f t="shared" si="11"/>
        <v>438.6752347005455</v>
      </c>
      <c r="K120" s="5">
        <f t="shared" si="12"/>
        <v>322148.15000000002</v>
      </c>
      <c r="L120" s="4">
        <f t="shared" si="8"/>
        <v>0</v>
      </c>
      <c r="M120" s="2" cm="1">
        <f t="array" ref="M120">SUMPRODUCT(--($L$6:$L$300&lt;&gt;1),--($C$6:$C$300=$C120),$H$6:$H$300)/SUMPRODUCT(--($L$6:$L$300&lt;&gt;1),--($C$6:$C$300=$C120),$E$6:$E$300)</f>
        <v>543.72843951517063</v>
      </c>
      <c r="N120" s="1" cm="1">
        <f t="array" ref="N120">SUMPRODUCT(--($L$6:$L$300&lt;&gt;1),--($C$6:$C$300=$C120))</f>
        <v>69</v>
      </c>
      <c r="O120" s="3">
        <f t="shared" si="13"/>
        <v>11036.175841823577</v>
      </c>
      <c r="P120" s="2" cm="1">
        <f t="array" ref="P120">SQRT(SUMPRODUCT(--($L$6:$L$300&lt;&gt;1),--($C$6:$C$300=$C120),$E$6:$E$300,$O$6:$O$300)/((N120-1)*SUMPRODUCT(--($L$6:$L$300&lt;&gt;1),--($C$6:$C$300=$C120),$E$6:$E$300)/N120))</f>
        <v>193.10040445873076</v>
      </c>
      <c r="Q120" s="2">
        <f t="shared" si="15"/>
        <v>296.26031387378862</v>
      </c>
      <c r="R120" s="2">
        <f t="shared" si="15"/>
        <v>791.19656515655265</v>
      </c>
      <c r="S120" s="2">
        <f t="shared" si="14"/>
        <v>438.6752347005455</v>
      </c>
    </row>
    <row r="121" spans="2:19" x14ac:dyDescent="0.25">
      <c r="B121">
        <v>218</v>
      </c>
      <c r="C121" s="28">
        <v>7</v>
      </c>
      <c r="D121" s="35" t="s">
        <v>276</v>
      </c>
      <c r="E121" s="154">
        <f>INDEX('2019 Data Lockdown'!H$5:H$257,MATCH(B121,'2019 Data Lockdown'!B$5:B$257,0))</f>
        <v>234.26633373228532</v>
      </c>
      <c r="F121" s="7">
        <f>INDEX('2019 Data Lockdown'!E$5:E$257,MATCH(B121,'2019 Data Lockdown'!B$5:B$257,0))</f>
        <v>202407.39</v>
      </c>
      <c r="G121" s="7">
        <f>INDEX('2019 Data Lockdown'!F$5:F$257,MATCH(B121,'2019 Data Lockdown'!B$5:B$257,0))</f>
        <v>240</v>
      </c>
      <c r="H121" s="7">
        <f t="shared" si="9"/>
        <v>202167.39</v>
      </c>
      <c r="I121" s="6">
        <f t="shared" si="10"/>
        <v>862.98097886755124</v>
      </c>
      <c r="J121" s="6">
        <f t="shared" si="11"/>
        <v>791.19656515655265</v>
      </c>
      <c r="K121" s="5">
        <f t="shared" si="12"/>
        <v>185350.71858080279</v>
      </c>
      <c r="L121" s="4">
        <f t="shared" si="8"/>
        <v>0</v>
      </c>
      <c r="M121" s="2" cm="1">
        <f t="array" ref="M121">SUMPRODUCT(--($L$6:$L$300&lt;&gt;1),--($C$6:$C$300=$C121),$H$6:$H$300)/SUMPRODUCT(--($L$6:$L$300&lt;&gt;1),--($C$6:$C$300=$C121),$E$6:$E$300)</f>
        <v>543.72843951517063</v>
      </c>
      <c r="N121" s="1" cm="1">
        <f t="array" ref="N121">SUMPRODUCT(--($L$6:$L$300&lt;&gt;1),--($C$6:$C$300=$C121))</f>
        <v>69</v>
      </c>
      <c r="O121" s="3">
        <f t="shared" si="13"/>
        <v>101922.18388294333</v>
      </c>
      <c r="P121" s="2" cm="1">
        <f t="array" ref="P121">SQRT(SUMPRODUCT(--($L$6:$L$300&lt;&gt;1),--($C$6:$C$300=$C121),$E$6:$E$300,$O$6:$O$300)/((N121-1)*SUMPRODUCT(--($L$6:$L$300&lt;&gt;1),--($C$6:$C$300=$C121),$E$6:$E$300)/N121))</f>
        <v>193.10040445873076</v>
      </c>
      <c r="Q121" s="2">
        <f t="shared" si="15"/>
        <v>296.26031387378862</v>
      </c>
      <c r="R121" s="2">
        <f t="shared" si="15"/>
        <v>791.19656515655265</v>
      </c>
      <c r="S121" s="2">
        <f t="shared" si="14"/>
        <v>791.19656515655265</v>
      </c>
    </row>
    <row r="122" spans="2:19" x14ac:dyDescent="0.25">
      <c r="B122">
        <v>229</v>
      </c>
      <c r="C122" s="28">
        <v>7</v>
      </c>
      <c r="D122" s="35" t="s">
        <v>172</v>
      </c>
      <c r="E122" s="154">
        <f>INDEX('2019 Data Lockdown'!H$5:H$257,MATCH(B122,'2019 Data Lockdown'!B$5:B$257,0))</f>
        <v>828.46</v>
      </c>
      <c r="F122" s="7">
        <f>INDEX('2019 Data Lockdown'!E$5:E$257,MATCH(B122,'2019 Data Lockdown'!B$5:B$257,0))</f>
        <v>520124.41</v>
      </c>
      <c r="G122" s="7">
        <f>INDEX('2019 Data Lockdown'!F$5:F$257,MATCH(B122,'2019 Data Lockdown'!B$5:B$257,0))</f>
        <v>81188.479999999996</v>
      </c>
      <c r="H122" s="7">
        <f t="shared" si="9"/>
        <v>438935.93</v>
      </c>
      <c r="I122" s="6">
        <f t="shared" si="10"/>
        <v>529.82151220336527</v>
      </c>
      <c r="J122" s="6">
        <f t="shared" si="11"/>
        <v>529.82151220336527</v>
      </c>
      <c r="K122" s="5">
        <f t="shared" si="12"/>
        <v>438935.93</v>
      </c>
      <c r="L122" s="4">
        <f t="shared" si="8"/>
        <v>0</v>
      </c>
      <c r="M122" s="2" cm="1">
        <f t="array" ref="M122">SUMPRODUCT(--($L$6:$L$300&lt;&gt;1),--($C$6:$C$300=$C122),$H$6:$H$300)/SUMPRODUCT(--($L$6:$L$300&lt;&gt;1),--($C$6:$C$300=$C122),$E$6:$E$300)</f>
        <v>543.72843951517063</v>
      </c>
      <c r="N122" s="1" cm="1">
        <f t="array" ref="N122">SUMPRODUCT(--($L$6:$L$300&lt;&gt;1),--($C$6:$C$300=$C122))</f>
        <v>69</v>
      </c>
      <c r="O122" s="3">
        <f t="shared" si="13"/>
        <v>193.4026272558379</v>
      </c>
      <c r="P122" s="2" cm="1">
        <f t="array" ref="P122">SQRT(SUMPRODUCT(--($L$6:$L$300&lt;&gt;1),--($C$6:$C$300=$C122),$E$6:$E$300,$O$6:$O$300)/((N122-1)*SUMPRODUCT(--($L$6:$L$300&lt;&gt;1),--($C$6:$C$300=$C122),$E$6:$E$300)/N122))</f>
        <v>193.10040445873076</v>
      </c>
      <c r="Q122" s="2">
        <f t="shared" si="15"/>
        <v>296.26031387378862</v>
      </c>
      <c r="R122" s="2">
        <f t="shared" si="15"/>
        <v>791.19656515655265</v>
      </c>
      <c r="S122" s="2">
        <f t="shared" si="14"/>
        <v>529.82151220336527</v>
      </c>
    </row>
    <row r="123" spans="2:19" x14ac:dyDescent="0.25">
      <c r="B123">
        <v>236</v>
      </c>
      <c r="C123" s="28">
        <v>7</v>
      </c>
      <c r="D123" s="35" t="s">
        <v>173</v>
      </c>
      <c r="E123" s="154">
        <f>INDEX('2019 Data Lockdown'!H$5:H$257,MATCH(B123,'2019 Data Lockdown'!B$5:B$257,0))</f>
        <v>1063.22</v>
      </c>
      <c r="F123" s="7">
        <f>INDEX('2019 Data Lockdown'!E$5:E$257,MATCH(B123,'2019 Data Lockdown'!B$5:B$257,0))</f>
        <v>641009.56000000006</v>
      </c>
      <c r="G123" s="7">
        <f>INDEX('2019 Data Lockdown'!F$5:F$257,MATCH(B123,'2019 Data Lockdown'!B$5:B$257,0))</f>
        <v>131330.90000000002</v>
      </c>
      <c r="H123" s="7">
        <f t="shared" si="9"/>
        <v>509678.66000000003</v>
      </c>
      <c r="I123" s="6">
        <f t="shared" si="10"/>
        <v>479.37271684129342</v>
      </c>
      <c r="J123" s="6">
        <f t="shared" si="11"/>
        <v>479.37271684129342</v>
      </c>
      <c r="K123" s="5">
        <f t="shared" si="12"/>
        <v>509678.66000000003</v>
      </c>
      <c r="L123" s="4">
        <f t="shared" si="8"/>
        <v>0</v>
      </c>
      <c r="M123" s="2" cm="1">
        <f t="array" ref="M123">SUMPRODUCT(--($L$6:$L$300&lt;&gt;1),--($C$6:$C$300=$C123),$H$6:$H$300)/SUMPRODUCT(--($L$6:$L$300&lt;&gt;1),--($C$6:$C$300=$C123),$E$6:$E$300)</f>
        <v>543.72843951517063</v>
      </c>
      <c r="N123" s="1" cm="1">
        <f t="array" ref="N123">SUMPRODUCT(--($L$6:$L$300&lt;&gt;1),--($C$6:$C$300=$C123))</f>
        <v>69</v>
      </c>
      <c r="O123" s="3">
        <f t="shared" si="13"/>
        <v>4141.6590408769935</v>
      </c>
      <c r="P123" s="2" cm="1">
        <f t="array" ref="P123">SQRT(SUMPRODUCT(--($L$6:$L$300&lt;&gt;1),--($C$6:$C$300=$C123),$E$6:$E$300,$O$6:$O$300)/((N123-1)*SUMPRODUCT(--($L$6:$L$300&lt;&gt;1),--($C$6:$C$300=$C123),$E$6:$E$300)/N123))</f>
        <v>193.10040445873076</v>
      </c>
      <c r="Q123" s="2">
        <f t="shared" si="15"/>
        <v>296.26031387378862</v>
      </c>
      <c r="R123" s="2">
        <f t="shared" si="15"/>
        <v>791.19656515655265</v>
      </c>
      <c r="S123" s="2">
        <f t="shared" si="14"/>
        <v>479.37271684129342</v>
      </c>
    </row>
    <row r="124" spans="2:19" x14ac:dyDescent="0.25">
      <c r="B124">
        <v>238</v>
      </c>
      <c r="C124" s="28">
        <v>7</v>
      </c>
      <c r="D124" s="35" t="s">
        <v>311</v>
      </c>
      <c r="E124" s="154">
        <f>INDEX('2019 Data Lockdown'!H$5:H$257,MATCH(B124,'2019 Data Lockdown'!B$5:B$257,0))</f>
        <v>59.944851964987492</v>
      </c>
      <c r="F124" s="7">
        <f>INDEX('2019 Data Lockdown'!E$5:E$257,MATCH(B124,'2019 Data Lockdown'!B$5:B$257,0))</f>
        <v>35866.36</v>
      </c>
      <c r="G124" s="7">
        <f>INDEX('2019 Data Lockdown'!F$5:F$257,MATCH(B124,'2019 Data Lockdown'!B$5:B$257,0))</f>
        <v>24</v>
      </c>
      <c r="H124" s="7">
        <f t="shared" si="9"/>
        <v>35842.36</v>
      </c>
      <c r="I124" s="6">
        <f t="shared" si="10"/>
        <v>597.92223727459964</v>
      </c>
      <c r="J124" s="6">
        <f t="shared" si="11"/>
        <v>597.92223727459964</v>
      </c>
      <c r="K124" s="5">
        <f t="shared" si="12"/>
        <v>35842.36</v>
      </c>
      <c r="L124" s="4">
        <f t="shared" si="8"/>
        <v>0</v>
      </c>
      <c r="M124" s="2" cm="1">
        <f t="array" ref="M124">SUMPRODUCT(--($L$6:$L$300&lt;&gt;1),--($C$6:$C$300=$C124),$H$6:$H$300)/SUMPRODUCT(--($L$6:$L$300&lt;&gt;1),--($C$6:$C$300=$C124),$E$6:$E$300)</f>
        <v>543.72843951517063</v>
      </c>
      <c r="N124" s="1" cm="1">
        <f t="array" ref="N124">SUMPRODUCT(--($L$6:$L$300&lt;&gt;1),--($C$6:$C$300=$C124))</f>
        <v>69</v>
      </c>
      <c r="O124" s="3">
        <f t="shared" si="13"/>
        <v>2936.9677155898921</v>
      </c>
      <c r="P124" s="2" cm="1">
        <f t="array" ref="P124">SQRT(SUMPRODUCT(--($L$6:$L$300&lt;&gt;1),--($C$6:$C$300=$C124),$E$6:$E$300,$O$6:$O$300)/((N124-1)*SUMPRODUCT(--($L$6:$L$300&lt;&gt;1),--($C$6:$C$300=$C124),$E$6:$E$300)/N124))</f>
        <v>193.10040445873076</v>
      </c>
      <c r="Q124" s="2">
        <f t="shared" si="15"/>
        <v>296.26031387378862</v>
      </c>
      <c r="R124" s="2">
        <f t="shared" si="15"/>
        <v>791.19656515655265</v>
      </c>
      <c r="S124" s="2">
        <f t="shared" si="14"/>
        <v>597.92223727459964</v>
      </c>
    </row>
    <row r="125" spans="2:19" x14ac:dyDescent="0.25">
      <c r="B125">
        <v>239</v>
      </c>
      <c r="C125" s="28">
        <v>7</v>
      </c>
      <c r="D125" s="35" t="s">
        <v>174</v>
      </c>
      <c r="E125" s="154">
        <f>INDEX('2019 Data Lockdown'!H$5:H$257,MATCH(B125,'2019 Data Lockdown'!B$5:B$257,0))</f>
        <v>2925.25</v>
      </c>
      <c r="F125" s="7">
        <f>INDEX('2019 Data Lockdown'!E$5:E$257,MATCH(B125,'2019 Data Lockdown'!B$5:B$257,0))</f>
        <v>1822993.26</v>
      </c>
      <c r="G125" s="7">
        <f>INDEX('2019 Data Lockdown'!F$5:F$257,MATCH(B125,'2019 Data Lockdown'!B$5:B$257,0))</f>
        <v>204609.35</v>
      </c>
      <c r="H125" s="7">
        <f t="shared" si="9"/>
        <v>1618383.91</v>
      </c>
      <c r="I125" s="6">
        <f t="shared" si="10"/>
        <v>553.24635843090334</v>
      </c>
      <c r="J125" s="6">
        <f t="shared" si="11"/>
        <v>553.24635843090334</v>
      </c>
      <c r="K125" s="5">
        <f t="shared" si="12"/>
        <v>1618383.91</v>
      </c>
      <c r="L125" s="4">
        <f t="shared" si="8"/>
        <v>0</v>
      </c>
      <c r="M125" s="2" cm="1">
        <f t="array" ref="M125">SUMPRODUCT(--($L$6:$L$300&lt;&gt;1),--($C$6:$C$300=$C125),$H$6:$H$300)/SUMPRODUCT(--($L$6:$L$300&lt;&gt;1),--($C$6:$C$300=$C125),$E$6:$E$300)</f>
        <v>543.72843951517063</v>
      </c>
      <c r="N125" s="1" cm="1">
        <f t="array" ref="N125">SUMPRODUCT(--($L$6:$L$300&lt;&gt;1),--($C$6:$C$300=$C125))</f>
        <v>69</v>
      </c>
      <c r="O125" s="3">
        <f t="shared" si="13"/>
        <v>90.590780486462478</v>
      </c>
      <c r="P125" s="2" cm="1">
        <f t="array" ref="P125">SQRT(SUMPRODUCT(--($L$6:$L$300&lt;&gt;1),--($C$6:$C$300=$C125),$E$6:$E$300,$O$6:$O$300)/((N125-1)*SUMPRODUCT(--($L$6:$L$300&lt;&gt;1),--($C$6:$C$300=$C125),$E$6:$E$300)/N125))</f>
        <v>193.10040445873076</v>
      </c>
      <c r="Q125" s="2">
        <f t="shared" si="15"/>
        <v>296.26031387378862</v>
      </c>
      <c r="R125" s="2">
        <f t="shared" si="15"/>
        <v>791.19656515655265</v>
      </c>
      <c r="S125" s="2">
        <f t="shared" si="14"/>
        <v>553.24635843090334</v>
      </c>
    </row>
    <row r="126" spans="2:19" x14ac:dyDescent="0.25">
      <c r="B126">
        <v>249</v>
      </c>
      <c r="C126" s="28">
        <v>7</v>
      </c>
      <c r="D126" s="35" t="s">
        <v>175</v>
      </c>
      <c r="E126" s="154">
        <f>INDEX('2019 Data Lockdown'!H$5:H$257,MATCH(B126,'2019 Data Lockdown'!B$5:B$257,0))</f>
        <v>1034.1301694779929</v>
      </c>
      <c r="F126" s="7">
        <f>INDEX('2019 Data Lockdown'!E$5:E$257,MATCH(B126,'2019 Data Lockdown'!B$5:B$257,0))</f>
        <v>679586.79</v>
      </c>
      <c r="G126" s="7">
        <f>INDEX('2019 Data Lockdown'!F$5:F$257,MATCH(B126,'2019 Data Lockdown'!B$5:B$257,0))</f>
        <v>0</v>
      </c>
      <c r="H126" s="7">
        <f t="shared" si="9"/>
        <v>679586.79</v>
      </c>
      <c r="I126" s="6">
        <f t="shared" si="10"/>
        <v>657.15788017580132</v>
      </c>
      <c r="J126" s="6">
        <f t="shared" si="11"/>
        <v>657.15788017580132</v>
      </c>
      <c r="K126" s="5">
        <f t="shared" si="12"/>
        <v>679586.79</v>
      </c>
      <c r="L126" s="4">
        <f t="shared" si="8"/>
        <v>0</v>
      </c>
      <c r="M126" s="2" cm="1">
        <f t="array" ref="M126">SUMPRODUCT(--($L$6:$L$300&lt;&gt;1),--($C$6:$C$300=$C126),$H$6:$H$300)/SUMPRODUCT(--($L$6:$L$300&lt;&gt;1),--($C$6:$C$300=$C126),$E$6:$E$300)</f>
        <v>543.72843951517063</v>
      </c>
      <c r="N126" s="1" cm="1">
        <f t="array" ref="N126">SUMPRODUCT(--($L$6:$L$300&lt;&gt;1),--($C$6:$C$300=$C126))</f>
        <v>69</v>
      </c>
      <c r="O126" s="3">
        <f t="shared" si="13"/>
        <v>12866.238008583539</v>
      </c>
      <c r="P126" s="2" cm="1">
        <f t="array" ref="P126">SQRT(SUMPRODUCT(--($L$6:$L$300&lt;&gt;1),--($C$6:$C$300=$C126),$E$6:$E$300,$O$6:$O$300)/((N126-1)*SUMPRODUCT(--($L$6:$L$300&lt;&gt;1),--($C$6:$C$300=$C126),$E$6:$E$300)/N126))</f>
        <v>193.10040445873076</v>
      </c>
      <c r="Q126" s="2">
        <f t="shared" si="15"/>
        <v>296.26031387378862</v>
      </c>
      <c r="R126" s="2">
        <f t="shared" si="15"/>
        <v>791.19656515655265</v>
      </c>
      <c r="S126" s="2">
        <f t="shared" si="14"/>
        <v>657.15788017580132</v>
      </c>
    </row>
    <row r="127" spans="2:19" x14ac:dyDescent="0.25">
      <c r="B127">
        <v>271</v>
      </c>
      <c r="C127" s="28">
        <v>7</v>
      </c>
      <c r="D127" s="35" t="s">
        <v>176</v>
      </c>
      <c r="E127" s="154">
        <f>INDEX('2019 Data Lockdown'!H$5:H$257,MATCH(B127,'2019 Data Lockdown'!B$5:B$257,0))</f>
        <v>759.30399999999997</v>
      </c>
      <c r="F127" s="7">
        <f>INDEX('2019 Data Lockdown'!E$5:E$257,MATCH(B127,'2019 Data Lockdown'!B$5:B$257,0))</f>
        <v>826410.04</v>
      </c>
      <c r="G127" s="7">
        <f>INDEX('2019 Data Lockdown'!F$5:F$257,MATCH(B127,'2019 Data Lockdown'!B$5:B$257,0))</f>
        <v>100875.81000000001</v>
      </c>
      <c r="H127" s="7">
        <f t="shared" si="9"/>
        <v>725534.23</v>
      </c>
      <c r="I127" s="6">
        <f t="shared" si="10"/>
        <v>955.5253627005784</v>
      </c>
      <c r="J127" s="6">
        <f t="shared" si="11"/>
        <v>791.19656515655265</v>
      </c>
      <c r="K127" s="5">
        <f t="shared" si="12"/>
        <v>600758.71670963103</v>
      </c>
      <c r="L127" s="4">
        <f t="shared" si="8"/>
        <v>0</v>
      </c>
      <c r="M127" s="2" cm="1">
        <f t="array" ref="M127">SUMPRODUCT(--($L$6:$L$300&lt;&gt;1),--($C$6:$C$300=$C127),$H$6:$H$300)/SUMPRODUCT(--($L$6:$L$300&lt;&gt;1),--($C$6:$C$300=$C127),$E$6:$E$300)</f>
        <v>543.72843951517063</v>
      </c>
      <c r="N127" s="1" cm="1">
        <f t="array" ref="N127">SUMPRODUCT(--($L$6:$L$300&lt;&gt;1),--($C$6:$C$300=$C127))</f>
        <v>69</v>
      </c>
      <c r="O127" s="3">
        <f t="shared" si="13"/>
        <v>169576.70594496862</v>
      </c>
      <c r="P127" s="2" cm="1">
        <f t="array" ref="P127">SQRT(SUMPRODUCT(--($L$6:$L$300&lt;&gt;1),--($C$6:$C$300=$C127),$E$6:$E$300,$O$6:$O$300)/((N127-1)*SUMPRODUCT(--($L$6:$L$300&lt;&gt;1),--($C$6:$C$300=$C127),$E$6:$E$300)/N127))</f>
        <v>193.10040445873076</v>
      </c>
      <c r="Q127" s="2">
        <f t="shared" si="15"/>
        <v>296.26031387378862</v>
      </c>
      <c r="R127" s="2">
        <f t="shared" si="15"/>
        <v>791.19656515655265</v>
      </c>
      <c r="S127" s="2">
        <f t="shared" si="14"/>
        <v>791.19656515655265</v>
      </c>
    </row>
    <row r="128" spans="2:19" x14ac:dyDescent="0.25">
      <c r="B128">
        <v>275</v>
      </c>
      <c r="C128" s="28">
        <v>7</v>
      </c>
      <c r="D128" s="35" t="s">
        <v>177</v>
      </c>
      <c r="E128" s="154">
        <f>INDEX('2019 Data Lockdown'!H$5:H$257,MATCH(B128,'2019 Data Lockdown'!B$5:B$257,0))</f>
        <v>690.47</v>
      </c>
      <c r="F128" s="7">
        <f>INDEX('2019 Data Lockdown'!E$5:E$257,MATCH(B128,'2019 Data Lockdown'!B$5:B$257,0))</f>
        <v>404511.52</v>
      </c>
      <c r="G128" s="7">
        <f>INDEX('2019 Data Lockdown'!F$5:F$257,MATCH(B128,'2019 Data Lockdown'!B$5:B$257,0))</f>
        <v>70724.679999999993</v>
      </c>
      <c r="H128" s="7">
        <f t="shared" si="9"/>
        <v>333786.84000000003</v>
      </c>
      <c r="I128" s="6">
        <f t="shared" si="10"/>
        <v>483.41975755644705</v>
      </c>
      <c r="J128" s="6">
        <f t="shared" si="11"/>
        <v>483.41975755644705</v>
      </c>
      <c r="K128" s="5">
        <f t="shared" si="12"/>
        <v>333786.84000000003</v>
      </c>
      <c r="L128" s="4">
        <f t="shared" si="8"/>
        <v>0</v>
      </c>
      <c r="M128" s="2" cm="1">
        <f t="array" ref="M128">SUMPRODUCT(--($L$6:$L$300&lt;&gt;1),--($C$6:$C$300=$C128),$H$6:$H$300)/SUMPRODUCT(--($L$6:$L$300&lt;&gt;1),--($C$6:$C$300=$C128),$E$6:$E$300)</f>
        <v>543.72843951517063</v>
      </c>
      <c r="N128" s="1" cm="1">
        <f t="array" ref="N128">SUMPRODUCT(--($L$6:$L$300&lt;&gt;1),--($C$6:$C$300=$C128))</f>
        <v>69</v>
      </c>
      <c r="O128" s="3">
        <f t="shared" si="13"/>
        <v>3637.1371195984711</v>
      </c>
      <c r="P128" s="2" cm="1">
        <f t="array" ref="P128">SQRT(SUMPRODUCT(--($L$6:$L$300&lt;&gt;1),--($C$6:$C$300=$C128),$E$6:$E$300,$O$6:$O$300)/((N128-1)*SUMPRODUCT(--($L$6:$L$300&lt;&gt;1),--($C$6:$C$300=$C128),$E$6:$E$300)/N128))</f>
        <v>193.10040445873076</v>
      </c>
      <c r="Q128" s="2">
        <f t="shared" si="15"/>
        <v>296.26031387378862</v>
      </c>
      <c r="R128" s="2">
        <f t="shared" si="15"/>
        <v>791.19656515655265</v>
      </c>
      <c r="S128" s="2">
        <f t="shared" si="14"/>
        <v>483.41975755644705</v>
      </c>
    </row>
    <row r="129" spans="2:19" x14ac:dyDescent="0.25">
      <c r="B129">
        <v>282</v>
      </c>
      <c r="C129" s="28">
        <v>7</v>
      </c>
      <c r="D129" s="35" t="s">
        <v>178</v>
      </c>
      <c r="E129" s="154">
        <f>INDEX('2019 Data Lockdown'!H$5:H$257,MATCH(B129,'2019 Data Lockdown'!B$5:B$257,0))</f>
        <v>110.63436611728881</v>
      </c>
      <c r="F129" s="7">
        <f>INDEX('2019 Data Lockdown'!E$5:E$257,MATCH(B129,'2019 Data Lockdown'!B$5:B$257,0))</f>
        <v>58517.06</v>
      </c>
      <c r="G129" s="7">
        <f>INDEX('2019 Data Lockdown'!F$5:F$257,MATCH(B129,'2019 Data Lockdown'!B$5:B$257,0))</f>
        <v>0</v>
      </c>
      <c r="H129" s="7">
        <f t="shared" si="9"/>
        <v>58517.06</v>
      </c>
      <c r="I129" s="6">
        <f t="shared" si="10"/>
        <v>528.92299249912321</v>
      </c>
      <c r="J129" s="6">
        <f t="shared" si="11"/>
        <v>528.92299249912321</v>
      </c>
      <c r="K129" s="5">
        <f t="shared" si="12"/>
        <v>58517.06</v>
      </c>
      <c r="L129" s="4">
        <f t="shared" si="8"/>
        <v>0</v>
      </c>
      <c r="M129" s="2" cm="1">
        <f t="array" ref="M129">SUMPRODUCT(--($L$6:$L$300&lt;&gt;1),--($C$6:$C$300=$C129),$H$6:$H$300)/SUMPRODUCT(--($L$6:$L$300&lt;&gt;1),--($C$6:$C$300=$C129),$E$6:$E$300)</f>
        <v>543.72843951517063</v>
      </c>
      <c r="N129" s="1" cm="1">
        <f t="array" ref="N129">SUMPRODUCT(--($L$6:$L$300&lt;&gt;1),--($C$6:$C$300=$C129))</f>
        <v>69</v>
      </c>
      <c r="O129" s="3">
        <f t="shared" si="13"/>
        <v>219.20126134498756</v>
      </c>
      <c r="P129" s="2" cm="1">
        <f t="array" ref="P129">SQRT(SUMPRODUCT(--($L$6:$L$300&lt;&gt;1),--($C$6:$C$300=$C129),$E$6:$E$300,$O$6:$O$300)/((N129-1)*SUMPRODUCT(--($L$6:$L$300&lt;&gt;1),--($C$6:$C$300=$C129),$E$6:$E$300)/N129))</f>
        <v>193.10040445873076</v>
      </c>
      <c r="Q129" s="2">
        <f t="shared" si="15"/>
        <v>296.26031387378862</v>
      </c>
      <c r="R129" s="2">
        <f t="shared" si="15"/>
        <v>791.19656515655265</v>
      </c>
      <c r="S129" s="2">
        <f t="shared" si="14"/>
        <v>528.92299249912321</v>
      </c>
    </row>
    <row r="130" spans="2:19" x14ac:dyDescent="0.25">
      <c r="B130">
        <v>287</v>
      </c>
      <c r="C130" s="28">
        <v>7</v>
      </c>
      <c r="D130" s="35" t="s">
        <v>179</v>
      </c>
      <c r="E130" s="154">
        <f>INDEX('2019 Data Lockdown'!H$5:H$257,MATCH(B130,'2019 Data Lockdown'!B$5:B$257,0))</f>
        <v>159.07256423396998</v>
      </c>
      <c r="F130" s="7">
        <f>INDEX('2019 Data Lockdown'!E$5:E$257,MATCH(B130,'2019 Data Lockdown'!B$5:B$257,0))</f>
        <v>122709.58</v>
      </c>
      <c r="G130" s="7">
        <f>INDEX('2019 Data Lockdown'!F$5:F$257,MATCH(B130,'2019 Data Lockdown'!B$5:B$257,0))</f>
        <v>1002.5</v>
      </c>
      <c r="H130" s="7">
        <f t="shared" si="9"/>
        <v>121707.08</v>
      </c>
      <c r="I130" s="6">
        <f t="shared" si="10"/>
        <v>765.1041559937928</v>
      </c>
      <c r="J130" s="6">
        <f t="shared" si="11"/>
        <v>765.1041559937928</v>
      </c>
      <c r="K130" s="5">
        <f t="shared" si="12"/>
        <v>121707.08</v>
      </c>
      <c r="L130" s="4">
        <f t="shared" si="8"/>
        <v>0</v>
      </c>
      <c r="M130" s="2" cm="1">
        <f t="array" ref="M130">SUMPRODUCT(--($L$6:$L$300&lt;&gt;1),--($C$6:$C$300=$C130),$H$6:$H$300)/SUMPRODUCT(--($L$6:$L$300&lt;&gt;1),--($C$6:$C$300=$C130),$E$6:$E$300)</f>
        <v>543.72843951517063</v>
      </c>
      <c r="N130" s="1" cm="1">
        <f t="array" ref="N130">SUMPRODUCT(--($L$6:$L$300&lt;&gt;1),--($C$6:$C$300=$C130))</f>
        <v>69</v>
      </c>
      <c r="O130" s="3">
        <f t="shared" si="13"/>
        <v>49007.207846423305</v>
      </c>
      <c r="P130" s="2" cm="1">
        <f t="array" ref="P130">SQRT(SUMPRODUCT(--($L$6:$L$300&lt;&gt;1),--($C$6:$C$300=$C130),$E$6:$E$300,$O$6:$O$300)/((N130-1)*SUMPRODUCT(--($L$6:$L$300&lt;&gt;1),--($C$6:$C$300=$C130),$E$6:$E$300)/N130))</f>
        <v>193.10040445873076</v>
      </c>
      <c r="Q130" s="2">
        <f t="shared" si="15"/>
        <v>296.26031387378862</v>
      </c>
      <c r="R130" s="2">
        <f t="shared" si="15"/>
        <v>791.19656515655265</v>
      </c>
      <c r="S130" s="2">
        <f t="shared" si="14"/>
        <v>765.1041559937928</v>
      </c>
    </row>
    <row r="131" spans="2:19" x14ac:dyDescent="0.25">
      <c r="B131">
        <v>290</v>
      </c>
      <c r="C131" s="28">
        <v>7</v>
      </c>
      <c r="D131" s="35" t="s">
        <v>180</v>
      </c>
      <c r="E131" s="154">
        <f>INDEX('2019 Data Lockdown'!H$5:H$257,MATCH(B131,'2019 Data Lockdown'!B$5:B$257,0))</f>
        <v>274.8776164213059</v>
      </c>
      <c r="F131" s="7">
        <f>INDEX('2019 Data Lockdown'!E$5:E$257,MATCH(B131,'2019 Data Lockdown'!B$5:B$257,0))</f>
        <v>123807.44</v>
      </c>
      <c r="G131" s="7">
        <f>INDEX('2019 Data Lockdown'!F$5:F$257,MATCH(B131,'2019 Data Lockdown'!B$5:B$257,0))</f>
        <v>4228.57</v>
      </c>
      <c r="H131" s="7">
        <f t="shared" si="9"/>
        <v>119578.87</v>
      </c>
      <c r="I131" s="6">
        <f t="shared" si="10"/>
        <v>435.02585462150194</v>
      </c>
      <c r="J131" s="6">
        <f t="shared" si="11"/>
        <v>435.02585462150194</v>
      </c>
      <c r="K131" s="5">
        <f t="shared" si="12"/>
        <v>119578.87</v>
      </c>
      <c r="L131" s="4">
        <f t="shared" si="8"/>
        <v>0</v>
      </c>
      <c r="M131" s="2" cm="1">
        <f t="array" ref="M131">SUMPRODUCT(--($L$6:$L$300&lt;&gt;1),--($C$6:$C$300=$C131),$H$6:$H$300)/SUMPRODUCT(--($L$6:$L$300&lt;&gt;1),--($C$6:$C$300=$C131),$E$6:$E$300)</f>
        <v>543.72843951517063</v>
      </c>
      <c r="N131" s="1" cm="1">
        <f t="array" ref="N131">SUMPRODUCT(--($L$6:$L$300&lt;&gt;1),--($C$6:$C$300=$C131))</f>
        <v>69</v>
      </c>
      <c r="O131" s="3">
        <f t="shared" si="13"/>
        <v>11816.251962565251</v>
      </c>
      <c r="P131" s="2" cm="1">
        <f t="array" ref="P131">SQRT(SUMPRODUCT(--($L$6:$L$300&lt;&gt;1),--($C$6:$C$300=$C131),$E$6:$E$300,$O$6:$O$300)/((N131-1)*SUMPRODUCT(--($L$6:$L$300&lt;&gt;1),--($C$6:$C$300=$C131),$E$6:$E$300)/N131))</f>
        <v>193.10040445873076</v>
      </c>
      <c r="Q131" s="2">
        <f t="shared" si="15"/>
        <v>296.26031387378862</v>
      </c>
      <c r="R131" s="2">
        <f t="shared" si="15"/>
        <v>791.19656515655265</v>
      </c>
      <c r="S131" s="2">
        <f t="shared" si="14"/>
        <v>435.02585462150194</v>
      </c>
    </row>
    <row r="132" spans="2:19" x14ac:dyDescent="0.25">
      <c r="B132">
        <v>294</v>
      </c>
      <c r="C132" s="28">
        <v>7</v>
      </c>
      <c r="D132" s="35" t="s">
        <v>181</v>
      </c>
      <c r="E132" s="154">
        <f>INDEX('2019 Data Lockdown'!H$5:H$257,MATCH(B132,'2019 Data Lockdown'!B$5:B$257,0))</f>
        <v>1039.1314711563653</v>
      </c>
      <c r="F132" s="7">
        <f>INDEX('2019 Data Lockdown'!E$5:E$257,MATCH(B132,'2019 Data Lockdown'!B$5:B$257,0))</f>
        <v>583456.06000000006</v>
      </c>
      <c r="G132" s="7">
        <f>INDEX('2019 Data Lockdown'!F$5:F$257,MATCH(B132,'2019 Data Lockdown'!B$5:B$257,0))</f>
        <v>1414</v>
      </c>
      <c r="H132" s="7">
        <f t="shared" si="9"/>
        <v>582042.06000000006</v>
      </c>
      <c r="I132" s="6">
        <f t="shared" si="10"/>
        <v>560.12359952133158</v>
      </c>
      <c r="J132" s="6">
        <f t="shared" si="11"/>
        <v>560.12359952133158</v>
      </c>
      <c r="K132" s="5">
        <f t="shared" si="12"/>
        <v>582042.06000000006</v>
      </c>
      <c r="L132" s="4">
        <f t="shared" si="8"/>
        <v>0</v>
      </c>
      <c r="M132" s="2" cm="1">
        <f t="array" ref="M132">SUMPRODUCT(--($L$6:$L$300&lt;&gt;1),--($C$6:$C$300=$C132),$H$6:$H$300)/SUMPRODUCT(--($L$6:$L$300&lt;&gt;1),--($C$6:$C$300=$C132),$E$6:$E$300)</f>
        <v>543.72843951517063</v>
      </c>
      <c r="N132" s="1" cm="1">
        <f t="array" ref="N132">SUMPRODUCT(--($L$6:$L$300&lt;&gt;1),--($C$6:$C$300=$C132))</f>
        <v>69</v>
      </c>
      <c r="O132" s="3">
        <f t="shared" si="13"/>
        <v>268.80127162761949</v>
      </c>
      <c r="P132" s="2" cm="1">
        <f t="array" ref="P132">SQRT(SUMPRODUCT(--($L$6:$L$300&lt;&gt;1),--($C$6:$C$300=$C132),$E$6:$E$300,$O$6:$O$300)/((N132-1)*SUMPRODUCT(--($L$6:$L$300&lt;&gt;1),--($C$6:$C$300=$C132),$E$6:$E$300)/N132))</f>
        <v>193.10040445873076</v>
      </c>
      <c r="Q132" s="2">
        <f t="shared" si="15"/>
        <v>296.26031387378862</v>
      </c>
      <c r="R132" s="2">
        <f t="shared" si="15"/>
        <v>791.19656515655265</v>
      </c>
      <c r="S132" s="2">
        <f t="shared" si="14"/>
        <v>560.12359952133158</v>
      </c>
    </row>
    <row r="133" spans="2:19" x14ac:dyDescent="0.25">
      <c r="B133">
        <v>296</v>
      </c>
      <c r="C133" s="28">
        <v>7</v>
      </c>
      <c r="D133" s="35" t="s">
        <v>182</v>
      </c>
      <c r="E133" s="154">
        <f>INDEX('2019 Data Lockdown'!H$5:H$257,MATCH(B133,'2019 Data Lockdown'!B$5:B$257,0))</f>
        <v>799.83</v>
      </c>
      <c r="F133" s="7">
        <f>INDEX('2019 Data Lockdown'!E$5:E$257,MATCH(B133,'2019 Data Lockdown'!B$5:B$257,0))</f>
        <v>880549.01</v>
      </c>
      <c r="G133" s="7">
        <f>INDEX('2019 Data Lockdown'!F$5:F$257,MATCH(B133,'2019 Data Lockdown'!B$5:B$257,0))</f>
        <v>140281.66999999998</v>
      </c>
      <c r="H133" s="7">
        <f t="shared" si="9"/>
        <v>740267.34000000008</v>
      </c>
      <c r="I133" s="6">
        <f t="shared" si="10"/>
        <v>925.53085030569002</v>
      </c>
      <c r="J133" s="6">
        <f t="shared" si="11"/>
        <v>791.19656515655265</v>
      </c>
      <c r="K133" s="5">
        <f t="shared" si="12"/>
        <v>632822.74870916549</v>
      </c>
      <c r="L133" s="4">
        <f t="shared" ref="L133:L196" si="16">IF(ISERROR(I133),1,0)</f>
        <v>0</v>
      </c>
      <c r="M133" s="2" cm="1">
        <f t="array" ref="M133">SUMPRODUCT(--($L$6:$L$300&lt;&gt;1),--($C$6:$C$300=$C133),$H$6:$H$300)/SUMPRODUCT(--($L$6:$L$300&lt;&gt;1),--($C$6:$C$300=$C133),$E$6:$E$300)</f>
        <v>543.72843951517063</v>
      </c>
      <c r="N133" s="1" cm="1">
        <f t="array" ref="N133">SUMPRODUCT(--($L$6:$L$300&lt;&gt;1),--($C$6:$C$300=$C133))</f>
        <v>69</v>
      </c>
      <c r="O133" s="3">
        <f t="shared" si="13"/>
        <v>145773.08088545251</v>
      </c>
      <c r="P133" s="2" cm="1">
        <f t="array" ref="P133">SQRT(SUMPRODUCT(--($L$6:$L$300&lt;&gt;1),--($C$6:$C$300=$C133),$E$6:$E$300,$O$6:$O$300)/((N133-1)*SUMPRODUCT(--($L$6:$L$300&lt;&gt;1),--($C$6:$C$300=$C133),$E$6:$E$300)/N133))</f>
        <v>193.10040445873076</v>
      </c>
      <c r="Q133" s="2">
        <f t="shared" si="15"/>
        <v>296.26031387378862</v>
      </c>
      <c r="R133" s="2">
        <f t="shared" si="15"/>
        <v>791.19656515655265</v>
      </c>
      <c r="S133" s="2">
        <f t="shared" si="14"/>
        <v>791.19656515655265</v>
      </c>
    </row>
    <row r="134" spans="2:19" x14ac:dyDescent="0.25">
      <c r="B134">
        <v>301</v>
      </c>
      <c r="C134" s="28">
        <v>7</v>
      </c>
      <c r="D134" s="35" t="s">
        <v>183</v>
      </c>
      <c r="E134" s="154">
        <f>INDEX('2019 Data Lockdown'!H$5:H$257,MATCH(B134,'2019 Data Lockdown'!B$5:B$257,0))</f>
        <v>570.3041310256192</v>
      </c>
      <c r="F134" s="7">
        <f>INDEX('2019 Data Lockdown'!E$5:E$257,MATCH(B134,'2019 Data Lockdown'!B$5:B$257,0))</f>
        <v>272819.37</v>
      </c>
      <c r="G134" s="7">
        <f>INDEX('2019 Data Lockdown'!F$5:F$257,MATCH(B134,'2019 Data Lockdown'!B$5:B$257,0))</f>
        <v>512.72</v>
      </c>
      <c r="H134" s="7">
        <f t="shared" ref="H134:H197" si="17">F134-G134</f>
        <v>272306.65000000002</v>
      </c>
      <c r="I134" s="6">
        <f t="shared" ref="I134:I197" si="18">H134/E134</f>
        <v>477.47620118109836</v>
      </c>
      <c r="J134" s="6">
        <f t="shared" ref="J134:J197" si="19">IF(ISERROR(IF($J$2=1,MAX(MIN(I134,R134),Q134),MIN(I134,R134))),R134,IF($J$2=1,MAX(MIN(I134,R134),Q134),MIN(I134,R134)))</f>
        <v>477.47620118109836</v>
      </c>
      <c r="K134" s="5">
        <f t="shared" ref="K134:K197" si="20">J134*E134</f>
        <v>272306.65000000002</v>
      </c>
      <c r="L134" s="4">
        <f t="shared" si="16"/>
        <v>0</v>
      </c>
      <c r="M134" s="2" cm="1">
        <f t="array" ref="M134">SUMPRODUCT(--($L$6:$L$300&lt;&gt;1),--($C$6:$C$300=$C134),$H$6:$H$300)/SUMPRODUCT(--($L$6:$L$300&lt;&gt;1),--($C$6:$C$300=$C134),$E$6:$E$300)</f>
        <v>543.72843951517063</v>
      </c>
      <c r="N134" s="1" cm="1">
        <f t="array" ref="N134">SUMPRODUCT(--($L$6:$L$300&lt;&gt;1),--($C$6:$C$300=$C134))</f>
        <v>69</v>
      </c>
      <c r="O134" s="3">
        <f t="shared" si="13"/>
        <v>4389.3590842747153</v>
      </c>
      <c r="P134" s="2" cm="1">
        <f t="array" ref="P134">SQRT(SUMPRODUCT(--($L$6:$L$300&lt;&gt;1),--($C$6:$C$300=$C134),$E$6:$E$300,$O$6:$O$300)/((N134-1)*SUMPRODUCT(--($L$6:$L$300&lt;&gt;1),--($C$6:$C$300=$C134),$E$6:$E$300)/N134))</f>
        <v>193.10040445873076</v>
      </c>
      <c r="Q134" s="2">
        <f t="shared" si="15"/>
        <v>296.26031387378862</v>
      </c>
      <c r="R134" s="2">
        <f t="shared" si="15"/>
        <v>791.19656515655265</v>
      </c>
      <c r="S134" s="2">
        <f t="shared" si="14"/>
        <v>477.47620118109836</v>
      </c>
    </row>
    <row r="135" spans="2:19" x14ac:dyDescent="0.25">
      <c r="B135">
        <v>321</v>
      </c>
      <c r="C135" s="28">
        <v>7</v>
      </c>
      <c r="D135" s="35" t="s">
        <v>184</v>
      </c>
      <c r="E135" s="154">
        <f>INDEX('2019 Data Lockdown'!H$5:H$257,MATCH(B135,'2019 Data Lockdown'!B$5:B$257,0))</f>
        <v>367.13</v>
      </c>
      <c r="F135" s="7">
        <f>INDEX('2019 Data Lockdown'!E$5:E$257,MATCH(B135,'2019 Data Lockdown'!B$5:B$257,0))</f>
        <v>499165.92</v>
      </c>
      <c r="G135" s="7">
        <f>INDEX('2019 Data Lockdown'!F$5:F$257,MATCH(B135,'2019 Data Lockdown'!B$5:B$257,0))</f>
        <v>29784.109999999997</v>
      </c>
      <c r="H135" s="7">
        <f t="shared" si="17"/>
        <v>469381.81</v>
      </c>
      <c r="I135" s="6">
        <f t="shared" si="18"/>
        <v>1278.5166289870074</v>
      </c>
      <c r="J135" s="6">
        <f t="shared" si="19"/>
        <v>791.19656515655265</v>
      </c>
      <c r="K135" s="5">
        <f t="shared" si="20"/>
        <v>290471.99496592517</v>
      </c>
      <c r="L135" s="4">
        <f t="shared" si="16"/>
        <v>0</v>
      </c>
      <c r="M135" s="2" cm="1">
        <f t="array" ref="M135">SUMPRODUCT(--($L$6:$L$300&lt;&gt;1),--($C$6:$C$300=$C135),$H$6:$H$300)/SUMPRODUCT(--($L$6:$L$300&lt;&gt;1),--($C$6:$C$300=$C135),$E$6:$E$300)</f>
        <v>543.72843951517063</v>
      </c>
      <c r="N135" s="1" cm="1">
        <f t="array" ref="N135">SUMPRODUCT(--($L$6:$L$300&lt;&gt;1),--($C$6:$C$300=$C135))</f>
        <v>69</v>
      </c>
      <c r="O135" s="3">
        <f t="shared" ref="O135:O198" si="21">IF(ISERROR((I135-M135)^2),0,(I135-M135)^2)</f>
        <v>539913.68338729988</v>
      </c>
      <c r="P135" s="2" cm="1">
        <f t="array" ref="P135">SQRT(SUMPRODUCT(--($L$6:$L$300&lt;&gt;1),--($C$6:$C$300=$C135),$E$6:$E$300,$O$6:$O$300)/((N135-1)*SUMPRODUCT(--($L$6:$L$300&lt;&gt;1),--($C$6:$C$300=$C135),$E$6:$E$300)/N135))</f>
        <v>193.10040445873076</v>
      </c>
      <c r="Q135" s="2">
        <f t="shared" si="15"/>
        <v>296.26031387378862</v>
      </c>
      <c r="R135" s="2">
        <f t="shared" si="15"/>
        <v>791.19656515655265</v>
      </c>
      <c r="S135" s="2">
        <f t="shared" ref="S135:S198" si="22">IF($J$2=1,MAX(MIN(I135,R135),Q135),MIN(R135,I135))</f>
        <v>791.19656515655265</v>
      </c>
    </row>
    <row r="136" spans="2:19" x14ac:dyDescent="0.25">
      <c r="B136">
        <v>325</v>
      </c>
      <c r="C136" s="28">
        <v>7</v>
      </c>
      <c r="D136" s="35" t="s">
        <v>185</v>
      </c>
      <c r="E136" s="154">
        <f>INDEX('2019 Data Lockdown'!H$5:H$257,MATCH(B136,'2019 Data Lockdown'!B$5:B$257,0))</f>
        <v>334.4714798023104</v>
      </c>
      <c r="F136" s="7">
        <f>INDEX('2019 Data Lockdown'!E$5:E$257,MATCH(B136,'2019 Data Lockdown'!B$5:B$257,0))</f>
        <v>167952.06</v>
      </c>
      <c r="G136" s="7">
        <f>INDEX('2019 Data Lockdown'!F$5:F$257,MATCH(B136,'2019 Data Lockdown'!B$5:B$257,0))</f>
        <v>0</v>
      </c>
      <c r="H136" s="7">
        <f t="shared" si="17"/>
        <v>167952.06</v>
      </c>
      <c r="I136" s="6">
        <f t="shared" si="18"/>
        <v>502.14164776999274</v>
      </c>
      <c r="J136" s="6">
        <f t="shared" si="19"/>
        <v>502.14164776999274</v>
      </c>
      <c r="K136" s="5">
        <f t="shared" si="20"/>
        <v>167952.06</v>
      </c>
      <c r="L136" s="4">
        <f t="shared" si="16"/>
        <v>0</v>
      </c>
      <c r="M136" s="2" cm="1">
        <f t="array" ref="M136">SUMPRODUCT(--($L$6:$L$300&lt;&gt;1),--($C$6:$C$300=$C136),$H$6:$H$300)/SUMPRODUCT(--($L$6:$L$300&lt;&gt;1),--($C$6:$C$300=$C136),$E$6:$E$300)</f>
        <v>543.72843951517063</v>
      </c>
      <c r="N136" s="1" cm="1">
        <f t="array" ref="N136">SUMPRODUCT(--($L$6:$L$300&lt;&gt;1),--($C$6:$C$300=$C136))</f>
        <v>69</v>
      </c>
      <c r="O136" s="3">
        <f t="shared" si="21"/>
        <v>1729.4612476567959</v>
      </c>
      <c r="P136" s="2" cm="1">
        <f t="array" ref="P136">SQRT(SUMPRODUCT(--($L$6:$L$300&lt;&gt;1),--($C$6:$C$300=$C136),$E$6:$E$300,$O$6:$O$300)/((N136-1)*SUMPRODUCT(--($L$6:$L$300&lt;&gt;1),--($C$6:$C$300=$C136),$E$6:$E$300)/N136))</f>
        <v>193.10040445873076</v>
      </c>
      <c r="Q136" s="2">
        <f t="shared" si="15"/>
        <v>296.26031387378862</v>
      </c>
      <c r="R136" s="2">
        <f t="shared" si="15"/>
        <v>791.19656515655265</v>
      </c>
      <c r="S136" s="2">
        <f t="shared" si="22"/>
        <v>502.14164776999274</v>
      </c>
    </row>
    <row r="137" spans="2:19" x14ac:dyDescent="0.25">
      <c r="B137">
        <v>346</v>
      </c>
      <c r="C137" s="28">
        <v>7</v>
      </c>
      <c r="D137" s="35" t="s">
        <v>186</v>
      </c>
      <c r="E137" s="154">
        <f>INDEX('2019 Data Lockdown'!H$5:H$257,MATCH(B137,'2019 Data Lockdown'!B$5:B$257,0))</f>
        <v>223.88000000000002</v>
      </c>
      <c r="F137" s="7">
        <f>INDEX('2019 Data Lockdown'!E$5:E$257,MATCH(B137,'2019 Data Lockdown'!B$5:B$257,0))</f>
        <v>141740.18</v>
      </c>
      <c r="G137" s="7">
        <f>INDEX('2019 Data Lockdown'!F$5:F$257,MATCH(B137,'2019 Data Lockdown'!B$5:B$257,0))</f>
        <v>18678.990000000002</v>
      </c>
      <c r="H137" s="7">
        <f t="shared" si="17"/>
        <v>123061.18999999999</v>
      </c>
      <c r="I137" s="6">
        <f t="shared" si="18"/>
        <v>549.67478113274956</v>
      </c>
      <c r="J137" s="6">
        <f t="shared" si="19"/>
        <v>549.67478113274956</v>
      </c>
      <c r="K137" s="5">
        <f t="shared" si="20"/>
        <v>123061.18999999999</v>
      </c>
      <c r="L137" s="4">
        <f t="shared" si="16"/>
        <v>0</v>
      </c>
      <c r="M137" s="2" cm="1">
        <f t="array" ref="M137">SUMPRODUCT(--($L$6:$L$300&lt;&gt;1),--($C$6:$C$300=$C137),$H$6:$H$300)/SUMPRODUCT(--($L$6:$L$300&lt;&gt;1),--($C$6:$C$300=$C137),$E$6:$E$300)</f>
        <v>543.72843951517063</v>
      </c>
      <c r="N137" s="1" cm="1">
        <f t="array" ref="N137">SUMPRODUCT(--($L$6:$L$300&lt;&gt;1),--($C$6:$C$300=$C137))</f>
        <v>69</v>
      </c>
      <c r="O137" s="3">
        <f t="shared" si="21"/>
        <v>35.358978632951128</v>
      </c>
      <c r="P137" s="2" cm="1">
        <f t="array" ref="P137">SQRT(SUMPRODUCT(--($L$6:$L$300&lt;&gt;1),--($C$6:$C$300=$C137),$E$6:$E$300,$O$6:$O$300)/((N137-1)*SUMPRODUCT(--($L$6:$L$300&lt;&gt;1),--($C$6:$C$300=$C137),$E$6:$E$300)/N137))</f>
        <v>193.10040445873076</v>
      </c>
      <c r="Q137" s="2">
        <f t="shared" si="15"/>
        <v>296.26031387378862</v>
      </c>
      <c r="R137" s="2">
        <f t="shared" si="15"/>
        <v>791.19656515655265</v>
      </c>
      <c r="S137" s="2">
        <f t="shared" si="22"/>
        <v>549.67478113274956</v>
      </c>
    </row>
    <row r="138" spans="2:19" x14ac:dyDescent="0.25">
      <c r="B138">
        <v>358</v>
      </c>
      <c r="C138" s="28">
        <v>7</v>
      </c>
      <c r="D138" s="35" t="s">
        <v>187</v>
      </c>
      <c r="E138" s="154">
        <f>INDEX('2019 Data Lockdown'!H$5:H$257,MATCH(B138,'2019 Data Lockdown'!B$5:B$257,0))</f>
        <v>394.71</v>
      </c>
      <c r="F138" s="7">
        <f>INDEX('2019 Data Lockdown'!E$5:E$257,MATCH(B138,'2019 Data Lockdown'!B$5:B$257,0))</f>
        <v>249358.72</v>
      </c>
      <c r="G138" s="7">
        <f>INDEX('2019 Data Lockdown'!F$5:F$257,MATCH(B138,'2019 Data Lockdown'!B$5:B$257,0))</f>
        <v>33885.050000000003</v>
      </c>
      <c r="H138" s="7">
        <f t="shared" si="17"/>
        <v>215473.66999999998</v>
      </c>
      <c r="I138" s="6">
        <f t="shared" si="18"/>
        <v>545.90375212181095</v>
      </c>
      <c r="J138" s="6">
        <f t="shared" si="19"/>
        <v>545.90375212181095</v>
      </c>
      <c r="K138" s="5">
        <f t="shared" si="20"/>
        <v>215473.66999999998</v>
      </c>
      <c r="L138" s="4">
        <f t="shared" si="16"/>
        <v>0</v>
      </c>
      <c r="M138" s="2" cm="1">
        <f t="array" ref="M138">SUMPRODUCT(--($L$6:$L$300&lt;&gt;1),--($C$6:$C$300=$C138),$H$6:$H$300)/SUMPRODUCT(--($L$6:$L$300&lt;&gt;1),--($C$6:$C$300=$C138),$E$6:$E$300)</f>
        <v>543.72843951517063</v>
      </c>
      <c r="N138" s="1" cm="1">
        <f t="array" ref="N138">SUMPRODUCT(--($L$6:$L$300&lt;&gt;1),--($C$6:$C$300=$C138))</f>
        <v>69</v>
      </c>
      <c r="O138" s="3">
        <f t="shared" si="21"/>
        <v>4.7319849366082964</v>
      </c>
      <c r="P138" s="2" cm="1">
        <f t="array" ref="P138">SQRT(SUMPRODUCT(--($L$6:$L$300&lt;&gt;1),--($C$6:$C$300=$C138),$E$6:$E$300,$O$6:$O$300)/((N138-1)*SUMPRODUCT(--($L$6:$L$300&lt;&gt;1),--($C$6:$C$300=$C138),$E$6:$E$300)/N138))</f>
        <v>193.10040445873076</v>
      </c>
      <c r="Q138" s="2">
        <f t="shared" si="15"/>
        <v>296.26031387378862</v>
      </c>
      <c r="R138" s="2">
        <f t="shared" si="15"/>
        <v>791.19656515655265</v>
      </c>
      <c r="S138" s="2">
        <f t="shared" si="22"/>
        <v>545.90375212181095</v>
      </c>
    </row>
    <row r="139" spans="2:19" x14ac:dyDescent="0.25">
      <c r="B139">
        <v>361</v>
      </c>
      <c r="C139" s="36">
        <v>7</v>
      </c>
      <c r="D139" s="35" t="s">
        <v>188</v>
      </c>
      <c r="E139" s="154">
        <f>INDEX('2019 Data Lockdown'!H$5:H$257,MATCH(B139,'2019 Data Lockdown'!B$5:B$257,0))</f>
        <v>1529.9173871204</v>
      </c>
      <c r="F139" s="7">
        <f>INDEX('2019 Data Lockdown'!E$5:E$257,MATCH(B139,'2019 Data Lockdown'!B$5:B$257,0))</f>
        <v>950847.24</v>
      </c>
      <c r="G139" s="7">
        <f>INDEX('2019 Data Lockdown'!F$5:F$257,MATCH(B139,'2019 Data Lockdown'!B$5:B$257,0))</f>
        <v>8401.06</v>
      </c>
      <c r="H139" s="7">
        <f t="shared" si="17"/>
        <v>942446.17999999993</v>
      </c>
      <c r="I139" s="6">
        <f t="shared" si="18"/>
        <v>616.01115716049583</v>
      </c>
      <c r="J139" s="6">
        <f t="shared" si="19"/>
        <v>616.01115716049583</v>
      </c>
      <c r="K139" s="5">
        <f t="shared" si="20"/>
        <v>942446.17999999982</v>
      </c>
      <c r="L139" s="4">
        <f t="shared" si="16"/>
        <v>0</v>
      </c>
      <c r="M139" s="2" cm="1">
        <f t="array" ref="M139">SUMPRODUCT(--($L$6:$L$300&lt;&gt;1),--($C$6:$C$300=$C139),$H$6:$H$300)/SUMPRODUCT(--($L$6:$L$300&lt;&gt;1),--($C$6:$C$300=$C139),$E$6:$E$300)</f>
        <v>543.72843951517063</v>
      </c>
      <c r="N139" s="1" cm="1">
        <f t="array" ref="N139">SUMPRODUCT(--($L$6:$L$300&lt;&gt;1),--($C$6:$C$300=$C139))</f>
        <v>69</v>
      </c>
      <c r="O139" s="3">
        <f t="shared" si="21"/>
        <v>5224.7912701938058</v>
      </c>
      <c r="P139" s="2" cm="1">
        <f t="array" ref="P139">SQRT(SUMPRODUCT(--($L$6:$L$300&lt;&gt;1),--($C$6:$C$300=$C139),$E$6:$E$300,$O$6:$O$300)/((N139-1)*SUMPRODUCT(--($L$6:$L$300&lt;&gt;1),--($C$6:$C$300=$C139),$E$6:$E$300)/N139))</f>
        <v>193.10040445873076</v>
      </c>
      <c r="Q139" s="2">
        <f t="shared" si="15"/>
        <v>296.26031387378862</v>
      </c>
      <c r="R139" s="2">
        <f t="shared" si="15"/>
        <v>791.19656515655265</v>
      </c>
      <c r="S139" s="2">
        <f t="shared" si="22"/>
        <v>616.01115716049583</v>
      </c>
    </row>
    <row r="140" spans="2:19" x14ac:dyDescent="0.25">
      <c r="B140">
        <v>376</v>
      </c>
      <c r="C140" s="28">
        <v>7</v>
      </c>
      <c r="D140" s="35" t="s">
        <v>189</v>
      </c>
      <c r="E140" s="154">
        <f>INDEX('2019 Data Lockdown'!H$5:H$257,MATCH(B140,'2019 Data Lockdown'!B$5:B$257,0))</f>
        <v>640.18588281699169</v>
      </c>
      <c r="F140" s="7">
        <f>INDEX('2019 Data Lockdown'!E$5:E$257,MATCH(B140,'2019 Data Lockdown'!B$5:B$257,0))</f>
        <v>292314.15999999997</v>
      </c>
      <c r="G140" s="7">
        <f>INDEX('2019 Data Lockdown'!F$5:F$257,MATCH(B140,'2019 Data Lockdown'!B$5:B$257,0))</f>
        <v>428</v>
      </c>
      <c r="H140" s="7">
        <f t="shared" si="17"/>
        <v>291886.15999999997</v>
      </c>
      <c r="I140" s="6">
        <f t="shared" si="18"/>
        <v>455.93970100624779</v>
      </c>
      <c r="J140" s="6">
        <f t="shared" si="19"/>
        <v>455.93970100624779</v>
      </c>
      <c r="K140" s="5">
        <f t="shared" si="20"/>
        <v>291886.15999999997</v>
      </c>
      <c r="L140" s="4">
        <f t="shared" si="16"/>
        <v>0</v>
      </c>
      <c r="M140" s="2" cm="1">
        <f t="array" ref="M140">SUMPRODUCT(--($L$6:$L$300&lt;&gt;1),--($C$6:$C$300=$C140),$H$6:$H$300)/SUMPRODUCT(--($L$6:$L$300&lt;&gt;1),--($C$6:$C$300=$C140),$E$6:$E$300)</f>
        <v>543.72843951517063</v>
      </c>
      <c r="N140" s="1" cm="1">
        <f t="array" ref="N140">SUMPRODUCT(--($L$6:$L$300&lt;&gt;1),--($C$6:$C$300=$C140))</f>
        <v>69</v>
      </c>
      <c r="O140" s="3">
        <f t="shared" si="21"/>
        <v>7706.8626089880336</v>
      </c>
      <c r="P140" s="2" cm="1">
        <f t="array" ref="P140">SQRT(SUMPRODUCT(--($L$6:$L$300&lt;&gt;1),--($C$6:$C$300=$C140),$E$6:$E$300,$O$6:$O$300)/((N140-1)*SUMPRODUCT(--($L$6:$L$300&lt;&gt;1),--($C$6:$C$300=$C140),$E$6:$E$300)/N140))</f>
        <v>193.10040445873076</v>
      </c>
      <c r="Q140" s="2">
        <f t="shared" si="15"/>
        <v>296.26031387378862</v>
      </c>
      <c r="R140" s="2">
        <f t="shared" si="15"/>
        <v>791.19656515655265</v>
      </c>
      <c r="S140" s="2">
        <f t="shared" si="22"/>
        <v>455.93970100624779</v>
      </c>
    </row>
    <row r="141" spans="2:19" x14ac:dyDescent="0.25">
      <c r="B141">
        <v>382</v>
      </c>
      <c r="C141" s="28">
        <v>7</v>
      </c>
      <c r="D141" s="35" t="s">
        <v>190</v>
      </c>
      <c r="E141" s="154">
        <f>INDEX('2019 Data Lockdown'!H$5:H$257,MATCH(B141,'2019 Data Lockdown'!B$5:B$257,0))</f>
        <v>165.19</v>
      </c>
      <c r="F141" s="7">
        <f>INDEX('2019 Data Lockdown'!E$5:E$257,MATCH(B141,'2019 Data Lockdown'!B$5:B$257,0))</f>
        <v>102492.26</v>
      </c>
      <c r="G141" s="7">
        <f>INDEX('2019 Data Lockdown'!F$5:F$257,MATCH(B141,'2019 Data Lockdown'!B$5:B$257,0))</f>
        <v>19148.469999999998</v>
      </c>
      <c r="H141" s="7">
        <f t="shared" si="17"/>
        <v>83343.789999999994</v>
      </c>
      <c r="I141" s="6">
        <f t="shared" si="18"/>
        <v>504.53290150735512</v>
      </c>
      <c r="J141" s="6">
        <f t="shared" si="19"/>
        <v>504.53290150735512</v>
      </c>
      <c r="K141" s="5">
        <f t="shared" si="20"/>
        <v>83343.789999999994</v>
      </c>
      <c r="L141" s="4">
        <f t="shared" si="16"/>
        <v>0</v>
      </c>
      <c r="M141" s="2" cm="1">
        <f t="array" ref="M141">SUMPRODUCT(--($L$6:$L$300&lt;&gt;1),--($C$6:$C$300=$C141),$H$6:$H$300)/SUMPRODUCT(--($L$6:$L$300&lt;&gt;1),--($C$6:$C$300=$C141),$E$6:$E$300)</f>
        <v>543.72843951517063</v>
      </c>
      <c r="N141" s="1" cm="1">
        <f t="array" ref="N141">SUMPRODUCT(--($L$6:$L$300&lt;&gt;1),--($C$6:$C$300=$C141))</f>
        <v>69</v>
      </c>
      <c r="O141" s="3">
        <f t="shared" si="21"/>
        <v>1536.2901997221106</v>
      </c>
      <c r="P141" s="2" cm="1">
        <f t="array" ref="P141">SQRT(SUMPRODUCT(--($L$6:$L$300&lt;&gt;1),--($C$6:$C$300=$C141),$E$6:$E$300,$O$6:$O$300)/((N141-1)*SUMPRODUCT(--($L$6:$L$300&lt;&gt;1),--($C$6:$C$300=$C141),$E$6:$E$300)/N141))</f>
        <v>193.10040445873076</v>
      </c>
      <c r="Q141" s="2">
        <f t="shared" si="15"/>
        <v>296.26031387378862</v>
      </c>
      <c r="R141" s="2">
        <f t="shared" si="15"/>
        <v>791.19656515655265</v>
      </c>
      <c r="S141" s="2">
        <f t="shared" si="22"/>
        <v>504.53290150735512</v>
      </c>
    </row>
    <row r="142" spans="2:19" x14ac:dyDescent="0.25">
      <c r="B142">
        <v>389</v>
      </c>
      <c r="C142" s="28">
        <v>7</v>
      </c>
      <c r="D142" s="35" t="s">
        <v>191</v>
      </c>
      <c r="E142" s="154">
        <f>INDEX('2019 Data Lockdown'!H$5:H$257,MATCH(B142,'2019 Data Lockdown'!B$5:B$257,0))</f>
        <v>867.99901008098129</v>
      </c>
      <c r="F142" s="7">
        <f>INDEX('2019 Data Lockdown'!E$5:E$257,MATCH(B142,'2019 Data Lockdown'!B$5:B$257,0))</f>
        <v>170757.02</v>
      </c>
      <c r="G142" s="7">
        <f>INDEX('2019 Data Lockdown'!F$5:F$257,MATCH(B142,'2019 Data Lockdown'!B$5:B$257,0))</f>
        <v>807.5</v>
      </c>
      <c r="H142" s="7">
        <f t="shared" si="17"/>
        <v>169949.52</v>
      </c>
      <c r="I142" s="6">
        <f t="shared" si="18"/>
        <v>195.79460117603622</v>
      </c>
      <c r="J142" s="6">
        <f t="shared" si="19"/>
        <v>195.79460117603622</v>
      </c>
      <c r="K142" s="5">
        <f t="shared" si="20"/>
        <v>169949.52</v>
      </c>
      <c r="L142" s="4">
        <f t="shared" si="16"/>
        <v>0</v>
      </c>
      <c r="M142" s="2" cm="1">
        <f t="array" ref="M142">SUMPRODUCT(--($L$6:$L$300&lt;&gt;1),--($C$6:$C$300=$C142),$H$6:$H$300)/SUMPRODUCT(--($L$6:$L$300&lt;&gt;1),--($C$6:$C$300=$C142),$E$6:$E$300)</f>
        <v>543.72843951517063</v>
      </c>
      <c r="N142" s="1" cm="1">
        <f t="array" ref="N142">SUMPRODUCT(--($L$6:$L$300&lt;&gt;1),--($C$6:$C$300=$C142))</f>
        <v>69</v>
      </c>
      <c r="O142" s="3">
        <f t="shared" si="21"/>
        <v>121057.95586140292</v>
      </c>
      <c r="P142" s="2" cm="1">
        <f t="array" ref="P142">SQRT(SUMPRODUCT(--($L$6:$L$300&lt;&gt;1),--($C$6:$C$300=$C142),$E$6:$E$300,$O$6:$O$300)/((N142-1)*SUMPRODUCT(--($L$6:$L$300&lt;&gt;1),--($C$6:$C$300=$C142),$E$6:$E$300)/N142))</f>
        <v>193.10040445873076</v>
      </c>
      <c r="Q142" s="2">
        <f t="shared" si="15"/>
        <v>296.26031387378862</v>
      </c>
      <c r="R142" s="2">
        <f t="shared" si="15"/>
        <v>791.19656515655265</v>
      </c>
      <c r="S142" s="2">
        <f t="shared" si="22"/>
        <v>195.79460117603622</v>
      </c>
    </row>
    <row r="143" spans="2:19" x14ac:dyDescent="0.25">
      <c r="B143">
        <v>420</v>
      </c>
      <c r="C143" s="28">
        <v>7</v>
      </c>
      <c r="D143" s="35" t="s">
        <v>283</v>
      </c>
      <c r="E143" s="154">
        <f>INDEX('2019 Data Lockdown'!H$5:H$257,MATCH(B143,'2019 Data Lockdown'!B$5:B$257,0))</f>
        <v>342.99823535503288</v>
      </c>
      <c r="F143" s="7">
        <f>INDEX('2019 Data Lockdown'!E$5:E$257,MATCH(B143,'2019 Data Lockdown'!B$5:B$257,0))</f>
        <v>176959.11</v>
      </c>
      <c r="G143" s="7">
        <f>INDEX('2019 Data Lockdown'!F$5:F$257,MATCH(B143,'2019 Data Lockdown'!B$5:B$257,0))</f>
        <v>167</v>
      </c>
      <c r="H143" s="7">
        <f t="shared" si="17"/>
        <v>176792.11</v>
      </c>
      <c r="I143" s="6">
        <f t="shared" si="18"/>
        <v>515.43154388827929</v>
      </c>
      <c r="J143" s="6">
        <f t="shared" si="19"/>
        <v>515.43154388827929</v>
      </c>
      <c r="K143" s="5">
        <f t="shared" si="20"/>
        <v>176792.11</v>
      </c>
      <c r="L143" s="4">
        <f t="shared" si="16"/>
        <v>0</v>
      </c>
      <c r="M143" s="2" cm="1">
        <f t="array" ref="M143">SUMPRODUCT(--($L$6:$L$300&lt;&gt;1),--($C$6:$C$300=$C143),$H$6:$H$300)/SUMPRODUCT(--($L$6:$L$300&lt;&gt;1),--($C$6:$C$300=$C143),$E$6:$E$300)</f>
        <v>543.72843951517063</v>
      </c>
      <c r="N143" s="1" cm="1">
        <f t="array" ref="N143">SUMPRODUCT(--($L$6:$L$300&lt;&gt;1),--($C$6:$C$300=$C143))</f>
        <v>69</v>
      </c>
      <c r="O143" s="3">
        <f t="shared" si="21"/>
        <v>800.71430211918232</v>
      </c>
      <c r="P143" s="2" cm="1">
        <f t="array" ref="P143">SQRT(SUMPRODUCT(--($L$6:$L$300&lt;&gt;1),--($C$6:$C$300=$C143),$E$6:$E$300,$O$6:$O$300)/((N143-1)*SUMPRODUCT(--($L$6:$L$300&lt;&gt;1),--($C$6:$C$300=$C143),$E$6:$E$300)/N143))</f>
        <v>193.10040445873076</v>
      </c>
      <c r="Q143" s="2">
        <f t="shared" si="15"/>
        <v>296.26031387378862</v>
      </c>
      <c r="R143" s="2">
        <f t="shared" si="15"/>
        <v>791.19656515655265</v>
      </c>
      <c r="S143" s="2">
        <f t="shared" si="22"/>
        <v>515.43154388827929</v>
      </c>
    </row>
    <row r="144" spans="2:19" x14ac:dyDescent="0.25">
      <c r="B144">
        <v>434</v>
      </c>
      <c r="C144" s="28">
        <v>7</v>
      </c>
      <c r="D144" s="35" t="s">
        <v>192</v>
      </c>
      <c r="E144" s="154">
        <f>INDEX('2019 Data Lockdown'!H$5:H$257,MATCH(B144,'2019 Data Lockdown'!B$5:B$257,0))</f>
        <v>253.47632993519809</v>
      </c>
      <c r="F144" s="7">
        <f>INDEX('2019 Data Lockdown'!E$5:E$257,MATCH(B144,'2019 Data Lockdown'!B$5:B$257,0))</f>
        <v>134168.73000000001</v>
      </c>
      <c r="G144" s="7">
        <f>INDEX('2019 Data Lockdown'!F$5:F$257,MATCH(B144,'2019 Data Lockdown'!B$5:B$257,0))</f>
        <v>0</v>
      </c>
      <c r="H144" s="7">
        <f t="shared" si="17"/>
        <v>134168.73000000001</v>
      </c>
      <c r="I144" s="6">
        <f t="shared" si="18"/>
        <v>529.3146308150375</v>
      </c>
      <c r="J144" s="6">
        <f t="shared" si="19"/>
        <v>529.3146308150375</v>
      </c>
      <c r="K144" s="5">
        <f t="shared" si="20"/>
        <v>134168.73000000001</v>
      </c>
      <c r="L144" s="4">
        <f t="shared" si="16"/>
        <v>0</v>
      </c>
      <c r="M144" s="2" cm="1">
        <f t="array" ref="M144">SUMPRODUCT(--($L$6:$L$300&lt;&gt;1),--($C$6:$C$300=$C144),$H$6:$H$300)/SUMPRODUCT(--($L$6:$L$300&lt;&gt;1),--($C$6:$C$300=$C144),$E$6:$E$300)</f>
        <v>543.72843951517063</v>
      </c>
      <c r="N144" s="1" cm="1">
        <f t="array" ref="N144">SUMPRODUCT(--($L$6:$L$300&lt;&gt;1),--($C$6:$C$300=$C144))</f>
        <v>69</v>
      </c>
      <c r="O144" s="3">
        <f t="shared" si="21"/>
        <v>207.75788124403354</v>
      </c>
      <c r="P144" s="2" cm="1">
        <f t="array" ref="P144">SQRT(SUMPRODUCT(--($L$6:$L$300&lt;&gt;1),--($C$6:$C$300=$C144),$E$6:$E$300,$O$6:$O$300)/((N144-1)*SUMPRODUCT(--($L$6:$L$300&lt;&gt;1),--($C$6:$C$300=$C144),$E$6:$E$300)/N144))</f>
        <v>193.10040445873076</v>
      </c>
      <c r="Q144" s="2">
        <f t="shared" si="15"/>
        <v>296.26031387378862</v>
      </c>
      <c r="R144" s="2">
        <f t="shared" si="15"/>
        <v>791.19656515655265</v>
      </c>
      <c r="S144" s="2">
        <f t="shared" si="22"/>
        <v>529.3146308150375</v>
      </c>
    </row>
    <row r="145" spans="2:19" x14ac:dyDescent="0.25">
      <c r="B145">
        <v>437</v>
      </c>
      <c r="C145" s="28">
        <v>7</v>
      </c>
      <c r="D145" s="35" t="s">
        <v>193</v>
      </c>
      <c r="E145" s="154">
        <f>INDEX('2019 Data Lockdown'!H$5:H$257,MATCH(B145,'2019 Data Lockdown'!B$5:B$257,0))</f>
        <v>305.36634845286437</v>
      </c>
      <c r="F145" s="7">
        <f>INDEX('2019 Data Lockdown'!E$5:E$257,MATCH(B145,'2019 Data Lockdown'!B$5:B$257,0))</f>
        <v>243556.24</v>
      </c>
      <c r="G145" s="7">
        <f>INDEX('2019 Data Lockdown'!F$5:F$257,MATCH(B145,'2019 Data Lockdown'!B$5:B$257,0))</f>
        <v>0</v>
      </c>
      <c r="H145" s="7">
        <f t="shared" si="17"/>
        <v>243556.24</v>
      </c>
      <c r="I145" s="6">
        <f t="shared" si="18"/>
        <v>797.58703352211307</v>
      </c>
      <c r="J145" s="6">
        <f t="shared" si="19"/>
        <v>791.19656515655265</v>
      </c>
      <c r="K145" s="5">
        <f t="shared" si="20"/>
        <v>241604.80601030527</v>
      </c>
      <c r="L145" s="4">
        <f t="shared" si="16"/>
        <v>0</v>
      </c>
      <c r="M145" s="2" cm="1">
        <f t="array" ref="M145">SUMPRODUCT(--($L$6:$L$300&lt;&gt;1),--($C$6:$C$300=$C145),$H$6:$H$300)/SUMPRODUCT(--($L$6:$L$300&lt;&gt;1),--($C$6:$C$300=$C145),$E$6:$E$300)</f>
        <v>543.72843951517063</v>
      </c>
      <c r="N145" s="1" cm="1">
        <f t="array" ref="N145">SUMPRODUCT(--($L$6:$L$300&lt;&gt;1),--($C$6:$C$300=$C145))</f>
        <v>69</v>
      </c>
      <c r="O145" s="3">
        <f t="shared" si="21"/>
        <v>64444.185751181634</v>
      </c>
      <c r="P145" s="2" cm="1">
        <f t="array" ref="P145">SQRT(SUMPRODUCT(--($L$6:$L$300&lt;&gt;1),--($C$6:$C$300=$C145),$E$6:$E$300,$O$6:$O$300)/((N145-1)*SUMPRODUCT(--($L$6:$L$300&lt;&gt;1),--($C$6:$C$300=$C145),$E$6:$E$300)/N145))</f>
        <v>193.10040445873076</v>
      </c>
      <c r="Q145" s="2">
        <f t="shared" si="15"/>
        <v>296.26031387378862</v>
      </c>
      <c r="R145" s="2">
        <f t="shared" si="15"/>
        <v>791.19656515655265</v>
      </c>
      <c r="S145" s="2">
        <f t="shared" si="22"/>
        <v>791.19656515655265</v>
      </c>
    </row>
    <row r="146" spans="2:19" x14ac:dyDescent="0.25">
      <c r="B146">
        <v>502</v>
      </c>
      <c r="C146" s="28">
        <v>7</v>
      </c>
      <c r="D146" s="35" t="s">
        <v>194</v>
      </c>
      <c r="E146" s="154">
        <f>INDEX('2019 Data Lockdown'!H$5:H$257,MATCH(B146,'2019 Data Lockdown'!B$5:B$257,0))</f>
        <v>497.74545729062561</v>
      </c>
      <c r="F146" s="7">
        <f>INDEX('2019 Data Lockdown'!E$5:E$257,MATCH(B146,'2019 Data Lockdown'!B$5:B$257,0))</f>
        <v>294346.69</v>
      </c>
      <c r="G146" s="7">
        <f>INDEX('2019 Data Lockdown'!F$5:F$257,MATCH(B146,'2019 Data Lockdown'!B$5:B$257,0))</f>
        <v>0</v>
      </c>
      <c r="H146" s="7">
        <f t="shared" si="17"/>
        <v>294346.69</v>
      </c>
      <c r="I146" s="6">
        <f t="shared" si="18"/>
        <v>591.35987217686591</v>
      </c>
      <c r="J146" s="6">
        <f t="shared" si="19"/>
        <v>591.35987217686591</v>
      </c>
      <c r="K146" s="5">
        <f t="shared" si="20"/>
        <v>294346.69</v>
      </c>
      <c r="L146" s="4">
        <f t="shared" si="16"/>
        <v>0</v>
      </c>
      <c r="M146" s="2" cm="1">
        <f t="array" ref="M146">SUMPRODUCT(--($L$6:$L$300&lt;&gt;1),--($C$6:$C$300=$C146),$H$6:$H$300)/SUMPRODUCT(--($L$6:$L$300&lt;&gt;1),--($C$6:$C$300=$C146),$E$6:$E$300)</f>
        <v>543.72843951517063</v>
      </c>
      <c r="N146" s="1" cm="1">
        <f t="array" ref="N146">SUMPRODUCT(--($L$6:$L$300&lt;&gt;1),--($C$6:$C$300=$C146))</f>
        <v>69</v>
      </c>
      <c r="O146" s="3">
        <f t="shared" si="21"/>
        <v>2268.753377405611</v>
      </c>
      <c r="P146" s="2" cm="1">
        <f t="array" ref="P146">SQRT(SUMPRODUCT(--($L$6:$L$300&lt;&gt;1),--($C$6:$C$300=$C146),$E$6:$E$300,$O$6:$O$300)/((N146-1)*SUMPRODUCT(--($L$6:$L$300&lt;&gt;1),--($C$6:$C$300=$C146),$E$6:$E$300)/N146))</f>
        <v>193.10040445873076</v>
      </c>
      <c r="Q146" s="2">
        <f t="shared" si="15"/>
        <v>296.26031387378862</v>
      </c>
      <c r="R146" s="2">
        <f t="shared" si="15"/>
        <v>791.19656515655265</v>
      </c>
      <c r="S146" s="2">
        <f t="shared" si="22"/>
        <v>591.35987217686591</v>
      </c>
    </row>
    <row r="147" spans="2:19" x14ac:dyDescent="0.25">
      <c r="B147">
        <v>503</v>
      </c>
      <c r="C147" s="28">
        <v>7</v>
      </c>
      <c r="D147" s="35" t="s">
        <v>195</v>
      </c>
      <c r="E147" s="154">
        <f>INDEX('2019 Data Lockdown'!H$5:H$257,MATCH(B147,'2019 Data Lockdown'!B$5:B$257,0))</f>
        <v>391.2185740323925</v>
      </c>
      <c r="F147" s="7">
        <f>INDEX('2019 Data Lockdown'!E$5:E$257,MATCH(B147,'2019 Data Lockdown'!B$5:B$257,0))</f>
        <v>213000.07</v>
      </c>
      <c r="G147" s="7">
        <f>INDEX('2019 Data Lockdown'!F$5:F$257,MATCH(B147,'2019 Data Lockdown'!B$5:B$257,0))</f>
        <v>33972.22</v>
      </c>
      <c r="H147" s="7">
        <f t="shared" si="17"/>
        <v>179027.85</v>
      </c>
      <c r="I147" s="6">
        <f t="shared" si="18"/>
        <v>457.61592593805807</v>
      </c>
      <c r="J147" s="6">
        <f t="shared" si="19"/>
        <v>457.61592593805807</v>
      </c>
      <c r="K147" s="5">
        <f t="shared" si="20"/>
        <v>179027.85</v>
      </c>
      <c r="L147" s="4">
        <f t="shared" si="16"/>
        <v>0</v>
      </c>
      <c r="M147" s="2" cm="1">
        <f t="array" ref="M147">SUMPRODUCT(--($L$6:$L$300&lt;&gt;1),--($C$6:$C$300=$C147),$H$6:$H$300)/SUMPRODUCT(--($L$6:$L$300&lt;&gt;1),--($C$6:$C$300=$C147),$E$6:$E$300)</f>
        <v>543.72843951517063</v>
      </c>
      <c r="N147" s="1" cm="1">
        <f t="array" ref="N147">SUMPRODUCT(--($L$6:$L$300&lt;&gt;1),--($C$6:$C$300=$C147))</f>
        <v>69</v>
      </c>
      <c r="O147" s="3">
        <f t="shared" si="21"/>
        <v>7415.3649945683956</v>
      </c>
      <c r="P147" s="2" cm="1">
        <f t="array" ref="P147">SQRT(SUMPRODUCT(--($L$6:$L$300&lt;&gt;1),--($C$6:$C$300=$C147),$E$6:$E$300,$O$6:$O$300)/((N147-1)*SUMPRODUCT(--($L$6:$L$300&lt;&gt;1),--($C$6:$C$300=$C147),$E$6:$E$300)/N147))</f>
        <v>193.10040445873076</v>
      </c>
      <c r="Q147" s="2">
        <f t="shared" si="15"/>
        <v>296.26031387378862</v>
      </c>
      <c r="R147" s="2">
        <f t="shared" si="15"/>
        <v>791.19656515655265</v>
      </c>
      <c r="S147" s="2">
        <f t="shared" si="22"/>
        <v>457.61592593805807</v>
      </c>
    </row>
    <row r="148" spans="2:19" x14ac:dyDescent="0.25">
      <c r="B148">
        <v>510</v>
      </c>
      <c r="C148" s="28">
        <v>7</v>
      </c>
      <c r="D148" s="35" t="s">
        <v>196</v>
      </c>
      <c r="E148" s="154">
        <f>INDEX('2019 Data Lockdown'!H$5:H$257,MATCH(B148,'2019 Data Lockdown'!B$5:B$257,0))</f>
        <v>507.29892721805413</v>
      </c>
      <c r="F148" s="7">
        <f>INDEX('2019 Data Lockdown'!E$5:E$257,MATCH(B148,'2019 Data Lockdown'!B$5:B$257,0))</f>
        <v>259881.62</v>
      </c>
      <c r="G148" s="7">
        <f>INDEX('2019 Data Lockdown'!F$5:F$257,MATCH(B148,'2019 Data Lockdown'!B$5:B$257,0))</f>
        <v>1071</v>
      </c>
      <c r="H148" s="7">
        <f t="shared" si="17"/>
        <v>258810.62</v>
      </c>
      <c r="I148" s="6">
        <f t="shared" si="18"/>
        <v>510.17379717176988</v>
      </c>
      <c r="J148" s="6">
        <f t="shared" si="19"/>
        <v>510.17379717176988</v>
      </c>
      <c r="K148" s="5">
        <f t="shared" si="20"/>
        <v>258810.62</v>
      </c>
      <c r="L148" s="4">
        <f t="shared" si="16"/>
        <v>0</v>
      </c>
      <c r="M148" s="2" cm="1">
        <f t="array" ref="M148">SUMPRODUCT(--($L$6:$L$300&lt;&gt;1),--($C$6:$C$300=$C148),$H$6:$H$300)/SUMPRODUCT(--($L$6:$L$300&lt;&gt;1),--($C$6:$C$300=$C148),$E$6:$E$300)</f>
        <v>543.72843951517063</v>
      </c>
      <c r="N148" s="1" cm="1">
        <f t="array" ref="N148">SUMPRODUCT(--($L$6:$L$300&lt;&gt;1),--($C$6:$C$300=$C148))</f>
        <v>69</v>
      </c>
      <c r="O148" s="3">
        <f t="shared" si="21"/>
        <v>1125.9140227935432</v>
      </c>
      <c r="P148" s="2" cm="1">
        <f t="array" ref="P148">SQRT(SUMPRODUCT(--($L$6:$L$300&lt;&gt;1),--($C$6:$C$300=$C148),$E$6:$E$300,$O$6:$O$300)/((N148-1)*SUMPRODUCT(--($L$6:$L$300&lt;&gt;1),--($C$6:$C$300=$C148),$E$6:$E$300)/N148))</f>
        <v>193.10040445873076</v>
      </c>
      <c r="Q148" s="2">
        <f t="shared" si="15"/>
        <v>296.26031387378862</v>
      </c>
      <c r="R148" s="2">
        <f t="shared" si="15"/>
        <v>791.19656515655265</v>
      </c>
      <c r="S148" s="2">
        <f t="shared" si="22"/>
        <v>510.17379717176988</v>
      </c>
    </row>
    <row r="149" spans="2:19" x14ac:dyDescent="0.25">
      <c r="B149">
        <v>531</v>
      </c>
      <c r="C149" s="28">
        <v>7</v>
      </c>
      <c r="D149" s="35" t="s">
        <v>197</v>
      </c>
      <c r="E149" s="154">
        <f>INDEX('2019 Data Lockdown'!H$5:H$257,MATCH(B149,'2019 Data Lockdown'!B$5:B$257,0))</f>
        <v>1984.57</v>
      </c>
      <c r="F149" s="7">
        <f>INDEX('2019 Data Lockdown'!E$5:E$257,MATCH(B149,'2019 Data Lockdown'!B$5:B$257,0))</f>
        <v>629818.71</v>
      </c>
      <c r="G149" s="7">
        <f>INDEX('2019 Data Lockdown'!F$5:F$257,MATCH(B149,'2019 Data Lockdown'!B$5:B$257,0))</f>
        <v>2609.7399999999998</v>
      </c>
      <c r="H149" s="7">
        <f t="shared" si="17"/>
        <v>627208.97</v>
      </c>
      <c r="I149" s="6">
        <f t="shared" si="18"/>
        <v>316.04275485369624</v>
      </c>
      <c r="J149" s="6">
        <f t="shared" si="19"/>
        <v>316.04275485369624</v>
      </c>
      <c r="K149" s="5">
        <f t="shared" si="20"/>
        <v>627208.97</v>
      </c>
      <c r="L149" s="4">
        <f t="shared" si="16"/>
        <v>0</v>
      </c>
      <c r="M149" s="2" cm="1">
        <f t="array" ref="M149">SUMPRODUCT(--($L$6:$L$300&lt;&gt;1),--($C$6:$C$300=$C149),$H$6:$H$300)/SUMPRODUCT(--($L$6:$L$300&lt;&gt;1),--($C$6:$C$300=$C149),$E$6:$E$300)</f>
        <v>543.72843951517063</v>
      </c>
      <c r="N149" s="1" cm="1">
        <f t="array" ref="N149">SUMPRODUCT(--($L$6:$L$300&lt;&gt;1),--($C$6:$C$300=$C149))</f>
        <v>69</v>
      </c>
      <c r="O149" s="3">
        <f t="shared" si="21"/>
        <v>51840.770999764354</v>
      </c>
      <c r="P149" s="2" cm="1">
        <f t="array" ref="P149">SQRT(SUMPRODUCT(--($L$6:$L$300&lt;&gt;1),--($C$6:$C$300=$C149),$E$6:$E$300,$O$6:$O$300)/((N149-1)*SUMPRODUCT(--($L$6:$L$300&lt;&gt;1),--($C$6:$C$300=$C149),$E$6:$E$300)/N149))</f>
        <v>193.10040445873076</v>
      </c>
      <c r="Q149" s="2">
        <f t="shared" si="15"/>
        <v>296.26031387378862</v>
      </c>
      <c r="R149" s="2">
        <f t="shared" si="15"/>
        <v>791.19656515655265</v>
      </c>
      <c r="S149" s="2">
        <f t="shared" si="22"/>
        <v>316.04275485369624</v>
      </c>
    </row>
    <row r="150" spans="2:19" x14ac:dyDescent="0.25">
      <c r="B150">
        <v>551</v>
      </c>
      <c r="C150" s="28">
        <v>7</v>
      </c>
      <c r="D150" s="35" t="s">
        <v>199</v>
      </c>
      <c r="E150" s="154">
        <f>INDEX('2019 Data Lockdown'!H$5:H$257,MATCH(B150,'2019 Data Lockdown'!B$5:B$257,0))</f>
        <v>153.38752675955698</v>
      </c>
      <c r="F150" s="7">
        <f>INDEX('2019 Data Lockdown'!E$5:E$257,MATCH(B150,'2019 Data Lockdown'!B$5:B$257,0))</f>
        <v>117853.72</v>
      </c>
      <c r="G150" s="7">
        <f>INDEX('2019 Data Lockdown'!F$5:F$257,MATCH(B150,'2019 Data Lockdown'!B$5:B$257,0))</f>
        <v>72</v>
      </c>
      <c r="H150" s="7">
        <f t="shared" si="17"/>
        <v>117781.72</v>
      </c>
      <c r="I150" s="6">
        <f t="shared" si="18"/>
        <v>767.87025965044108</v>
      </c>
      <c r="J150" s="6">
        <f t="shared" si="19"/>
        <v>767.87025965044108</v>
      </c>
      <c r="K150" s="5">
        <f t="shared" si="20"/>
        <v>117781.72</v>
      </c>
      <c r="L150" s="4">
        <f t="shared" si="16"/>
        <v>0</v>
      </c>
      <c r="M150" s="2" cm="1">
        <f t="array" ref="M150">SUMPRODUCT(--($L$6:$L$300&lt;&gt;1),--($C$6:$C$300=$C150),$H$6:$H$300)/SUMPRODUCT(--($L$6:$L$300&lt;&gt;1),--($C$6:$C$300=$C150),$E$6:$E$300)</f>
        <v>543.72843951517063</v>
      </c>
      <c r="N150" s="1" cm="1">
        <f t="array" ref="N150">SUMPRODUCT(--($L$6:$L$300&lt;&gt;1),--($C$6:$C$300=$C150))</f>
        <v>69</v>
      </c>
      <c r="O150" s="3">
        <f t="shared" si="21"/>
        <v>50239.555533551931</v>
      </c>
      <c r="P150" s="2" cm="1">
        <f t="array" ref="P150">SQRT(SUMPRODUCT(--($L$6:$L$300&lt;&gt;1),--($C$6:$C$300=$C150),$E$6:$E$300,$O$6:$O$300)/((N150-1)*SUMPRODUCT(--($L$6:$L$300&lt;&gt;1),--($C$6:$C$300=$C150),$E$6:$E$300)/N150))</f>
        <v>193.10040445873076</v>
      </c>
      <c r="Q150" s="2">
        <f t="shared" si="15"/>
        <v>296.26031387378862</v>
      </c>
      <c r="R150" s="2">
        <f t="shared" si="15"/>
        <v>791.19656515655265</v>
      </c>
      <c r="S150" s="2">
        <f t="shared" si="22"/>
        <v>767.87025965044108</v>
      </c>
    </row>
    <row r="151" spans="2:19" x14ac:dyDescent="0.25">
      <c r="B151">
        <v>555</v>
      </c>
      <c r="C151" s="28">
        <v>7</v>
      </c>
      <c r="D151" s="35" t="s">
        <v>200</v>
      </c>
      <c r="E151" s="154">
        <f>INDEX('2019 Data Lockdown'!H$5:H$257,MATCH(B151,'2019 Data Lockdown'!B$5:B$257,0))</f>
        <v>517.66739217631118</v>
      </c>
      <c r="F151" s="7">
        <f>INDEX('2019 Data Lockdown'!E$5:E$257,MATCH(B151,'2019 Data Lockdown'!B$5:B$257,0))</f>
        <v>492608.68</v>
      </c>
      <c r="G151" s="7">
        <f>INDEX('2019 Data Lockdown'!F$5:F$257,MATCH(B151,'2019 Data Lockdown'!B$5:B$257,0))</f>
        <v>497.7</v>
      </c>
      <c r="H151" s="7">
        <f t="shared" si="17"/>
        <v>492110.98</v>
      </c>
      <c r="I151" s="6">
        <f t="shared" si="18"/>
        <v>950.63159750342743</v>
      </c>
      <c r="J151" s="6">
        <f t="shared" si="19"/>
        <v>791.19656515655265</v>
      </c>
      <c r="K151" s="5">
        <f t="shared" si="20"/>
        <v>409576.66258344747</v>
      </c>
      <c r="L151" s="4">
        <f t="shared" si="16"/>
        <v>0</v>
      </c>
      <c r="M151" s="2" cm="1">
        <f t="array" ref="M151">SUMPRODUCT(--($L$6:$L$300&lt;&gt;1),--($C$6:$C$300=$C151),$H$6:$H$300)/SUMPRODUCT(--($L$6:$L$300&lt;&gt;1),--($C$6:$C$300=$C151),$E$6:$E$300)</f>
        <v>543.72843951517063</v>
      </c>
      <c r="N151" s="1" cm="1">
        <f t="array" ref="N151">SUMPRODUCT(--($L$6:$L$300&lt;&gt;1),--($C$6:$C$300=$C151))</f>
        <v>69</v>
      </c>
      <c r="O151" s="3">
        <f t="shared" si="21"/>
        <v>165570.17998081626</v>
      </c>
      <c r="P151" s="2" cm="1">
        <f t="array" ref="P151">SQRT(SUMPRODUCT(--($L$6:$L$300&lt;&gt;1),--($C$6:$C$300=$C151),$E$6:$E$300,$O$6:$O$300)/((N151-1)*SUMPRODUCT(--($L$6:$L$300&lt;&gt;1),--($C$6:$C$300=$C151),$E$6:$E$300)/N151))</f>
        <v>193.10040445873076</v>
      </c>
      <c r="Q151" s="2">
        <f t="shared" si="15"/>
        <v>296.26031387378862</v>
      </c>
      <c r="R151" s="2">
        <f t="shared" si="15"/>
        <v>791.19656515655265</v>
      </c>
      <c r="S151" s="2">
        <f t="shared" si="22"/>
        <v>791.19656515655265</v>
      </c>
    </row>
    <row r="152" spans="2:19" x14ac:dyDescent="0.25">
      <c r="B152">
        <v>556</v>
      </c>
      <c r="C152" s="28">
        <v>7</v>
      </c>
      <c r="D152" s="35" t="s">
        <v>201</v>
      </c>
      <c r="E152" s="154">
        <f>INDEX('2019 Data Lockdown'!H$5:H$257,MATCH(B152,'2019 Data Lockdown'!B$5:B$257,0))</f>
        <v>429.57419276527332</v>
      </c>
      <c r="F152" s="7">
        <f>INDEX('2019 Data Lockdown'!E$5:E$257,MATCH(B152,'2019 Data Lockdown'!B$5:B$257,0))</f>
        <v>251644.37</v>
      </c>
      <c r="G152" s="7">
        <f>INDEX('2019 Data Lockdown'!F$5:F$257,MATCH(B152,'2019 Data Lockdown'!B$5:B$257,0))</f>
        <v>73939.33</v>
      </c>
      <c r="H152" s="7">
        <f t="shared" si="17"/>
        <v>177705.03999999998</v>
      </c>
      <c r="I152" s="6">
        <f t="shared" si="18"/>
        <v>413.67717845448192</v>
      </c>
      <c r="J152" s="6">
        <f t="shared" si="19"/>
        <v>413.67717845448192</v>
      </c>
      <c r="K152" s="5">
        <f t="shared" si="20"/>
        <v>177705.03999999998</v>
      </c>
      <c r="L152" s="4">
        <f t="shared" si="16"/>
        <v>0</v>
      </c>
      <c r="M152" s="2" cm="1">
        <f t="array" ref="M152">SUMPRODUCT(--($L$6:$L$300&lt;&gt;1),--($C$6:$C$300=$C152),$H$6:$H$300)/SUMPRODUCT(--($L$6:$L$300&lt;&gt;1),--($C$6:$C$300=$C152),$E$6:$E$300)</f>
        <v>543.72843951517063</v>
      </c>
      <c r="N152" s="1" cm="1">
        <f t="array" ref="N152">SUMPRODUCT(--($L$6:$L$300&lt;&gt;1),--($C$6:$C$300=$C152))</f>
        <v>69</v>
      </c>
      <c r="O152" s="3">
        <f t="shared" si="21"/>
        <v>16913.330503475408</v>
      </c>
      <c r="P152" s="2" cm="1">
        <f t="array" ref="P152">SQRT(SUMPRODUCT(--($L$6:$L$300&lt;&gt;1),--($C$6:$C$300=$C152),$E$6:$E$300,$O$6:$O$300)/((N152-1)*SUMPRODUCT(--($L$6:$L$300&lt;&gt;1),--($C$6:$C$300=$C152),$E$6:$E$300)/N152))</f>
        <v>193.10040445873076</v>
      </c>
      <c r="Q152" s="2">
        <f t="shared" si="15"/>
        <v>296.26031387378862</v>
      </c>
      <c r="R152" s="2">
        <f t="shared" si="15"/>
        <v>791.19656515655265</v>
      </c>
      <c r="S152" s="2">
        <f t="shared" si="22"/>
        <v>413.67717845448192</v>
      </c>
    </row>
    <row r="153" spans="2:19" x14ac:dyDescent="0.25">
      <c r="B153">
        <v>558</v>
      </c>
      <c r="C153" s="28">
        <v>7</v>
      </c>
      <c r="D153" s="35" t="s">
        <v>202</v>
      </c>
      <c r="E153" s="154">
        <f>INDEX('2019 Data Lockdown'!H$5:H$257,MATCH(B153,'2019 Data Lockdown'!B$5:B$257,0))</f>
        <v>390.35157563140439</v>
      </c>
      <c r="F153" s="7">
        <f>INDEX('2019 Data Lockdown'!E$5:E$257,MATCH(B153,'2019 Data Lockdown'!B$5:B$257,0))</f>
        <v>237481.28</v>
      </c>
      <c r="G153" s="7">
        <f>INDEX('2019 Data Lockdown'!F$5:F$257,MATCH(B153,'2019 Data Lockdown'!B$5:B$257,0))</f>
        <v>9049.75</v>
      </c>
      <c r="H153" s="7">
        <f t="shared" si="17"/>
        <v>228431.53</v>
      </c>
      <c r="I153" s="6">
        <f t="shared" si="18"/>
        <v>585.19433316108882</v>
      </c>
      <c r="J153" s="6">
        <f t="shared" si="19"/>
        <v>585.19433316108882</v>
      </c>
      <c r="K153" s="5">
        <f t="shared" si="20"/>
        <v>228431.53000000003</v>
      </c>
      <c r="L153" s="4">
        <f t="shared" si="16"/>
        <v>0</v>
      </c>
      <c r="M153" s="2" cm="1">
        <f t="array" ref="M153">SUMPRODUCT(--($L$6:$L$300&lt;&gt;1),--($C$6:$C$300=$C153),$H$6:$H$300)/SUMPRODUCT(--($L$6:$L$300&lt;&gt;1),--($C$6:$C$300=$C153),$E$6:$E$300)</f>
        <v>543.72843951517063</v>
      </c>
      <c r="N153" s="1" cm="1">
        <f t="array" ref="N153">SUMPRODUCT(--($L$6:$L$300&lt;&gt;1),--($C$6:$C$300=$C153))</f>
        <v>69</v>
      </c>
      <c r="O153" s="3">
        <f t="shared" si="21"/>
        <v>1719.4203358545981</v>
      </c>
      <c r="P153" s="2" cm="1">
        <f t="array" ref="P153">SQRT(SUMPRODUCT(--($L$6:$L$300&lt;&gt;1),--($C$6:$C$300=$C153),$E$6:$E$300,$O$6:$O$300)/((N153-1)*SUMPRODUCT(--($L$6:$L$300&lt;&gt;1),--($C$6:$C$300=$C153),$E$6:$E$300)/N153))</f>
        <v>193.10040445873076</v>
      </c>
      <c r="Q153" s="2">
        <f t="shared" si="15"/>
        <v>296.26031387378862</v>
      </c>
      <c r="R153" s="2">
        <f t="shared" si="15"/>
        <v>791.19656515655265</v>
      </c>
      <c r="S153" s="2">
        <f t="shared" si="22"/>
        <v>585.19433316108882</v>
      </c>
    </row>
    <row r="154" spans="2:19" x14ac:dyDescent="0.25">
      <c r="B154">
        <v>600</v>
      </c>
      <c r="C154" s="28">
        <v>7</v>
      </c>
      <c r="D154" s="35" t="s">
        <v>203</v>
      </c>
      <c r="E154" s="154">
        <f>INDEX('2019 Data Lockdown'!H$5:H$257,MATCH(B154,'2019 Data Lockdown'!B$5:B$257,0))</f>
        <v>754.93</v>
      </c>
      <c r="F154" s="7">
        <f>INDEX('2019 Data Lockdown'!E$5:E$257,MATCH(B154,'2019 Data Lockdown'!B$5:B$257,0))</f>
        <v>289349.82</v>
      </c>
      <c r="G154" s="7">
        <f>INDEX('2019 Data Lockdown'!F$5:F$257,MATCH(B154,'2019 Data Lockdown'!B$5:B$257,0))</f>
        <v>0</v>
      </c>
      <c r="H154" s="7">
        <f t="shared" si="17"/>
        <v>289349.82</v>
      </c>
      <c r="I154" s="6">
        <f t="shared" si="18"/>
        <v>383.28033062668067</v>
      </c>
      <c r="J154" s="6">
        <f t="shared" si="19"/>
        <v>383.28033062668067</v>
      </c>
      <c r="K154" s="5">
        <f t="shared" si="20"/>
        <v>289349.82</v>
      </c>
      <c r="L154" s="4">
        <f t="shared" si="16"/>
        <v>0</v>
      </c>
      <c r="M154" s="2" cm="1">
        <f t="array" ref="M154">SUMPRODUCT(--($L$6:$L$300&lt;&gt;1),--($C$6:$C$300=$C154),$H$6:$H$300)/SUMPRODUCT(--($L$6:$L$300&lt;&gt;1),--($C$6:$C$300=$C154),$E$6:$E$300)</f>
        <v>543.72843951517063</v>
      </c>
      <c r="N154" s="1" cm="1">
        <f t="array" ref="N154">SUMPRODUCT(--($L$6:$L$300&lt;&gt;1),--($C$6:$C$300=$C154))</f>
        <v>69</v>
      </c>
      <c r="O154" s="3">
        <f t="shared" si="21"/>
        <v>25743.595645892732</v>
      </c>
      <c r="P154" s="2" cm="1">
        <f t="array" ref="P154">SQRT(SUMPRODUCT(--($L$6:$L$300&lt;&gt;1),--($C$6:$C$300=$C154),$E$6:$E$300,$O$6:$O$300)/((N154-1)*SUMPRODUCT(--($L$6:$L$300&lt;&gt;1),--($C$6:$C$300=$C154),$E$6:$E$300)/N154))</f>
        <v>193.10040445873076</v>
      </c>
      <c r="Q154" s="2">
        <f t="shared" si="15"/>
        <v>296.26031387378862</v>
      </c>
      <c r="R154" s="2">
        <f t="shared" si="15"/>
        <v>791.19656515655265</v>
      </c>
      <c r="S154" s="2">
        <f t="shared" si="22"/>
        <v>383.28033062668067</v>
      </c>
    </row>
    <row r="155" spans="2:19" x14ac:dyDescent="0.25">
      <c r="B155">
        <v>604</v>
      </c>
      <c r="C155" s="28">
        <v>7</v>
      </c>
      <c r="D155" s="35" t="s">
        <v>204</v>
      </c>
      <c r="E155" s="154">
        <f>INDEX('2019 Data Lockdown'!H$5:H$257,MATCH(B155,'2019 Data Lockdown'!B$5:B$257,0))</f>
        <v>515.30042961563572</v>
      </c>
      <c r="F155" s="7">
        <f>INDEX('2019 Data Lockdown'!E$5:E$257,MATCH(B155,'2019 Data Lockdown'!B$5:B$257,0))</f>
        <v>227300.68</v>
      </c>
      <c r="G155" s="7">
        <f>INDEX('2019 Data Lockdown'!F$5:F$257,MATCH(B155,'2019 Data Lockdown'!B$5:B$257,0))</f>
        <v>4684.6499999999996</v>
      </c>
      <c r="H155" s="7">
        <f t="shared" si="17"/>
        <v>222616.03</v>
      </c>
      <c r="I155" s="6">
        <f t="shared" si="18"/>
        <v>432.01211799114941</v>
      </c>
      <c r="J155" s="6">
        <f t="shared" si="19"/>
        <v>432.01211799114941</v>
      </c>
      <c r="K155" s="5">
        <f t="shared" si="20"/>
        <v>222616.03</v>
      </c>
      <c r="L155" s="4">
        <f t="shared" si="16"/>
        <v>0</v>
      </c>
      <c r="M155" s="2" cm="1">
        <f t="array" ref="M155">SUMPRODUCT(--($L$6:$L$300&lt;&gt;1),--($C$6:$C$300=$C155),$H$6:$H$300)/SUMPRODUCT(--($L$6:$L$300&lt;&gt;1),--($C$6:$C$300=$C155),$E$6:$E$300)</f>
        <v>543.72843951517063</v>
      </c>
      <c r="N155" s="1" cm="1">
        <f t="array" ref="N155">SUMPRODUCT(--($L$6:$L$300&lt;&gt;1),--($C$6:$C$300=$C155))</f>
        <v>69</v>
      </c>
      <c r="O155" s="3">
        <f t="shared" si="21"/>
        <v>12480.536494858488</v>
      </c>
      <c r="P155" s="2" cm="1">
        <f t="array" ref="P155">SQRT(SUMPRODUCT(--($L$6:$L$300&lt;&gt;1),--($C$6:$C$300=$C155),$E$6:$E$300,$O$6:$O$300)/((N155-1)*SUMPRODUCT(--($L$6:$L$300&lt;&gt;1),--($C$6:$C$300=$C155),$E$6:$E$300)/N155))</f>
        <v>193.10040445873076</v>
      </c>
      <c r="Q155" s="2">
        <f t="shared" si="15"/>
        <v>296.26031387378862</v>
      </c>
      <c r="R155" s="2">
        <f t="shared" si="15"/>
        <v>791.19656515655265</v>
      </c>
      <c r="S155" s="2">
        <f t="shared" si="22"/>
        <v>432.01211799114941</v>
      </c>
    </row>
    <row r="156" spans="2:19" x14ac:dyDescent="0.25">
      <c r="B156">
        <v>612</v>
      </c>
      <c r="C156" s="28">
        <v>7</v>
      </c>
      <c r="D156" s="35" t="s">
        <v>205</v>
      </c>
      <c r="E156" s="154">
        <f>INDEX('2019 Data Lockdown'!H$5:H$257,MATCH(B156,'2019 Data Lockdown'!B$5:B$257,0))</f>
        <v>465.4674142756993</v>
      </c>
      <c r="F156" s="7">
        <f>INDEX('2019 Data Lockdown'!E$5:E$257,MATCH(B156,'2019 Data Lockdown'!B$5:B$257,0))</f>
        <v>309970.14</v>
      </c>
      <c r="G156" s="7">
        <f>INDEX('2019 Data Lockdown'!F$5:F$257,MATCH(B156,'2019 Data Lockdown'!B$5:B$257,0))</f>
        <v>6701.21</v>
      </c>
      <c r="H156" s="7">
        <f t="shared" si="17"/>
        <v>303268.93</v>
      </c>
      <c r="I156" s="6">
        <f t="shared" si="18"/>
        <v>651.53632821302483</v>
      </c>
      <c r="J156" s="6">
        <f t="shared" si="19"/>
        <v>651.53632821302483</v>
      </c>
      <c r="K156" s="5">
        <f t="shared" si="20"/>
        <v>303268.93</v>
      </c>
      <c r="L156" s="4">
        <f t="shared" si="16"/>
        <v>0</v>
      </c>
      <c r="M156" s="2" cm="1">
        <f t="array" ref="M156">SUMPRODUCT(--($L$6:$L$300&lt;&gt;1),--($C$6:$C$300=$C156),$H$6:$H$300)/SUMPRODUCT(--($L$6:$L$300&lt;&gt;1),--($C$6:$C$300=$C156),$E$6:$E$300)</f>
        <v>543.72843951517063</v>
      </c>
      <c r="N156" s="1" cm="1">
        <f t="array" ref="N156">SUMPRODUCT(--($L$6:$L$300&lt;&gt;1),--($C$6:$C$300=$C156))</f>
        <v>69</v>
      </c>
      <c r="O156" s="3">
        <f t="shared" si="21"/>
        <v>11622.540865488918</v>
      </c>
      <c r="P156" s="2" cm="1">
        <f t="array" ref="P156">SQRT(SUMPRODUCT(--($L$6:$L$300&lt;&gt;1),--($C$6:$C$300=$C156),$E$6:$E$300,$O$6:$O$300)/((N156-1)*SUMPRODUCT(--($L$6:$L$300&lt;&gt;1),--($C$6:$C$300=$C156),$E$6:$E$300)/N156))</f>
        <v>193.10040445873076</v>
      </c>
      <c r="Q156" s="2">
        <f t="shared" si="15"/>
        <v>296.26031387378862</v>
      </c>
      <c r="R156" s="2">
        <f t="shared" si="15"/>
        <v>791.19656515655265</v>
      </c>
      <c r="S156" s="2">
        <f t="shared" si="22"/>
        <v>651.53632821302483</v>
      </c>
    </row>
    <row r="157" spans="2:19" x14ac:dyDescent="0.25">
      <c r="B157">
        <v>635</v>
      </c>
      <c r="C157" s="28">
        <v>7</v>
      </c>
      <c r="D157" s="35" t="s">
        <v>312</v>
      </c>
      <c r="E157" s="154">
        <f>INDEX('2019 Data Lockdown'!H$5:H$257,MATCH(B157,'2019 Data Lockdown'!B$5:B$257,0))</f>
        <v>58.100000000000016</v>
      </c>
      <c r="F157" s="7">
        <f>INDEX('2019 Data Lockdown'!E$5:E$257,MATCH(B157,'2019 Data Lockdown'!B$5:B$257,0))</f>
        <v>38338.959999999999</v>
      </c>
      <c r="G157" s="7">
        <f>INDEX('2019 Data Lockdown'!F$5:F$257,MATCH(B157,'2019 Data Lockdown'!B$5:B$257,0))</f>
        <v>0</v>
      </c>
      <c r="H157" s="7">
        <f t="shared" si="17"/>
        <v>38338.959999999999</v>
      </c>
      <c r="I157" s="6">
        <f t="shared" si="18"/>
        <v>659.8788296041306</v>
      </c>
      <c r="J157" s="6">
        <f t="shared" si="19"/>
        <v>659.8788296041306</v>
      </c>
      <c r="K157" s="5">
        <f t="shared" si="20"/>
        <v>38338.959999999999</v>
      </c>
      <c r="L157" s="4">
        <f t="shared" si="16"/>
        <v>0</v>
      </c>
      <c r="M157" s="2" cm="1">
        <f t="array" ref="M157">SUMPRODUCT(--($L$6:$L$300&lt;&gt;1),--($C$6:$C$300=$C157),$H$6:$H$300)/SUMPRODUCT(--($L$6:$L$300&lt;&gt;1),--($C$6:$C$300=$C157),$E$6:$E$300)</f>
        <v>543.72843951517063</v>
      </c>
      <c r="N157" s="1" cm="1">
        <f t="array" ref="N157">SUMPRODUCT(--($L$6:$L$300&lt;&gt;1),--($C$6:$C$300=$C157))</f>
        <v>69</v>
      </c>
      <c r="O157" s="3">
        <f t="shared" si="21"/>
        <v>13490.91311781757</v>
      </c>
      <c r="P157" s="2" cm="1">
        <f t="array" ref="P157">SQRT(SUMPRODUCT(--($L$6:$L$300&lt;&gt;1),--($C$6:$C$300=$C157),$E$6:$E$300,$O$6:$O$300)/((N157-1)*SUMPRODUCT(--($L$6:$L$300&lt;&gt;1),--($C$6:$C$300=$C157),$E$6:$E$300)/N157))</f>
        <v>193.10040445873076</v>
      </c>
      <c r="Q157" s="2">
        <f t="shared" si="15"/>
        <v>296.26031387378862</v>
      </c>
      <c r="R157" s="2">
        <f t="shared" si="15"/>
        <v>791.19656515655265</v>
      </c>
      <c r="S157" s="2">
        <f t="shared" si="22"/>
        <v>659.8788296041306</v>
      </c>
    </row>
    <row r="158" spans="2:19" x14ac:dyDescent="0.25">
      <c r="B158">
        <v>642</v>
      </c>
      <c r="C158" s="28">
        <v>7</v>
      </c>
      <c r="D158" s="35" t="s">
        <v>336</v>
      </c>
      <c r="E158" s="154">
        <f>INDEX('2019 Data Lockdown'!H$5:H$257,MATCH(B158,'2019 Data Lockdown'!B$5:B$257,0))</f>
        <v>131.41386363582231</v>
      </c>
      <c r="F158" s="7">
        <f>INDEX('2019 Data Lockdown'!E$5:E$257,MATCH(B158,'2019 Data Lockdown'!B$5:B$257,0))</f>
        <v>57394.98</v>
      </c>
      <c r="G158" s="7">
        <f>INDEX('2019 Data Lockdown'!F$5:F$257,MATCH(B158,'2019 Data Lockdown'!B$5:B$257,0))</f>
        <v>0</v>
      </c>
      <c r="H158" s="7">
        <f t="shared" si="17"/>
        <v>57394.98</v>
      </c>
      <c r="I158" s="6">
        <f t="shared" si="18"/>
        <v>436.74981019547937</v>
      </c>
      <c r="J158" s="6">
        <f t="shared" si="19"/>
        <v>436.74981019547937</v>
      </c>
      <c r="K158" s="5">
        <f t="shared" si="20"/>
        <v>57394.98</v>
      </c>
      <c r="L158" s="4">
        <f t="shared" si="16"/>
        <v>0</v>
      </c>
      <c r="M158" s="2" cm="1">
        <f t="array" ref="M158">SUMPRODUCT(--($L$6:$L$300&lt;&gt;1),--($C$6:$C$300=$C158),$H$6:$H$300)/SUMPRODUCT(--($L$6:$L$300&lt;&gt;1),--($C$6:$C$300=$C158),$E$6:$E$300)</f>
        <v>543.72843951517063</v>
      </c>
      <c r="N158" s="1" cm="1">
        <f t="array" ref="N158">SUMPRODUCT(--($L$6:$L$300&lt;&gt;1),--($C$6:$C$300=$C158))</f>
        <v>69</v>
      </c>
      <c r="O158" s="3">
        <f t="shared" si="21"/>
        <v>11444.427131119908</v>
      </c>
      <c r="P158" s="2" cm="1">
        <f t="array" ref="P158">SQRT(SUMPRODUCT(--($L$6:$L$300&lt;&gt;1),--($C$6:$C$300=$C158),$E$6:$E$300,$O$6:$O$300)/((N158-1)*SUMPRODUCT(--($L$6:$L$300&lt;&gt;1),--($C$6:$C$300=$C158),$E$6:$E$300)/N158))</f>
        <v>193.10040445873076</v>
      </c>
      <c r="Q158" s="2">
        <f t="shared" si="15"/>
        <v>296.26031387378862</v>
      </c>
      <c r="R158" s="2">
        <f t="shared" si="15"/>
        <v>791.19656515655265</v>
      </c>
      <c r="S158" s="2">
        <f t="shared" si="22"/>
        <v>436.74981019547937</v>
      </c>
    </row>
    <row r="159" spans="2:19" x14ac:dyDescent="0.25">
      <c r="B159">
        <v>643</v>
      </c>
      <c r="C159" s="28">
        <v>7</v>
      </c>
      <c r="D159" s="35" t="s">
        <v>337</v>
      </c>
      <c r="E159" s="154">
        <f>INDEX('2019 Data Lockdown'!H$5:H$257,MATCH(B159,'2019 Data Lockdown'!B$5:B$257,0))</f>
        <v>8.1079758961533877</v>
      </c>
      <c r="F159" s="7">
        <f>INDEX('2019 Data Lockdown'!E$5:E$257,MATCH(B159,'2019 Data Lockdown'!B$5:B$257,0))</f>
        <v>25324.71</v>
      </c>
      <c r="G159" s="7">
        <f>INDEX('2019 Data Lockdown'!F$5:F$257,MATCH(B159,'2019 Data Lockdown'!B$5:B$257,0))</f>
        <v>0</v>
      </c>
      <c r="H159" s="7">
        <f t="shared" si="17"/>
        <v>25324.71</v>
      </c>
      <c r="I159" s="6">
        <f t="shared" si="18"/>
        <v>3123.4318311200986</v>
      </c>
      <c r="J159" s="6">
        <f t="shared" si="19"/>
        <v>791.19656515655265</v>
      </c>
      <c r="K159" s="5">
        <f t="shared" si="20"/>
        <v>6415.0026794086825</v>
      </c>
      <c r="L159" s="4">
        <f t="shared" si="16"/>
        <v>0</v>
      </c>
      <c r="M159" s="2" cm="1">
        <f t="array" ref="M159">SUMPRODUCT(--($L$6:$L$300&lt;&gt;1),--($C$6:$C$300=$C159),$H$6:$H$300)/SUMPRODUCT(--($L$6:$L$300&lt;&gt;1),--($C$6:$C$300=$C159),$E$6:$E$300)</f>
        <v>543.72843951517063</v>
      </c>
      <c r="N159" s="1" cm="1">
        <f t="array" ref="N159">SUMPRODUCT(--($L$6:$L$300&lt;&gt;1),--($C$6:$C$300=$C159))</f>
        <v>69</v>
      </c>
      <c r="O159" s="3">
        <f t="shared" si="21"/>
        <v>6654869.5886579696</v>
      </c>
      <c r="P159" s="2" cm="1">
        <f t="array" ref="P159">SQRT(SUMPRODUCT(--($L$6:$L$300&lt;&gt;1),--($C$6:$C$300=$C159),$E$6:$E$300,$O$6:$O$300)/((N159-1)*SUMPRODUCT(--($L$6:$L$300&lt;&gt;1),--($C$6:$C$300=$C159),$E$6:$E$300)/N159))</f>
        <v>193.10040445873076</v>
      </c>
      <c r="Q159" s="2">
        <f t="shared" si="15"/>
        <v>296.26031387378862</v>
      </c>
      <c r="R159" s="2">
        <f t="shared" si="15"/>
        <v>791.19656515655265</v>
      </c>
      <c r="S159" s="2">
        <f t="shared" si="22"/>
        <v>791.19656515655265</v>
      </c>
    </row>
    <row r="160" spans="2:19" x14ac:dyDescent="0.25">
      <c r="B160">
        <v>711</v>
      </c>
      <c r="C160" s="28">
        <v>7</v>
      </c>
      <c r="D160" s="35" t="s">
        <v>206</v>
      </c>
      <c r="E160" s="154">
        <f>INDEX('2019 Data Lockdown'!H$5:H$257,MATCH(B160,'2019 Data Lockdown'!B$5:B$257,0))</f>
        <v>456.7</v>
      </c>
      <c r="F160" s="7">
        <f>INDEX('2019 Data Lockdown'!E$5:E$257,MATCH(B160,'2019 Data Lockdown'!B$5:B$257,0))</f>
        <v>239906.51</v>
      </c>
      <c r="G160" s="7">
        <f>INDEX('2019 Data Lockdown'!F$5:F$257,MATCH(B160,'2019 Data Lockdown'!B$5:B$257,0))</f>
        <v>6079.57</v>
      </c>
      <c r="H160" s="7">
        <f t="shared" si="17"/>
        <v>233826.94</v>
      </c>
      <c r="I160" s="6">
        <f t="shared" si="18"/>
        <v>511.99242391066349</v>
      </c>
      <c r="J160" s="6">
        <f t="shared" si="19"/>
        <v>511.99242391066349</v>
      </c>
      <c r="K160" s="5">
        <f t="shared" si="20"/>
        <v>233826.94</v>
      </c>
      <c r="L160" s="4">
        <f t="shared" si="16"/>
        <v>0</v>
      </c>
      <c r="M160" s="2" cm="1">
        <f t="array" ref="M160">SUMPRODUCT(--($L$6:$L$300&lt;&gt;1),--($C$6:$C$300=$C160),$H$6:$H$300)/SUMPRODUCT(--($L$6:$L$300&lt;&gt;1),--($C$6:$C$300=$C160),$E$6:$E$300)</f>
        <v>543.72843951517063</v>
      </c>
      <c r="N160" s="1" cm="1">
        <f t="array" ref="N160">SUMPRODUCT(--($L$6:$L$300&lt;&gt;1),--($C$6:$C$300=$C160))</f>
        <v>69</v>
      </c>
      <c r="O160" s="3">
        <f t="shared" si="21"/>
        <v>1007.174686449521</v>
      </c>
      <c r="P160" s="2" cm="1">
        <f t="array" ref="P160">SQRT(SUMPRODUCT(--($L$6:$L$300&lt;&gt;1),--($C$6:$C$300=$C160),$E$6:$E$300,$O$6:$O$300)/((N160-1)*SUMPRODUCT(--($L$6:$L$300&lt;&gt;1),--($C$6:$C$300=$C160),$E$6:$E$300)/N160))</f>
        <v>193.10040445873076</v>
      </c>
      <c r="Q160" s="2">
        <f t="shared" si="15"/>
        <v>296.26031387378862</v>
      </c>
      <c r="R160" s="2">
        <f t="shared" si="15"/>
        <v>791.19656515655265</v>
      </c>
      <c r="S160" s="2">
        <f t="shared" si="22"/>
        <v>511.99242391066349</v>
      </c>
    </row>
    <row r="161" spans="2:19" x14ac:dyDescent="0.25">
      <c r="B161">
        <v>712</v>
      </c>
      <c r="C161" s="28">
        <v>7</v>
      </c>
      <c r="D161" s="35" t="s">
        <v>207</v>
      </c>
      <c r="E161" s="154">
        <f>INDEX('2019 Data Lockdown'!H$5:H$257,MATCH(B161,'2019 Data Lockdown'!B$5:B$257,0))</f>
        <v>732.75000000000011</v>
      </c>
      <c r="F161" s="7">
        <f>INDEX('2019 Data Lockdown'!E$5:E$257,MATCH(B161,'2019 Data Lockdown'!B$5:B$257,0))</f>
        <v>294954.17</v>
      </c>
      <c r="G161" s="7">
        <f>INDEX('2019 Data Lockdown'!F$5:F$257,MATCH(B161,'2019 Data Lockdown'!B$5:B$257,0))</f>
        <v>0</v>
      </c>
      <c r="H161" s="7">
        <f t="shared" si="17"/>
        <v>294954.17</v>
      </c>
      <c r="I161" s="6">
        <f t="shared" si="18"/>
        <v>402.53042647560551</v>
      </c>
      <c r="J161" s="6">
        <f t="shared" si="19"/>
        <v>402.53042647560551</v>
      </c>
      <c r="K161" s="5">
        <f t="shared" si="20"/>
        <v>294954.17</v>
      </c>
      <c r="L161" s="4">
        <f t="shared" si="16"/>
        <v>0</v>
      </c>
      <c r="M161" s="2" cm="1">
        <f t="array" ref="M161">SUMPRODUCT(--($L$6:$L$300&lt;&gt;1),--($C$6:$C$300=$C161),$H$6:$H$300)/SUMPRODUCT(--($L$6:$L$300&lt;&gt;1),--($C$6:$C$300=$C161),$E$6:$E$300)</f>
        <v>543.72843951517063</v>
      </c>
      <c r="N161" s="1" cm="1">
        <f t="array" ref="N161">SUMPRODUCT(--($L$6:$L$300&lt;&gt;1),--($C$6:$C$300=$C161))</f>
        <v>69</v>
      </c>
      <c r="O161" s="3">
        <f t="shared" si="21"/>
        <v>19936.878886321203</v>
      </c>
      <c r="P161" s="2" cm="1">
        <f t="array" ref="P161">SQRT(SUMPRODUCT(--($L$6:$L$300&lt;&gt;1),--($C$6:$C$300=$C161),$E$6:$E$300,$O$6:$O$300)/((N161-1)*SUMPRODUCT(--($L$6:$L$300&lt;&gt;1),--($C$6:$C$300=$C161),$E$6:$E$300)/N161))</f>
        <v>193.10040445873076</v>
      </c>
      <c r="Q161" s="2">
        <f t="shared" si="15"/>
        <v>296.26031387378862</v>
      </c>
      <c r="R161" s="2">
        <f t="shared" si="15"/>
        <v>791.19656515655265</v>
      </c>
      <c r="S161" s="2">
        <f t="shared" si="22"/>
        <v>402.53042647560551</v>
      </c>
    </row>
    <row r="162" spans="2:19" x14ac:dyDescent="0.25">
      <c r="B162">
        <v>718</v>
      </c>
      <c r="C162" s="28">
        <v>7</v>
      </c>
      <c r="D162" s="35" t="s">
        <v>208</v>
      </c>
      <c r="E162" s="154">
        <f>INDEX('2019 Data Lockdown'!H$5:H$257,MATCH(B162,'2019 Data Lockdown'!B$5:B$257,0))</f>
        <v>33.193832100901929</v>
      </c>
      <c r="F162" s="7">
        <f>INDEX('2019 Data Lockdown'!E$5:E$257,MATCH(B162,'2019 Data Lockdown'!B$5:B$257,0))</f>
        <v>24351.48</v>
      </c>
      <c r="G162" s="7">
        <f>INDEX('2019 Data Lockdown'!F$5:F$257,MATCH(B162,'2019 Data Lockdown'!B$5:B$257,0))</f>
        <v>0</v>
      </c>
      <c r="H162" s="7">
        <f t="shared" si="17"/>
        <v>24351.48</v>
      </c>
      <c r="I162" s="6">
        <f t="shared" si="18"/>
        <v>733.61460424264578</v>
      </c>
      <c r="J162" s="6">
        <f t="shared" si="19"/>
        <v>733.61460424264578</v>
      </c>
      <c r="K162" s="5">
        <f t="shared" si="20"/>
        <v>24351.48</v>
      </c>
      <c r="L162" s="4">
        <f t="shared" si="16"/>
        <v>0</v>
      </c>
      <c r="M162" s="2" cm="1">
        <f t="array" ref="M162">SUMPRODUCT(--($L$6:$L$300&lt;&gt;1),--($C$6:$C$300=$C162),$H$6:$H$300)/SUMPRODUCT(--($L$6:$L$300&lt;&gt;1),--($C$6:$C$300=$C162),$E$6:$E$300)</f>
        <v>543.72843951517063</v>
      </c>
      <c r="N162" s="1" cm="1">
        <f t="array" ref="N162">SUMPRODUCT(--($L$6:$L$300&lt;&gt;1),--($C$6:$C$300=$C162))</f>
        <v>69</v>
      </c>
      <c r="O162" s="3">
        <f t="shared" si="21"/>
        <v>36056.755554909825</v>
      </c>
      <c r="P162" s="2" cm="1">
        <f t="array" ref="P162">SQRT(SUMPRODUCT(--($L$6:$L$300&lt;&gt;1),--($C$6:$C$300=$C162),$E$6:$E$300,$O$6:$O$300)/((N162-1)*SUMPRODUCT(--($L$6:$L$300&lt;&gt;1),--($C$6:$C$300=$C162),$E$6:$E$300)/N162))</f>
        <v>193.10040445873076</v>
      </c>
      <c r="Q162" s="2">
        <f t="shared" si="15"/>
        <v>296.26031387378862</v>
      </c>
      <c r="R162" s="2">
        <f t="shared" si="15"/>
        <v>791.19656515655265</v>
      </c>
      <c r="S162" s="2">
        <f t="shared" si="22"/>
        <v>733.61460424264578</v>
      </c>
    </row>
    <row r="163" spans="2:19" x14ac:dyDescent="0.25">
      <c r="B163">
        <v>736</v>
      </c>
      <c r="C163" s="28">
        <v>7</v>
      </c>
      <c r="D163" s="35" t="s">
        <v>209</v>
      </c>
      <c r="E163" s="154">
        <f>INDEX('2019 Data Lockdown'!H$5:H$257,MATCH(B163,'2019 Data Lockdown'!B$5:B$257,0))</f>
        <v>122.59818725735381</v>
      </c>
      <c r="F163" s="7">
        <f>INDEX('2019 Data Lockdown'!E$5:E$257,MATCH(B163,'2019 Data Lockdown'!B$5:B$257,0))</f>
        <v>112946.17</v>
      </c>
      <c r="G163" s="7">
        <f>INDEX('2019 Data Lockdown'!F$5:F$257,MATCH(B163,'2019 Data Lockdown'!B$5:B$257,0))</f>
        <v>198</v>
      </c>
      <c r="H163" s="7">
        <f t="shared" si="17"/>
        <v>112748.17</v>
      </c>
      <c r="I163" s="6">
        <f t="shared" si="18"/>
        <v>919.65609379951923</v>
      </c>
      <c r="J163" s="6">
        <f t="shared" si="19"/>
        <v>791.19656515655265</v>
      </c>
      <c r="K163" s="5">
        <f t="shared" si="20"/>
        <v>96999.264652438185</v>
      </c>
      <c r="L163" s="4">
        <f t="shared" si="16"/>
        <v>0</v>
      </c>
      <c r="M163" s="2" cm="1">
        <f t="array" ref="M163">SUMPRODUCT(--($L$6:$L$300&lt;&gt;1),--($C$6:$C$300=$C163),$H$6:$H$300)/SUMPRODUCT(--($L$6:$L$300&lt;&gt;1),--($C$6:$C$300=$C163),$E$6:$E$300)</f>
        <v>543.72843951517063</v>
      </c>
      <c r="N163" s="1" cm="1">
        <f t="array" ref="N163">SUMPRODUCT(--($L$6:$L$300&lt;&gt;1),--($C$6:$C$300=$C163))</f>
        <v>69</v>
      </c>
      <c r="O163" s="3">
        <f t="shared" si="21"/>
        <v>141321.6012557327</v>
      </c>
      <c r="P163" s="2" cm="1">
        <f t="array" ref="P163">SQRT(SUMPRODUCT(--($L$6:$L$300&lt;&gt;1),--($C$6:$C$300=$C163),$E$6:$E$300,$O$6:$O$300)/((N163-1)*SUMPRODUCT(--($L$6:$L$300&lt;&gt;1),--($C$6:$C$300=$C163),$E$6:$E$300)/N163))</f>
        <v>193.10040445873076</v>
      </c>
      <c r="Q163" s="2">
        <f t="shared" si="15"/>
        <v>296.26031387378862</v>
      </c>
      <c r="R163" s="2">
        <f t="shared" si="15"/>
        <v>791.19656515655265</v>
      </c>
      <c r="S163" s="2">
        <f t="shared" si="22"/>
        <v>791.19656515655265</v>
      </c>
    </row>
    <row r="164" spans="2:19" x14ac:dyDescent="0.25">
      <c r="B164">
        <v>757</v>
      </c>
      <c r="C164" s="28">
        <v>7</v>
      </c>
      <c r="D164" s="35" t="s">
        <v>210</v>
      </c>
      <c r="E164" s="154">
        <f>INDEX('2019 Data Lockdown'!H$5:H$257,MATCH(B164,'2019 Data Lockdown'!B$5:B$257,0))</f>
        <v>525.4</v>
      </c>
      <c r="F164" s="7">
        <f>INDEX('2019 Data Lockdown'!E$5:E$257,MATCH(B164,'2019 Data Lockdown'!B$5:B$257,0))</f>
        <v>282725.34000000003</v>
      </c>
      <c r="G164" s="7">
        <f>INDEX('2019 Data Lockdown'!F$5:F$257,MATCH(B164,'2019 Data Lockdown'!B$5:B$257,0))</f>
        <v>29075.73</v>
      </c>
      <c r="H164" s="7">
        <f t="shared" si="17"/>
        <v>253649.61000000002</v>
      </c>
      <c r="I164" s="6">
        <f t="shared" si="18"/>
        <v>482.77428625808915</v>
      </c>
      <c r="J164" s="6">
        <f t="shared" si="19"/>
        <v>482.77428625808915</v>
      </c>
      <c r="K164" s="5">
        <f t="shared" si="20"/>
        <v>253649.61000000002</v>
      </c>
      <c r="L164" s="4">
        <f t="shared" si="16"/>
        <v>0</v>
      </c>
      <c r="M164" s="2" cm="1">
        <f t="array" ref="M164">SUMPRODUCT(--($L$6:$L$300&lt;&gt;1),--($C$6:$C$300=$C164),$H$6:$H$300)/SUMPRODUCT(--($L$6:$L$300&lt;&gt;1),--($C$6:$C$300=$C164),$E$6:$E$300)</f>
        <v>543.72843951517063</v>
      </c>
      <c r="N164" s="1" cm="1">
        <f t="array" ref="N164">SUMPRODUCT(--($L$6:$L$300&lt;&gt;1),--($C$6:$C$300=$C164))</f>
        <v>69</v>
      </c>
      <c r="O164" s="3">
        <f t="shared" si="21"/>
        <v>3715.4087992877776</v>
      </c>
      <c r="P164" s="2" cm="1">
        <f t="array" ref="P164">SQRT(SUMPRODUCT(--($L$6:$L$300&lt;&gt;1),--($C$6:$C$300=$C164),$E$6:$E$300,$O$6:$O$300)/((N164-1)*SUMPRODUCT(--($L$6:$L$300&lt;&gt;1),--($C$6:$C$300=$C164),$E$6:$E$300)/N164))</f>
        <v>193.10040445873076</v>
      </c>
      <c r="Q164" s="2">
        <f t="shared" si="15"/>
        <v>296.26031387378862</v>
      </c>
      <c r="R164" s="2">
        <f t="shared" si="15"/>
        <v>791.19656515655265</v>
      </c>
      <c r="S164" s="2">
        <f t="shared" si="22"/>
        <v>482.77428625808915</v>
      </c>
    </row>
    <row r="165" spans="2:19" x14ac:dyDescent="0.25">
      <c r="B165">
        <v>786</v>
      </c>
      <c r="C165" s="28">
        <v>7</v>
      </c>
      <c r="D165" s="35" t="s">
        <v>211</v>
      </c>
      <c r="E165" s="154">
        <f>INDEX('2019 Data Lockdown'!H$5:H$257,MATCH(B165,'2019 Data Lockdown'!B$5:B$257,0))</f>
        <v>3077.6600000000003</v>
      </c>
      <c r="F165" s="7">
        <f>INDEX('2019 Data Lockdown'!E$5:E$257,MATCH(B165,'2019 Data Lockdown'!B$5:B$257,0))</f>
        <v>1688120.75</v>
      </c>
      <c r="G165" s="7">
        <f>INDEX('2019 Data Lockdown'!F$5:F$257,MATCH(B165,'2019 Data Lockdown'!B$5:B$257,0))</f>
        <v>214655.14</v>
      </c>
      <c r="H165" s="7">
        <f t="shared" si="17"/>
        <v>1473465.6099999999</v>
      </c>
      <c r="I165" s="6">
        <f t="shared" si="18"/>
        <v>478.76165983247006</v>
      </c>
      <c r="J165" s="6">
        <f t="shared" si="19"/>
        <v>478.76165983247006</v>
      </c>
      <c r="K165" s="5">
        <f t="shared" si="20"/>
        <v>1473465.6099999999</v>
      </c>
      <c r="L165" s="4">
        <f t="shared" si="16"/>
        <v>0</v>
      </c>
      <c r="M165" s="2" cm="1">
        <f t="array" ref="M165">SUMPRODUCT(--($L$6:$L$300&lt;&gt;1),--($C$6:$C$300=$C165),$H$6:$H$300)/SUMPRODUCT(--($L$6:$L$300&lt;&gt;1),--($C$6:$C$300=$C165),$E$6:$E$300)</f>
        <v>543.72843951517063</v>
      </c>
      <c r="N165" s="1" cm="1">
        <f t="array" ref="N165">SUMPRODUCT(--($L$6:$L$300&lt;&gt;1),--($C$6:$C$300=$C165))</f>
        <v>69</v>
      </c>
      <c r="O165" s="3">
        <f t="shared" si="21"/>
        <v>4220.6824623405564</v>
      </c>
      <c r="P165" s="2" cm="1">
        <f t="array" ref="P165">SQRT(SUMPRODUCT(--($L$6:$L$300&lt;&gt;1),--($C$6:$C$300=$C165),$E$6:$E$300,$O$6:$O$300)/((N165-1)*SUMPRODUCT(--($L$6:$L$300&lt;&gt;1),--($C$6:$C$300=$C165),$E$6:$E$300)/N165))</f>
        <v>193.10040445873076</v>
      </c>
      <c r="Q165" s="2">
        <f t="shared" si="15"/>
        <v>296.26031387378862</v>
      </c>
      <c r="R165" s="2">
        <f t="shared" si="15"/>
        <v>791.19656515655265</v>
      </c>
      <c r="S165" s="2">
        <f t="shared" si="22"/>
        <v>478.76165983247006</v>
      </c>
    </row>
    <row r="166" spans="2:19" x14ac:dyDescent="0.25">
      <c r="B166">
        <v>854</v>
      </c>
      <c r="C166" s="28">
        <v>7</v>
      </c>
      <c r="D166" s="35" t="s">
        <v>212</v>
      </c>
      <c r="E166" s="154">
        <f>INDEX('2019 Data Lockdown'!H$5:H$257,MATCH(B166,'2019 Data Lockdown'!B$5:B$257,0))</f>
        <v>929.24</v>
      </c>
      <c r="F166" s="7">
        <f>INDEX('2019 Data Lockdown'!E$5:E$257,MATCH(B166,'2019 Data Lockdown'!B$5:B$257,0))</f>
        <v>538668.79</v>
      </c>
      <c r="G166" s="7">
        <f>INDEX('2019 Data Lockdown'!F$5:F$257,MATCH(B166,'2019 Data Lockdown'!B$5:B$257,0))</f>
        <v>37955.19</v>
      </c>
      <c r="H166" s="7">
        <f t="shared" si="17"/>
        <v>500713.60000000003</v>
      </c>
      <c r="I166" s="6">
        <f t="shared" si="18"/>
        <v>538.84206448280315</v>
      </c>
      <c r="J166" s="6">
        <f t="shared" si="19"/>
        <v>538.84206448280315</v>
      </c>
      <c r="K166" s="5">
        <f t="shared" si="20"/>
        <v>500713.60000000003</v>
      </c>
      <c r="L166" s="4">
        <f t="shared" si="16"/>
        <v>0</v>
      </c>
      <c r="M166" s="2" cm="1">
        <f t="array" ref="M166">SUMPRODUCT(--($L$6:$L$300&lt;&gt;1),--($C$6:$C$300=$C166),$H$6:$H$300)/SUMPRODUCT(--($L$6:$L$300&lt;&gt;1),--($C$6:$C$300=$C166),$E$6:$E$300)</f>
        <v>543.72843951517063</v>
      </c>
      <c r="N166" s="1" cm="1">
        <f t="array" ref="N166">SUMPRODUCT(--($L$6:$L$300&lt;&gt;1),--($C$6:$C$300=$C166))</f>
        <v>69</v>
      </c>
      <c r="O166" s="3">
        <f t="shared" si="21"/>
        <v>23.876660956944313</v>
      </c>
      <c r="P166" s="2" cm="1">
        <f t="array" ref="P166">SQRT(SUMPRODUCT(--($L$6:$L$300&lt;&gt;1),--($C$6:$C$300=$C166),$E$6:$E$300,$O$6:$O$300)/((N166-1)*SUMPRODUCT(--($L$6:$L$300&lt;&gt;1),--($C$6:$C$300=$C166),$E$6:$E$300)/N166))</f>
        <v>193.10040445873076</v>
      </c>
      <c r="Q166" s="2">
        <f t="shared" si="15"/>
        <v>296.26031387378862</v>
      </c>
      <c r="R166" s="2">
        <f t="shared" si="15"/>
        <v>791.19656515655265</v>
      </c>
      <c r="S166" s="2">
        <f t="shared" si="22"/>
        <v>538.84206448280315</v>
      </c>
    </row>
    <row r="167" spans="2:19" x14ac:dyDescent="0.25">
      <c r="B167">
        <v>855</v>
      </c>
      <c r="C167" s="28">
        <v>7</v>
      </c>
      <c r="D167" s="35" t="s">
        <v>213</v>
      </c>
      <c r="E167" s="154">
        <f>INDEX('2019 Data Lockdown'!H$5:H$257,MATCH(B167,'2019 Data Lockdown'!B$5:B$257,0))</f>
        <v>155.11353756998295</v>
      </c>
      <c r="F167" s="7">
        <f>INDEX('2019 Data Lockdown'!E$5:E$257,MATCH(B167,'2019 Data Lockdown'!B$5:B$257,0))</f>
        <v>140023.82</v>
      </c>
      <c r="G167" s="7">
        <f>INDEX('2019 Data Lockdown'!F$5:F$257,MATCH(B167,'2019 Data Lockdown'!B$5:B$257,0))</f>
        <v>7037</v>
      </c>
      <c r="H167" s="7">
        <f t="shared" si="17"/>
        <v>132986.82</v>
      </c>
      <c r="I167" s="6">
        <f t="shared" si="18"/>
        <v>857.35147352951071</v>
      </c>
      <c r="J167" s="6">
        <f t="shared" si="19"/>
        <v>791.19656515655265</v>
      </c>
      <c r="K167" s="5">
        <f t="shared" si="20"/>
        <v>122725.29813465239</v>
      </c>
      <c r="L167" s="4">
        <f t="shared" si="16"/>
        <v>0</v>
      </c>
      <c r="M167" s="2" cm="1">
        <f t="array" ref="M167">SUMPRODUCT(--($L$6:$L$300&lt;&gt;1),--($C$6:$C$300=$C167),$H$6:$H$300)/SUMPRODUCT(--($L$6:$L$300&lt;&gt;1),--($C$6:$C$300=$C167),$E$6:$E$300)</f>
        <v>543.72843951517063</v>
      </c>
      <c r="N167" s="1" cm="1">
        <f t="array" ref="N167">SUMPRODUCT(--($L$6:$L$300&lt;&gt;1),--($C$6:$C$300=$C167))</f>
        <v>69</v>
      </c>
      <c r="O167" s="3">
        <f t="shared" si="21"/>
        <v>98359.407464359916</v>
      </c>
      <c r="P167" s="2" cm="1">
        <f t="array" ref="P167">SQRT(SUMPRODUCT(--($L$6:$L$300&lt;&gt;1),--($C$6:$C$300=$C167),$E$6:$E$300,$O$6:$O$300)/((N167-1)*SUMPRODUCT(--($L$6:$L$300&lt;&gt;1),--($C$6:$C$300=$C167),$E$6:$E$300)/N167))</f>
        <v>193.10040445873076</v>
      </c>
      <c r="Q167" s="2">
        <f t="shared" si="15"/>
        <v>296.26031387378862</v>
      </c>
      <c r="R167" s="2">
        <f t="shared" si="15"/>
        <v>791.19656515655265</v>
      </c>
      <c r="S167" s="2">
        <f t="shared" si="22"/>
        <v>791.19656515655265</v>
      </c>
    </row>
    <row r="168" spans="2:19" x14ac:dyDescent="0.25">
      <c r="B168">
        <v>862</v>
      </c>
      <c r="C168" s="28">
        <v>7</v>
      </c>
      <c r="D168" s="35" t="s">
        <v>214</v>
      </c>
      <c r="E168" s="154">
        <f>INDEX('2019 Data Lockdown'!H$5:H$257,MATCH(B168,'2019 Data Lockdown'!B$5:B$257,0))</f>
        <v>12.345441747052517</v>
      </c>
      <c r="F168" s="7">
        <f>INDEX('2019 Data Lockdown'!E$5:E$257,MATCH(B168,'2019 Data Lockdown'!B$5:B$257,0))</f>
        <v>11467.29</v>
      </c>
      <c r="G168" s="7">
        <f>INDEX('2019 Data Lockdown'!F$5:F$257,MATCH(B168,'2019 Data Lockdown'!B$5:B$257,0))</f>
        <v>8232.5</v>
      </c>
      <c r="H168" s="7">
        <f t="shared" si="17"/>
        <v>3234.7900000000009</v>
      </c>
      <c r="I168" s="6">
        <f t="shared" si="18"/>
        <v>262.02302568657046</v>
      </c>
      <c r="J168" s="6">
        <f t="shared" si="19"/>
        <v>262.02302568657046</v>
      </c>
      <c r="K168" s="5">
        <f t="shared" si="20"/>
        <v>3234.7900000000009</v>
      </c>
      <c r="L168" s="4">
        <f t="shared" si="16"/>
        <v>0</v>
      </c>
      <c r="M168" s="2" cm="1">
        <f t="array" ref="M168">SUMPRODUCT(--($L$6:$L$300&lt;&gt;1),--($C$6:$C$300=$C168),$H$6:$H$300)/SUMPRODUCT(--($L$6:$L$300&lt;&gt;1),--($C$6:$C$300=$C168),$E$6:$E$300)</f>
        <v>543.72843951517063</v>
      </c>
      <c r="N168" s="1" cm="1">
        <f t="array" ref="N168">SUMPRODUCT(--($L$6:$L$300&lt;&gt;1),--($C$6:$C$300=$C168))</f>
        <v>69</v>
      </c>
      <c r="O168" s="3">
        <f t="shared" si="21"/>
        <v>79357.940180342877</v>
      </c>
      <c r="P168" s="2" cm="1">
        <f t="array" ref="P168">SQRT(SUMPRODUCT(--($L$6:$L$300&lt;&gt;1),--($C$6:$C$300=$C168),$E$6:$E$300,$O$6:$O$300)/((N168-1)*SUMPRODUCT(--($L$6:$L$300&lt;&gt;1),--($C$6:$C$300=$C168),$E$6:$E$300)/N168))</f>
        <v>193.10040445873076</v>
      </c>
      <c r="Q168" s="2">
        <f t="shared" si="15"/>
        <v>296.26031387378862</v>
      </c>
      <c r="R168" s="2">
        <f t="shared" si="15"/>
        <v>791.19656515655265</v>
      </c>
      <c r="S168" s="2">
        <f t="shared" si="22"/>
        <v>262.02302568657046</v>
      </c>
    </row>
    <row r="169" spans="2:19" x14ac:dyDescent="0.25">
      <c r="B169">
        <v>958</v>
      </c>
      <c r="C169" s="28">
        <v>7</v>
      </c>
      <c r="D169" s="35" t="s">
        <v>215</v>
      </c>
      <c r="E169" s="154">
        <f>INDEX('2019 Data Lockdown'!H$5:H$257,MATCH(B169,'2019 Data Lockdown'!B$5:B$257,0))</f>
        <v>508.60074662379418</v>
      </c>
      <c r="F169" s="7">
        <f>INDEX('2019 Data Lockdown'!E$5:E$257,MATCH(B169,'2019 Data Lockdown'!B$5:B$257,0))</f>
        <v>99405.3</v>
      </c>
      <c r="G169" s="7">
        <f>INDEX('2019 Data Lockdown'!F$5:F$257,MATCH(B169,'2019 Data Lockdown'!B$5:B$257,0))</f>
        <v>311.52</v>
      </c>
      <c r="H169" s="7">
        <f t="shared" si="17"/>
        <v>99093.78</v>
      </c>
      <c r="I169" s="6">
        <f t="shared" si="18"/>
        <v>194.83608834199859</v>
      </c>
      <c r="J169" s="6">
        <f t="shared" si="19"/>
        <v>194.83608834199859</v>
      </c>
      <c r="K169" s="5">
        <f t="shared" si="20"/>
        <v>99093.78</v>
      </c>
      <c r="L169" s="4">
        <f t="shared" si="16"/>
        <v>0</v>
      </c>
      <c r="M169" s="2" cm="1">
        <f t="array" ref="M169">SUMPRODUCT(--($L$6:$L$300&lt;&gt;1),--($C$6:$C$300=$C169),$H$6:$H$300)/SUMPRODUCT(--($L$6:$L$300&lt;&gt;1),--($C$6:$C$300=$C169),$E$6:$E$300)</f>
        <v>543.72843951517063</v>
      </c>
      <c r="N169" s="1" cm="1">
        <f t="array" ref="N169">SUMPRODUCT(--($L$6:$L$300&lt;&gt;1),--($C$6:$C$300=$C169))</f>
        <v>69</v>
      </c>
      <c r="O169" s="3">
        <f t="shared" si="21"/>
        <v>121725.87270714402</v>
      </c>
      <c r="P169" s="2" cm="1">
        <f t="array" ref="P169">SQRT(SUMPRODUCT(--($L$6:$L$300&lt;&gt;1),--($C$6:$C$300=$C169),$E$6:$E$300,$O$6:$O$300)/((N169-1)*SUMPRODUCT(--($L$6:$L$300&lt;&gt;1),--($C$6:$C$300=$C169),$E$6:$E$300)/N169))</f>
        <v>193.10040445873076</v>
      </c>
      <c r="Q169" s="2">
        <f t="shared" si="15"/>
        <v>296.26031387378862</v>
      </c>
      <c r="R169" s="2">
        <f t="shared" si="15"/>
        <v>791.19656515655265</v>
      </c>
      <c r="S169" s="2">
        <f t="shared" si="22"/>
        <v>194.83608834199859</v>
      </c>
    </row>
    <row r="170" spans="2:19" x14ac:dyDescent="0.25">
      <c r="B170">
        <v>967</v>
      </c>
      <c r="C170" s="28">
        <v>7</v>
      </c>
      <c r="D170" s="35" t="s">
        <v>216</v>
      </c>
      <c r="E170" s="154">
        <f>INDEX('2019 Data Lockdown'!H$5:H$257,MATCH(B170,'2019 Data Lockdown'!B$5:B$257,0))</f>
        <v>155.99990261402883</v>
      </c>
      <c r="F170" s="7">
        <f>INDEX('2019 Data Lockdown'!E$5:E$257,MATCH(B170,'2019 Data Lockdown'!B$5:B$257,0))</f>
        <v>82909.41</v>
      </c>
      <c r="G170" s="7">
        <f>INDEX('2019 Data Lockdown'!F$5:F$257,MATCH(B170,'2019 Data Lockdown'!B$5:B$257,0))</f>
        <v>0</v>
      </c>
      <c r="H170" s="7">
        <f t="shared" si="17"/>
        <v>82909.41</v>
      </c>
      <c r="I170" s="6">
        <f t="shared" si="18"/>
        <v>531.47090870391412</v>
      </c>
      <c r="J170" s="6">
        <f t="shared" si="19"/>
        <v>531.47090870391412</v>
      </c>
      <c r="K170" s="5">
        <f t="shared" si="20"/>
        <v>82909.41</v>
      </c>
      <c r="L170" s="4">
        <f t="shared" si="16"/>
        <v>0</v>
      </c>
      <c r="M170" s="2" cm="1">
        <f t="array" ref="M170">SUMPRODUCT(--($L$6:$L$300&lt;&gt;1),--($C$6:$C$300=$C170),$H$6:$H$300)/SUMPRODUCT(--($L$6:$L$300&lt;&gt;1),--($C$6:$C$300=$C170),$E$6:$E$300)</f>
        <v>543.72843951517063</v>
      </c>
      <c r="N170" s="1" cm="1">
        <f t="array" ref="N170">SUMPRODUCT(--($L$6:$L$300&lt;&gt;1),--($C$6:$C$300=$C170))</f>
        <v>69</v>
      </c>
      <c r="O170" s="3">
        <f t="shared" si="21"/>
        <v>150.2470615889028</v>
      </c>
      <c r="P170" s="2" cm="1">
        <f t="array" ref="P170">SQRT(SUMPRODUCT(--($L$6:$L$300&lt;&gt;1),--($C$6:$C$300=$C170),$E$6:$E$300,$O$6:$O$300)/((N170-1)*SUMPRODUCT(--($L$6:$L$300&lt;&gt;1),--($C$6:$C$300=$C170),$E$6:$E$300)/N170))</f>
        <v>193.10040445873076</v>
      </c>
      <c r="Q170" s="2">
        <f t="shared" si="15"/>
        <v>296.26031387378862</v>
      </c>
      <c r="R170" s="2">
        <f t="shared" si="15"/>
        <v>791.19656515655265</v>
      </c>
      <c r="S170" s="2">
        <f t="shared" si="22"/>
        <v>531.47090870391412</v>
      </c>
    </row>
    <row r="171" spans="2:19" x14ac:dyDescent="0.25">
      <c r="B171">
        <v>971</v>
      </c>
      <c r="C171" s="28">
        <v>7</v>
      </c>
      <c r="D171" s="35" t="s">
        <v>217</v>
      </c>
      <c r="E171" s="154">
        <f>INDEX('2019 Data Lockdown'!H$5:H$257,MATCH(B171,'2019 Data Lockdown'!B$5:B$257,0))</f>
        <v>888.33999999999992</v>
      </c>
      <c r="F171" s="7">
        <f>INDEX('2019 Data Lockdown'!E$5:E$257,MATCH(B171,'2019 Data Lockdown'!B$5:B$257,0))</f>
        <v>579439.27</v>
      </c>
      <c r="G171" s="7">
        <f>INDEX('2019 Data Lockdown'!F$5:F$257,MATCH(B171,'2019 Data Lockdown'!B$5:B$257,0))</f>
        <v>96935.22</v>
      </c>
      <c r="H171" s="7">
        <f t="shared" si="17"/>
        <v>482504.05000000005</v>
      </c>
      <c r="I171" s="6">
        <f t="shared" si="18"/>
        <v>543.15245288965946</v>
      </c>
      <c r="J171" s="6">
        <f t="shared" si="19"/>
        <v>543.15245288965946</v>
      </c>
      <c r="K171" s="5">
        <f t="shared" si="20"/>
        <v>482504.05000000005</v>
      </c>
      <c r="L171" s="4">
        <f t="shared" si="16"/>
        <v>0</v>
      </c>
      <c r="M171" s="2" cm="1">
        <f t="array" ref="M171">SUMPRODUCT(--($L$6:$L$300&lt;&gt;1),--($C$6:$C$300=$C171),$H$6:$H$300)/SUMPRODUCT(--($L$6:$L$300&lt;&gt;1),--($C$6:$C$300=$C171),$E$6:$E$300)</f>
        <v>543.72843951517063</v>
      </c>
      <c r="N171" s="1" cm="1">
        <f t="array" ref="N171">SUMPRODUCT(--($L$6:$L$300&lt;&gt;1),--($C$6:$C$300=$C171))</f>
        <v>69</v>
      </c>
      <c r="O171" s="3">
        <f t="shared" si="21"/>
        <v>0.33176059276775333</v>
      </c>
      <c r="P171" s="2" cm="1">
        <f t="array" ref="P171">SQRT(SUMPRODUCT(--($L$6:$L$300&lt;&gt;1),--($C$6:$C$300=$C171),$E$6:$E$300,$O$6:$O$300)/((N171-1)*SUMPRODUCT(--($L$6:$L$300&lt;&gt;1),--($C$6:$C$300=$C171),$E$6:$E$300)/N171))</f>
        <v>193.10040445873076</v>
      </c>
      <c r="Q171" s="2">
        <f t="shared" si="15"/>
        <v>296.26031387378862</v>
      </c>
      <c r="R171" s="2">
        <f t="shared" si="15"/>
        <v>791.19656515655265</v>
      </c>
      <c r="S171" s="2">
        <f t="shared" si="22"/>
        <v>543.15245288965946</v>
      </c>
    </row>
    <row r="172" spans="2:19" x14ac:dyDescent="0.25">
      <c r="B172">
        <v>975</v>
      </c>
      <c r="C172" s="28">
        <v>7</v>
      </c>
      <c r="D172" s="35" t="s">
        <v>218</v>
      </c>
      <c r="E172" s="154">
        <f>INDEX('2019 Data Lockdown'!H$5:H$257,MATCH(B172,'2019 Data Lockdown'!B$5:B$257,0))</f>
        <v>30.317539180659761</v>
      </c>
      <c r="F172" s="7">
        <f>INDEX('2019 Data Lockdown'!E$5:E$257,MATCH(B172,'2019 Data Lockdown'!B$5:B$257,0))</f>
        <v>76785.06</v>
      </c>
      <c r="G172" s="7">
        <f>INDEX('2019 Data Lockdown'!F$5:F$257,MATCH(B172,'2019 Data Lockdown'!B$5:B$257,0))</f>
        <v>0</v>
      </c>
      <c r="H172" s="7">
        <f t="shared" si="17"/>
        <v>76785.06</v>
      </c>
      <c r="I172" s="6">
        <f t="shared" si="18"/>
        <v>2532.694343773881</v>
      </c>
      <c r="J172" s="6">
        <f t="shared" si="19"/>
        <v>791.19656515655265</v>
      </c>
      <c r="K172" s="5">
        <f t="shared" si="20"/>
        <v>23987.13286373721</v>
      </c>
      <c r="L172" s="4">
        <f t="shared" si="16"/>
        <v>0</v>
      </c>
      <c r="M172" s="2" cm="1">
        <f t="array" ref="M172">SUMPRODUCT(--($L$6:$L$300&lt;&gt;1),--($C$6:$C$300=$C172),$H$6:$H$300)/SUMPRODUCT(--($L$6:$L$300&lt;&gt;1),--($C$6:$C$300=$C172),$E$6:$E$300)</f>
        <v>543.72843951517063</v>
      </c>
      <c r="N172" s="1" cm="1">
        <f t="array" ref="N172">SUMPRODUCT(--($L$6:$L$300&lt;&gt;1),--($C$6:$C$300=$C172))</f>
        <v>69</v>
      </c>
      <c r="O172" s="3">
        <f t="shared" si="21"/>
        <v>3955985.3683036696</v>
      </c>
      <c r="P172" s="2" cm="1">
        <f t="array" ref="P172">SQRT(SUMPRODUCT(--($L$6:$L$300&lt;&gt;1),--($C$6:$C$300=$C172),$E$6:$E$300,$O$6:$O$300)/((N172-1)*SUMPRODUCT(--($L$6:$L$300&lt;&gt;1),--($C$6:$C$300=$C172),$E$6:$E$300)/N172))</f>
        <v>193.10040445873076</v>
      </c>
      <c r="Q172" s="2">
        <f t="shared" si="15"/>
        <v>296.26031387378862</v>
      </c>
      <c r="R172" s="2">
        <f t="shared" si="15"/>
        <v>791.19656515655265</v>
      </c>
      <c r="S172" s="2">
        <f t="shared" si="22"/>
        <v>791.19656515655265</v>
      </c>
    </row>
    <row r="173" spans="2:19" x14ac:dyDescent="0.25">
      <c r="B173">
        <v>976</v>
      </c>
      <c r="C173" s="28">
        <v>7</v>
      </c>
      <c r="D173" s="35" t="s">
        <v>219</v>
      </c>
      <c r="E173" s="154">
        <f>INDEX('2019 Data Lockdown'!H$5:H$257,MATCH(B173,'2019 Data Lockdown'!B$5:B$257,0))</f>
        <v>31.32229912468739</v>
      </c>
      <c r="F173" s="7">
        <f>INDEX('2019 Data Lockdown'!E$5:E$257,MATCH(B173,'2019 Data Lockdown'!B$5:B$257,0))</f>
        <v>39297.230000000003</v>
      </c>
      <c r="G173" s="7">
        <f>INDEX('2019 Data Lockdown'!F$5:F$257,MATCH(B173,'2019 Data Lockdown'!B$5:B$257,0))</f>
        <v>0</v>
      </c>
      <c r="H173" s="7">
        <f t="shared" si="17"/>
        <v>39297.230000000003</v>
      </c>
      <c r="I173" s="6">
        <f t="shared" si="18"/>
        <v>1254.6087323783645</v>
      </c>
      <c r="J173" s="6">
        <f t="shared" si="19"/>
        <v>791.19656515655265</v>
      </c>
      <c r="K173" s="5">
        <f t="shared" si="20"/>
        <v>24782.095480258758</v>
      </c>
      <c r="L173" s="4">
        <f t="shared" si="16"/>
        <v>0</v>
      </c>
      <c r="M173" s="2" cm="1">
        <f t="array" ref="M173">SUMPRODUCT(--($L$6:$L$300&lt;&gt;1),--($C$6:$C$300=$C173),$H$6:$H$300)/SUMPRODUCT(--($L$6:$L$300&lt;&gt;1),--($C$6:$C$300=$C173),$E$6:$E$300)</f>
        <v>543.72843951517063</v>
      </c>
      <c r="N173" s="1" cm="1">
        <f t="array" ref="N173">SUMPRODUCT(--($L$6:$L$300&lt;&gt;1),--($C$6:$C$300=$C173))</f>
        <v>69</v>
      </c>
      <c r="O173" s="3">
        <f t="shared" si="21"/>
        <v>505350.79078126029</v>
      </c>
      <c r="P173" s="2" cm="1">
        <f t="array" ref="P173">SQRT(SUMPRODUCT(--($L$6:$L$300&lt;&gt;1),--($C$6:$C$300=$C173),$E$6:$E$300,$O$6:$O$300)/((N173-1)*SUMPRODUCT(--($L$6:$L$300&lt;&gt;1),--($C$6:$C$300=$C173),$E$6:$E$300)/N173))</f>
        <v>193.10040445873076</v>
      </c>
      <c r="Q173" s="2">
        <f t="shared" si="15"/>
        <v>296.26031387378862</v>
      </c>
      <c r="R173" s="2">
        <f t="shared" si="15"/>
        <v>791.19656515655265</v>
      </c>
      <c r="S173" s="2">
        <f t="shared" si="22"/>
        <v>791.19656515655265</v>
      </c>
    </row>
    <row r="174" spans="2:19" x14ac:dyDescent="0.25">
      <c r="B174">
        <v>977</v>
      </c>
      <c r="C174" s="28">
        <v>7</v>
      </c>
      <c r="D174" s="35" t="s">
        <v>220</v>
      </c>
      <c r="E174" s="154">
        <f>INDEX('2019 Data Lockdown'!H$5:H$257,MATCH(B174,'2019 Data Lockdown'!B$5:B$257,0))</f>
        <v>47.09266172442539</v>
      </c>
      <c r="F174" s="7">
        <f>INDEX('2019 Data Lockdown'!E$5:E$257,MATCH(B174,'2019 Data Lockdown'!B$5:B$257,0))</f>
        <v>60860.35</v>
      </c>
      <c r="G174" s="7">
        <f>INDEX('2019 Data Lockdown'!F$5:F$257,MATCH(B174,'2019 Data Lockdown'!B$5:B$257,0))</f>
        <v>0</v>
      </c>
      <c r="H174" s="7">
        <f t="shared" si="17"/>
        <v>60860.35</v>
      </c>
      <c r="I174" s="6">
        <f t="shared" si="18"/>
        <v>1292.3531559150281</v>
      </c>
      <c r="J174" s="6">
        <f t="shared" si="19"/>
        <v>791.19656515655265</v>
      </c>
      <c r="K174" s="5">
        <f t="shared" si="20"/>
        <v>37259.552200444828</v>
      </c>
      <c r="L174" s="4">
        <f t="shared" si="16"/>
        <v>0</v>
      </c>
      <c r="M174" s="2" cm="1">
        <f t="array" ref="M174">SUMPRODUCT(--($L$6:$L$300&lt;&gt;1),--($C$6:$C$300=$C174),$H$6:$H$300)/SUMPRODUCT(--($L$6:$L$300&lt;&gt;1),--($C$6:$C$300=$C174),$E$6:$E$300)</f>
        <v>543.72843951517063</v>
      </c>
      <c r="N174" s="1" cm="1">
        <f t="array" ref="N174">SUMPRODUCT(--($L$6:$L$300&lt;&gt;1),--($C$6:$C$300=$C174))</f>
        <v>69</v>
      </c>
      <c r="O174" s="3">
        <f t="shared" si="21"/>
        <v>560438.96600476699</v>
      </c>
      <c r="P174" s="2" cm="1">
        <f t="array" ref="P174">SQRT(SUMPRODUCT(--($L$6:$L$300&lt;&gt;1),--($C$6:$C$300=$C174),$E$6:$E$300,$O$6:$O$300)/((N174-1)*SUMPRODUCT(--($L$6:$L$300&lt;&gt;1),--($C$6:$C$300=$C174),$E$6:$E$300)/N174))</f>
        <v>193.10040445873076</v>
      </c>
      <c r="Q174" s="2">
        <f t="shared" si="15"/>
        <v>296.26031387378862</v>
      </c>
      <c r="R174" s="2">
        <f t="shared" si="15"/>
        <v>791.19656515655265</v>
      </c>
      <c r="S174" s="2">
        <f t="shared" si="22"/>
        <v>791.19656515655265</v>
      </c>
    </row>
    <row r="175" spans="2:19" x14ac:dyDescent="0.25">
      <c r="B175">
        <v>979</v>
      </c>
      <c r="C175" s="28">
        <v>7</v>
      </c>
      <c r="D175" s="35" t="s">
        <v>305</v>
      </c>
      <c r="E175" s="154">
        <f>INDEX('2019 Data Lockdown'!H$5:H$257,MATCH(B175,'2019 Data Lockdown'!B$5:B$257,0))</f>
        <v>251.06766740502562</v>
      </c>
      <c r="F175" s="7">
        <f>INDEX('2019 Data Lockdown'!E$5:E$257,MATCH(B175,'2019 Data Lockdown'!B$5:B$257,0))</f>
        <v>106200.78</v>
      </c>
      <c r="G175" s="7">
        <f>INDEX('2019 Data Lockdown'!F$5:F$257,MATCH(B175,'2019 Data Lockdown'!B$5:B$257,0))</f>
        <v>0</v>
      </c>
      <c r="H175" s="7">
        <f t="shared" si="17"/>
        <v>106200.78</v>
      </c>
      <c r="I175" s="6">
        <f t="shared" si="18"/>
        <v>422.99664109546819</v>
      </c>
      <c r="J175" s="6">
        <f t="shared" si="19"/>
        <v>422.99664109546819</v>
      </c>
      <c r="K175" s="5">
        <f t="shared" si="20"/>
        <v>106200.78</v>
      </c>
      <c r="L175" s="4">
        <f t="shared" si="16"/>
        <v>0</v>
      </c>
      <c r="M175" s="2" cm="1">
        <f t="array" ref="M175">SUMPRODUCT(--($L$6:$L$300&lt;&gt;1),--($C$6:$C$300=$C175),$H$6:$H$300)/SUMPRODUCT(--($L$6:$L$300&lt;&gt;1),--($C$6:$C$300=$C175),$E$6:$E$300)</f>
        <v>543.72843951517063</v>
      </c>
      <c r="N175" s="1" cm="1">
        <f t="array" ref="N175">SUMPRODUCT(--($L$6:$L$300&lt;&gt;1),--($C$6:$C$300=$C175))</f>
        <v>69</v>
      </c>
      <c r="O175" s="3">
        <f t="shared" si="21"/>
        <v>14576.167149655665</v>
      </c>
      <c r="P175" s="2" cm="1">
        <f t="array" ref="P175">SQRT(SUMPRODUCT(--($L$6:$L$300&lt;&gt;1),--($C$6:$C$300=$C175),$E$6:$E$300,$O$6:$O$300)/((N175-1)*SUMPRODUCT(--($L$6:$L$300&lt;&gt;1),--($C$6:$C$300=$C175),$E$6:$E$300)/N175))</f>
        <v>193.10040445873076</v>
      </c>
      <c r="Q175" s="2">
        <f t="shared" si="15"/>
        <v>296.26031387378862</v>
      </c>
      <c r="R175" s="2">
        <f t="shared" si="15"/>
        <v>791.19656515655265</v>
      </c>
      <c r="S175" s="2">
        <f t="shared" si="22"/>
        <v>422.99664109546819</v>
      </c>
    </row>
    <row r="176" spans="2:19" x14ac:dyDescent="0.25">
      <c r="B176">
        <v>981</v>
      </c>
      <c r="C176" s="28">
        <v>7</v>
      </c>
      <c r="D176" s="35" t="s">
        <v>221</v>
      </c>
      <c r="E176" s="154">
        <f>INDEX('2019 Data Lockdown'!H$5:H$257,MATCH(B176,'2019 Data Lockdown'!B$5:B$257,0))</f>
        <v>202.51591950101229</v>
      </c>
      <c r="F176" s="7">
        <f>INDEX('2019 Data Lockdown'!E$5:E$257,MATCH(B176,'2019 Data Lockdown'!B$5:B$257,0))</f>
        <v>116776.12</v>
      </c>
      <c r="G176" s="7">
        <f>INDEX('2019 Data Lockdown'!F$5:F$257,MATCH(B176,'2019 Data Lockdown'!B$5:B$257,0))</f>
        <v>26983</v>
      </c>
      <c r="H176" s="7">
        <f t="shared" si="17"/>
        <v>89793.12</v>
      </c>
      <c r="I176" s="6">
        <f t="shared" si="18"/>
        <v>443.38795795039294</v>
      </c>
      <c r="J176" s="6">
        <f t="shared" si="19"/>
        <v>443.38795795039294</v>
      </c>
      <c r="K176" s="5">
        <f t="shared" si="20"/>
        <v>89793.12</v>
      </c>
      <c r="L176" s="4">
        <f t="shared" si="16"/>
        <v>0</v>
      </c>
      <c r="M176" s="2" cm="1">
        <f t="array" ref="M176">SUMPRODUCT(--($L$6:$L$300&lt;&gt;1),--($C$6:$C$300=$C176),$H$6:$H$300)/SUMPRODUCT(--($L$6:$L$300&lt;&gt;1),--($C$6:$C$300=$C176),$E$6:$E$300)</f>
        <v>543.72843951517063</v>
      </c>
      <c r="N176" s="1" cm="1">
        <f t="array" ref="N176">SUMPRODUCT(--($L$6:$L$300&lt;&gt;1),--($C$6:$C$300=$C176))</f>
        <v>69</v>
      </c>
      <c r="O176" s="3">
        <f t="shared" si="21"/>
        <v>10068.212240651492</v>
      </c>
      <c r="P176" s="2" cm="1">
        <f t="array" ref="P176">SQRT(SUMPRODUCT(--($L$6:$L$300&lt;&gt;1),--($C$6:$C$300=$C176),$E$6:$E$300,$O$6:$O$300)/((N176-1)*SUMPRODUCT(--($L$6:$L$300&lt;&gt;1),--($C$6:$C$300=$C176),$E$6:$E$300)/N176))</f>
        <v>193.10040445873076</v>
      </c>
      <c r="Q176" s="2">
        <f t="shared" si="15"/>
        <v>296.26031387378862</v>
      </c>
      <c r="R176" s="2">
        <f t="shared" si="15"/>
        <v>791.19656515655265</v>
      </c>
      <c r="S176" s="2">
        <f t="shared" si="22"/>
        <v>443.38795795039294</v>
      </c>
    </row>
    <row r="177" spans="2:19" x14ac:dyDescent="0.25">
      <c r="B177">
        <v>983</v>
      </c>
      <c r="C177" s="28">
        <v>7</v>
      </c>
      <c r="D177" s="35" t="s">
        <v>222</v>
      </c>
      <c r="E177" s="154">
        <f>INDEX('2019 Data Lockdown'!H$5:H$257,MATCH(B177,'2019 Data Lockdown'!B$5:B$257,0))</f>
        <v>75.897781633089437</v>
      </c>
      <c r="F177" s="7">
        <f>INDEX('2019 Data Lockdown'!E$5:E$257,MATCH(B177,'2019 Data Lockdown'!B$5:B$257,0))</f>
        <v>32152.06</v>
      </c>
      <c r="G177" s="7">
        <f>INDEX('2019 Data Lockdown'!F$5:F$257,MATCH(B177,'2019 Data Lockdown'!B$5:B$257,0))</f>
        <v>0</v>
      </c>
      <c r="H177" s="7">
        <f t="shared" si="17"/>
        <v>32152.06</v>
      </c>
      <c r="I177" s="6">
        <f t="shared" si="18"/>
        <v>423.62318513381354</v>
      </c>
      <c r="J177" s="6">
        <f t="shared" si="19"/>
        <v>423.62318513381354</v>
      </c>
      <c r="K177" s="5">
        <f t="shared" si="20"/>
        <v>32152.059999999998</v>
      </c>
      <c r="L177" s="4">
        <f t="shared" si="16"/>
        <v>0</v>
      </c>
      <c r="M177" s="2" cm="1">
        <f t="array" ref="M177">SUMPRODUCT(--($L$6:$L$300&lt;&gt;1),--($C$6:$C$300=$C177),$H$6:$H$300)/SUMPRODUCT(--($L$6:$L$300&lt;&gt;1),--($C$6:$C$300=$C177),$E$6:$E$300)</f>
        <v>543.72843951517063</v>
      </c>
      <c r="N177" s="1" cm="1">
        <f t="array" ref="N177">SUMPRODUCT(--($L$6:$L$300&lt;&gt;1),--($C$6:$C$300=$C177))</f>
        <v>69</v>
      </c>
      <c r="O177" s="3">
        <f t="shared" si="21"/>
        <v>14425.272130010499</v>
      </c>
      <c r="P177" s="2" cm="1">
        <f t="array" ref="P177">SQRT(SUMPRODUCT(--($L$6:$L$300&lt;&gt;1),--($C$6:$C$300=$C177),$E$6:$E$300,$O$6:$O$300)/((N177-1)*SUMPRODUCT(--($L$6:$L$300&lt;&gt;1),--($C$6:$C$300=$C177),$E$6:$E$300)/N177))</f>
        <v>193.10040445873076</v>
      </c>
      <c r="Q177" s="2">
        <f t="shared" si="15"/>
        <v>296.26031387378862</v>
      </c>
      <c r="R177" s="2">
        <f t="shared" si="15"/>
        <v>791.19656515655265</v>
      </c>
      <c r="S177" s="2">
        <f t="shared" si="22"/>
        <v>423.62318513381354</v>
      </c>
    </row>
    <row r="178" spans="2:19" x14ac:dyDescent="0.25">
      <c r="B178">
        <v>984</v>
      </c>
      <c r="C178" s="36">
        <v>7</v>
      </c>
      <c r="D178" s="35" t="s">
        <v>338</v>
      </c>
      <c r="E178" s="154">
        <f>INDEX('2019 Data Lockdown'!H$5:H$257,MATCH(B178,'2019 Data Lockdown'!B$5:B$257,0))</f>
        <v>22.261985542455641</v>
      </c>
      <c r="F178" s="7">
        <f>INDEX('2019 Data Lockdown'!E$5:E$257,MATCH(B178,'2019 Data Lockdown'!B$5:B$257,0))</f>
        <v>9622.4</v>
      </c>
      <c r="G178" s="7">
        <f>INDEX('2019 Data Lockdown'!F$5:F$257,MATCH(B178,'2019 Data Lockdown'!B$5:B$257,0))</f>
        <v>2612</v>
      </c>
      <c r="H178" s="7">
        <f t="shared" si="17"/>
        <v>7010.4</v>
      </c>
      <c r="I178" s="6">
        <f t="shared" si="18"/>
        <v>314.90452577244406</v>
      </c>
      <c r="J178" s="6">
        <f t="shared" si="19"/>
        <v>314.90452577244406</v>
      </c>
      <c r="K178" s="5">
        <f t="shared" si="20"/>
        <v>7010.4</v>
      </c>
      <c r="L178" s="4">
        <f t="shared" si="16"/>
        <v>0</v>
      </c>
      <c r="M178" s="2" cm="1">
        <f t="array" ref="M178">SUMPRODUCT(--($L$6:$L$300&lt;&gt;1),--($C$6:$C$300=$C178),$H$6:$H$300)/SUMPRODUCT(--($L$6:$L$300&lt;&gt;1),--($C$6:$C$300=$C178),$E$6:$E$300)</f>
        <v>543.72843951517063</v>
      </c>
      <c r="N178" s="1" cm="1">
        <f t="array" ref="N178">SUMPRODUCT(--($L$6:$L$300&lt;&gt;1),--($C$6:$C$300=$C178))</f>
        <v>69</v>
      </c>
      <c r="O178" s="3">
        <f t="shared" si="21"/>
        <v>52360.383500538774</v>
      </c>
      <c r="P178" s="2" cm="1">
        <f t="array" ref="P178">SQRT(SUMPRODUCT(--($L$6:$L$300&lt;&gt;1),--($C$6:$C$300=$C178),$E$6:$E$300,$O$6:$O$300)/((N178-1)*SUMPRODUCT(--($L$6:$L$300&lt;&gt;1),--($C$6:$C$300=$C178),$E$6:$E$300)/N178))</f>
        <v>193.10040445873076</v>
      </c>
      <c r="Q178" s="2">
        <f t="shared" si="15"/>
        <v>296.26031387378862</v>
      </c>
      <c r="R178" s="2">
        <f t="shared" si="15"/>
        <v>791.19656515655265</v>
      </c>
      <c r="S178" s="2">
        <f t="shared" si="22"/>
        <v>314.90452577244406</v>
      </c>
    </row>
    <row r="179" spans="2:19" x14ac:dyDescent="0.25">
      <c r="B179">
        <v>188</v>
      </c>
      <c r="C179" s="28">
        <v>8</v>
      </c>
      <c r="D179" s="35" t="s">
        <v>223</v>
      </c>
      <c r="E179" s="154">
        <f>INDEX('2019 Data Lockdown'!H$5:H$257,MATCH(B179,'2019 Data Lockdown'!B$5:B$257,0))</f>
        <v>151.82</v>
      </c>
      <c r="F179" s="7">
        <f>INDEX('2019 Data Lockdown'!E$5:E$257,MATCH(B179,'2019 Data Lockdown'!B$5:B$257,0))</f>
        <v>136694.57999999999</v>
      </c>
      <c r="G179" s="7">
        <f>INDEX('2019 Data Lockdown'!F$5:F$257,MATCH(B179,'2019 Data Lockdown'!B$5:B$257,0))</f>
        <v>8053</v>
      </c>
      <c r="H179" s="7">
        <f t="shared" si="17"/>
        <v>128641.57999999999</v>
      </c>
      <c r="I179" s="6">
        <f t="shared" si="18"/>
        <v>847.32960084310366</v>
      </c>
      <c r="J179" s="6">
        <f t="shared" si="19"/>
        <v>847.32960084310366</v>
      </c>
      <c r="K179" s="5">
        <f t="shared" si="20"/>
        <v>128641.57999999999</v>
      </c>
      <c r="L179" s="4">
        <f t="shared" si="16"/>
        <v>0</v>
      </c>
      <c r="M179" s="2" cm="1">
        <f t="array" ref="M179">SUMPRODUCT(--($L$6:$L$300&lt;&gt;1),--($C$6:$C$300=$C179),$H$6:$H$300)/SUMPRODUCT(--($L$6:$L$300&lt;&gt;1),--($C$6:$C$300=$C179),$E$6:$E$300)</f>
        <v>1033.3547868468199</v>
      </c>
      <c r="N179" s="1" cm="1">
        <f t="array" ref="N179">SUMPRODUCT(--($L$6:$L$300&lt;&gt;1),--($C$6:$C$300=$C179))</f>
        <v>50</v>
      </c>
      <c r="O179" s="3">
        <f t="shared" si="21"/>
        <v>34605.369827717237</v>
      </c>
      <c r="P179" s="2" cm="1">
        <f t="array" ref="P179">SQRT(SUMPRODUCT(--($L$6:$L$300&lt;&gt;1),--($C$6:$C$300=$C179),$E$6:$E$300,$O$6:$O$300)/((N179-1)*SUMPRODUCT(--($L$6:$L$300&lt;&gt;1),--($C$6:$C$300=$C179),$E$6:$E$300)/N179))</f>
        <v>622.1962069462686</v>
      </c>
      <c r="Q179" s="2">
        <f t="shared" ref="Q179:R242" si="23">NORMINV(Q$4,$M179,$P179)</f>
        <v>235.97826375891714</v>
      </c>
      <c r="R179" s="2">
        <f t="shared" si="23"/>
        <v>1830.7313099347227</v>
      </c>
      <c r="S179" s="2">
        <f t="shared" si="22"/>
        <v>847.32960084310366</v>
      </c>
    </row>
    <row r="180" spans="2:19" x14ac:dyDescent="0.25">
      <c r="B180">
        <v>232</v>
      </c>
      <c r="C180" s="28">
        <v>8</v>
      </c>
      <c r="D180" s="35" t="s">
        <v>224</v>
      </c>
      <c r="E180" s="154">
        <f>INDEX('2019 Data Lockdown'!H$5:H$257,MATCH(B180,'2019 Data Lockdown'!B$5:B$257,0))</f>
        <v>99.943034780278666</v>
      </c>
      <c r="F180" s="7">
        <f>INDEX('2019 Data Lockdown'!E$5:E$257,MATCH(B180,'2019 Data Lockdown'!B$5:B$257,0))</f>
        <v>120790.9</v>
      </c>
      <c r="G180" s="7">
        <f>INDEX('2019 Data Lockdown'!F$5:F$257,MATCH(B180,'2019 Data Lockdown'!B$5:B$257,0))</f>
        <v>0</v>
      </c>
      <c r="H180" s="7">
        <f t="shared" si="17"/>
        <v>120790.9</v>
      </c>
      <c r="I180" s="6">
        <f t="shared" si="18"/>
        <v>1208.5974802101482</v>
      </c>
      <c r="J180" s="6">
        <f t="shared" si="19"/>
        <v>1208.5974802101482</v>
      </c>
      <c r="K180" s="5">
        <f t="shared" si="20"/>
        <v>120790.9</v>
      </c>
      <c r="L180" s="4">
        <f t="shared" si="16"/>
        <v>0</v>
      </c>
      <c r="M180" s="2" cm="1">
        <f t="array" ref="M180">SUMPRODUCT(--($L$6:$L$300&lt;&gt;1),--($C$6:$C$300=$C180),$H$6:$H$300)/SUMPRODUCT(--($L$6:$L$300&lt;&gt;1),--($C$6:$C$300=$C180),$E$6:$E$300)</f>
        <v>1033.3547868468199</v>
      </c>
      <c r="N180" s="1" cm="1">
        <f t="array" ref="N180">SUMPRODUCT(--($L$6:$L$300&lt;&gt;1),--($C$6:$C$300=$C180))</f>
        <v>50</v>
      </c>
      <c r="O180" s="3">
        <f t="shared" si="21"/>
        <v>30710.001577233499</v>
      </c>
      <c r="P180" s="2" cm="1">
        <f t="array" ref="P180">SQRT(SUMPRODUCT(--($L$6:$L$300&lt;&gt;1),--($C$6:$C$300=$C180),$E$6:$E$300,$O$6:$O$300)/((N180-1)*SUMPRODUCT(--($L$6:$L$300&lt;&gt;1),--($C$6:$C$300=$C180),$E$6:$E$300)/N180))</f>
        <v>622.1962069462686</v>
      </c>
      <c r="Q180" s="2">
        <f t="shared" si="23"/>
        <v>235.97826375891714</v>
      </c>
      <c r="R180" s="2">
        <f t="shared" si="23"/>
        <v>1830.7313099347227</v>
      </c>
      <c r="S180" s="2">
        <f t="shared" si="22"/>
        <v>1208.5974802101482</v>
      </c>
    </row>
    <row r="181" spans="2:19" x14ac:dyDescent="0.25">
      <c r="B181">
        <v>245</v>
      </c>
      <c r="C181" s="28">
        <v>8</v>
      </c>
      <c r="D181" s="35" t="s">
        <v>225</v>
      </c>
      <c r="E181" s="154">
        <f>INDEX('2019 Data Lockdown'!H$5:H$257,MATCH(B181,'2019 Data Lockdown'!B$5:B$257,0))</f>
        <v>237.74999999999997</v>
      </c>
      <c r="F181" s="7">
        <f>INDEX('2019 Data Lockdown'!E$5:E$257,MATCH(B181,'2019 Data Lockdown'!B$5:B$257,0))</f>
        <v>631790.16</v>
      </c>
      <c r="G181" s="7">
        <f>INDEX('2019 Data Lockdown'!F$5:F$257,MATCH(B181,'2019 Data Lockdown'!B$5:B$257,0))</f>
        <v>0</v>
      </c>
      <c r="H181" s="7">
        <f t="shared" si="17"/>
        <v>631790.16</v>
      </c>
      <c r="I181" s="6">
        <f t="shared" si="18"/>
        <v>2657.3718611987388</v>
      </c>
      <c r="J181" s="6">
        <f t="shared" si="19"/>
        <v>1830.7313099347227</v>
      </c>
      <c r="K181" s="5">
        <f t="shared" si="20"/>
        <v>435256.36893698026</v>
      </c>
      <c r="L181" s="4">
        <f t="shared" si="16"/>
        <v>0</v>
      </c>
      <c r="M181" s="2" cm="1">
        <f t="array" ref="M181">SUMPRODUCT(--($L$6:$L$300&lt;&gt;1),--($C$6:$C$300=$C181),$H$6:$H$300)/SUMPRODUCT(--($L$6:$L$300&lt;&gt;1),--($C$6:$C$300=$C181),$E$6:$E$300)</f>
        <v>1033.3547868468199</v>
      </c>
      <c r="N181" s="1" cm="1">
        <f t="array" ref="N181">SUMPRODUCT(--($L$6:$L$300&lt;&gt;1),--($C$6:$C$300=$C181))</f>
        <v>50</v>
      </c>
      <c r="O181" s="3">
        <f t="shared" si="21"/>
        <v>2637431.4577865656</v>
      </c>
      <c r="P181" s="2" cm="1">
        <f t="array" ref="P181">SQRT(SUMPRODUCT(--($L$6:$L$300&lt;&gt;1),--($C$6:$C$300=$C181),$E$6:$E$300,$O$6:$O$300)/((N181-1)*SUMPRODUCT(--($L$6:$L$300&lt;&gt;1),--($C$6:$C$300=$C181),$E$6:$E$300)/N181))</f>
        <v>622.1962069462686</v>
      </c>
      <c r="Q181" s="2">
        <f t="shared" si="23"/>
        <v>235.97826375891714</v>
      </c>
      <c r="R181" s="2">
        <f t="shared" si="23"/>
        <v>1830.7313099347227</v>
      </c>
      <c r="S181" s="2">
        <f t="shared" si="22"/>
        <v>1830.7313099347227</v>
      </c>
    </row>
    <row r="182" spans="2:19" x14ac:dyDescent="0.25">
      <c r="B182">
        <v>372</v>
      </c>
      <c r="C182" s="28">
        <v>8</v>
      </c>
      <c r="D182" s="35" t="s">
        <v>226</v>
      </c>
      <c r="E182" s="154">
        <f>INDEX('2019 Data Lockdown'!H$5:H$257,MATCH(B182,'2019 Data Lockdown'!B$5:B$257,0))</f>
        <v>124.59</v>
      </c>
      <c r="F182" s="7">
        <f>INDEX('2019 Data Lockdown'!E$5:E$257,MATCH(B182,'2019 Data Lockdown'!B$5:B$257,0))</f>
        <v>86253.52</v>
      </c>
      <c r="G182" s="7">
        <f>INDEX('2019 Data Lockdown'!F$5:F$257,MATCH(B182,'2019 Data Lockdown'!B$5:B$257,0))</f>
        <v>0</v>
      </c>
      <c r="H182" s="7">
        <f t="shared" si="17"/>
        <v>86253.52</v>
      </c>
      <c r="I182" s="6">
        <f t="shared" si="18"/>
        <v>692.29890039328995</v>
      </c>
      <c r="J182" s="6">
        <f t="shared" si="19"/>
        <v>692.29890039328995</v>
      </c>
      <c r="K182" s="5">
        <f t="shared" si="20"/>
        <v>86253.52</v>
      </c>
      <c r="L182" s="4">
        <f t="shared" si="16"/>
        <v>0</v>
      </c>
      <c r="M182" s="2" cm="1">
        <f t="array" ref="M182">SUMPRODUCT(--($L$6:$L$300&lt;&gt;1),--($C$6:$C$300=$C182),$H$6:$H$300)/SUMPRODUCT(--($L$6:$L$300&lt;&gt;1),--($C$6:$C$300=$C182),$E$6:$E$300)</f>
        <v>1033.3547868468199</v>
      </c>
      <c r="N182" s="1" cm="1">
        <f t="array" ref="N182">SUMPRODUCT(--($L$6:$L$300&lt;&gt;1),--($C$6:$C$300=$C182))</f>
        <v>50</v>
      </c>
      <c r="O182" s="3">
        <f t="shared" si="21"/>
        <v>116319.11768460313</v>
      </c>
      <c r="P182" s="2" cm="1">
        <f t="array" ref="P182">SQRT(SUMPRODUCT(--($L$6:$L$300&lt;&gt;1),--($C$6:$C$300=$C182),$E$6:$E$300,$O$6:$O$300)/((N182-1)*SUMPRODUCT(--($L$6:$L$300&lt;&gt;1),--($C$6:$C$300=$C182),$E$6:$E$300)/N182))</f>
        <v>622.1962069462686</v>
      </c>
      <c r="Q182" s="2">
        <f t="shared" si="23"/>
        <v>235.97826375891714</v>
      </c>
      <c r="R182" s="2">
        <f t="shared" si="23"/>
        <v>1830.7313099347227</v>
      </c>
      <c r="S182" s="2">
        <f t="shared" si="22"/>
        <v>692.29890039328995</v>
      </c>
    </row>
    <row r="183" spans="2:19" x14ac:dyDescent="0.25">
      <c r="B183">
        <v>375</v>
      </c>
      <c r="C183" s="28">
        <v>8</v>
      </c>
      <c r="D183" s="35" t="s">
        <v>227</v>
      </c>
      <c r="E183" s="154">
        <f>INDEX('2019 Data Lockdown'!H$5:H$257,MATCH(B183,'2019 Data Lockdown'!B$5:B$257,0))</f>
        <v>162.62</v>
      </c>
      <c r="F183" s="7">
        <f>INDEX('2019 Data Lockdown'!E$5:E$257,MATCH(B183,'2019 Data Lockdown'!B$5:B$257,0))</f>
        <v>231561.51</v>
      </c>
      <c r="G183" s="7">
        <f>INDEX('2019 Data Lockdown'!F$5:F$257,MATCH(B183,'2019 Data Lockdown'!B$5:B$257,0))</f>
        <v>0</v>
      </c>
      <c r="H183" s="7">
        <f t="shared" si="17"/>
        <v>231561.51</v>
      </c>
      <c r="I183" s="6">
        <f t="shared" si="18"/>
        <v>1423.9423810109458</v>
      </c>
      <c r="J183" s="6">
        <f t="shared" si="19"/>
        <v>1423.9423810109458</v>
      </c>
      <c r="K183" s="5">
        <f t="shared" si="20"/>
        <v>231561.51</v>
      </c>
      <c r="L183" s="4">
        <f t="shared" si="16"/>
        <v>0</v>
      </c>
      <c r="M183" s="2" cm="1">
        <f t="array" ref="M183">SUMPRODUCT(--($L$6:$L$300&lt;&gt;1),--($C$6:$C$300=$C183),$H$6:$H$300)/SUMPRODUCT(--($L$6:$L$300&lt;&gt;1),--($C$6:$C$300=$C183),$E$6:$E$300)</f>
        <v>1033.3547868468199</v>
      </c>
      <c r="N183" s="1" cm="1">
        <f t="array" ref="N183">SUMPRODUCT(--($L$6:$L$300&lt;&gt;1),--($C$6:$C$300=$C183))</f>
        <v>50</v>
      </c>
      <c r="O183" s="3">
        <f t="shared" si="21"/>
        <v>152558.66871491991</v>
      </c>
      <c r="P183" s="2" cm="1">
        <f t="array" ref="P183">SQRT(SUMPRODUCT(--($L$6:$L$300&lt;&gt;1),--($C$6:$C$300=$C183),$E$6:$E$300,$O$6:$O$300)/((N183-1)*SUMPRODUCT(--($L$6:$L$300&lt;&gt;1),--($C$6:$C$300=$C183),$E$6:$E$300)/N183))</f>
        <v>622.1962069462686</v>
      </c>
      <c r="Q183" s="2">
        <f t="shared" si="23"/>
        <v>235.97826375891714</v>
      </c>
      <c r="R183" s="2">
        <f t="shared" si="23"/>
        <v>1830.7313099347227</v>
      </c>
      <c r="S183" s="2">
        <f t="shared" si="22"/>
        <v>1423.9423810109458</v>
      </c>
    </row>
    <row r="184" spans="2:19" x14ac:dyDescent="0.25">
      <c r="B184">
        <v>404</v>
      </c>
      <c r="C184" s="28">
        <v>8</v>
      </c>
      <c r="D184" s="35" t="s">
        <v>228</v>
      </c>
      <c r="E184" s="154">
        <f>INDEX('2019 Data Lockdown'!H$5:H$257,MATCH(B184,'2019 Data Lockdown'!B$5:B$257,0))</f>
        <v>459.07044990472792</v>
      </c>
      <c r="F184" s="7">
        <f>INDEX('2019 Data Lockdown'!E$5:E$257,MATCH(B184,'2019 Data Lockdown'!B$5:B$257,0))</f>
        <v>301241.45</v>
      </c>
      <c r="G184" s="7">
        <f>INDEX('2019 Data Lockdown'!F$5:F$257,MATCH(B184,'2019 Data Lockdown'!B$5:B$257,0))</f>
        <v>16226.76</v>
      </c>
      <c r="H184" s="7">
        <f t="shared" si="17"/>
        <v>285014.69</v>
      </c>
      <c r="I184" s="6">
        <f t="shared" si="18"/>
        <v>620.85174521503143</v>
      </c>
      <c r="J184" s="6">
        <f t="shared" si="19"/>
        <v>620.85174521503143</v>
      </c>
      <c r="K184" s="5">
        <f t="shared" si="20"/>
        <v>285014.69</v>
      </c>
      <c r="L184" s="4">
        <f t="shared" si="16"/>
        <v>0</v>
      </c>
      <c r="M184" s="2" cm="1">
        <f t="array" ref="M184">SUMPRODUCT(--($L$6:$L$300&lt;&gt;1),--($C$6:$C$300=$C184),$H$6:$H$300)/SUMPRODUCT(--($L$6:$L$300&lt;&gt;1),--($C$6:$C$300=$C184),$E$6:$E$300)</f>
        <v>1033.3547868468199</v>
      </c>
      <c r="N184" s="1" cm="1">
        <f t="array" ref="N184">SUMPRODUCT(--($L$6:$L$300&lt;&gt;1),--($C$6:$C$300=$C184))</f>
        <v>50</v>
      </c>
      <c r="O184" s="3">
        <f t="shared" si="21"/>
        <v>170158.75935547703</v>
      </c>
      <c r="P184" s="2" cm="1">
        <f t="array" ref="P184">SQRT(SUMPRODUCT(--($L$6:$L$300&lt;&gt;1),--($C$6:$C$300=$C184),$E$6:$E$300,$O$6:$O$300)/((N184-1)*SUMPRODUCT(--($L$6:$L$300&lt;&gt;1),--($C$6:$C$300=$C184),$E$6:$E$300)/N184))</f>
        <v>622.1962069462686</v>
      </c>
      <c r="Q184" s="2">
        <f t="shared" si="23"/>
        <v>235.97826375891714</v>
      </c>
      <c r="R184" s="2">
        <f t="shared" si="23"/>
        <v>1830.7313099347227</v>
      </c>
      <c r="S184" s="2">
        <f t="shared" si="22"/>
        <v>620.85174521503143</v>
      </c>
    </row>
    <row r="185" spans="2:19" x14ac:dyDescent="0.25">
      <c r="B185">
        <v>413</v>
      </c>
      <c r="C185" s="28">
        <v>8</v>
      </c>
      <c r="D185" s="35" t="s">
        <v>229</v>
      </c>
      <c r="E185" s="154">
        <f>INDEX('2019 Data Lockdown'!H$5:H$257,MATCH(B185,'2019 Data Lockdown'!B$5:B$257,0))</f>
        <v>76.8</v>
      </c>
      <c r="F185" s="7">
        <f>INDEX('2019 Data Lockdown'!E$5:E$257,MATCH(B185,'2019 Data Lockdown'!B$5:B$257,0))</f>
        <v>92788.2</v>
      </c>
      <c r="G185" s="7">
        <f>INDEX('2019 Data Lockdown'!F$5:F$257,MATCH(B185,'2019 Data Lockdown'!B$5:B$257,0))</f>
        <v>110</v>
      </c>
      <c r="H185" s="7">
        <f t="shared" si="17"/>
        <v>92678.2</v>
      </c>
      <c r="I185" s="6">
        <f t="shared" si="18"/>
        <v>1206.7473958333333</v>
      </c>
      <c r="J185" s="6">
        <f t="shared" si="19"/>
        <v>1206.7473958333333</v>
      </c>
      <c r="K185" s="5">
        <f t="shared" si="20"/>
        <v>92678.2</v>
      </c>
      <c r="L185" s="4">
        <f t="shared" si="16"/>
        <v>0</v>
      </c>
      <c r="M185" s="2" cm="1">
        <f t="array" ref="M185">SUMPRODUCT(--($L$6:$L$300&lt;&gt;1),--($C$6:$C$300=$C185),$H$6:$H$300)/SUMPRODUCT(--($L$6:$L$300&lt;&gt;1),--($C$6:$C$300=$C185),$E$6:$E$300)</f>
        <v>1033.3547868468199</v>
      </c>
      <c r="N185" s="1" cm="1">
        <f t="array" ref="N185">SUMPRODUCT(--($L$6:$L$300&lt;&gt;1),--($C$6:$C$300=$C185))</f>
        <v>50</v>
      </c>
      <c r="O185" s="3">
        <f t="shared" si="21"/>
        <v>30064.996851149899</v>
      </c>
      <c r="P185" s="2" cm="1">
        <f t="array" ref="P185">SQRT(SUMPRODUCT(--($L$6:$L$300&lt;&gt;1),--($C$6:$C$300=$C185),$E$6:$E$300,$O$6:$O$300)/((N185-1)*SUMPRODUCT(--($L$6:$L$300&lt;&gt;1),--($C$6:$C$300=$C185),$E$6:$E$300)/N185))</f>
        <v>622.1962069462686</v>
      </c>
      <c r="Q185" s="2">
        <f t="shared" si="23"/>
        <v>235.97826375891714</v>
      </c>
      <c r="R185" s="2">
        <f t="shared" si="23"/>
        <v>1830.7313099347227</v>
      </c>
      <c r="S185" s="2">
        <f t="shared" si="22"/>
        <v>1206.7473958333333</v>
      </c>
    </row>
    <row r="186" spans="2:19" x14ac:dyDescent="0.25">
      <c r="B186">
        <v>537</v>
      </c>
      <c r="C186" s="28">
        <v>8</v>
      </c>
      <c r="D186" s="35" t="s">
        <v>230</v>
      </c>
      <c r="E186" s="154">
        <f>INDEX('2019 Data Lockdown'!H$5:H$257,MATCH(B186,'2019 Data Lockdown'!B$5:B$257,0))</f>
        <v>9.7918986885088461</v>
      </c>
      <c r="F186" s="7">
        <f>INDEX('2019 Data Lockdown'!E$5:E$257,MATCH(B186,'2019 Data Lockdown'!B$5:B$257,0))</f>
        <v>8112.34</v>
      </c>
      <c r="G186" s="7">
        <f>INDEX('2019 Data Lockdown'!F$5:F$257,MATCH(B186,'2019 Data Lockdown'!B$5:B$257,0))</f>
        <v>0</v>
      </c>
      <c r="H186" s="7">
        <f t="shared" si="17"/>
        <v>8112.34</v>
      </c>
      <c r="I186" s="6">
        <f t="shared" si="18"/>
        <v>828.47466646281077</v>
      </c>
      <c r="J186" s="6">
        <f t="shared" si="19"/>
        <v>828.47466646281077</v>
      </c>
      <c r="K186" s="5">
        <f t="shared" si="20"/>
        <v>8112.34</v>
      </c>
      <c r="L186" s="4">
        <f t="shared" si="16"/>
        <v>0</v>
      </c>
      <c r="M186" s="2" cm="1">
        <f t="array" ref="M186">SUMPRODUCT(--($L$6:$L$300&lt;&gt;1),--($C$6:$C$300=$C186),$H$6:$H$300)/SUMPRODUCT(--($L$6:$L$300&lt;&gt;1),--($C$6:$C$300=$C186),$E$6:$E$300)</f>
        <v>1033.3547868468199</v>
      </c>
      <c r="N186" s="1" cm="1">
        <f t="array" ref="N186">SUMPRODUCT(--($L$6:$L$300&lt;&gt;1),--($C$6:$C$300=$C186))</f>
        <v>50</v>
      </c>
      <c r="O186" s="3">
        <f t="shared" si="21"/>
        <v>41975.863728566088</v>
      </c>
      <c r="P186" s="2" cm="1">
        <f t="array" ref="P186">SQRT(SUMPRODUCT(--($L$6:$L$300&lt;&gt;1),--($C$6:$C$300=$C186),$E$6:$E$300,$O$6:$O$300)/((N186-1)*SUMPRODUCT(--($L$6:$L$300&lt;&gt;1),--($C$6:$C$300=$C186),$E$6:$E$300)/N186))</f>
        <v>622.1962069462686</v>
      </c>
      <c r="Q186" s="2">
        <f t="shared" si="23"/>
        <v>235.97826375891714</v>
      </c>
      <c r="R186" s="2">
        <f t="shared" si="23"/>
        <v>1830.7313099347227</v>
      </c>
      <c r="S186" s="2">
        <f t="shared" si="22"/>
        <v>828.47466646281077</v>
      </c>
    </row>
    <row r="187" spans="2:19" x14ac:dyDescent="0.25">
      <c r="B187">
        <v>545</v>
      </c>
      <c r="C187" s="28">
        <v>8</v>
      </c>
      <c r="D187" s="35" t="s">
        <v>231</v>
      </c>
      <c r="E187" s="154">
        <f>INDEX('2019 Data Lockdown'!H$5:H$257,MATCH(B187,'2019 Data Lockdown'!B$5:B$257,0))</f>
        <v>14.800550827676549</v>
      </c>
      <c r="F187" s="7">
        <f>INDEX('2019 Data Lockdown'!E$5:E$257,MATCH(B187,'2019 Data Lockdown'!B$5:B$257,0))</f>
        <v>8088.84</v>
      </c>
      <c r="G187" s="7">
        <f>INDEX('2019 Data Lockdown'!F$5:F$257,MATCH(B187,'2019 Data Lockdown'!B$5:B$257,0))</f>
        <v>0</v>
      </c>
      <c r="H187" s="7">
        <f t="shared" si="17"/>
        <v>8088.84</v>
      </c>
      <c r="I187" s="6">
        <f t="shared" si="18"/>
        <v>546.52290270671085</v>
      </c>
      <c r="J187" s="6">
        <f t="shared" si="19"/>
        <v>546.52290270671085</v>
      </c>
      <c r="K187" s="5">
        <f t="shared" si="20"/>
        <v>8088.8399999999992</v>
      </c>
      <c r="L187" s="4">
        <f t="shared" si="16"/>
        <v>0</v>
      </c>
      <c r="M187" s="2" cm="1">
        <f t="array" ref="M187">SUMPRODUCT(--($L$6:$L$300&lt;&gt;1),--($C$6:$C$300=$C187),$H$6:$H$300)/SUMPRODUCT(--($L$6:$L$300&lt;&gt;1),--($C$6:$C$300=$C187),$E$6:$E$300)</f>
        <v>1033.3547868468199</v>
      </c>
      <c r="N187" s="1" cm="1">
        <f t="array" ref="N187">SUMPRODUCT(--($L$6:$L$300&lt;&gt;1),--($C$6:$C$300=$C187))</f>
        <v>50</v>
      </c>
      <c r="O187" s="3">
        <f t="shared" si="21"/>
        <v>237005.2834154086</v>
      </c>
      <c r="P187" s="2" cm="1">
        <f t="array" ref="P187">SQRT(SUMPRODUCT(--($L$6:$L$300&lt;&gt;1),--($C$6:$C$300=$C187),$E$6:$E$300,$O$6:$O$300)/((N187-1)*SUMPRODUCT(--($L$6:$L$300&lt;&gt;1),--($C$6:$C$300=$C187),$E$6:$E$300)/N187))</f>
        <v>622.1962069462686</v>
      </c>
      <c r="Q187" s="2">
        <f t="shared" si="23"/>
        <v>235.97826375891714</v>
      </c>
      <c r="R187" s="2">
        <f t="shared" si="23"/>
        <v>1830.7313099347227</v>
      </c>
      <c r="S187" s="2">
        <f t="shared" si="22"/>
        <v>546.52290270671085</v>
      </c>
    </row>
    <row r="188" spans="2:19" x14ac:dyDescent="0.25">
      <c r="B188">
        <v>602</v>
      </c>
      <c r="C188" s="28">
        <v>8</v>
      </c>
      <c r="D188" s="35" t="s">
        <v>232</v>
      </c>
      <c r="E188" s="154">
        <f>INDEX('2019 Data Lockdown'!H$5:H$257,MATCH(B188,'2019 Data Lockdown'!B$5:B$257,0))</f>
        <v>15.286633204362731</v>
      </c>
      <c r="F188" s="7">
        <f>INDEX('2019 Data Lockdown'!E$5:E$257,MATCH(B188,'2019 Data Lockdown'!B$5:B$257,0))</f>
        <v>26328.83</v>
      </c>
      <c r="G188" s="7">
        <f>INDEX('2019 Data Lockdown'!F$5:F$257,MATCH(B188,'2019 Data Lockdown'!B$5:B$257,0))</f>
        <v>0</v>
      </c>
      <c r="H188" s="7">
        <f t="shared" si="17"/>
        <v>26328.83</v>
      </c>
      <c r="I188" s="6">
        <f t="shared" si="18"/>
        <v>1722.3432817427633</v>
      </c>
      <c r="J188" s="6">
        <f t="shared" si="19"/>
        <v>1722.3432817427633</v>
      </c>
      <c r="K188" s="5">
        <f t="shared" si="20"/>
        <v>26328.83</v>
      </c>
      <c r="L188" s="4">
        <f t="shared" si="16"/>
        <v>0</v>
      </c>
      <c r="M188" s="2" cm="1">
        <f t="array" ref="M188">SUMPRODUCT(--($L$6:$L$300&lt;&gt;1),--($C$6:$C$300=$C188),$H$6:$H$300)/SUMPRODUCT(--($L$6:$L$300&lt;&gt;1),--($C$6:$C$300=$C188),$E$6:$E$300)</f>
        <v>1033.3547868468199</v>
      </c>
      <c r="N188" s="1" cm="1">
        <f t="array" ref="N188">SUMPRODUCT(--($L$6:$L$300&lt;&gt;1),--($C$6:$C$300=$C188))</f>
        <v>50</v>
      </c>
      <c r="O188" s="3">
        <f t="shared" si="21"/>
        <v>474705.14609897742</v>
      </c>
      <c r="P188" s="2" cm="1">
        <f t="array" ref="P188">SQRT(SUMPRODUCT(--($L$6:$L$300&lt;&gt;1),--($C$6:$C$300=$C188),$E$6:$E$300,$O$6:$O$300)/((N188-1)*SUMPRODUCT(--($L$6:$L$300&lt;&gt;1),--($C$6:$C$300=$C188),$E$6:$E$300)/N188))</f>
        <v>622.1962069462686</v>
      </c>
      <c r="Q188" s="2">
        <f t="shared" si="23"/>
        <v>235.97826375891714</v>
      </c>
      <c r="R188" s="2">
        <f t="shared" si="23"/>
        <v>1830.7313099347227</v>
      </c>
      <c r="S188" s="2">
        <f t="shared" si="22"/>
        <v>1722.3432817427633</v>
      </c>
    </row>
    <row r="189" spans="2:19" x14ac:dyDescent="0.25">
      <c r="B189">
        <v>605</v>
      </c>
      <c r="C189" s="36">
        <v>8</v>
      </c>
      <c r="D189" s="35" t="s">
        <v>233</v>
      </c>
      <c r="E189" s="154">
        <f>INDEX('2019 Data Lockdown'!H$5:H$257,MATCH(B189,'2019 Data Lockdown'!B$5:B$257,0))</f>
        <v>11.743233894780035</v>
      </c>
      <c r="F189" s="7">
        <f>INDEX('2019 Data Lockdown'!E$5:E$257,MATCH(B189,'2019 Data Lockdown'!B$5:B$257,0))</f>
        <v>8356.2900000000009</v>
      </c>
      <c r="G189" s="7">
        <f>INDEX('2019 Data Lockdown'!F$5:F$257,MATCH(B189,'2019 Data Lockdown'!B$5:B$257,0))</f>
        <v>0</v>
      </c>
      <c r="H189" s="7">
        <f t="shared" si="17"/>
        <v>8356.2900000000009</v>
      </c>
      <c r="I189" s="6">
        <f t="shared" si="18"/>
        <v>711.58337429644837</v>
      </c>
      <c r="J189" s="6">
        <f t="shared" si="19"/>
        <v>711.58337429644837</v>
      </c>
      <c r="K189" s="5">
        <f t="shared" si="20"/>
        <v>8356.2900000000009</v>
      </c>
      <c r="L189" s="4">
        <f t="shared" si="16"/>
        <v>0</v>
      </c>
      <c r="M189" s="2" cm="1">
        <f t="array" ref="M189">SUMPRODUCT(--($L$6:$L$300&lt;&gt;1),--($C$6:$C$300=$C189),$H$6:$H$300)/SUMPRODUCT(--($L$6:$L$300&lt;&gt;1),--($C$6:$C$300=$C189),$E$6:$E$300)</f>
        <v>1033.3547868468199</v>
      </c>
      <c r="N189" s="1" cm="1">
        <f t="array" ref="N189">SUMPRODUCT(--($L$6:$L$300&lt;&gt;1),--($C$6:$C$300=$C189))</f>
        <v>50</v>
      </c>
      <c r="O189" s="3">
        <f t="shared" si="21"/>
        <v>103536.84193466141</v>
      </c>
      <c r="P189" s="2" cm="1">
        <f t="array" ref="P189">SQRT(SUMPRODUCT(--($L$6:$L$300&lt;&gt;1),--($C$6:$C$300=$C189),$E$6:$E$300,$O$6:$O$300)/((N189-1)*SUMPRODUCT(--($L$6:$L$300&lt;&gt;1),--($C$6:$C$300=$C189),$E$6:$E$300)/N189))</f>
        <v>622.1962069462686</v>
      </c>
      <c r="Q189" s="2">
        <f t="shared" si="23"/>
        <v>235.97826375891714</v>
      </c>
      <c r="R189" s="2">
        <f t="shared" si="23"/>
        <v>1830.7313099347227</v>
      </c>
      <c r="S189" s="2">
        <f t="shared" si="22"/>
        <v>711.58337429644837</v>
      </c>
    </row>
    <row r="190" spans="2:19" x14ac:dyDescent="0.25">
      <c r="B190">
        <v>607</v>
      </c>
      <c r="C190" s="28">
        <v>8</v>
      </c>
      <c r="D190" s="35" t="s">
        <v>234</v>
      </c>
      <c r="E190" s="154">
        <f>INDEX('2019 Data Lockdown'!H$5:H$257,MATCH(B190,'2019 Data Lockdown'!B$5:B$257,0))</f>
        <v>17.618373107885343</v>
      </c>
      <c r="F190" s="7">
        <f>INDEX('2019 Data Lockdown'!E$5:E$257,MATCH(B190,'2019 Data Lockdown'!B$5:B$257,0))</f>
        <v>12544.93</v>
      </c>
      <c r="G190" s="7">
        <f>INDEX('2019 Data Lockdown'!F$5:F$257,MATCH(B190,'2019 Data Lockdown'!B$5:B$257,0))</f>
        <v>0</v>
      </c>
      <c r="H190" s="7">
        <f t="shared" si="17"/>
        <v>12544.93</v>
      </c>
      <c r="I190" s="6">
        <f t="shared" si="18"/>
        <v>712.0367994923065</v>
      </c>
      <c r="J190" s="6">
        <f t="shared" si="19"/>
        <v>712.0367994923065</v>
      </c>
      <c r="K190" s="5">
        <f t="shared" si="20"/>
        <v>12544.93</v>
      </c>
      <c r="L190" s="4">
        <f t="shared" si="16"/>
        <v>0</v>
      </c>
      <c r="M190" s="2" cm="1">
        <f t="array" ref="M190">SUMPRODUCT(--($L$6:$L$300&lt;&gt;1),--($C$6:$C$300=$C190),$H$6:$H$300)/SUMPRODUCT(--($L$6:$L$300&lt;&gt;1),--($C$6:$C$300=$C190),$E$6:$E$300)</f>
        <v>1033.3547868468199</v>
      </c>
      <c r="N190" s="1" cm="1">
        <f t="array" ref="N190">SUMPRODUCT(--($L$6:$L$300&lt;&gt;1),--($C$6:$C$300=$C190))</f>
        <v>50</v>
      </c>
      <c r="O190" s="3">
        <f t="shared" si="21"/>
        <v>103245.24899755526</v>
      </c>
      <c r="P190" s="2" cm="1">
        <f t="array" ref="P190">SQRT(SUMPRODUCT(--($L$6:$L$300&lt;&gt;1),--($C$6:$C$300=$C190),$E$6:$E$300,$O$6:$O$300)/((N190-1)*SUMPRODUCT(--($L$6:$L$300&lt;&gt;1),--($C$6:$C$300=$C190),$E$6:$E$300)/N190))</f>
        <v>622.1962069462686</v>
      </c>
      <c r="Q190" s="2">
        <f t="shared" si="23"/>
        <v>235.97826375891714</v>
      </c>
      <c r="R190" s="2">
        <f t="shared" si="23"/>
        <v>1830.7313099347227</v>
      </c>
      <c r="S190" s="2">
        <f t="shared" si="22"/>
        <v>712.0367994923065</v>
      </c>
    </row>
    <row r="191" spans="2:19" x14ac:dyDescent="0.25">
      <c r="B191">
        <v>610</v>
      </c>
      <c r="C191" s="28">
        <v>8</v>
      </c>
      <c r="D191" s="35" t="s">
        <v>235</v>
      </c>
      <c r="E191" s="154">
        <f>INDEX('2019 Data Lockdown'!H$5:H$257,MATCH(B191,'2019 Data Lockdown'!B$5:B$257,0))</f>
        <v>75.671529349767766</v>
      </c>
      <c r="F191" s="7">
        <f>INDEX('2019 Data Lockdown'!E$5:E$257,MATCH(B191,'2019 Data Lockdown'!B$5:B$257,0))</f>
        <v>39395.15</v>
      </c>
      <c r="G191" s="7">
        <f>INDEX('2019 Data Lockdown'!F$5:F$257,MATCH(B191,'2019 Data Lockdown'!B$5:B$257,0))</f>
        <v>0</v>
      </c>
      <c r="H191" s="7">
        <f t="shared" si="17"/>
        <v>39395.15</v>
      </c>
      <c r="I191" s="6">
        <f t="shared" si="18"/>
        <v>520.60729231344533</v>
      </c>
      <c r="J191" s="6">
        <f t="shared" si="19"/>
        <v>520.60729231344533</v>
      </c>
      <c r="K191" s="5">
        <f t="shared" si="20"/>
        <v>39395.15</v>
      </c>
      <c r="L191" s="4">
        <f t="shared" si="16"/>
        <v>0</v>
      </c>
      <c r="M191" s="2" cm="1">
        <f t="array" ref="M191">SUMPRODUCT(--($L$6:$L$300&lt;&gt;1),--($C$6:$C$300=$C191),$H$6:$H$300)/SUMPRODUCT(--($L$6:$L$300&lt;&gt;1),--($C$6:$C$300=$C191),$E$6:$E$300)</f>
        <v>1033.3547868468199</v>
      </c>
      <c r="N191" s="1" cm="1">
        <f t="array" ref="N191">SUMPRODUCT(--($L$6:$L$300&lt;&gt;1),--($C$6:$C$300=$C191))</f>
        <v>50</v>
      </c>
      <c r="O191" s="3">
        <f t="shared" si="21"/>
        <v>262909.99315025302</v>
      </c>
      <c r="P191" s="2" cm="1">
        <f t="array" ref="P191">SQRT(SUMPRODUCT(--($L$6:$L$300&lt;&gt;1),--($C$6:$C$300=$C191),$E$6:$E$300,$O$6:$O$300)/((N191-1)*SUMPRODUCT(--($L$6:$L$300&lt;&gt;1),--($C$6:$C$300=$C191),$E$6:$E$300)/N191))</f>
        <v>622.1962069462686</v>
      </c>
      <c r="Q191" s="2">
        <f t="shared" si="23"/>
        <v>235.97826375891714</v>
      </c>
      <c r="R191" s="2">
        <f t="shared" si="23"/>
        <v>1830.7313099347227</v>
      </c>
      <c r="S191" s="2">
        <f t="shared" si="22"/>
        <v>520.60729231344533</v>
      </c>
    </row>
    <row r="192" spans="2:19" x14ac:dyDescent="0.25">
      <c r="B192">
        <v>611</v>
      </c>
      <c r="C192" s="28">
        <v>8</v>
      </c>
      <c r="D192" s="35" t="s">
        <v>236</v>
      </c>
      <c r="E192" s="154">
        <f>INDEX('2019 Data Lockdown'!H$5:H$257,MATCH(B192,'2019 Data Lockdown'!B$5:B$257,0))</f>
        <v>19.780665332856973</v>
      </c>
      <c r="F192" s="7">
        <f>INDEX('2019 Data Lockdown'!E$5:E$257,MATCH(B192,'2019 Data Lockdown'!B$5:B$257,0))</f>
        <v>37334.879999999997</v>
      </c>
      <c r="G192" s="7">
        <f>INDEX('2019 Data Lockdown'!F$5:F$257,MATCH(B192,'2019 Data Lockdown'!B$5:B$257,0))</f>
        <v>0</v>
      </c>
      <c r="H192" s="7">
        <f t="shared" si="17"/>
        <v>37334.879999999997</v>
      </c>
      <c r="I192" s="6">
        <f t="shared" si="18"/>
        <v>1887.4430850404374</v>
      </c>
      <c r="J192" s="6">
        <f t="shared" si="19"/>
        <v>1830.7313099347227</v>
      </c>
      <c r="K192" s="5">
        <f t="shared" si="20"/>
        <v>36213.083356201605</v>
      </c>
      <c r="L192" s="4">
        <f t="shared" si="16"/>
        <v>0</v>
      </c>
      <c r="M192" s="2" cm="1">
        <f t="array" ref="M192">SUMPRODUCT(--($L$6:$L$300&lt;&gt;1),--($C$6:$C$300=$C192),$H$6:$H$300)/SUMPRODUCT(--($L$6:$L$300&lt;&gt;1),--($C$6:$C$300=$C192),$E$6:$E$300)</f>
        <v>1033.3547868468199</v>
      </c>
      <c r="N192" s="1" cm="1">
        <f t="array" ref="N192">SUMPRODUCT(--($L$6:$L$300&lt;&gt;1),--($C$6:$C$300=$C192))</f>
        <v>50</v>
      </c>
      <c r="O192" s="3">
        <f t="shared" si="21"/>
        <v>729466.82111126964</v>
      </c>
      <c r="P192" s="2" cm="1">
        <f t="array" ref="P192">SQRT(SUMPRODUCT(--($L$6:$L$300&lt;&gt;1),--($C$6:$C$300=$C192),$E$6:$E$300,$O$6:$O$300)/((N192-1)*SUMPRODUCT(--($L$6:$L$300&lt;&gt;1),--($C$6:$C$300=$C192),$E$6:$E$300)/N192))</f>
        <v>622.1962069462686</v>
      </c>
      <c r="Q192" s="2">
        <f t="shared" si="23"/>
        <v>235.97826375891714</v>
      </c>
      <c r="R192" s="2">
        <f t="shared" si="23"/>
        <v>1830.7313099347227</v>
      </c>
      <c r="S192" s="2">
        <f t="shared" si="22"/>
        <v>1830.7313099347227</v>
      </c>
    </row>
    <row r="193" spans="2:19" x14ac:dyDescent="0.25">
      <c r="B193">
        <v>616</v>
      </c>
      <c r="C193" s="28">
        <v>8</v>
      </c>
      <c r="D193" s="35" t="s">
        <v>237</v>
      </c>
      <c r="E193" s="154">
        <f>INDEX('2019 Data Lockdown'!H$5:H$257,MATCH(B193,'2019 Data Lockdown'!B$5:B$257,0))</f>
        <v>164.92000000000002</v>
      </c>
      <c r="F193" s="7">
        <f>INDEX('2019 Data Lockdown'!E$5:E$257,MATCH(B193,'2019 Data Lockdown'!B$5:B$257,0))</f>
        <v>264029.39</v>
      </c>
      <c r="G193" s="7">
        <f>INDEX('2019 Data Lockdown'!F$5:F$257,MATCH(B193,'2019 Data Lockdown'!B$5:B$257,0))</f>
        <v>0</v>
      </c>
      <c r="H193" s="7">
        <f t="shared" si="17"/>
        <v>264029.39</v>
      </c>
      <c r="I193" s="6">
        <f t="shared" si="18"/>
        <v>1600.9543414989084</v>
      </c>
      <c r="J193" s="6">
        <f t="shared" si="19"/>
        <v>1600.9543414989084</v>
      </c>
      <c r="K193" s="5">
        <f t="shared" si="20"/>
        <v>264029.39</v>
      </c>
      <c r="L193" s="4">
        <f t="shared" si="16"/>
        <v>0</v>
      </c>
      <c r="M193" s="2" cm="1">
        <f t="array" ref="M193">SUMPRODUCT(--($L$6:$L$300&lt;&gt;1),--($C$6:$C$300=$C193),$H$6:$H$300)/SUMPRODUCT(--($L$6:$L$300&lt;&gt;1),--($C$6:$C$300=$C193),$E$6:$E$300)</f>
        <v>1033.3547868468199</v>
      </c>
      <c r="N193" s="1" cm="1">
        <f t="array" ref="N193">SUMPRODUCT(--($L$6:$L$300&lt;&gt;1),--($C$6:$C$300=$C193))</f>
        <v>50</v>
      </c>
      <c r="O193" s="3">
        <f t="shared" si="21"/>
        <v>322169.25444124918</v>
      </c>
      <c r="P193" s="2" cm="1">
        <f t="array" ref="P193">SQRT(SUMPRODUCT(--($L$6:$L$300&lt;&gt;1),--($C$6:$C$300=$C193),$E$6:$E$300,$O$6:$O$300)/((N193-1)*SUMPRODUCT(--($L$6:$L$300&lt;&gt;1),--($C$6:$C$300=$C193),$E$6:$E$300)/N193))</f>
        <v>622.1962069462686</v>
      </c>
      <c r="Q193" s="2">
        <f t="shared" si="23"/>
        <v>235.97826375891714</v>
      </c>
      <c r="R193" s="2">
        <f t="shared" si="23"/>
        <v>1830.7313099347227</v>
      </c>
      <c r="S193" s="2">
        <f t="shared" si="22"/>
        <v>1600.9543414989084</v>
      </c>
    </row>
    <row r="194" spans="2:19" x14ac:dyDescent="0.25">
      <c r="B194">
        <v>637</v>
      </c>
      <c r="C194" s="28">
        <v>8</v>
      </c>
      <c r="D194" s="35" t="s">
        <v>314</v>
      </c>
      <c r="E194" s="154">
        <f>INDEX('2019 Data Lockdown'!H$5:H$257,MATCH(B194,'2019 Data Lockdown'!B$5:B$257,0))</f>
        <v>11.1622</v>
      </c>
      <c r="F194" s="7">
        <f>INDEX('2019 Data Lockdown'!E$5:E$257,MATCH(B194,'2019 Data Lockdown'!B$5:B$257,0))</f>
        <v>24131.66</v>
      </c>
      <c r="G194" s="7">
        <f>INDEX('2019 Data Lockdown'!F$5:F$257,MATCH(B194,'2019 Data Lockdown'!B$5:B$257,0))</f>
        <v>0</v>
      </c>
      <c r="H194" s="7">
        <f t="shared" si="17"/>
        <v>24131.66</v>
      </c>
      <c r="I194" s="6">
        <f t="shared" si="18"/>
        <v>2161.9089426815503</v>
      </c>
      <c r="J194" s="6">
        <f t="shared" si="19"/>
        <v>1830.7313099347227</v>
      </c>
      <c r="K194" s="5">
        <f t="shared" si="20"/>
        <v>20434.989027753363</v>
      </c>
      <c r="L194" s="4">
        <f t="shared" si="16"/>
        <v>0</v>
      </c>
      <c r="M194" s="2" cm="1">
        <f t="array" ref="M194">SUMPRODUCT(--($L$6:$L$300&lt;&gt;1),--($C$6:$C$300=$C194),$H$6:$H$300)/SUMPRODUCT(--($L$6:$L$300&lt;&gt;1),--($C$6:$C$300=$C194),$E$6:$E$300)</f>
        <v>1033.3547868468199</v>
      </c>
      <c r="N194" s="1" cm="1">
        <f t="array" ref="N194">SUMPRODUCT(--($L$6:$L$300&lt;&gt;1),--($C$6:$C$300=$C194))</f>
        <v>50</v>
      </c>
      <c r="O194" s="3">
        <f t="shared" si="21"/>
        <v>1273634.4826518409</v>
      </c>
      <c r="P194" s="2" cm="1">
        <f t="array" ref="P194">SQRT(SUMPRODUCT(--($L$6:$L$300&lt;&gt;1),--($C$6:$C$300=$C194),$E$6:$E$300,$O$6:$O$300)/((N194-1)*SUMPRODUCT(--($L$6:$L$300&lt;&gt;1),--($C$6:$C$300=$C194),$E$6:$E$300)/N194))</f>
        <v>622.1962069462686</v>
      </c>
      <c r="Q194" s="2">
        <f t="shared" si="23"/>
        <v>235.97826375891714</v>
      </c>
      <c r="R194" s="2">
        <f t="shared" si="23"/>
        <v>1830.7313099347227</v>
      </c>
      <c r="S194" s="2">
        <f t="shared" si="22"/>
        <v>1830.7313099347227</v>
      </c>
    </row>
    <row r="195" spans="2:19" x14ac:dyDescent="0.25">
      <c r="B195">
        <v>638</v>
      </c>
      <c r="C195" s="28">
        <v>8</v>
      </c>
      <c r="D195" s="35" t="s">
        <v>315</v>
      </c>
      <c r="E195" s="154">
        <f>INDEX('2019 Data Lockdown'!H$5:H$257,MATCH(B195,'2019 Data Lockdown'!B$5:B$257,0))</f>
        <v>11.482586231848504</v>
      </c>
      <c r="F195" s="7">
        <f>INDEX('2019 Data Lockdown'!E$5:E$257,MATCH(B195,'2019 Data Lockdown'!B$5:B$257,0))</f>
        <v>19979.61</v>
      </c>
      <c r="G195" s="7">
        <f>INDEX('2019 Data Lockdown'!F$5:F$257,MATCH(B195,'2019 Data Lockdown'!B$5:B$257,0))</f>
        <v>0</v>
      </c>
      <c r="H195" s="7">
        <f t="shared" si="17"/>
        <v>19979.61</v>
      </c>
      <c r="I195" s="6">
        <f t="shared" si="18"/>
        <v>1739.9921582634279</v>
      </c>
      <c r="J195" s="6">
        <f t="shared" si="19"/>
        <v>1739.9921582634279</v>
      </c>
      <c r="K195" s="5">
        <f t="shared" si="20"/>
        <v>19979.61</v>
      </c>
      <c r="L195" s="4">
        <f t="shared" si="16"/>
        <v>0</v>
      </c>
      <c r="M195" s="2" cm="1">
        <f t="array" ref="M195">SUMPRODUCT(--($L$6:$L$300&lt;&gt;1),--($C$6:$C$300=$C195),$H$6:$H$300)/SUMPRODUCT(--($L$6:$L$300&lt;&gt;1),--($C$6:$C$300=$C195),$E$6:$E$300)</f>
        <v>1033.3547868468199</v>
      </c>
      <c r="N195" s="1" cm="1">
        <f t="array" ref="N195">SUMPRODUCT(--($L$6:$L$300&lt;&gt;1),--($C$6:$C$300=$C195))</f>
        <v>50</v>
      </c>
      <c r="O195" s="3">
        <f t="shared" si="21"/>
        <v>499336.37468257314</v>
      </c>
      <c r="P195" s="2" cm="1">
        <f t="array" ref="P195">SQRT(SUMPRODUCT(--($L$6:$L$300&lt;&gt;1),--($C$6:$C$300=$C195),$E$6:$E$300,$O$6:$O$300)/((N195-1)*SUMPRODUCT(--($L$6:$L$300&lt;&gt;1),--($C$6:$C$300=$C195),$E$6:$E$300)/N195))</f>
        <v>622.1962069462686</v>
      </c>
      <c r="Q195" s="2">
        <f t="shared" si="23"/>
        <v>235.97826375891714</v>
      </c>
      <c r="R195" s="2">
        <f t="shared" si="23"/>
        <v>1830.7313099347227</v>
      </c>
      <c r="S195" s="2">
        <f t="shared" si="22"/>
        <v>1739.9921582634279</v>
      </c>
    </row>
    <row r="196" spans="2:19" x14ac:dyDescent="0.25">
      <c r="B196">
        <v>639</v>
      </c>
      <c r="C196" s="28">
        <v>8</v>
      </c>
      <c r="D196" s="35" t="s">
        <v>316</v>
      </c>
      <c r="E196" s="154">
        <f>INDEX('2019 Data Lockdown'!H$5:H$257,MATCH(B196,'2019 Data Lockdown'!B$5:B$257,0))</f>
        <v>26.744088597118019</v>
      </c>
      <c r="F196" s="7">
        <f>INDEX('2019 Data Lockdown'!E$5:E$257,MATCH(B196,'2019 Data Lockdown'!B$5:B$257,0))</f>
        <v>19587.5</v>
      </c>
      <c r="G196" s="7">
        <f>INDEX('2019 Data Lockdown'!F$5:F$257,MATCH(B196,'2019 Data Lockdown'!B$5:B$257,0))</f>
        <v>0</v>
      </c>
      <c r="H196" s="7">
        <f t="shared" si="17"/>
        <v>19587.5</v>
      </c>
      <c r="I196" s="6">
        <f t="shared" si="18"/>
        <v>732.40484262046516</v>
      </c>
      <c r="J196" s="6">
        <f t="shared" si="19"/>
        <v>732.40484262046516</v>
      </c>
      <c r="K196" s="5">
        <f t="shared" si="20"/>
        <v>19587.5</v>
      </c>
      <c r="L196" s="4">
        <f t="shared" si="16"/>
        <v>0</v>
      </c>
      <c r="M196" s="2" cm="1">
        <f t="array" ref="M196">SUMPRODUCT(--($L$6:$L$300&lt;&gt;1),--($C$6:$C$300=$C196),$H$6:$H$300)/SUMPRODUCT(--($L$6:$L$300&lt;&gt;1),--($C$6:$C$300=$C196),$E$6:$E$300)</f>
        <v>1033.3547868468199</v>
      </c>
      <c r="N196" s="1" cm="1">
        <f t="array" ref="N196">SUMPRODUCT(--($L$6:$L$300&lt;&gt;1),--($C$6:$C$300=$C196))</f>
        <v>50</v>
      </c>
      <c r="O196" s="3">
        <f t="shared" si="21"/>
        <v>90570.868929846052</v>
      </c>
      <c r="P196" s="2" cm="1">
        <f t="array" ref="P196">SQRT(SUMPRODUCT(--($L$6:$L$300&lt;&gt;1),--($C$6:$C$300=$C196),$E$6:$E$300,$O$6:$O$300)/((N196-1)*SUMPRODUCT(--($L$6:$L$300&lt;&gt;1),--($C$6:$C$300=$C196),$E$6:$E$300)/N196))</f>
        <v>622.1962069462686</v>
      </c>
      <c r="Q196" s="2">
        <f t="shared" si="23"/>
        <v>235.97826375891714</v>
      </c>
      <c r="R196" s="2">
        <f t="shared" si="23"/>
        <v>1830.7313099347227</v>
      </c>
      <c r="S196" s="2">
        <f t="shared" si="22"/>
        <v>732.40484262046516</v>
      </c>
    </row>
    <row r="197" spans="2:19" x14ac:dyDescent="0.25">
      <c r="B197">
        <v>645</v>
      </c>
      <c r="C197" s="28">
        <v>8</v>
      </c>
      <c r="D197" s="35" t="s">
        <v>339</v>
      </c>
      <c r="E197" s="154">
        <f>INDEX('2019 Data Lockdown'!H$5:H$257,MATCH(B197,'2019 Data Lockdown'!B$5:B$257,0))</f>
        <v>4.4384178397046563</v>
      </c>
      <c r="F197" s="7">
        <f>INDEX('2019 Data Lockdown'!E$5:E$257,MATCH(B197,'2019 Data Lockdown'!B$5:B$257,0))</f>
        <v>14942.85</v>
      </c>
      <c r="G197" s="7">
        <f>INDEX('2019 Data Lockdown'!F$5:F$257,MATCH(B197,'2019 Data Lockdown'!B$5:B$257,0))</f>
        <v>0</v>
      </c>
      <c r="H197" s="7">
        <f t="shared" si="17"/>
        <v>14942.85</v>
      </c>
      <c r="I197" s="6">
        <f t="shared" si="18"/>
        <v>3366.7064570455891</v>
      </c>
      <c r="J197" s="6">
        <f t="shared" si="19"/>
        <v>1830.7313099347227</v>
      </c>
      <c r="K197" s="5">
        <f t="shared" si="20"/>
        <v>8125.5505057201481</v>
      </c>
      <c r="L197" s="4">
        <f t="shared" ref="L197:L240" si="24">IF(ISERROR(I197),1,0)</f>
        <v>0</v>
      </c>
      <c r="M197" s="2" cm="1">
        <f t="array" ref="M197">SUMPRODUCT(--($L$6:$L$300&lt;&gt;1),--($C$6:$C$300=$C197),$H$6:$H$300)/SUMPRODUCT(--($L$6:$L$300&lt;&gt;1),--($C$6:$C$300=$C197),$E$6:$E$300)</f>
        <v>1033.3547868468199</v>
      </c>
      <c r="N197" s="1" cm="1">
        <f t="array" ref="N197">SUMPRODUCT(--($L$6:$L$300&lt;&gt;1),--($C$6:$C$300=$C197))</f>
        <v>50</v>
      </c>
      <c r="O197" s="3">
        <f t="shared" si="21"/>
        <v>5444530.0168193858</v>
      </c>
      <c r="P197" s="2" cm="1">
        <f t="array" ref="P197">SQRT(SUMPRODUCT(--($L$6:$L$300&lt;&gt;1),--($C$6:$C$300=$C197),$E$6:$E$300,$O$6:$O$300)/((N197-1)*SUMPRODUCT(--($L$6:$L$300&lt;&gt;1),--($C$6:$C$300=$C197),$E$6:$E$300)/N197))</f>
        <v>622.1962069462686</v>
      </c>
      <c r="Q197" s="2">
        <f t="shared" si="23"/>
        <v>235.97826375891714</v>
      </c>
      <c r="R197" s="2">
        <f t="shared" si="23"/>
        <v>1830.7313099347227</v>
      </c>
      <c r="S197" s="2">
        <f t="shared" si="22"/>
        <v>1830.7313099347227</v>
      </c>
    </row>
    <row r="198" spans="2:19" x14ac:dyDescent="0.25">
      <c r="B198">
        <v>709</v>
      </c>
      <c r="C198" s="28">
        <v>8</v>
      </c>
      <c r="D198" s="35" t="s">
        <v>240</v>
      </c>
      <c r="E198" s="154">
        <f>INDEX('2019 Data Lockdown'!H$5:H$257,MATCH(B198,'2019 Data Lockdown'!B$5:B$257,0))</f>
        <v>69.808973502441347</v>
      </c>
      <c r="F198" s="7">
        <f>INDEX('2019 Data Lockdown'!E$5:E$257,MATCH(B198,'2019 Data Lockdown'!B$5:B$257,0))</f>
        <v>43632.11</v>
      </c>
      <c r="G198" s="7">
        <f>INDEX('2019 Data Lockdown'!F$5:F$257,MATCH(B198,'2019 Data Lockdown'!B$5:B$257,0))</f>
        <v>0</v>
      </c>
      <c r="H198" s="7">
        <f t="shared" ref="H198:H249" si="25">F198-G198</f>
        <v>43632.11</v>
      </c>
      <c r="I198" s="6">
        <f t="shared" ref="I198:I245" si="26">H198/E198</f>
        <v>625.02150956959861</v>
      </c>
      <c r="J198" s="6">
        <f t="shared" ref="J198:J245" si="27">IF(ISERROR(IF($J$2=1,MAX(MIN(I198,R198),Q198),MIN(I198,R198))),R198,IF($J$2=1,MAX(MIN(I198,R198),Q198),MIN(I198,R198)))</f>
        <v>625.02150956959861</v>
      </c>
      <c r="K198" s="5">
        <f t="shared" ref="K198:K245" si="28">J198*E198</f>
        <v>43632.11</v>
      </c>
      <c r="L198" s="4">
        <f t="shared" si="24"/>
        <v>0</v>
      </c>
      <c r="M198" s="2" cm="1">
        <f t="array" ref="M198">SUMPRODUCT(--($L$6:$L$300&lt;&gt;1),--($C$6:$C$300=$C198),$H$6:$H$300)/SUMPRODUCT(--($L$6:$L$300&lt;&gt;1),--($C$6:$C$300=$C198),$E$6:$E$300)</f>
        <v>1033.3547868468199</v>
      </c>
      <c r="N198" s="1" cm="1">
        <f t="array" ref="N198">SUMPRODUCT(--($L$6:$L$300&lt;&gt;1),--($C$6:$C$300=$C198))</f>
        <v>50</v>
      </c>
      <c r="O198" s="3">
        <f t="shared" si="21"/>
        <v>166736.06533195611</v>
      </c>
      <c r="P198" s="2" cm="1">
        <f t="array" ref="P198">SQRT(SUMPRODUCT(--($L$6:$L$300&lt;&gt;1),--($C$6:$C$300=$C198),$E$6:$E$300,$O$6:$O$300)/((N198-1)*SUMPRODUCT(--($L$6:$L$300&lt;&gt;1),--($C$6:$C$300=$C198),$E$6:$E$300)/N198))</f>
        <v>622.1962069462686</v>
      </c>
      <c r="Q198" s="2">
        <f t="shared" si="23"/>
        <v>235.97826375891714</v>
      </c>
      <c r="R198" s="2">
        <f t="shared" si="23"/>
        <v>1830.7313099347227</v>
      </c>
      <c r="S198" s="2">
        <f t="shared" si="22"/>
        <v>625.02150956959861</v>
      </c>
    </row>
    <row r="199" spans="2:19" x14ac:dyDescent="0.25">
      <c r="B199">
        <v>714</v>
      </c>
      <c r="C199" s="28">
        <v>8</v>
      </c>
      <c r="D199" s="35" t="s">
        <v>241</v>
      </c>
      <c r="E199" s="154">
        <f>INDEX('2019 Data Lockdown'!H$5:H$257,MATCH(B199,'2019 Data Lockdown'!B$5:B$257,0))</f>
        <v>55.79475654400381</v>
      </c>
      <c r="F199" s="7">
        <f>INDEX('2019 Data Lockdown'!E$5:E$257,MATCH(B199,'2019 Data Lockdown'!B$5:B$257,0))</f>
        <v>63101.23</v>
      </c>
      <c r="G199" s="7">
        <f>INDEX('2019 Data Lockdown'!F$5:F$257,MATCH(B199,'2019 Data Lockdown'!B$5:B$257,0))</f>
        <v>0</v>
      </c>
      <c r="H199" s="7">
        <f t="shared" si="25"/>
        <v>63101.23</v>
      </c>
      <c r="I199" s="6">
        <f t="shared" si="26"/>
        <v>1130.9526899760513</v>
      </c>
      <c r="J199" s="6">
        <f t="shared" si="27"/>
        <v>1130.9526899760513</v>
      </c>
      <c r="K199" s="5">
        <f t="shared" si="28"/>
        <v>63101.229999999996</v>
      </c>
      <c r="L199" s="4">
        <f t="shared" si="24"/>
        <v>0</v>
      </c>
      <c r="M199" s="2" cm="1">
        <f t="array" ref="M199">SUMPRODUCT(--($L$6:$L$300&lt;&gt;1),--($C$6:$C$300=$C199),$H$6:$H$300)/SUMPRODUCT(--($L$6:$L$300&lt;&gt;1),--($C$6:$C$300=$C199),$E$6:$E$300)</f>
        <v>1033.3547868468199</v>
      </c>
      <c r="N199" s="1" cm="1">
        <f t="array" ref="N199">SUMPRODUCT(--($L$6:$L$300&lt;&gt;1),--($C$6:$C$300=$C199))</f>
        <v>50</v>
      </c>
      <c r="O199" s="3">
        <f t="shared" ref="O199:O258" si="29">IF(ISERROR((I199-M199)^2),0,(I199-M199)^2)</f>
        <v>9525.3506952228217</v>
      </c>
      <c r="P199" s="2" cm="1">
        <f t="array" ref="P199">SQRT(SUMPRODUCT(--($L$6:$L$300&lt;&gt;1),--($C$6:$C$300=$C199),$E$6:$E$300,$O$6:$O$300)/((N199-1)*SUMPRODUCT(--($L$6:$L$300&lt;&gt;1),--($C$6:$C$300=$C199),$E$6:$E$300)/N199))</f>
        <v>622.1962069462686</v>
      </c>
      <c r="Q199" s="2">
        <f t="shared" si="23"/>
        <v>235.97826375891714</v>
      </c>
      <c r="R199" s="2">
        <f t="shared" si="23"/>
        <v>1830.7313099347227</v>
      </c>
      <c r="S199" s="2">
        <f t="shared" ref="S199:S258" si="30">IF($J$2=1,MAX(MIN(I199,R199),Q199),MIN(R199,I199))</f>
        <v>1130.9526899760513</v>
      </c>
    </row>
    <row r="200" spans="2:19" x14ac:dyDescent="0.25">
      <c r="B200">
        <v>749</v>
      </c>
      <c r="C200" s="28">
        <v>8</v>
      </c>
      <c r="D200" s="35" t="s">
        <v>242</v>
      </c>
      <c r="E200" s="154">
        <f>INDEX('2019 Data Lockdown'!H$5:H$257,MATCH(B200,'2019 Data Lockdown'!B$5:B$257,0))</f>
        <v>25.180157901631535</v>
      </c>
      <c r="F200" s="7">
        <f>INDEX('2019 Data Lockdown'!E$5:E$257,MATCH(B200,'2019 Data Lockdown'!B$5:B$257,0))</f>
        <v>4690.4399999999996</v>
      </c>
      <c r="G200" s="7">
        <f>INDEX('2019 Data Lockdown'!F$5:F$257,MATCH(B200,'2019 Data Lockdown'!B$5:B$257,0))</f>
        <v>0</v>
      </c>
      <c r="H200" s="7">
        <f t="shared" si="25"/>
        <v>4690.4399999999996</v>
      </c>
      <c r="I200" s="6">
        <f t="shared" si="26"/>
        <v>186.27524173293946</v>
      </c>
      <c r="J200" s="6">
        <f t="shared" si="27"/>
        <v>186.27524173293946</v>
      </c>
      <c r="K200" s="5">
        <f t="shared" si="28"/>
        <v>4690.4399999999996</v>
      </c>
      <c r="L200" s="4">
        <f t="shared" si="24"/>
        <v>0</v>
      </c>
      <c r="M200" s="2" cm="1">
        <f t="array" ref="M200">SUMPRODUCT(--($L$6:$L$300&lt;&gt;1),--($C$6:$C$300=$C200),$H$6:$H$300)/SUMPRODUCT(--($L$6:$L$300&lt;&gt;1),--($C$6:$C$300=$C200),$E$6:$E$300)</f>
        <v>1033.3547868468199</v>
      </c>
      <c r="N200" s="1" cm="1">
        <f t="array" ref="N200">SUMPRODUCT(--($L$6:$L$300&lt;&gt;1),--($C$6:$C$300=$C200))</f>
        <v>50</v>
      </c>
      <c r="O200" s="3">
        <f t="shared" si="29"/>
        <v>717543.75575033866</v>
      </c>
      <c r="P200" s="2" cm="1">
        <f t="array" ref="P200">SQRT(SUMPRODUCT(--($L$6:$L$300&lt;&gt;1),--($C$6:$C$300=$C200),$E$6:$E$300,$O$6:$O$300)/((N200-1)*SUMPRODUCT(--($L$6:$L$300&lt;&gt;1),--($C$6:$C$300=$C200),$E$6:$E$300)/N200))</f>
        <v>622.1962069462686</v>
      </c>
      <c r="Q200" s="2">
        <f t="shared" si="23"/>
        <v>235.97826375891714</v>
      </c>
      <c r="R200" s="2">
        <f t="shared" si="23"/>
        <v>1830.7313099347227</v>
      </c>
      <c r="S200" s="2">
        <f t="shared" si="30"/>
        <v>186.27524173293946</v>
      </c>
    </row>
    <row r="201" spans="2:19" x14ac:dyDescent="0.25">
      <c r="B201">
        <v>764</v>
      </c>
      <c r="C201" s="28">
        <v>8</v>
      </c>
      <c r="D201" s="35" t="s">
        <v>243</v>
      </c>
      <c r="E201" s="154">
        <f>INDEX('2019 Data Lockdown'!H$5:H$257,MATCH(B201,'2019 Data Lockdown'!B$5:B$257,0))</f>
        <v>15.2</v>
      </c>
      <c r="F201" s="7">
        <f>INDEX('2019 Data Lockdown'!E$5:E$257,MATCH(B201,'2019 Data Lockdown'!B$5:B$257,0))</f>
        <v>11682.68</v>
      </c>
      <c r="G201" s="7">
        <f>INDEX('2019 Data Lockdown'!F$5:F$257,MATCH(B201,'2019 Data Lockdown'!B$5:B$257,0))</f>
        <v>0</v>
      </c>
      <c r="H201" s="7">
        <f t="shared" si="25"/>
        <v>11682.68</v>
      </c>
      <c r="I201" s="6">
        <f t="shared" si="26"/>
        <v>768.59736842105269</v>
      </c>
      <c r="J201" s="6">
        <f t="shared" si="27"/>
        <v>768.59736842105269</v>
      </c>
      <c r="K201" s="5">
        <f t="shared" si="28"/>
        <v>11682.68</v>
      </c>
      <c r="L201" s="4">
        <f t="shared" si="24"/>
        <v>0</v>
      </c>
      <c r="M201" s="2" cm="1">
        <f t="array" ref="M201">SUMPRODUCT(--($L$6:$L$300&lt;&gt;1),--($C$6:$C$300=$C201),$H$6:$H$300)/SUMPRODUCT(--($L$6:$L$300&lt;&gt;1),--($C$6:$C$300=$C201),$E$6:$E$300)</f>
        <v>1033.3547868468199</v>
      </c>
      <c r="N201" s="1" cm="1">
        <f t="array" ref="N201">SUMPRODUCT(--($L$6:$L$300&lt;&gt;1),--($C$6:$C$300=$C201))</f>
        <v>50</v>
      </c>
      <c r="O201" s="3">
        <f t="shared" si="29"/>
        <v>70096.490611476795</v>
      </c>
      <c r="P201" s="2" cm="1">
        <f t="array" ref="P201">SQRT(SUMPRODUCT(--($L$6:$L$300&lt;&gt;1),--($C$6:$C$300=$C201),$E$6:$E$300,$O$6:$O$300)/((N201-1)*SUMPRODUCT(--($L$6:$L$300&lt;&gt;1),--($C$6:$C$300=$C201),$E$6:$E$300)/N201))</f>
        <v>622.1962069462686</v>
      </c>
      <c r="Q201" s="2">
        <f t="shared" si="23"/>
        <v>235.97826375891714</v>
      </c>
      <c r="R201" s="2">
        <f t="shared" si="23"/>
        <v>1830.7313099347227</v>
      </c>
      <c r="S201" s="2">
        <f t="shared" si="30"/>
        <v>768.59736842105269</v>
      </c>
    </row>
    <row r="202" spans="2:19" x14ac:dyDescent="0.25">
      <c r="B202">
        <v>775</v>
      </c>
      <c r="C202" s="28">
        <v>8</v>
      </c>
      <c r="D202" s="35" t="s">
        <v>244</v>
      </c>
      <c r="E202" s="154">
        <f>INDEX('2019 Data Lockdown'!H$5:H$257,MATCH(B202,'2019 Data Lockdown'!B$5:B$257,0))</f>
        <v>138.16439494800289</v>
      </c>
      <c r="F202" s="7">
        <f>INDEX('2019 Data Lockdown'!E$5:E$257,MATCH(B202,'2019 Data Lockdown'!B$5:B$257,0))</f>
        <v>103016.36</v>
      </c>
      <c r="G202" s="7">
        <f>INDEX('2019 Data Lockdown'!F$5:F$257,MATCH(B202,'2019 Data Lockdown'!B$5:B$257,0))</f>
        <v>0</v>
      </c>
      <c r="H202" s="7">
        <f t="shared" si="25"/>
        <v>103016.36</v>
      </c>
      <c r="I202" s="6">
        <f t="shared" si="26"/>
        <v>745.6071445814199</v>
      </c>
      <c r="J202" s="6">
        <f t="shared" si="27"/>
        <v>745.6071445814199</v>
      </c>
      <c r="K202" s="5">
        <f t="shared" si="28"/>
        <v>103016.36</v>
      </c>
      <c r="L202" s="4">
        <f t="shared" si="24"/>
        <v>0</v>
      </c>
      <c r="M202" s="2" cm="1">
        <f t="array" ref="M202">SUMPRODUCT(--($L$6:$L$300&lt;&gt;1),--($C$6:$C$300=$C202),$H$6:$H$300)/SUMPRODUCT(--($L$6:$L$300&lt;&gt;1),--($C$6:$C$300=$C202),$E$6:$E$300)</f>
        <v>1033.3547868468199</v>
      </c>
      <c r="N202" s="1" cm="1">
        <f t="array" ref="N202">SUMPRODUCT(--($L$6:$L$300&lt;&gt;1),--($C$6:$C$300=$C202))</f>
        <v>50</v>
      </c>
      <c r="O202" s="3">
        <f t="shared" si="29"/>
        <v>82798.70562929663</v>
      </c>
      <c r="P202" s="2" cm="1">
        <f t="array" ref="P202">SQRT(SUMPRODUCT(--($L$6:$L$300&lt;&gt;1),--($C$6:$C$300=$C202),$E$6:$E$300,$O$6:$O$300)/((N202-1)*SUMPRODUCT(--($L$6:$L$300&lt;&gt;1),--($C$6:$C$300=$C202),$E$6:$E$300)/N202))</f>
        <v>622.1962069462686</v>
      </c>
      <c r="Q202" s="2">
        <f t="shared" si="23"/>
        <v>235.97826375891714</v>
      </c>
      <c r="R202" s="2">
        <f t="shared" si="23"/>
        <v>1830.7313099347227</v>
      </c>
      <c r="S202" s="2">
        <f t="shared" si="30"/>
        <v>745.6071445814199</v>
      </c>
    </row>
    <row r="203" spans="2:19" x14ac:dyDescent="0.25">
      <c r="B203">
        <v>790</v>
      </c>
      <c r="C203" s="28">
        <v>8</v>
      </c>
      <c r="D203" s="35" t="s">
        <v>245</v>
      </c>
      <c r="E203" s="154">
        <f>INDEX('2019 Data Lockdown'!H$5:H$257,MATCH(B203,'2019 Data Lockdown'!B$5:B$257,0))</f>
        <v>9.7918986885088461</v>
      </c>
      <c r="F203" s="7">
        <f>INDEX('2019 Data Lockdown'!E$5:E$257,MATCH(B203,'2019 Data Lockdown'!B$5:B$257,0))</f>
        <v>8112.34</v>
      </c>
      <c r="G203" s="7">
        <f>INDEX('2019 Data Lockdown'!F$5:F$257,MATCH(B203,'2019 Data Lockdown'!B$5:B$257,0))</f>
        <v>0</v>
      </c>
      <c r="H203" s="7">
        <f t="shared" si="25"/>
        <v>8112.34</v>
      </c>
      <c r="I203" s="6">
        <f t="shared" si="26"/>
        <v>828.47466646281077</v>
      </c>
      <c r="J203" s="6">
        <f t="shared" si="27"/>
        <v>828.47466646281077</v>
      </c>
      <c r="K203" s="5">
        <f t="shared" si="28"/>
        <v>8112.34</v>
      </c>
      <c r="L203" s="4">
        <f t="shared" si="24"/>
        <v>0</v>
      </c>
      <c r="M203" s="2" cm="1">
        <f t="array" ref="M203">SUMPRODUCT(--($L$6:$L$300&lt;&gt;1),--($C$6:$C$300=$C203),$H$6:$H$300)/SUMPRODUCT(--($L$6:$L$300&lt;&gt;1),--($C$6:$C$300=$C203),$E$6:$E$300)</f>
        <v>1033.3547868468199</v>
      </c>
      <c r="N203" s="1" cm="1">
        <f t="array" ref="N203">SUMPRODUCT(--($L$6:$L$300&lt;&gt;1),--($C$6:$C$300=$C203))</f>
        <v>50</v>
      </c>
      <c r="O203" s="3">
        <f t="shared" si="29"/>
        <v>41975.863728566088</v>
      </c>
      <c r="P203" s="2" cm="1">
        <f t="array" ref="P203">SQRT(SUMPRODUCT(--($L$6:$L$300&lt;&gt;1),--($C$6:$C$300=$C203),$E$6:$E$300,$O$6:$O$300)/((N203-1)*SUMPRODUCT(--($L$6:$L$300&lt;&gt;1),--($C$6:$C$300=$C203),$E$6:$E$300)/N203))</f>
        <v>622.1962069462686</v>
      </c>
      <c r="Q203" s="2">
        <f t="shared" si="23"/>
        <v>235.97826375891714</v>
      </c>
      <c r="R203" s="2">
        <f t="shared" si="23"/>
        <v>1830.7313099347227</v>
      </c>
      <c r="S203" s="2">
        <f t="shared" si="30"/>
        <v>828.47466646281077</v>
      </c>
    </row>
    <row r="204" spans="2:19" x14ac:dyDescent="0.25">
      <c r="B204">
        <v>795</v>
      </c>
      <c r="C204" s="28">
        <v>8</v>
      </c>
      <c r="D204" s="35" t="s">
        <v>317</v>
      </c>
      <c r="E204" s="154">
        <f>INDEX('2019 Data Lockdown'!H$5:H$257,MATCH(B204,'2019 Data Lockdown'!B$5:B$257,0))</f>
        <v>254.79365731271687</v>
      </c>
      <c r="F204" s="7">
        <f>INDEX('2019 Data Lockdown'!E$5:E$257,MATCH(B204,'2019 Data Lockdown'!B$5:B$257,0))</f>
        <v>272650.90000000002</v>
      </c>
      <c r="G204" s="7">
        <f>INDEX('2019 Data Lockdown'!F$5:F$257,MATCH(B204,'2019 Data Lockdown'!B$5:B$257,0))</f>
        <v>18454.21</v>
      </c>
      <c r="H204" s="7">
        <f t="shared" si="25"/>
        <v>254196.69000000003</v>
      </c>
      <c r="I204" s="6">
        <f t="shared" si="26"/>
        <v>997.65705583485476</v>
      </c>
      <c r="J204" s="6">
        <f t="shared" si="27"/>
        <v>997.65705583485476</v>
      </c>
      <c r="K204" s="5">
        <f t="shared" si="28"/>
        <v>254196.69000000003</v>
      </c>
      <c r="L204" s="4">
        <f t="shared" si="24"/>
        <v>0</v>
      </c>
      <c r="M204" s="2" cm="1">
        <f t="array" ref="M204">SUMPRODUCT(--($L$6:$L$300&lt;&gt;1),--($C$6:$C$300=$C204),$H$6:$H$300)/SUMPRODUCT(--($L$6:$L$300&lt;&gt;1),--($C$6:$C$300=$C204),$E$6:$E$300)</f>
        <v>1033.3547868468199</v>
      </c>
      <c r="N204" s="1" cm="1">
        <f t="array" ref="N204">SUMPRODUCT(--($L$6:$L$300&lt;&gt;1),--($C$6:$C$300=$C204))</f>
        <v>50</v>
      </c>
      <c r="O204" s="3">
        <f t="shared" si="29"/>
        <v>1274.3279994026202</v>
      </c>
      <c r="P204" s="2" cm="1">
        <f t="array" ref="P204">SQRT(SUMPRODUCT(--($L$6:$L$300&lt;&gt;1),--($C$6:$C$300=$C204),$E$6:$E$300,$O$6:$O$300)/((N204-1)*SUMPRODUCT(--($L$6:$L$300&lt;&gt;1),--($C$6:$C$300=$C204),$E$6:$E$300)/N204))</f>
        <v>622.1962069462686</v>
      </c>
      <c r="Q204" s="2">
        <f t="shared" si="23"/>
        <v>235.97826375891714</v>
      </c>
      <c r="R204" s="2">
        <f t="shared" si="23"/>
        <v>1830.7313099347227</v>
      </c>
      <c r="S204" s="2">
        <f t="shared" si="30"/>
        <v>997.65705583485476</v>
      </c>
    </row>
    <row r="205" spans="2:19" x14ac:dyDescent="0.25">
      <c r="B205">
        <v>796</v>
      </c>
      <c r="C205" s="36">
        <v>8</v>
      </c>
      <c r="D205" s="35" t="s">
        <v>246</v>
      </c>
      <c r="E205" s="154">
        <f>INDEX('2019 Data Lockdown'!H$5:H$257,MATCH(B205,'2019 Data Lockdown'!B$5:B$257,0))</f>
        <v>32</v>
      </c>
      <c r="F205" s="7">
        <f>INDEX('2019 Data Lockdown'!E$5:E$257,MATCH(B205,'2019 Data Lockdown'!B$5:B$257,0))</f>
        <v>22596.76</v>
      </c>
      <c r="G205" s="7">
        <f>INDEX('2019 Data Lockdown'!F$5:F$257,MATCH(B205,'2019 Data Lockdown'!B$5:B$257,0))</f>
        <v>0</v>
      </c>
      <c r="H205" s="7">
        <f t="shared" si="25"/>
        <v>22596.76</v>
      </c>
      <c r="I205" s="6">
        <f t="shared" si="26"/>
        <v>706.14874999999995</v>
      </c>
      <c r="J205" s="6">
        <f t="shared" si="27"/>
        <v>706.14874999999995</v>
      </c>
      <c r="K205" s="5">
        <f t="shared" si="28"/>
        <v>22596.76</v>
      </c>
      <c r="L205" s="4">
        <f t="shared" si="24"/>
        <v>0</v>
      </c>
      <c r="M205" s="2" cm="1">
        <f t="array" ref="M205">SUMPRODUCT(--($L$6:$L$300&lt;&gt;1),--($C$6:$C$300=$C205),$H$6:$H$300)/SUMPRODUCT(--($L$6:$L$300&lt;&gt;1),--($C$6:$C$300=$C205),$E$6:$E$300)</f>
        <v>1033.3547868468199</v>
      </c>
      <c r="N205" s="1" cm="1">
        <f t="array" ref="N205">SUMPRODUCT(--($L$6:$L$300&lt;&gt;1),--($C$6:$C$300=$C205))</f>
        <v>50</v>
      </c>
      <c r="O205" s="3">
        <f t="shared" si="29"/>
        <v>107063.79054900252</v>
      </c>
      <c r="P205" s="2" cm="1">
        <f t="array" ref="P205">SQRT(SUMPRODUCT(--($L$6:$L$300&lt;&gt;1),--($C$6:$C$300=$C205),$E$6:$E$300,$O$6:$O$300)/((N205-1)*SUMPRODUCT(--($L$6:$L$300&lt;&gt;1),--($C$6:$C$300=$C205),$E$6:$E$300)/N205))</f>
        <v>622.1962069462686</v>
      </c>
      <c r="Q205" s="2">
        <f t="shared" si="23"/>
        <v>235.97826375891714</v>
      </c>
      <c r="R205" s="2">
        <f t="shared" si="23"/>
        <v>1830.7313099347227</v>
      </c>
      <c r="S205" s="2">
        <f t="shared" si="30"/>
        <v>706.14874999999995</v>
      </c>
    </row>
    <row r="206" spans="2:19" x14ac:dyDescent="0.25">
      <c r="B206">
        <v>797</v>
      </c>
      <c r="C206" s="28">
        <v>8</v>
      </c>
      <c r="D206" s="35" t="s">
        <v>247</v>
      </c>
      <c r="E206" s="154">
        <f>INDEX('2019 Data Lockdown'!H$5:H$257,MATCH(B206,'2019 Data Lockdown'!B$5:B$257,0))</f>
        <v>24.367612903417886</v>
      </c>
      <c r="F206" s="7">
        <f>INDEX('2019 Data Lockdown'!E$5:E$257,MATCH(B206,'2019 Data Lockdown'!B$5:B$257,0))</f>
        <v>39985.18</v>
      </c>
      <c r="G206" s="7">
        <f>INDEX('2019 Data Lockdown'!F$5:F$257,MATCH(B206,'2019 Data Lockdown'!B$5:B$257,0))</f>
        <v>1159</v>
      </c>
      <c r="H206" s="7">
        <f t="shared" si="25"/>
        <v>38826.18</v>
      </c>
      <c r="I206" s="6">
        <f t="shared" si="26"/>
        <v>1593.3518048685887</v>
      </c>
      <c r="J206" s="6">
        <f t="shared" si="27"/>
        <v>1593.3518048685887</v>
      </c>
      <c r="K206" s="5">
        <f t="shared" si="28"/>
        <v>38826.18</v>
      </c>
      <c r="L206" s="4">
        <f t="shared" si="24"/>
        <v>0</v>
      </c>
      <c r="M206" s="2" cm="1">
        <f t="array" ref="M206">SUMPRODUCT(--($L$6:$L$300&lt;&gt;1),--($C$6:$C$300=$C206),$H$6:$H$300)/SUMPRODUCT(--($L$6:$L$300&lt;&gt;1),--($C$6:$C$300=$C206),$E$6:$E$300)</f>
        <v>1033.3547868468199</v>
      </c>
      <c r="N206" s="1" cm="1">
        <f t="array" ref="N206">SUMPRODUCT(--($L$6:$L$300&lt;&gt;1),--($C$6:$C$300=$C206))</f>
        <v>50</v>
      </c>
      <c r="O206" s="3">
        <f t="shared" si="29"/>
        <v>313596.66019327322</v>
      </c>
      <c r="P206" s="2" cm="1">
        <f t="array" ref="P206">SQRT(SUMPRODUCT(--($L$6:$L$300&lt;&gt;1),--($C$6:$C$300=$C206),$E$6:$E$300,$O$6:$O$300)/((N206-1)*SUMPRODUCT(--($L$6:$L$300&lt;&gt;1),--($C$6:$C$300=$C206),$E$6:$E$300)/N206))</f>
        <v>622.1962069462686</v>
      </c>
      <c r="Q206" s="2">
        <f t="shared" si="23"/>
        <v>235.97826375891714</v>
      </c>
      <c r="R206" s="2">
        <f t="shared" si="23"/>
        <v>1830.7313099347227</v>
      </c>
      <c r="S206" s="2">
        <f t="shared" si="30"/>
        <v>1593.3518048685887</v>
      </c>
    </row>
    <row r="207" spans="2:19" x14ac:dyDescent="0.25">
      <c r="B207">
        <v>801</v>
      </c>
      <c r="C207" s="28">
        <v>8</v>
      </c>
      <c r="D207" s="35" t="s">
        <v>248</v>
      </c>
      <c r="E207" s="154">
        <f>INDEX('2019 Data Lockdown'!H$5:H$257,MATCH(B207,'2019 Data Lockdown'!B$5:B$257,0))</f>
        <v>135.0746846492795</v>
      </c>
      <c r="F207" s="7">
        <f>INDEX('2019 Data Lockdown'!E$5:E$257,MATCH(B207,'2019 Data Lockdown'!B$5:B$257,0))</f>
        <v>96738.85</v>
      </c>
      <c r="G207" s="7">
        <f>INDEX('2019 Data Lockdown'!F$5:F$257,MATCH(B207,'2019 Data Lockdown'!B$5:B$257,0))</f>
        <v>0</v>
      </c>
      <c r="H207" s="7">
        <f t="shared" si="25"/>
        <v>96738.85</v>
      </c>
      <c r="I207" s="6">
        <f t="shared" si="26"/>
        <v>716.18786489253534</v>
      </c>
      <c r="J207" s="6">
        <f t="shared" si="27"/>
        <v>716.18786489253534</v>
      </c>
      <c r="K207" s="5">
        <f t="shared" si="28"/>
        <v>96738.85</v>
      </c>
      <c r="L207" s="4">
        <f t="shared" si="24"/>
        <v>0</v>
      </c>
      <c r="M207" s="2" cm="1">
        <f t="array" ref="M207">SUMPRODUCT(--($L$6:$L$300&lt;&gt;1),--($C$6:$C$300=$C207),$H$6:$H$300)/SUMPRODUCT(--($L$6:$L$300&lt;&gt;1),--($C$6:$C$300=$C207),$E$6:$E$300)</f>
        <v>1033.3547868468199</v>
      </c>
      <c r="N207" s="1" cm="1">
        <f t="array" ref="N207">SUMPRODUCT(--($L$6:$L$300&lt;&gt;1),--($C$6:$C$300=$C207))</f>
        <v>50</v>
      </c>
      <c r="O207" s="3">
        <f t="shared" si="29"/>
        <v>100594.85638195525</v>
      </c>
      <c r="P207" s="2" cm="1">
        <f t="array" ref="P207">SQRT(SUMPRODUCT(--($L$6:$L$300&lt;&gt;1),--($C$6:$C$300=$C207),$E$6:$E$300,$O$6:$O$300)/((N207-1)*SUMPRODUCT(--($L$6:$L$300&lt;&gt;1),--($C$6:$C$300=$C207),$E$6:$E$300)/N207))</f>
        <v>622.1962069462686</v>
      </c>
      <c r="Q207" s="2">
        <f t="shared" si="23"/>
        <v>235.97826375891714</v>
      </c>
      <c r="R207" s="2">
        <f t="shared" si="23"/>
        <v>1830.7313099347227</v>
      </c>
      <c r="S207" s="2">
        <f t="shared" si="30"/>
        <v>716.18786489253534</v>
      </c>
    </row>
    <row r="208" spans="2:19" x14ac:dyDescent="0.25">
      <c r="B208">
        <v>810</v>
      </c>
      <c r="C208" s="28">
        <v>8</v>
      </c>
      <c r="D208" s="35" t="s">
        <v>249</v>
      </c>
      <c r="E208" s="154">
        <f>INDEX('2019 Data Lockdown'!H$5:H$257,MATCH(B208,'2019 Data Lockdown'!B$5:B$257,0))</f>
        <v>124.98999999999998</v>
      </c>
      <c r="F208" s="7">
        <f>INDEX('2019 Data Lockdown'!E$5:E$257,MATCH(B208,'2019 Data Lockdown'!B$5:B$257,0))</f>
        <v>140596.89000000001</v>
      </c>
      <c r="G208" s="7">
        <f>INDEX('2019 Data Lockdown'!F$5:F$257,MATCH(B208,'2019 Data Lockdown'!B$5:B$257,0))</f>
        <v>0</v>
      </c>
      <c r="H208" s="7">
        <f t="shared" si="25"/>
        <v>140596.89000000001</v>
      </c>
      <c r="I208" s="6">
        <f t="shared" si="26"/>
        <v>1124.8651092087371</v>
      </c>
      <c r="J208" s="6">
        <f t="shared" si="27"/>
        <v>1124.8651092087371</v>
      </c>
      <c r="K208" s="5">
        <f t="shared" si="28"/>
        <v>140596.89000000001</v>
      </c>
      <c r="L208" s="4">
        <f t="shared" si="24"/>
        <v>0</v>
      </c>
      <c r="M208" s="2" cm="1">
        <f t="array" ref="M208">SUMPRODUCT(--($L$6:$L$300&lt;&gt;1),--($C$6:$C$300=$C208),$H$6:$H$300)/SUMPRODUCT(--($L$6:$L$300&lt;&gt;1),--($C$6:$C$300=$C208),$E$6:$E$300)</f>
        <v>1033.3547868468199</v>
      </c>
      <c r="N208" s="1" cm="1">
        <f t="array" ref="N208">SUMPRODUCT(--($L$6:$L$300&lt;&gt;1),--($C$6:$C$300=$C208))</f>
        <v>50</v>
      </c>
      <c r="O208" s="3">
        <f t="shared" si="29"/>
        <v>8374.1390987819905</v>
      </c>
      <c r="P208" s="2" cm="1">
        <f t="array" ref="P208">SQRT(SUMPRODUCT(--($L$6:$L$300&lt;&gt;1),--($C$6:$C$300=$C208),$E$6:$E$300,$O$6:$O$300)/((N208-1)*SUMPRODUCT(--($L$6:$L$300&lt;&gt;1),--($C$6:$C$300=$C208),$E$6:$E$300)/N208))</f>
        <v>622.1962069462686</v>
      </c>
      <c r="Q208" s="2">
        <f t="shared" si="23"/>
        <v>235.97826375891714</v>
      </c>
      <c r="R208" s="2">
        <f t="shared" si="23"/>
        <v>1830.7313099347227</v>
      </c>
      <c r="S208" s="2">
        <f t="shared" si="30"/>
        <v>1124.8651092087371</v>
      </c>
    </row>
    <row r="209" spans="2:19" x14ac:dyDescent="0.25">
      <c r="B209">
        <v>812</v>
      </c>
      <c r="C209" s="28">
        <v>8</v>
      </c>
      <c r="D209" s="35" t="s">
        <v>250</v>
      </c>
      <c r="E209" s="154">
        <f>INDEX('2019 Data Lockdown'!H$5:H$257,MATCH(B209,'2019 Data Lockdown'!B$5:B$257,0))</f>
        <v>42.133342486310362</v>
      </c>
      <c r="F209" s="7">
        <f>INDEX('2019 Data Lockdown'!E$5:E$257,MATCH(B209,'2019 Data Lockdown'!B$5:B$257,0))</f>
        <v>81577.919999999998</v>
      </c>
      <c r="G209" s="7">
        <f>INDEX('2019 Data Lockdown'!F$5:F$257,MATCH(B209,'2019 Data Lockdown'!B$5:B$257,0))</f>
        <v>273</v>
      </c>
      <c r="H209" s="7">
        <f t="shared" si="25"/>
        <v>81304.92</v>
      </c>
      <c r="I209" s="6">
        <f t="shared" si="26"/>
        <v>1929.7049605408581</v>
      </c>
      <c r="J209" s="6">
        <f t="shared" si="27"/>
        <v>1830.7313099347227</v>
      </c>
      <c r="K209" s="5">
        <f t="shared" si="28"/>
        <v>77134.829281891274</v>
      </c>
      <c r="L209" s="4">
        <f t="shared" si="24"/>
        <v>0</v>
      </c>
      <c r="M209" s="2" cm="1">
        <f t="array" ref="M209">SUMPRODUCT(--($L$6:$L$300&lt;&gt;1),--($C$6:$C$300=$C209),$H$6:$H$300)/SUMPRODUCT(--($L$6:$L$300&lt;&gt;1),--($C$6:$C$300=$C209),$E$6:$E$300)</f>
        <v>1033.3547868468199</v>
      </c>
      <c r="N209" s="1" cm="1">
        <f t="array" ref="N209">SUMPRODUCT(--($L$6:$L$300&lt;&gt;1),--($C$6:$C$300=$C209))</f>
        <v>50</v>
      </c>
      <c r="O209" s="3">
        <f t="shared" si="29"/>
        <v>803443.63388133235</v>
      </c>
      <c r="P209" s="2" cm="1">
        <f t="array" ref="P209">SQRT(SUMPRODUCT(--($L$6:$L$300&lt;&gt;1),--($C$6:$C$300=$C209),$E$6:$E$300,$O$6:$O$300)/((N209-1)*SUMPRODUCT(--($L$6:$L$300&lt;&gt;1),--($C$6:$C$300=$C209),$E$6:$E$300)/N209))</f>
        <v>622.1962069462686</v>
      </c>
      <c r="Q209" s="2">
        <f t="shared" si="23"/>
        <v>235.97826375891714</v>
      </c>
      <c r="R209" s="2">
        <f t="shared" si="23"/>
        <v>1830.7313099347227</v>
      </c>
      <c r="S209" s="2">
        <f t="shared" si="30"/>
        <v>1830.7313099347227</v>
      </c>
    </row>
    <row r="210" spans="2:19" x14ac:dyDescent="0.25">
      <c r="B210">
        <v>818</v>
      </c>
      <c r="C210" s="28">
        <v>8</v>
      </c>
      <c r="D210" s="35" t="s">
        <v>251</v>
      </c>
      <c r="E210" s="154">
        <f>INDEX('2019 Data Lockdown'!H$5:H$257,MATCH(B210,'2019 Data Lockdown'!B$5:B$257,0))</f>
        <v>39.648701095629384</v>
      </c>
      <c r="F210" s="7">
        <f>INDEX('2019 Data Lockdown'!E$5:E$257,MATCH(B210,'2019 Data Lockdown'!B$5:B$257,0))</f>
        <v>15868.89</v>
      </c>
      <c r="G210" s="7">
        <f>INDEX('2019 Data Lockdown'!F$5:F$257,MATCH(B210,'2019 Data Lockdown'!B$5:B$257,0))</f>
        <v>0</v>
      </c>
      <c r="H210" s="7">
        <f t="shared" si="25"/>
        <v>15868.89</v>
      </c>
      <c r="I210" s="6">
        <f t="shared" si="26"/>
        <v>400.23732332934566</v>
      </c>
      <c r="J210" s="6">
        <f t="shared" si="27"/>
        <v>400.23732332934566</v>
      </c>
      <c r="K210" s="5">
        <f t="shared" si="28"/>
        <v>15868.89</v>
      </c>
      <c r="L210" s="4">
        <f t="shared" si="24"/>
        <v>0</v>
      </c>
      <c r="M210" s="2" cm="1">
        <f t="array" ref="M210">SUMPRODUCT(--($L$6:$L$300&lt;&gt;1),--($C$6:$C$300=$C210),$H$6:$H$300)/SUMPRODUCT(--($L$6:$L$300&lt;&gt;1),--($C$6:$C$300=$C210),$E$6:$E$300)</f>
        <v>1033.3547868468199</v>
      </c>
      <c r="N210" s="1" cm="1">
        <f t="array" ref="N210">SUMPRODUCT(--($L$6:$L$300&lt;&gt;1),--($C$6:$C$300=$C210))</f>
        <v>50</v>
      </c>
      <c r="O210" s="3">
        <f t="shared" si="29"/>
        <v>400837.72261080047</v>
      </c>
      <c r="P210" s="2" cm="1">
        <f t="array" ref="P210">SQRT(SUMPRODUCT(--($L$6:$L$300&lt;&gt;1),--($C$6:$C$300=$C210),$E$6:$E$300,$O$6:$O$300)/((N210-1)*SUMPRODUCT(--($L$6:$L$300&lt;&gt;1),--($C$6:$C$300=$C210),$E$6:$E$300)/N210))</f>
        <v>622.1962069462686</v>
      </c>
      <c r="Q210" s="2">
        <f t="shared" si="23"/>
        <v>235.97826375891714</v>
      </c>
      <c r="R210" s="2">
        <f t="shared" si="23"/>
        <v>1830.7313099347227</v>
      </c>
      <c r="S210" s="2">
        <f t="shared" si="30"/>
        <v>400.23732332934566</v>
      </c>
    </row>
    <row r="211" spans="2:19" x14ac:dyDescent="0.25">
      <c r="B211">
        <v>833</v>
      </c>
      <c r="C211" s="36">
        <v>8</v>
      </c>
      <c r="D211" s="35" t="s">
        <v>252</v>
      </c>
      <c r="E211" s="154">
        <f>INDEX('2019 Data Lockdown'!H$5:H$257,MATCH(B211,'2019 Data Lockdown'!B$5:B$257,0))</f>
        <v>61.805842122186505</v>
      </c>
      <c r="F211" s="7">
        <f>INDEX('2019 Data Lockdown'!E$5:E$257,MATCH(B211,'2019 Data Lockdown'!B$5:B$257,0))</f>
        <v>37349.99</v>
      </c>
      <c r="G211" s="7">
        <f>INDEX('2019 Data Lockdown'!F$5:F$257,MATCH(B211,'2019 Data Lockdown'!B$5:B$257,0))</f>
        <v>0</v>
      </c>
      <c r="H211" s="7">
        <f t="shared" si="25"/>
        <v>37349.99</v>
      </c>
      <c r="I211" s="6">
        <f t="shared" si="26"/>
        <v>604.31164300231148</v>
      </c>
      <c r="J211" s="6">
        <f t="shared" si="27"/>
        <v>604.31164300231148</v>
      </c>
      <c r="K211" s="5">
        <f t="shared" si="28"/>
        <v>37349.99</v>
      </c>
      <c r="L211" s="4">
        <f t="shared" si="24"/>
        <v>0</v>
      </c>
      <c r="M211" s="2" cm="1">
        <f t="array" ref="M211">SUMPRODUCT(--($L$6:$L$300&lt;&gt;1),--($C$6:$C$300=$C211),$H$6:$H$300)/SUMPRODUCT(--($L$6:$L$300&lt;&gt;1),--($C$6:$C$300=$C211),$E$6:$E$300)</f>
        <v>1033.3547868468199</v>
      </c>
      <c r="N211" s="1" cm="1">
        <f t="array" ref="N211">SUMPRODUCT(--($L$6:$L$300&lt;&gt;1),--($C$6:$C$300=$C211))</f>
        <v>50</v>
      </c>
      <c r="O211" s="3">
        <f t="shared" si="29"/>
        <v>184078.01927997958</v>
      </c>
      <c r="P211" s="2" cm="1">
        <f t="array" ref="P211">SQRT(SUMPRODUCT(--($L$6:$L$300&lt;&gt;1),--($C$6:$C$300=$C211),$E$6:$E$300,$O$6:$O$300)/((N211-1)*SUMPRODUCT(--($L$6:$L$300&lt;&gt;1),--($C$6:$C$300=$C211),$E$6:$E$300)/N211))</f>
        <v>622.1962069462686</v>
      </c>
      <c r="Q211" s="2">
        <f t="shared" si="23"/>
        <v>235.97826375891714</v>
      </c>
      <c r="R211" s="2">
        <f t="shared" si="23"/>
        <v>1830.7313099347227</v>
      </c>
      <c r="S211" s="2">
        <f t="shared" si="30"/>
        <v>604.31164300231148</v>
      </c>
    </row>
    <row r="212" spans="2:19" x14ac:dyDescent="0.25">
      <c r="B212">
        <v>834</v>
      </c>
      <c r="C212" s="36">
        <v>8</v>
      </c>
      <c r="D212" s="35" t="s">
        <v>253</v>
      </c>
      <c r="E212" s="154">
        <f>INDEX('2019 Data Lockdown'!H$5:H$257,MATCH(B212,'2019 Data Lockdown'!B$5:B$257,0))</f>
        <v>74.23</v>
      </c>
      <c r="F212" s="7">
        <f>INDEX('2019 Data Lockdown'!E$5:E$257,MATCH(B212,'2019 Data Lockdown'!B$5:B$257,0))</f>
        <v>55123.19</v>
      </c>
      <c r="G212" s="7">
        <f>INDEX('2019 Data Lockdown'!F$5:F$257,MATCH(B212,'2019 Data Lockdown'!B$5:B$257,0))</f>
        <v>3760.4799999999996</v>
      </c>
      <c r="H212" s="7">
        <f t="shared" si="25"/>
        <v>51362.710000000006</v>
      </c>
      <c r="I212" s="6">
        <f t="shared" si="26"/>
        <v>691.94005119224039</v>
      </c>
      <c r="J212" s="6">
        <f t="shared" si="27"/>
        <v>691.94005119224039</v>
      </c>
      <c r="K212" s="5">
        <f t="shared" si="28"/>
        <v>51362.710000000006</v>
      </c>
      <c r="L212" s="4">
        <f t="shared" si="24"/>
        <v>0</v>
      </c>
      <c r="M212" s="2" cm="1">
        <f t="array" ref="M212">SUMPRODUCT(--($L$6:$L$300&lt;&gt;1),--($C$6:$C$300=$C212),$H$6:$H$300)/SUMPRODUCT(--($L$6:$L$300&lt;&gt;1),--($C$6:$C$300=$C212),$E$6:$E$300)</f>
        <v>1033.3547868468199</v>
      </c>
      <c r="N212" s="1" cm="1">
        <f t="array" ref="N212">SUMPRODUCT(--($L$6:$L$300&lt;&gt;1),--($C$6:$C$300=$C212))</f>
        <v>50</v>
      </c>
      <c r="O212" s="3">
        <f t="shared" si="29"/>
        <v>116564.02172208643</v>
      </c>
      <c r="P212" s="2" cm="1">
        <f t="array" ref="P212">SQRT(SUMPRODUCT(--($L$6:$L$300&lt;&gt;1),--($C$6:$C$300=$C212),$E$6:$E$300,$O$6:$O$300)/((N212-1)*SUMPRODUCT(--($L$6:$L$300&lt;&gt;1),--($C$6:$C$300=$C212),$E$6:$E$300)/N212))</f>
        <v>622.1962069462686</v>
      </c>
      <c r="Q212" s="2">
        <f t="shared" si="23"/>
        <v>235.97826375891714</v>
      </c>
      <c r="R212" s="2">
        <f t="shared" si="23"/>
        <v>1830.7313099347227</v>
      </c>
      <c r="S212" s="2">
        <f t="shared" si="30"/>
        <v>691.94005119224039</v>
      </c>
    </row>
    <row r="213" spans="2:19" x14ac:dyDescent="0.25">
      <c r="B213">
        <v>837</v>
      </c>
      <c r="C213" s="28">
        <v>8</v>
      </c>
      <c r="D213" s="35" t="s">
        <v>254</v>
      </c>
      <c r="E213" s="154">
        <f>INDEX('2019 Data Lockdown'!H$5:H$257,MATCH(B213,'2019 Data Lockdown'!B$5:B$257,0))</f>
        <v>176.99</v>
      </c>
      <c r="F213" s="7">
        <f>INDEX('2019 Data Lockdown'!E$5:E$257,MATCH(B213,'2019 Data Lockdown'!B$5:B$257,0))</f>
        <v>142476.71</v>
      </c>
      <c r="G213" s="7">
        <f>INDEX('2019 Data Lockdown'!F$5:F$257,MATCH(B213,'2019 Data Lockdown'!B$5:B$257,0))</f>
        <v>0</v>
      </c>
      <c r="H213" s="7">
        <f t="shared" si="25"/>
        <v>142476.71</v>
      </c>
      <c r="I213" s="6">
        <f t="shared" si="26"/>
        <v>804.99864399118587</v>
      </c>
      <c r="J213" s="6">
        <f t="shared" si="27"/>
        <v>804.99864399118587</v>
      </c>
      <c r="K213" s="5">
        <f t="shared" si="28"/>
        <v>142476.71</v>
      </c>
      <c r="L213" s="4">
        <f t="shared" si="24"/>
        <v>0</v>
      </c>
      <c r="M213" s="2" cm="1">
        <f t="array" ref="M213">SUMPRODUCT(--($L$6:$L$300&lt;&gt;1),--($C$6:$C$300=$C213),$H$6:$H$300)/SUMPRODUCT(--($L$6:$L$300&lt;&gt;1),--($C$6:$C$300=$C213),$E$6:$E$300)</f>
        <v>1033.3547868468199</v>
      </c>
      <c r="N213" s="1" cm="1">
        <f t="array" ref="N213">SUMPRODUCT(--($L$6:$L$300&lt;&gt;1),--($C$6:$C$300=$C213))</f>
        <v>50</v>
      </c>
      <c r="O213" s="3">
        <f t="shared" si="29"/>
        <v>52146.527979902748</v>
      </c>
      <c r="P213" s="2" cm="1">
        <f t="array" ref="P213">SQRT(SUMPRODUCT(--($L$6:$L$300&lt;&gt;1),--($C$6:$C$300=$C213),$E$6:$E$300,$O$6:$O$300)/((N213-1)*SUMPRODUCT(--($L$6:$L$300&lt;&gt;1),--($C$6:$C$300=$C213),$E$6:$E$300)/N213))</f>
        <v>622.1962069462686</v>
      </c>
      <c r="Q213" s="2">
        <f t="shared" si="23"/>
        <v>235.97826375891714</v>
      </c>
      <c r="R213" s="2">
        <f t="shared" si="23"/>
        <v>1830.7313099347227</v>
      </c>
      <c r="S213" s="2">
        <f t="shared" si="30"/>
        <v>804.99864399118587</v>
      </c>
    </row>
    <row r="214" spans="2:19" x14ac:dyDescent="0.25">
      <c r="B214">
        <v>845</v>
      </c>
      <c r="C214" s="28">
        <v>8</v>
      </c>
      <c r="D214" s="35" t="s">
        <v>319</v>
      </c>
      <c r="E214" s="154">
        <f>INDEX('2019 Data Lockdown'!H$5:H$257,MATCH(B214,'2019 Data Lockdown'!B$5:B$257,0))</f>
        <v>4.1985407326268138</v>
      </c>
      <c r="F214" s="7">
        <f>INDEX('2019 Data Lockdown'!E$5:E$257,MATCH(B214,'2019 Data Lockdown'!B$5:B$257,0))</f>
        <v>8943.76</v>
      </c>
      <c r="G214" s="7">
        <f>INDEX('2019 Data Lockdown'!F$5:F$257,MATCH(B214,'2019 Data Lockdown'!B$5:B$257,0))</f>
        <v>0</v>
      </c>
      <c r="H214" s="7">
        <f t="shared" si="25"/>
        <v>8943.76</v>
      </c>
      <c r="I214" s="6">
        <f t="shared" si="26"/>
        <v>2130.2067955416364</v>
      </c>
      <c r="J214" s="6">
        <f t="shared" si="27"/>
        <v>1830.7313099347227</v>
      </c>
      <c r="K214" s="5">
        <f t="shared" si="28"/>
        <v>7686.3999752561776</v>
      </c>
      <c r="L214" s="4">
        <f t="shared" si="24"/>
        <v>0</v>
      </c>
      <c r="M214" s="2" cm="1">
        <f t="array" ref="M214">SUMPRODUCT(--($L$6:$L$300&lt;&gt;1),--($C$6:$C$300=$C214),$H$6:$H$300)/SUMPRODUCT(--($L$6:$L$300&lt;&gt;1),--($C$6:$C$300=$C214),$E$6:$E$300)</f>
        <v>1033.3547868468199</v>
      </c>
      <c r="N214" s="1" cm="1">
        <f t="array" ref="N214">SUMPRODUCT(--($L$6:$L$300&lt;&gt;1),--($C$6:$C$300=$C214))</f>
        <v>50</v>
      </c>
      <c r="O214" s="3">
        <f t="shared" si="29"/>
        <v>1203084.3289778538</v>
      </c>
      <c r="P214" s="2" cm="1">
        <f t="array" ref="P214">SQRT(SUMPRODUCT(--($L$6:$L$300&lt;&gt;1),--($C$6:$C$300=$C214),$E$6:$E$300,$O$6:$O$300)/((N214-1)*SUMPRODUCT(--($L$6:$L$300&lt;&gt;1),--($C$6:$C$300=$C214),$E$6:$E$300)/N214))</f>
        <v>622.1962069462686</v>
      </c>
      <c r="Q214" s="2">
        <f t="shared" si="23"/>
        <v>235.97826375891714</v>
      </c>
      <c r="R214" s="2">
        <f t="shared" si="23"/>
        <v>1830.7313099347227</v>
      </c>
      <c r="S214" s="2">
        <f t="shared" si="30"/>
        <v>1830.7313099347227</v>
      </c>
    </row>
    <row r="215" spans="2:19" x14ac:dyDescent="0.25">
      <c r="B215">
        <v>847</v>
      </c>
      <c r="C215" s="28">
        <v>8</v>
      </c>
      <c r="D215" s="35" t="s">
        <v>255</v>
      </c>
      <c r="E215" s="154">
        <f>INDEX('2019 Data Lockdown'!H$5:H$257,MATCH(B215,'2019 Data Lockdown'!B$5:B$257,0))</f>
        <v>66.183100660950345</v>
      </c>
      <c r="F215" s="7">
        <f>INDEX('2019 Data Lockdown'!E$5:E$257,MATCH(B215,'2019 Data Lockdown'!B$5:B$257,0))</f>
        <v>131761.98000000001</v>
      </c>
      <c r="G215" s="7">
        <f>INDEX('2019 Data Lockdown'!F$5:F$257,MATCH(B215,'2019 Data Lockdown'!B$5:B$257,0))</f>
        <v>0</v>
      </c>
      <c r="H215" s="7">
        <f t="shared" si="25"/>
        <v>131761.98000000001</v>
      </c>
      <c r="I215" s="6">
        <f t="shared" si="26"/>
        <v>1990.8704591373553</v>
      </c>
      <c r="J215" s="6">
        <f t="shared" si="27"/>
        <v>1830.7313099347227</v>
      </c>
      <c r="K215" s="5">
        <f t="shared" si="28"/>
        <v>121163.47456856324</v>
      </c>
      <c r="L215" s="4">
        <f t="shared" si="24"/>
        <v>0</v>
      </c>
      <c r="M215" s="2" cm="1">
        <f t="array" ref="M215">SUMPRODUCT(--($L$6:$L$300&lt;&gt;1),--($C$6:$C$300=$C215),$H$6:$H$300)/SUMPRODUCT(--($L$6:$L$300&lt;&gt;1),--($C$6:$C$300=$C215),$E$6:$E$300)</f>
        <v>1033.3547868468199</v>
      </c>
      <c r="N215" s="1" cm="1">
        <f t="array" ref="N215">SUMPRODUCT(--($L$6:$L$300&lt;&gt;1),--($C$6:$C$300=$C215))</f>
        <v>50</v>
      </c>
      <c r="O215" s="3">
        <f t="shared" si="29"/>
        <v>916836.26268199587</v>
      </c>
      <c r="P215" s="2" cm="1">
        <f t="array" ref="P215">SQRT(SUMPRODUCT(--($L$6:$L$300&lt;&gt;1),--($C$6:$C$300=$C215),$E$6:$E$300,$O$6:$O$300)/((N215-1)*SUMPRODUCT(--($L$6:$L$300&lt;&gt;1),--($C$6:$C$300=$C215),$E$6:$E$300)/N215))</f>
        <v>622.1962069462686</v>
      </c>
      <c r="Q215" s="2">
        <f t="shared" si="23"/>
        <v>235.97826375891714</v>
      </c>
      <c r="R215" s="2">
        <f t="shared" si="23"/>
        <v>1830.7313099347227</v>
      </c>
      <c r="S215" s="2">
        <f t="shared" si="30"/>
        <v>1830.7313099347227</v>
      </c>
    </row>
    <row r="216" spans="2:19" x14ac:dyDescent="0.25">
      <c r="B216">
        <v>866</v>
      </c>
      <c r="C216" s="28">
        <v>8</v>
      </c>
      <c r="D216" s="35" t="s">
        <v>256</v>
      </c>
      <c r="E216" s="154">
        <f>INDEX('2019 Data Lockdown'!H$5:H$257,MATCH(B216,'2019 Data Lockdown'!B$5:B$257,0))</f>
        <v>147.75213403001072</v>
      </c>
      <c r="F216" s="7">
        <f>INDEX('2019 Data Lockdown'!E$5:E$257,MATCH(B216,'2019 Data Lockdown'!B$5:B$257,0))</f>
        <v>54975.040000000001</v>
      </c>
      <c r="G216" s="7">
        <f>INDEX('2019 Data Lockdown'!F$5:F$257,MATCH(B216,'2019 Data Lockdown'!B$5:B$257,0))</f>
        <v>0</v>
      </c>
      <c r="H216" s="7">
        <f t="shared" si="25"/>
        <v>54975.040000000001</v>
      </c>
      <c r="I216" s="6">
        <f t="shared" si="26"/>
        <v>372.07611491305926</v>
      </c>
      <c r="J216" s="6">
        <f t="shared" si="27"/>
        <v>372.07611491305926</v>
      </c>
      <c r="K216" s="5">
        <f t="shared" si="28"/>
        <v>54975.040000000001</v>
      </c>
      <c r="L216" s="4">
        <f t="shared" si="24"/>
        <v>0</v>
      </c>
      <c r="M216" s="2" cm="1">
        <f t="array" ref="M216">SUMPRODUCT(--($L$6:$L$300&lt;&gt;1),--($C$6:$C$300=$C216),$H$6:$H$300)/SUMPRODUCT(--($L$6:$L$300&lt;&gt;1),--($C$6:$C$300=$C216),$E$6:$E$300)</f>
        <v>1033.3547868468199</v>
      </c>
      <c r="N216" s="1" cm="1">
        <f t="array" ref="N216">SUMPRODUCT(--($L$6:$L$300&lt;&gt;1),--($C$6:$C$300=$C216))</f>
        <v>50</v>
      </c>
      <c r="O216" s="3">
        <f t="shared" si="29"/>
        <v>437289.48195447837</v>
      </c>
      <c r="P216" s="2" cm="1">
        <f t="array" ref="P216">SQRT(SUMPRODUCT(--($L$6:$L$300&lt;&gt;1),--($C$6:$C$300=$C216),$E$6:$E$300,$O$6:$O$300)/((N216-1)*SUMPRODUCT(--($L$6:$L$300&lt;&gt;1),--($C$6:$C$300=$C216),$E$6:$E$300)/N216))</f>
        <v>622.1962069462686</v>
      </c>
      <c r="Q216" s="2">
        <f t="shared" si="23"/>
        <v>235.97826375891714</v>
      </c>
      <c r="R216" s="2">
        <f t="shared" si="23"/>
        <v>1830.7313099347227</v>
      </c>
      <c r="S216" s="2">
        <f t="shared" si="30"/>
        <v>372.07611491305926</v>
      </c>
    </row>
    <row r="217" spans="2:19" x14ac:dyDescent="0.25">
      <c r="B217">
        <v>871</v>
      </c>
      <c r="C217" s="28">
        <v>8</v>
      </c>
      <c r="D217" s="35" t="s">
        <v>257</v>
      </c>
      <c r="E217" s="154">
        <f>INDEX('2019 Data Lockdown'!H$5:H$257,MATCH(B217,'2019 Data Lockdown'!B$5:B$257,0))</f>
        <v>12.214386102179351</v>
      </c>
      <c r="F217" s="7">
        <f>INDEX('2019 Data Lockdown'!E$5:E$257,MATCH(B217,'2019 Data Lockdown'!B$5:B$257,0))</f>
        <v>12724.9</v>
      </c>
      <c r="G217" s="7">
        <f>INDEX('2019 Data Lockdown'!F$5:F$257,MATCH(B217,'2019 Data Lockdown'!B$5:B$257,0))</f>
        <v>0</v>
      </c>
      <c r="H217" s="7">
        <f t="shared" si="25"/>
        <v>12724.9</v>
      </c>
      <c r="I217" s="6">
        <f t="shared" si="26"/>
        <v>1041.7961159529386</v>
      </c>
      <c r="J217" s="6">
        <f t="shared" si="27"/>
        <v>1041.7961159529386</v>
      </c>
      <c r="K217" s="5">
        <f t="shared" si="28"/>
        <v>12724.900000000001</v>
      </c>
      <c r="L217" s="4">
        <f t="shared" si="24"/>
        <v>0</v>
      </c>
      <c r="M217" s="2" cm="1">
        <f t="array" ref="M217">SUMPRODUCT(--($L$6:$L$300&lt;&gt;1),--($C$6:$C$300=$C217),$H$6:$H$300)/SUMPRODUCT(--($L$6:$L$300&lt;&gt;1),--($C$6:$C$300=$C217),$E$6:$E$300)</f>
        <v>1033.3547868468199</v>
      </c>
      <c r="N217" s="1" cm="1">
        <f t="array" ref="N217">SUMPRODUCT(--($L$6:$L$300&lt;&gt;1),--($C$6:$C$300=$C217))</f>
        <v>50</v>
      </c>
      <c r="O217" s="3">
        <f t="shared" si="29"/>
        <v>71.256037077806752</v>
      </c>
      <c r="P217" s="2" cm="1">
        <f t="array" ref="P217">SQRT(SUMPRODUCT(--($L$6:$L$300&lt;&gt;1),--($C$6:$C$300=$C217),$E$6:$E$300,$O$6:$O$300)/((N217-1)*SUMPRODUCT(--($L$6:$L$300&lt;&gt;1),--($C$6:$C$300=$C217),$E$6:$E$300)/N217))</f>
        <v>622.1962069462686</v>
      </c>
      <c r="Q217" s="2">
        <f t="shared" si="23"/>
        <v>235.97826375891714</v>
      </c>
      <c r="R217" s="2">
        <f t="shared" si="23"/>
        <v>1830.7313099347227</v>
      </c>
      <c r="S217" s="2">
        <f t="shared" si="30"/>
        <v>1041.7961159529386</v>
      </c>
    </row>
    <row r="218" spans="2:19" x14ac:dyDescent="0.25">
      <c r="B218">
        <v>873</v>
      </c>
      <c r="C218" s="28">
        <v>8</v>
      </c>
      <c r="D218" s="35" t="s">
        <v>258</v>
      </c>
      <c r="E218" s="154">
        <f>INDEX('2019 Data Lockdown'!H$5:H$257,MATCH(B218,'2019 Data Lockdown'!B$5:B$257,0))</f>
        <v>185.67000000000002</v>
      </c>
      <c r="F218" s="7">
        <f>INDEX('2019 Data Lockdown'!E$5:E$257,MATCH(B218,'2019 Data Lockdown'!B$5:B$257,0))</f>
        <v>74605.5</v>
      </c>
      <c r="G218" s="7">
        <f>INDEX('2019 Data Lockdown'!F$5:F$257,MATCH(B218,'2019 Data Lockdown'!B$5:B$257,0))</f>
        <v>0</v>
      </c>
      <c r="H218" s="7">
        <f t="shared" si="25"/>
        <v>74605.5</v>
      </c>
      <c r="I218" s="6">
        <f t="shared" si="26"/>
        <v>401.81774115365971</v>
      </c>
      <c r="J218" s="6">
        <f t="shared" si="27"/>
        <v>401.81774115365971</v>
      </c>
      <c r="K218" s="5">
        <f t="shared" si="28"/>
        <v>74605.5</v>
      </c>
      <c r="L218" s="4">
        <f t="shared" si="24"/>
        <v>0</v>
      </c>
      <c r="M218" s="2" cm="1">
        <f t="array" ref="M218">SUMPRODUCT(--($L$6:$L$300&lt;&gt;1),--($C$6:$C$300=$C218),$H$6:$H$300)/SUMPRODUCT(--($L$6:$L$300&lt;&gt;1),--($C$6:$C$300=$C218),$E$6:$E$300)</f>
        <v>1033.3547868468199</v>
      </c>
      <c r="N218" s="1" cm="1">
        <f t="array" ref="N218">SUMPRODUCT(--($L$6:$L$300&lt;&gt;1),--($C$6:$C$300=$C218))</f>
        <v>50</v>
      </c>
      <c r="O218" s="3">
        <f t="shared" si="29"/>
        <v>398839.04008284479</v>
      </c>
      <c r="P218" s="2" cm="1">
        <f t="array" ref="P218">SQRT(SUMPRODUCT(--($L$6:$L$300&lt;&gt;1),--($C$6:$C$300=$C218),$E$6:$E$300,$O$6:$O$300)/((N218-1)*SUMPRODUCT(--($L$6:$L$300&lt;&gt;1),--($C$6:$C$300=$C218),$E$6:$E$300)/N218))</f>
        <v>622.1962069462686</v>
      </c>
      <c r="Q218" s="2">
        <f t="shared" si="23"/>
        <v>235.97826375891714</v>
      </c>
      <c r="R218" s="2">
        <f t="shared" si="23"/>
        <v>1830.7313099347227</v>
      </c>
      <c r="S218" s="2">
        <f t="shared" si="30"/>
        <v>401.81774115365971</v>
      </c>
    </row>
    <row r="219" spans="2:19" x14ac:dyDescent="0.25">
      <c r="B219">
        <v>905</v>
      </c>
      <c r="C219" s="28">
        <v>8</v>
      </c>
      <c r="D219" s="35" t="s">
        <v>261</v>
      </c>
      <c r="E219" s="154">
        <f>INDEX('2019 Data Lockdown'!H$5:H$257,MATCH(B219,'2019 Data Lockdown'!B$5:B$257,0))</f>
        <v>93.093193074907703</v>
      </c>
      <c r="F219" s="7">
        <f>INDEX('2019 Data Lockdown'!E$5:E$257,MATCH(B219,'2019 Data Lockdown'!B$5:B$257,0))</f>
        <v>62186.54</v>
      </c>
      <c r="G219" s="7">
        <f>INDEX('2019 Data Lockdown'!F$5:F$257,MATCH(B219,'2019 Data Lockdown'!B$5:B$257,0))</f>
        <v>0</v>
      </c>
      <c r="H219" s="7">
        <f t="shared" si="25"/>
        <v>62186.54</v>
      </c>
      <c r="I219" s="6">
        <f t="shared" si="26"/>
        <v>668.00308321105092</v>
      </c>
      <c r="J219" s="6">
        <f t="shared" si="27"/>
        <v>668.00308321105092</v>
      </c>
      <c r="K219" s="5">
        <f t="shared" si="28"/>
        <v>62186.54</v>
      </c>
      <c r="L219" s="4">
        <f t="shared" si="24"/>
        <v>0</v>
      </c>
      <c r="M219" s="2" cm="1">
        <f t="array" ref="M219">SUMPRODUCT(--($L$6:$L$300&lt;&gt;1),--($C$6:$C$300=$C219),$H$6:$H$300)/SUMPRODUCT(--($L$6:$L$300&lt;&gt;1),--($C$6:$C$300=$C219),$E$6:$E$300)</f>
        <v>1033.3547868468199</v>
      </c>
      <c r="N219" s="1" cm="1">
        <f t="array" ref="N219">SUMPRODUCT(--($L$6:$L$300&lt;&gt;1),--($C$6:$C$300=$C219))</f>
        <v>50</v>
      </c>
      <c r="O219" s="3">
        <f t="shared" si="29"/>
        <v>133481.8673495588</v>
      </c>
      <c r="P219" s="2" cm="1">
        <f t="array" ref="P219">SQRT(SUMPRODUCT(--($L$6:$L$300&lt;&gt;1),--($C$6:$C$300=$C219),$E$6:$E$300,$O$6:$O$300)/((N219-1)*SUMPRODUCT(--($L$6:$L$300&lt;&gt;1),--($C$6:$C$300=$C219),$E$6:$E$300)/N219))</f>
        <v>622.1962069462686</v>
      </c>
      <c r="Q219" s="2">
        <f t="shared" si="23"/>
        <v>235.97826375891714</v>
      </c>
      <c r="R219" s="2">
        <f t="shared" si="23"/>
        <v>1830.7313099347227</v>
      </c>
      <c r="S219" s="2">
        <f t="shared" si="30"/>
        <v>668.00308321105092</v>
      </c>
    </row>
    <row r="220" spans="2:19" x14ac:dyDescent="0.25">
      <c r="B220">
        <v>907</v>
      </c>
      <c r="C220" s="28">
        <v>8</v>
      </c>
      <c r="D220" s="35" t="s">
        <v>262</v>
      </c>
      <c r="E220" s="154">
        <f>INDEX('2019 Data Lockdown'!H$5:H$257,MATCH(B220,'2019 Data Lockdown'!B$5:B$257,0))</f>
        <v>19.623398559009171</v>
      </c>
      <c r="F220" s="7">
        <f>INDEX('2019 Data Lockdown'!E$5:E$257,MATCH(B220,'2019 Data Lockdown'!B$5:B$257,0))</f>
        <v>20189.84</v>
      </c>
      <c r="G220" s="7">
        <f>INDEX('2019 Data Lockdown'!F$5:F$257,MATCH(B220,'2019 Data Lockdown'!B$5:B$257,0))</f>
        <v>0</v>
      </c>
      <c r="H220" s="7">
        <f t="shared" si="25"/>
        <v>20189.84</v>
      </c>
      <c r="I220" s="6">
        <f t="shared" si="26"/>
        <v>1028.8656136340244</v>
      </c>
      <c r="J220" s="6">
        <f t="shared" si="27"/>
        <v>1028.8656136340244</v>
      </c>
      <c r="K220" s="5">
        <f t="shared" si="28"/>
        <v>20189.84</v>
      </c>
      <c r="L220" s="4">
        <f t="shared" si="24"/>
        <v>0</v>
      </c>
      <c r="M220" s="2" cm="1">
        <f t="array" ref="M220">SUMPRODUCT(--($L$6:$L$300&lt;&gt;1),--($C$6:$C$300=$C220),$H$6:$H$300)/SUMPRODUCT(--($L$6:$L$300&lt;&gt;1),--($C$6:$C$300=$C220),$E$6:$E$300)</f>
        <v>1033.3547868468199</v>
      </c>
      <c r="N220" s="1" cm="1">
        <f t="array" ref="N220">SUMPRODUCT(--($L$6:$L$300&lt;&gt;1),--($C$6:$C$300=$C220))</f>
        <v>50</v>
      </c>
      <c r="O220" s="3">
        <f t="shared" si="29"/>
        <v>20.152676134481112</v>
      </c>
      <c r="P220" s="2" cm="1">
        <f t="array" ref="P220">SQRT(SUMPRODUCT(--($L$6:$L$300&lt;&gt;1),--($C$6:$C$300=$C220),$E$6:$E$300,$O$6:$O$300)/((N220-1)*SUMPRODUCT(--($L$6:$L$300&lt;&gt;1),--($C$6:$C$300=$C220),$E$6:$E$300)/N220))</f>
        <v>622.1962069462686</v>
      </c>
      <c r="Q220" s="2">
        <f t="shared" si="23"/>
        <v>235.97826375891714</v>
      </c>
      <c r="R220" s="2">
        <f t="shared" si="23"/>
        <v>1830.7313099347227</v>
      </c>
      <c r="S220" s="2">
        <f t="shared" si="30"/>
        <v>1028.8656136340244</v>
      </c>
    </row>
    <row r="221" spans="2:19" x14ac:dyDescent="0.25">
      <c r="B221">
        <v>918</v>
      </c>
      <c r="C221" s="28">
        <v>8</v>
      </c>
      <c r="D221" s="35" t="s">
        <v>263</v>
      </c>
      <c r="E221" s="154">
        <f>INDEX('2019 Data Lockdown'!H$5:H$257,MATCH(B221,'2019 Data Lockdown'!B$5:B$257,0))</f>
        <v>61.65731239133023</v>
      </c>
      <c r="F221" s="7">
        <f>INDEX('2019 Data Lockdown'!E$5:E$257,MATCH(B221,'2019 Data Lockdown'!B$5:B$257,0))</f>
        <v>92014.79</v>
      </c>
      <c r="G221" s="7">
        <f>INDEX('2019 Data Lockdown'!F$5:F$257,MATCH(B221,'2019 Data Lockdown'!B$5:B$257,0))</f>
        <v>0</v>
      </c>
      <c r="H221" s="7">
        <f t="shared" si="25"/>
        <v>92014.79</v>
      </c>
      <c r="I221" s="6">
        <f t="shared" si="26"/>
        <v>1492.358106950805</v>
      </c>
      <c r="J221" s="6">
        <f t="shared" si="27"/>
        <v>1492.358106950805</v>
      </c>
      <c r="K221" s="5">
        <f t="shared" si="28"/>
        <v>92014.79</v>
      </c>
      <c r="L221" s="4">
        <f t="shared" si="24"/>
        <v>0</v>
      </c>
      <c r="M221" s="2" cm="1">
        <f t="array" ref="M221">SUMPRODUCT(--($L$6:$L$300&lt;&gt;1),--($C$6:$C$300=$C221),$H$6:$H$300)/SUMPRODUCT(--($L$6:$L$300&lt;&gt;1),--($C$6:$C$300=$C221),$E$6:$E$300)</f>
        <v>1033.3547868468199</v>
      </c>
      <c r="N221" s="1" cm="1">
        <f t="array" ref="N221">SUMPRODUCT(--($L$6:$L$300&lt;&gt;1),--($C$6:$C$300=$C221))</f>
        <v>50</v>
      </c>
      <c r="O221" s="3">
        <f t="shared" si="29"/>
        <v>210684.04786648139</v>
      </c>
      <c r="P221" s="2" cm="1">
        <f t="array" ref="P221">SQRT(SUMPRODUCT(--($L$6:$L$300&lt;&gt;1),--($C$6:$C$300=$C221),$E$6:$E$300,$O$6:$O$300)/((N221-1)*SUMPRODUCT(--($L$6:$L$300&lt;&gt;1),--($C$6:$C$300=$C221),$E$6:$E$300)/N221))</f>
        <v>622.1962069462686</v>
      </c>
      <c r="Q221" s="2">
        <f t="shared" si="23"/>
        <v>235.97826375891714</v>
      </c>
      <c r="R221" s="2">
        <f t="shared" si="23"/>
        <v>1830.7313099347227</v>
      </c>
      <c r="S221" s="2">
        <f t="shared" si="30"/>
        <v>1492.358106950805</v>
      </c>
    </row>
    <row r="222" spans="2:19" x14ac:dyDescent="0.25">
      <c r="B222">
        <v>922</v>
      </c>
      <c r="C222" s="28">
        <v>8</v>
      </c>
      <c r="D222" s="35" t="s">
        <v>264</v>
      </c>
      <c r="E222" s="154">
        <f>INDEX('2019 Data Lockdown'!H$5:H$257,MATCH(B222,'2019 Data Lockdown'!B$5:B$257,0))</f>
        <v>48.13</v>
      </c>
      <c r="F222" s="7">
        <f>INDEX('2019 Data Lockdown'!E$5:E$257,MATCH(B222,'2019 Data Lockdown'!B$5:B$257,0))</f>
        <v>133724.62</v>
      </c>
      <c r="G222" s="7">
        <f>INDEX('2019 Data Lockdown'!F$5:F$257,MATCH(B222,'2019 Data Lockdown'!B$5:B$257,0))</f>
        <v>5755.5599999999995</v>
      </c>
      <c r="H222" s="7">
        <f t="shared" si="25"/>
        <v>127969.06</v>
      </c>
      <c r="I222" s="6">
        <f t="shared" si="26"/>
        <v>2658.8211094951171</v>
      </c>
      <c r="J222" s="6">
        <f t="shared" si="27"/>
        <v>1830.7313099347227</v>
      </c>
      <c r="K222" s="5">
        <f t="shared" si="28"/>
        <v>88113.09794715821</v>
      </c>
      <c r="L222" s="4">
        <f t="shared" si="24"/>
        <v>0</v>
      </c>
      <c r="M222" s="2" cm="1">
        <f t="array" ref="M222">SUMPRODUCT(--($L$6:$L$300&lt;&gt;1),--($C$6:$C$300=$C222),$H$6:$H$300)/SUMPRODUCT(--($L$6:$L$300&lt;&gt;1),--($C$6:$C$300=$C222),$E$6:$E$300)</f>
        <v>1033.3547868468199</v>
      </c>
      <c r="N222" s="1" cm="1">
        <f t="array" ref="N222">SUMPRODUCT(--($L$6:$L$300&lt;&gt;1),--($C$6:$C$300=$C222))</f>
        <v>50</v>
      </c>
      <c r="O222" s="3">
        <f t="shared" si="29"/>
        <v>2642140.7660637782</v>
      </c>
      <c r="P222" s="2" cm="1">
        <f t="array" ref="P222">SQRT(SUMPRODUCT(--($L$6:$L$300&lt;&gt;1),--($C$6:$C$300=$C222),$E$6:$E$300,$O$6:$O$300)/((N222-1)*SUMPRODUCT(--($L$6:$L$300&lt;&gt;1),--($C$6:$C$300=$C222),$E$6:$E$300)/N222))</f>
        <v>622.1962069462686</v>
      </c>
      <c r="Q222" s="2">
        <f t="shared" si="23"/>
        <v>235.97826375891714</v>
      </c>
      <c r="R222" s="2">
        <f t="shared" si="23"/>
        <v>1830.7313099347227</v>
      </c>
      <c r="S222" s="2">
        <f t="shared" si="30"/>
        <v>1830.7313099347227</v>
      </c>
    </row>
    <row r="223" spans="2:19" x14ac:dyDescent="0.25">
      <c r="B223">
        <v>924</v>
      </c>
      <c r="C223" s="28">
        <v>8</v>
      </c>
      <c r="D223" s="35" t="s">
        <v>265</v>
      </c>
      <c r="E223" s="154">
        <f>INDEX('2019 Data Lockdown'!H$5:H$257,MATCH(B223,'2019 Data Lockdown'!B$5:B$257,0))</f>
        <v>94.709546028343453</v>
      </c>
      <c r="F223" s="7">
        <f>INDEX('2019 Data Lockdown'!E$5:E$257,MATCH(B223,'2019 Data Lockdown'!B$5:B$257,0))</f>
        <v>60061.57</v>
      </c>
      <c r="G223" s="7">
        <f>INDEX('2019 Data Lockdown'!F$5:F$257,MATCH(B223,'2019 Data Lockdown'!B$5:B$257,0))</f>
        <v>0</v>
      </c>
      <c r="H223" s="7">
        <f t="shared" si="25"/>
        <v>60061.57</v>
      </c>
      <c r="I223" s="6">
        <f t="shared" si="26"/>
        <v>634.1659581181558</v>
      </c>
      <c r="J223" s="6">
        <f t="shared" si="27"/>
        <v>634.1659581181558</v>
      </c>
      <c r="K223" s="5">
        <f t="shared" si="28"/>
        <v>60061.570000000007</v>
      </c>
      <c r="L223" s="4">
        <f t="shared" si="24"/>
        <v>0</v>
      </c>
      <c r="M223" s="2" cm="1">
        <f t="array" ref="M223">SUMPRODUCT(--($L$6:$L$300&lt;&gt;1),--($C$6:$C$300=$C223),$H$6:$H$300)/SUMPRODUCT(--($L$6:$L$300&lt;&gt;1),--($C$6:$C$300=$C223),$E$6:$E$300)</f>
        <v>1033.3547868468199</v>
      </c>
      <c r="N223" s="1" cm="1">
        <f t="array" ref="N223">SUMPRODUCT(--($L$6:$L$300&lt;&gt;1),--($C$6:$C$300=$C223))</f>
        <v>50</v>
      </c>
      <c r="O223" s="3">
        <f t="shared" si="29"/>
        <v>159351.72098176274</v>
      </c>
      <c r="P223" s="2" cm="1">
        <f t="array" ref="P223">SQRT(SUMPRODUCT(--($L$6:$L$300&lt;&gt;1),--($C$6:$C$300=$C223),$E$6:$E$300,$O$6:$O$300)/((N223-1)*SUMPRODUCT(--($L$6:$L$300&lt;&gt;1),--($C$6:$C$300=$C223),$E$6:$E$300)/N223))</f>
        <v>622.1962069462686</v>
      </c>
      <c r="Q223" s="2">
        <f t="shared" si="23"/>
        <v>235.97826375891714</v>
      </c>
      <c r="R223" s="2">
        <f t="shared" si="23"/>
        <v>1830.7313099347227</v>
      </c>
      <c r="S223" s="2">
        <f t="shared" si="30"/>
        <v>634.1659581181558</v>
      </c>
    </row>
    <row r="224" spans="2:19" x14ac:dyDescent="0.25">
      <c r="B224">
        <v>929</v>
      </c>
      <c r="C224" s="28">
        <v>8</v>
      </c>
      <c r="D224" s="35" t="s">
        <v>266</v>
      </c>
      <c r="E224" s="154">
        <f>INDEX('2019 Data Lockdown'!H$5:H$257,MATCH(B224,'2019 Data Lockdown'!B$5:B$257,0))</f>
        <v>53.697866226033099</v>
      </c>
      <c r="F224" s="7">
        <f>INDEX('2019 Data Lockdown'!E$5:E$257,MATCH(B224,'2019 Data Lockdown'!B$5:B$257,0))</f>
        <v>45278.1</v>
      </c>
      <c r="G224" s="7">
        <f>INDEX('2019 Data Lockdown'!F$5:F$257,MATCH(B224,'2019 Data Lockdown'!B$5:B$257,0))</f>
        <v>0</v>
      </c>
      <c r="H224" s="7">
        <f t="shared" si="25"/>
        <v>45278.1</v>
      </c>
      <c r="I224" s="6">
        <f t="shared" si="26"/>
        <v>843.20110243130785</v>
      </c>
      <c r="J224" s="6">
        <f t="shared" si="27"/>
        <v>843.20110243130785</v>
      </c>
      <c r="K224" s="5">
        <f t="shared" si="28"/>
        <v>45278.1</v>
      </c>
      <c r="L224" s="4">
        <f t="shared" si="24"/>
        <v>0</v>
      </c>
      <c r="M224" s="2" cm="1">
        <f t="array" ref="M224">SUMPRODUCT(--($L$6:$L$300&lt;&gt;1),--($C$6:$C$300=$C224),$H$6:$H$300)/SUMPRODUCT(--($L$6:$L$300&lt;&gt;1),--($C$6:$C$300=$C224),$E$6:$E$300)</f>
        <v>1033.3547868468199</v>
      </c>
      <c r="N224" s="1" cm="1">
        <f t="array" ref="N224">SUMPRODUCT(--($L$6:$L$300&lt;&gt;1),--($C$6:$C$300=$C224))</f>
        <v>50</v>
      </c>
      <c r="O224" s="3">
        <f t="shared" si="29"/>
        <v>36158.423696794162</v>
      </c>
      <c r="P224" s="2" cm="1">
        <f t="array" ref="P224">SQRT(SUMPRODUCT(--($L$6:$L$300&lt;&gt;1),--($C$6:$C$300=$C224),$E$6:$E$300,$O$6:$O$300)/((N224-1)*SUMPRODUCT(--($L$6:$L$300&lt;&gt;1),--($C$6:$C$300=$C224),$E$6:$E$300)/N224))</f>
        <v>622.1962069462686</v>
      </c>
      <c r="Q224" s="2">
        <f t="shared" si="23"/>
        <v>235.97826375891714</v>
      </c>
      <c r="R224" s="2">
        <f t="shared" si="23"/>
        <v>1830.7313099347227</v>
      </c>
      <c r="S224" s="2">
        <f t="shared" si="30"/>
        <v>843.20110243130785</v>
      </c>
    </row>
    <row r="225" spans="2:19" x14ac:dyDescent="0.25">
      <c r="B225">
        <v>955</v>
      </c>
      <c r="C225" s="28">
        <v>8</v>
      </c>
      <c r="D225" s="35" t="s">
        <v>267</v>
      </c>
      <c r="E225" s="154">
        <f>INDEX('2019 Data Lockdown'!H$5:H$257,MATCH(B225,'2019 Data Lockdown'!B$5:B$257,0))</f>
        <v>50.276820820063051</v>
      </c>
      <c r="F225" s="7">
        <f>INDEX('2019 Data Lockdown'!E$5:E$257,MATCH(B225,'2019 Data Lockdown'!B$5:B$257,0))</f>
        <v>25073.62</v>
      </c>
      <c r="G225" s="7">
        <f>INDEX('2019 Data Lockdown'!F$5:F$257,MATCH(B225,'2019 Data Lockdown'!B$5:B$257,0))</f>
        <v>0</v>
      </c>
      <c r="H225" s="7">
        <f t="shared" si="25"/>
        <v>25073.62</v>
      </c>
      <c r="I225" s="6">
        <f t="shared" si="26"/>
        <v>498.71132643284255</v>
      </c>
      <c r="J225" s="6">
        <f t="shared" si="27"/>
        <v>498.71132643284255</v>
      </c>
      <c r="K225" s="5">
        <f t="shared" si="28"/>
        <v>25073.62</v>
      </c>
      <c r="L225" s="4">
        <f t="shared" si="24"/>
        <v>0</v>
      </c>
      <c r="M225" s="2" cm="1">
        <f t="array" ref="M225">SUMPRODUCT(--($L$6:$L$300&lt;&gt;1),--($C$6:$C$300=$C225),$H$6:$H$300)/SUMPRODUCT(--($L$6:$L$300&lt;&gt;1),--($C$6:$C$300=$C225),$E$6:$E$300)</f>
        <v>1033.3547868468199</v>
      </c>
      <c r="N225" s="1" cm="1">
        <f t="array" ref="N225">SUMPRODUCT(--($L$6:$L$300&lt;&gt;1),--($C$6:$C$300=$C225))</f>
        <v>50</v>
      </c>
      <c r="O225" s="3">
        <f t="shared" si="29"/>
        <v>285843.62976343225</v>
      </c>
      <c r="P225" s="2" cm="1">
        <f t="array" ref="P225">SQRT(SUMPRODUCT(--($L$6:$L$300&lt;&gt;1),--($C$6:$C$300=$C225),$E$6:$E$300,$O$6:$O$300)/((N225-1)*SUMPRODUCT(--($L$6:$L$300&lt;&gt;1),--($C$6:$C$300=$C225),$E$6:$E$300)/N225))</f>
        <v>622.1962069462686</v>
      </c>
      <c r="Q225" s="2">
        <f t="shared" si="23"/>
        <v>235.97826375891714</v>
      </c>
      <c r="R225" s="2">
        <f t="shared" si="23"/>
        <v>1830.7313099347227</v>
      </c>
      <c r="S225" s="2">
        <f t="shared" si="30"/>
        <v>498.71132643284255</v>
      </c>
    </row>
    <row r="226" spans="2:19" x14ac:dyDescent="0.25">
      <c r="B226">
        <v>973</v>
      </c>
      <c r="C226" s="28">
        <v>8</v>
      </c>
      <c r="D226" s="35" t="s">
        <v>268</v>
      </c>
      <c r="E226" s="154">
        <f>INDEX('2019 Data Lockdown'!H$5:H$257,MATCH(B226,'2019 Data Lockdown'!B$5:B$257,0))</f>
        <v>8.1012111451691897</v>
      </c>
      <c r="F226" s="7">
        <f>INDEX('2019 Data Lockdown'!E$5:E$257,MATCH(B226,'2019 Data Lockdown'!B$5:B$257,0))</f>
        <v>8741.84</v>
      </c>
      <c r="G226" s="7">
        <f>INDEX('2019 Data Lockdown'!F$5:F$257,MATCH(B226,'2019 Data Lockdown'!B$5:B$257,0))</f>
        <v>0</v>
      </c>
      <c r="H226" s="7">
        <f t="shared" si="25"/>
        <v>8741.84</v>
      </c>
      <c r="I226" s="6">
        <f t="shared" si="26"/>
        <v>1079.0781579878735</v>
      </c>
      <c r="J226" s="6">
        <f t="shared" si="27"/>
        <v>1079.0781579878735</v>
      </c>
      <c r="K226" s="5">
        <f t="shared" si="28"/>
        <v>8741.84</v>
      </c>
      <c r="L226" s="4">
        <f t="shared" si="24"/>
        <v>0</v>
      </c>
      <c r="M226" s="2" cm="1">
        <f t="array" ref="M226">SUMPRODUCT(--($L$6:$L$300&lt;&gt;1),--($C$6:$C$300=$C226),$H$6:$H$300)/SUMPRODUCT(--($L$6:$L$300&lt;&gt;1),--($C$6:$C$300=$C226),$E$6:$E$300)</f>
        <v>1033.3547868468199</v>
      </c>
      <c r="N226" s="1" cm="1">
        <f t="array" ref="N226">SUMPRODUCT(--($L$6:$L$300&lt;&gt;1),--($C$6:$C$300=$C226))</f>
        <v>50</v>
      </c>
      <c r="O226" s="3">
        <f t="shared" si="29"/>
        <v>2090.6266685025312</v>
      </c>
      <c r="P226" s="2" cm="1">
        <f t="array" ref="P226">SQRT(SUMPRODUCT(--($L$6:$L$300&lt;&gt;1),--($C$6:$C$300=$C226),$E$6:$E$300,$O$6:$O$300)/((N226-1)*SUMPRODUCT(--($L$6:$L$300&lt;&gt;1),--($C$6:$C$300=$C226),$E$6:$E$300)/N226))</f>
        <v>622.1962069462686</v>
      </c>
      <c r="Q226" s="2">
        <f t="shared" si="23"/>
        <v>235.97826375891714</v>
      </c>
      <c r="R226" s="2">
        <f t="shared" si="23"/>
        <v>1830.7313099347227</v>
      </c>
      <c r="S226" s="2">
        <f t="shared" si="30"/>
        <v>1079.0781579878735</v>
      </c>
    </row>
    <row r="227" spans="2:19" x14ac:dyDescent="0.25">
      <c r="B227">
        <v>974</v>
      </c>
      <c r="C227" s="28">
        <v>8</v>
      </c>
      <c r="D227" s="35" t="s">
        <v>269</v>
      </c>
      <c r="E227" s="154">
        <f>INDEX('2019 Data Lockdown'!H$5:H$257,MATCH(B227,'2019 Data Lockdown'!B$5:B$257,0))</f>
        <v>17.47</v>
      </c>
      <c r="F227" s="7">
        <f>INDEX('2019 Data Lockdown'!E$5:E$257,MATCH(B227,'2019 Data Lockdown'!B$5:B$257,0))</f>
        <v>15310.94</v>
      </c>
      <c r="G227" s="7">
        <f>INDEX('2019 Data Lockdown'!F$5:F$257,MATCH(B227,'2019 Data Lockdown'!B$5:B$257,0))</f>
        <v>0</v>
      </c>
      <c r="H227" s="7">
        <f t="shared" si="25"/>
        <v>15310.94</v>
      </c>
      <c r="I227" s="6">
        <f t="shared" si="26"/>
        <v>876.41327990841455</v>
      </c>
      <c r="J227" s="6">
        <f t="shared" si="27"/>
        <v>876.41327990841455</v>
      </c>
      <c r="K227" s="5">
        <f t="shared" si="28"/>
        <v>15310.94</v>
      </c>
      <c r="L227" s="4">
        <f t="shared" si="24"/>
        <v>0</v>
      </c>
      <c r="M227" s="2" cm="1">
        <f t="array" ref="M227">SUMPRODUCT(--($L$6:$L$300&lt;&gt;1),--($C$6:$C$300=$C227),$H$6:$H$300)/SUMPRODUCT(--($L$6:$L$300&lt;&gt;1),--($C$6:$C$300=$C227),$E$6:$E$300)</f>
        <v>1033.3547868468199</v>
      </c>
      <c r="N227" s="1" cm="1">
        <f t="array" ref="N227">SUMPRODUCT(--($L$6:$L$300&lt;&gt;1),--($C$6:$C$300=$C227))</f>
        <v>50</v>
      </c>
      <c r="O227" s="3">
        <f t="shared" si="29"/>
        <v>24630.636600097543</v>
      </c>
      <c r="P227" s="2" cm="1">
        <f t="array" ref="P227">SQRT(SUMPRODUCT(--($L$6:$L$300&lt;&gt;1),--($C$6:$C$300=$C227),$E$6:$E$300,$O$6:$O$300)/((N227-1)*SUMPRODUCT(--($L$6:$L$300&lt;&gt;1),--($C$6:$C$300=$C227),$E$6:$E$300)/N227))</f>
        <v>622.1962069462686</v>
      </c>
      <c r="Q227" s="2">
        <f t="shared" si="23"/>
        <v>235.97826375891714</v>
      </c>
      <c r="R227" s="2">
        <f t="shared" si="23"/>
        <v>1830.7313099347227</v>
      </c>
      <c r="S227" s="2">
        <f t="shared" si="30"/>
        <v>876.41327990841455</v>
      </c>
    </row>
    <row r="228" spans="2:19" x14ac:dyDescent="0.25">
      <c r="B228">
        <v>985</v>
      </c>
      <c r="C228" s="28">
        <v>8</v>
      </c>
      <c r="D228" s="35" t="s">
        <v>271</v>
      </c>
      <c r="E228" s="154">
        <f>INDEX('2019 Data Lockdown'!H$5:H$257,MATCH(B228,'2019 Data Lockdown'!B$5:B$257,0))</f>
        <v>65.667615124449199</v>
      </c>
      <c r="F228" s="7">
        <f>INDEX('2019 Data Lockdown'!E$5:E$257,MATCH(B228,'2019 Data Lockdown'!B$5:B$257,0))</f>
        <v>119730.94</v>
      </c>
      <c r="G228" s="7">
        <f>INDEX('2019 Data Lockdown'!F$5:F$257,MATCH(B228,'2019 Data Lockdown'!B$5:B$257,0))</f>
        <v>0</v>
      </c>
      <c r="H228" s="7">
        <f t="shared" si="25"/>
        <v>119730.94</v>
      </c>
      <c r="I228" s="6">
        <f t="shared" si="26"/>
        <v>1823.2874724183805</v>
      </c>
      <c r="J228" s="6">
        <f t="shared" si="27"/>
        <v>1823.2874724183805</v>
      </c>
      <c r="K228" s="5">
        <f t="shared" si="28"/>
        <v>119730.94</v>
      </c>
      <c r="L228" s="4">
        <f t="shared" si="24"/>
        <v>0</v>
      </c>
      <c r="M228" s="2" cm="1">
        <f t="array" ref="M228">SUMPRODUCT(--($L$6:$L$300&lt;&gt;1),--($C$6:$C$300=$C228),$H$6:$H$300)/SUMPRODUCT(--($L$6:$L$300&lt;&gt;1),--($C$6:$C$300=$C228),$E$6:$E$300)</f>
        <v>1033.3547868468199</v>
      </c>
      <c r="N228" s="1" cm="1">
        <f t="array" ref="N228">SUMPRODUCT(--($L$6:$L$300&lt;&gt;1),--($C$6:$C$300=$C228))</f>
        <v>50</v>
      </c>
      <c r="O228" s="3">
        <f t="shared" si="29"/>
        <v>623993.64773429802</v>
      </c>
      <c r="P228" s="2" cm="1">
        <f t="array" ref="P228">SQRT(SUMPRODUCT(--($L$6:$L$300&lt;&gt;1),--($C$6:$C$300=$C228),$E$6:$E$300,$O$6:$O$300)/((N228-1)*SUMPRODUCT(--($L$6:$L$300&lt;&gt;1),--($C$6:$C$300=$C228),$E$6:$E$300)/N228))</f>
        <v>622.1962069462686</v>
      </c>
      <c r="Q228" s="2">
        <f t="shared" si="23"/>
        <v>235.97826375891714</v>
      </c>
      <c r="R228" s="2">
        <f t="shared" si="23"/>
        <v>1830.7313099347227</v>
      </c>
      <c r="S228" s="2">
        <f t="shared" si="30"/>
        <v>1823.2874724183805</v>
      </c>
    </row>
    <row r="229" spans="2:19" x14ac:dyDescent="0.25">
      <c r="B229">
        <v>159</v>
      </c>
      <c r="C229" s="36">
        <v>9</v>
      </c>
      <c r="D229" s="35" t="s">
        <v>273</v>
      </c>
      <c r="E229" s="154">
        <f>INDEX('2019 Data Lockdown'!H$5:H$257,MATCH(B229,'2019 Data Lockdown'!B$5:B$257,0))</f>
        <v>721.93312534833865</v>
      </c>
      <c r="F229" s="7">
        <f>INDEX('2019 Data Lockdown'!E$5:E$257,MATCH(B229,'2019 Data Lockdown'!B$5:B$257,0))</f>
        <v>166217.32</v>
      </c>
      <c r="G229" s="7">
        <f>INDEX('2019 Data Lockdown'!F$5:F$257,MATCH(B229,'2019 Data Lockdown'!B$5:B$257,0))</f>
        <v>0</v>
      </c>
      <c r="H229" s="7">
        <f t="shared" si="25"/>
        <v>166217.32</v>
      </c>
      <c r="I229" s="6">
        <f t="shared" si="26"/>
        <v>230.2392204538319</v>
      </c>
      <c r="J229" s="6">
        <f t="shared" si="27"/>
        <v>230.2392204538319</v>
      </c>
      <c r="K229" s="5">
        <f t="shared" si="28"/>
        <v>166217.32</v>
      </c>
      <c r="L229" s="4">
        <f t="shared" si="24"/>
        <v>0</v>
      </c>
      <c r="M229" s="2" cm="1">
        <f t="array" ref="M229">SUMPRODUCT(--($L$6:$L$300&lt;&gt;1),--($C$6:$C$300=$C229),$H$6:$H$300)/SUMPRODUCT(--($L$6:$L$300&lt;&gt;1),--($C$6:$C$300=$C229),$E$6:$E$300)</f>
        <v>828.94936312452319</v>
      </c>
      <c r="N229" s="1" cm="1">
        <f t="array" ref="N229">SUMPRODUCT(--($L$6:$L$300&lt;&gt;1),--($C$6:$C$300=$C229))</f>
        <v>30</v>
      </c>
      <c r="O229" s="3">
        <f t="shared" si="29"/>
        <v>358453.83493675955</v>
      </c>
      <c r="P229" s="2" cm="1">
        <f t="array" ref="P229">SQRT(SUMPRODUCT(--($L$6:$L$300&lt;&gt;1),--($C$6:$C$300=$C229),$E$6:$E$300,$O$6:$O$300)/((N229-1)*SUMPRODUCT(--($L$6:$L$300&lt;&gt;1),--($C$6:$C$300=$C229),$E$6:$E$300)/N229))</f>
        <v>674.52323704703315</v>
      </c>
      <c r="Q229" s="2">
        <f t="shared" si="23"/>
        <v>-35.486947309313905</v>
      </c>
      <c r="R229" s="2">
        <f t="shared" si="23"/>
        <v>1693.3856735583604</v>
      </c>
      <c r="S229" s="2">
        <f t="shared" si="30"/>
        <v>230.2392204538319</v>
      </c>
    </row>
    <row r="230" spans="2:19" x14ac:dyDescent="0.25">
      <c r="B230">
        <v>173</v>
      </c>
      <c r="C230" s="28">
        <v>9</v>
      </c>
      <c r="D230" s="35" t="s">
        <v>274</v>
      </c>
      <c r="E230" s="154">
        <f>INDEX('2019 Data Lockdown'!H$5:H$257,MATCH(B230,'2019 Data Lockdown'!B$5:B$257,0))</f>
        <v>317.52000000000004</v>
      </c>
      <c r="F230" s="7">
        <f>INDEX('2019 Data Lockdown'!E$5:E$257,MATCH(B230,'2019 Data Lockdown'!B$5:B$257,0))</f>
        <v>188734.3</v>
      </c>
      <c r="G230" s="7">
        <f>INDEX('2019 Data Lockdown'!F$5:F$257,MATCH(B230,'2019 Data Lockdown'!B$5:B$257,0))</f>
        <v>0</v>
      </c>
      <c r="H230" s="7">
        <f t="shared" si="25"/>
        <v>188734.3</v>
      </c>
      <c r="I230" s="6">
        <f t="shared" si="26"/>
        <v>594.40129755605938</v>
      </c>
      <c r="J230" s="6">
        <f t="shared" si="27"/>
        <v>594.40129755605938</v>
      </c>
      <c r="K230" s="5">
        <f t="shared" si="28"/>
        <v>188734.3</v>
      </c>
      <c r="L230" s="4">
        <f t="shared" si="24"/>
        <v>0</v>
      </c>
      <c r="M230" s="2" cm="1">
        <f t="array" ref="M230">SUMPRODUCT(--($L$6:$L$300&lt;&gt;1),--($C$6:$C$300=$C230),$H$6:$H$300)/SUMPRODUCT(--($L$6:$L$300&lt;&gt;1),--($C$6:$C$300=$C230),$E$6:$E$300)</f>
        <v>828.94936312452319</v>
      </c>
      <c r="N230" s="1" cm="1">
        <f t="array" ref="N230">SUMPRODUCT(--($L$6:$L$300&lt;&gt;1),--($C$6:$C$300=$C230))</f>
        <v>30</v>
      </c>
      <c r="O230" s="3">
        <f t="shared" si="29"/>
        <v>55012.7950619084</v>
      </c>
      <c r="P230" s="2" cm="1">
        <f t="array" ref="P230">SQRT(SUMPRODUCT(--($L$6:$L$300&lt;&gt;1),--($C$6:$C$300=$C230),$E$6:$E$300,$O$6:$O$300)/((N230-1)*SUMPRODUCT(--($L$6:$L$300&lt;&gt;1),--($C$6:$C$300=$C230),$E$6:$E$300)/N230))</f>
        <v>674.52323704703315</v>
      </c>
      <c r="Q230" s="2">
        <f t="shared" si="23"/>
        <v>-35.486947309313905</v>
      </c>
      <c r="R230" s="2">
        <f t="shared" si="23"/>
        <v>1693.3856735583604</v>
      </c>
      <c r="S230" s="2">
        <f t="shared" si="30"/>
        <v>594.40129755605938</v>
      </c>
    </row>
    <row r="231" spans="2:19" x14ac:dyDescent="0.25">
      <c r="B231">
        <v>204</v>
      </c>
      <c r="C231" s="38">
        <v>9</v>
      </c>
      <c r="D231" s="35" t="s">
        <v>275</v>
      </c>
      <c r="E231" s="154">
        <f>INDEX('2019 Data Lockdown'!H$5:H$257,MATCH(B231,'2019 Data Lockdown'!B$5:B$257,0))</f>
        <v>445.31300985280456</v>
      </c>
      <c r="F231" s="7">
        <f>INDEX('2019 Data Lockdown'!E$5:E$257,MATCH(B231,'2019 Data Lockdown'!B$5:B$257,0))</f>
        <v>522018.01</v>
      </c>
      <c r="G231" s="7">
        <f>INDEX('2019 Data Lockdown'!F$5:F$257,MATCH(B231,'2019 Data Lockdown'!B$5:B$257,0))</f>
        <v>0</v>
      </c>
      <c r="H231" s="7">
        <f t="shared" si="25"/>
        <v>522018.01</v>
      </c>
      <c r="I231" s="6">
        <f t="shared" si="26"/>
        <v>1172.2496276777313</v>
      </c>
      <c r="J231" s="6">
        <f t="shared" si="27"/>
        <v>1172.2496276777313</v>
      </c>
      <c r="K231" s="5">
        <f t="shared" si="28"/>
        <v>522018.01</v>
      </c>
      <c r="L231" s="4">
        <f t="shared" si="24"/>
        <v>0</v>
      </c>
      <c r="M231" s="2" cm="1">
        <f t="array" ref="M231">SUMPRODUCT(--($L$6:$L$300&lt;&gt;1),--($C$6:$C$300=$C231),$H$6:$H$300)/SUMPRODUCT(--($L$6:$L$300&lt;&gt;1),--($C$6:$C$300=$C231),$E$6:$E$300)</f>
        <v>828.94936312452319</v>
      </c>
      <c r="N231" s="1" cm="1">
        <f t="array" ref="N231">SUMPRODUCT(--($L$6:$L$300&lt;&gt;1),--($C$6:$C$300=$C231))</f>
        <v>30</v>
      </c>
      <c r="O231" s="3">
        <f t="shared" si="29"/>
        <v>117855.07164230266</v>
      </c>
      <c r="P231" s="2" cm="1">
        <f t="array" ref="P231">SQRT(SUMPRODUCT(--($L$6:$L$300&lt;&gt;1),--($C$6:$C$300=$C231),$E$6:$E$300,$O$6:$O$300)/((N231-1)*SUMPRODUCT(--($L$6:$L$300&lt;&gt;1),--($C$6:$C$300=$C231),$E$6:$E$300)/N231))</f>
        <v>674.52323704703315</v>
      </c>
      <c r="Q231" s="2">
        <f t="shared" si="23"/>
        <v>-35.486947309313905</v>
      </c>
      <c r="R231" s="2">
        <f t="shared" si="23"/>
        <v>1693.3856735583604</v>
      </c>
      <c r="S231" s="2">
        <f t="shared" si="30"/>
        <v>1172.2496276777313</v>
      </c>
    </row>
    <row r="232" spans="2:19" x14ac:dyDescent="0.25">
      <c r="B232">
        <v>230</v>
      </c>
      <c r="C232" s="38">
        <v>9</v>
      </c>
      <c r="D232" s="35" t="s">
        <v>277</v>
      </c>
      <c r="E232" s="154">
        <f>INDEX('2019 Data Lockdown'!H$5:H$257,MATCH(B232,'2019 Data Lockdown'!B$5:B$257,0))</f>
        <v>137.3463158270811</v>
      </c>
      <c r="F232" s="7">
        <f>INDEX('2019 Data Lockdown'!E$5:E$257,MATCH(B232,'2019 Data Lockdown'!B$5:B$257,0))</f>
        <v>95548.24</v>
      </c>
      <c r="G232" s="7">
        <f>INDEX('2019 Data Lockdown'!F$5:F$257,MATCH(B232,'2019 Data Lockdown'!B$5:B$257,0))</f>
        <v>1799.3000000000002</v>
      </c>
      <c r="H232" s="7">
        <f t="shared" si="25"/>
        <v>93748.94</v>
      </c>
      <c r="I232" s="6">
        <f t="shared" si="26"/>
        <v>682.57338710147746</v>
      </c>
      <c r="J232" s="6">
        <f t="shared" si="27"/>
        <v>682.57338710147746</v>
      </c>
      <c r="K232" s="5">
        <f t="shared" si="28"/>
        <v>93748.94</v>
      </c>
      <c r="L232" s="4">
        <f t="shared" si="24"/>
        <v>0</v>
      </c>
      <c r="M232" s="2" cm="1">
        <f t="array" ref="M232">SUMPRODUCT(--($L$6:$L$300&lt;&gt;1),--($C$6:$C$300=$C232),$H$6:$H$300)/SUMPRODUCT(--($L$6:$L$300&lt;&gt;1),--($C$6:$C$300=$C232),$E$6:$E$300)</f>
        <v>828.94936312452319</v>
      </c>
      <c r="N232" s="1" cm="1">
        <f t="array" ref="N232">SUMPRODUCT(--($L$6:$L$300&lt;&gt;1),--($C$6:$C$300=$C232))</f>
        <v>30</v>
      </c>
      <c r="O232" s="3">
        <f t="shared" si="29"/>
        <v>21425.926356699256</v>
      </c>
      <c r="P232" s="2" cm="1">
        <f t="array" ref="P232">SQRT(SUMPRODUCT(--($L$6:$L$300&lt;&gt;1),--($C$6:$C$300=$C232),$E$6:$E$300,$O$6:$O$300)/((N232-1)*SUMPRODUCT(--($L$6:$L$300&lt;&gt;1),--($C$6:$C$300=$C232),$E$6:$E$300)/N232))</f>
        <v>674.52323704703315</v>
      </c>
      <c r="Q232" s="2">
        <f t="shared" si="23"/>
        <v>-35.486947309313905</v>
      </c>
      <c r="R232" s="2">
        <f t="shared" si="23"/>
        <v>1693.3856735583604</v>
      </c>
      <c r="S232" s="2">
        <f t="shared" si="30"/>
        <v>682.57338710147746</v>
      </c>
    </row>
    <row r="233" spans="2:19" x14ac:dyDescent="0.25">
      <c r="B233">
        <v>277</v>
      </c>
      <c r="C233" s="38">
        <v>9</v>
      </c>
      <c r="D233" s="35" t="s">
        <v>278</v>
      </c>
      <c r="E233" s="154">
        <f>INDEX('2019 Data Lockdown'!H$5:H$257,MATCH(B233,'2019 Data Lockdown'!B$5:B$257,0))</f>
        <v>77.20924891627962</v>
      </c>
      <c r="F233" s="7">
        <f>INDEX('2019 Data Lockdown'!E$5:E$257,MATCH(B233,'2019 Data Lockdown'!B$5:B$257,0))</f>
        <v>193093.73</v>
      </c>
      <c r="G233" s="7">
        <f>INDEX('2019 Data Lockdown'!F$5:F$257,MATCH(B233,'2019 Data Lockdown'!B$5:B$257,0))</f>
        <v>5454.62</v>
      </c>
      <c r="H233" s="7">
        <f t="shared" si="25"/>
        <v>187639.11000000002</v>
      </c>
      <c r="I233" s="6">
        <f t="shared" si="26"/>
        <v>2430.2672624553429</v>
      </c>
      <c r="J233" s="6">
        <f t="shared" si="27"/>
        <v>1693.3856735583604</v>
      </c>
      <c r="K233" s="5">
        <f t="shared" si="28"/>
        <v>130745.03598102927</v>
      </c>
      <c r="L233" s="4">
        <f t="shared" si="24"/>
        <v>0</v>
      </c>
      <c r="M233" s="2" cm="1">
        <f t="array" ref="M233">SUMPRODUCT(--($L$6:$L$300&lt;&gt;1),--($C$6:$C$300=$C233),$H$6:$H$300)/SUMPRODUCT(--($L$6:$L$300&lt;&gt;1),--($C$6:$C$300=$C233),$E$6:$E$300)</f>
        <v>828.94936312452319</v>
      </c>
      <c r="N233" s="1" cm="1">
        <f t="array" ref="N233">SUMPRODUCT(--($L$6:$L$300&lt;&gt;1),--($C$6:$C$300=$C233))</f>
        <v>30</v>
      </c>
      <c r="O233" s="3">
        <f t="shared" si="29"/>
        <v>2564219.0147172692</v>
      </c>
      <c r="P233" s="2" cm="1">
        <f t="array" ref="P233">SQRT(SUMPRODUCT(--($L$6:$L$300&lt;&gt;1),--($C$6:$C$300=$C233),$E$6:$E$300,$O$6:$O$300)/((N233-1)*SUMPRODUCT(--($L$6:$L$300&lt;&gt;1),--($C$6:$C$300=$C233),$E$6:$E$300)/N233))</f>
        <v>674.52323704703315</v>
      </c>
      <c r="Q233" s="2">
        <f t="shared" si="23"/>
        <v>-35.486947309313905</v>
      </c>
      <c r="R233" s="2">
        <f t="shared" si="23"/>
        <v>1693.3856735583604</v>
      </c>
      <c r="S233" s="2">
        <f t="shared" si="30"/>
        <v>1693.3856735583604</v>
      </c>
    </row>
    <row r="234" spans="2:19" x14ac:dyDescent="0.25">
      <c r="B234">
        <v>279</v>
      </c>
      <c r="C234" s="38">
        <v>9</v>
      </c>
      <c r="D234" s="35" t="s">
        <v>279</v>
      </c>
      <c r="E234" s="154">
        <f>INDEX('2019 Data Lockdown'!H$5:H$257,MATCH(B234,'2019 Data Lockdown'!B$5:B$257,0))</f>
        <v>281.14056938192209</v>
      </c>
      <c r="F234" s="7">
        <f>INDEX('2019 Data Lockdown'!E$5:E$257,MATCH(B234,'2019 Data Lockdown'!B$5:B$257,0))</f>
        <v>185521.99</v>
      </c>
      <c r="G234" s="7">
        <f>INDEX('2019 Data Lockdown'!F$5:F$257,MATCH(B234,'2019 Data Lockdown'!B$5:B$257,0))</f>
        <v>796</v>
      </c>
      <c r="H234" s="7">
        <f t="shared" si="25"/>
        <v>184725.99</v>
      </c>
      <c r="I234" s="6">
        <f t="shared" si="26"/>
        <v>657.05917294723326</v>
      </c>
      <c r="J234" s="6">
        <f t="shared" si="27"/>
        <v>657.05917294723326</v>
      </c>
      <c r="K234" s="5">
        <f t="shared" si="28"/>
        <v>184725.99</v>
      </c>
      <c r="L234" s="4">
        <f t="shared" si="24"/>
        <v>0</v>
      </c>
      <c r="M234" s="2" cm="1">
        <f t="array" ref="M234">SUMPRODUCT(--($L$6:$L$300&lt;&gt;1),--($C$6:$C$300=$C234),$H$6:$H$300)/SUMPRODUCT(--($L$6:$L$300&lt;&gt;1),--($C$6:$C$300=$C234),$E$6:$E$300)</f>
        <v>828.94936312452319</v>
      </c>
      <c r="N234" s="1" cm="1">
        <f t="array" ref="N234">SUMPRODUCT(--($L$6:$L$300&lt;&gt;1),--($C$6:$C$300=$C234))</f>
        <v>30</v>
      </c>
      <c r="O234" s="3">
        <f t="shared" si="29"/>
        <v>29546.237479184896</v>
      </c>
      <c r="P234" s="2" cm="1">
        <f t="array" ref="P234">SQRT(SUMPRODUCT(--($L$6:$L$300&lt;&gt;1),--($C$6:$C$300=$C234),$E$6:$E$300,$O$6:$O$300)/((N234-1)*SUMPRODUCT(--($L$6:$L$300&lt;&gt;1),--($C$6:$C$300=$C234),$E$6:$E$300)/N234))</f>
        <v>674.52323704703315</v>
      </c>
      <c r="Q234" s="2">
        <f t="shared" si="23"/>
        <v>-35.486947309313905</v>
      </c>
      <c r="R234" s="2">
        <f t="shared" si="23"/>
        <v>1693.3856735583604</v>
      </c>
      <c r="S234" s="2">
        <f t="shared" si="30"/>
        <v>657.05917294723326</v>
      </c>
    </row>
    <row r="235" spans="2:19" x14ac:dyDescent="0.25">
      <c r="B235">
        <v>331</v>
      </c>
      <c r="C235" s="38">
        <v>9</v>
      </c>
      <c r="D235" s="35" t="s">
        <v>280</v>
      </c>
      <c r="E235" s="154">
        <f>INDEX('2019 Data Lockdown'!H$5:H$257,MATCH(B235,'2019 Data Lockdown'!B$5:B$257,0))</f>
        <v>442.75839063951412</v>
      </c>
      <c r="F235" s="7">
        <f>INDEX('2019 Data Lockdown'!E$5:E$257,MATCH(B235,'2019 Data Lockdown'!B$5:B$257,0))</f>
        <v>160212.76999999999</v>
      </c>
      <c r="G235" s="7">
        <f>INDEX('2019 Data Lockdown'!F$5:F$257,MATCH(B235,'2019 Data Lockdown'!B$5:B$257,0))</f>
        <v>0</v>
      </c>
      <c r="H235" s="7">
        <f t="shared" si="25"/>
        <v>160212.76999999999</v>
      </c>
      <c r="I235" s="6">
        <f t="shared" si="26"/>
        <v>361.85145981895653</v>
      </c>
      <c r="J235" s="6">
        <f t="shared" si="27"/>
        <v>361.85145981895653</v>
      </c>
      <c r="K235" s="5">
        <f t="shared" si="28"/>
        <v>160212.76999999999</v>
      </c>
      <c r="L235" s="4">
        <f t="shared" si="24"/>
        <v>0</v>
      </c>
      <c r="M235" s="2" cm="1">
        <f t="array" ref="M235">SUMPRODUCT(--($L$6:$L$300&lt;&gt;1),--($C$6:$C$300=$C235),$H$6:$H$300)/SUMPRODUCT(--($L$6:$L$300&lt;&gt;1),--($C$6:$C$300=$C235),$E$6:$E$300)</f>
        <v>828.94936312452319</v>
      </c>
      <c r="N235" s="1" cm="1">
        <f t="array" ref="N235">SUMPRODUCT(--($L$6:$L$300&lt;&gt;1),--($C$6:$C$300=$C235))</f>
        <v>30</v>
      </c>
      <c r="O235" s="3">
        <f t="shared" si="29"/>
        <v>218180.4512724565</v>
      </c>
      <c r="P235" s="2" cm="1">
        <f t="array" ref="P235">SQRT(SUMPRODUCT(--($L$6:$L$300&lt;&gt;1),--($C$6:$C$300=$C235),$E$6:$E$300,$O$6:$O$300)/((N235-1)*SUMPRODUCT(--($L$6:$L$300&lt;&gt;1),--($C$6:$C$300=$C235),$E$6:$E$300)/N235))</f>
        <v>674.52323704703315</v>
      </c>
      <c r="Q235" s="2">
        <f t="shared" si="23"/>
        <v>-35.486947309313905</v>
      </c>
      <c r="R235" s="2">
        <f t="shared" si="23"/>
        <v>1693.3856735583604</v>
      </c>
      <c r="S235" s="2">
        <f t="shared" si="30"/>
        <v>361.85145981895653</v>
      </c>
    </row>
    <row r="236" spans="2:19" x14ac:dyDescent="0.25">
      <c r="B236">
        <v>369</v>
      </c>
      <c r="C236" s="38">
        <v>9</v>
      </c>
      <c r="D236" s="35" t="s">
        <v>281</v>
      </c>
      <c r="E236" s="154">
        <f>INDEX('2019 Data Lockdown'!H$5:H$257,MATCH(B236,'2019 Data Lockdown'!B$5:B$257,0))</f>
        <v>372.33</v>
      </c>
      <c r="F236" s="7">
        <f>INDEX('2019 Data Lockdown'!E$5:E$257,MATCH(B236,'2019 Data Lockdown'!B$5:B$257,0))</f>
        <v>439717.41</v>
      </c>
      <c r="G236" s="7">
        <f>INDEX('2019 Data Lockdown'!F$5:F$257,MATCH(B236,'2019 Data Lockdown'!B$5:B$257,0))</f>
        <v>0</v>
      </c>
      <c r="H236" s="7">
        <f t="shared" si="25"/>
        <v>439717.41</v>
      </c>
      <c r="I236" s="6">
        <f t="shared" si="26"/>
        <v>1180.9883973894125</v>
      </c>
      <c r="J236" s="6">
        <f t="shared" si="27"/>
        <v>1180.9883973894125</v>
      </c>
      <c r="K236" s="5">
        <f t="shared" si="28"/>
        <v>439717.40999999992</v>
      </c>
      <c r="L236" s="4">
        <f t="shared" si="24"/>
        <v>0</v>
      </c>
      <c r="M236" s="2" cm="1">
        <f t="array" ref="M236">SUMPRODUCT(--($L$6:$L$300&lt;&gt;1),--($C$6:$C$300=$C236),$H$6:$H$300)/SUMPRODUCT(--($L$6:$L$300&lt;&gt;1),--($C$6:$C$300=$C236),$E$6:$E$300)</f>
        <v>828.94936312452319</v>
      </c>
      <c r="N236" s="1" cm="1">
        <f t="array" ref="N236">SUMPRODUCT(--($L$6:$L$300&lt;&gt;1),--($C$6:$C$300=$C236))</f>
        <v>30</v>
      </c>
      <c r="O236" s="3">
        <f t="shared" si="29"/>
        <v>123931.48164615592</v>
      </c>
      <c r="P236" s="2" cm="1">
        <f t="array" ref="P236">SQRT(SUMPRODUCT(--($L$6:$L$300&lt;&gt;1),--($C$6:$C$300=$C236),$E$6:$E$300,$O$6:$O$300)/((N236-1)*SUMPRODUCT(--($L$6:$L$300&lt;&gt;1),--($C$6:$C$300=$C236),$E$6:$E$300)/N236))</f>
        <v>674.52323704703315</v>
      </c>
      <c r="Q236" s="2">
        <f t="shared" si="23"/>
        <v>-35.486947309313905</v>
      </c>
      <c r="R236" s="2">
        <f t="shared" si="23"/>
        <v>1693.3856735583604</v>
      </c>
      <c r="S236" s="2">
        <f t="shared" si="30"/>
        <v>1180.9883973894125</v>
      </c>
    </row>
    <row r="237" spans="2:19" x14ac:dyDescent="0.25">
      <c r="B237">
        <v>416</v>
      </c>
      <c r="C237" s="38">
        <v>9</v>
      </c>
      <c r="D237" s="35" t="s">
        <v>282</v>
      </c>
      <c r="E237" s="154">
        <f>INDEX('2019 Data Lockdown'!H$5:H$257,MATCH(B237,'2019 Data Lockdown'!B$5:B$257,0))</f>
        <v>63.282402387757521</v>
      </c>
      <c r="F237" s="7">
        <f>INDEX('2019 Data Lockdown'!E$5:E$257,MATCH(B237,'2019 Data Lockdown'!B$5:B$257,0))</f>
        <v>63073.1</v>
      </c>
      <c r="G237" s="7">
        <f>INDEX('2019 Data Lockdown'!F$5:F$257,MATCH(B237,'2019 Data Lockdown'!B$5:B$257,0))</f>
        <v>67.5</v>
      </c>
      <c r="H237" s="7">
        <f t="shared" si="25"/>
        <v>63005.599999999999</v>
      </c>
      <c r="I237" s="6">
        <f t="shared" si="26"/>
        <v>995.62591846527187</v>
      </c>
      <c r="J237" s="6">
        <f t="shared" si="27"/>
        <v>995.62591846527187</v>
      </c>
      <c r="K237" s="5">
        <f t="shared" si="28"/>
        <v>63005.599999999999</v>
      </c>
      <c r="L237" s="4">
        <f t="shared" si="24"/>
        <v>0</v>
      </c>
      <c r="M237" s="2" cm="1">
        <f t="array" ref="M237">SUMPRODUCT(--($L$6:$L$300&lt;&gt;1),--($C$6:$C$300=$C237),$H$6:$H$300)/SUMPRODUCT(--($L$6:$L$300&lt;&gt;1),--($C$6:$C$300=$C237),$E$6:$E$300)</f>
        <v>828.94936312452319</v>
      </c>
      <c r="N237" s="1" cm="1">
        <f t="array" ref="N237">SUMPRODUCT(--($L$6:$L$300&lt;&gt;1),--($C$6:$C$300=$C237))</f>
        <v>30</v>
      </c>
      <c r="O237" s="3">
        <f t="shared" si="29"/>
        <v>27781.074100257658</v>
      </c>
      <c r="P237" s="2" cm="1">
        <f t="array" ref="P237">SQRT(SUMPRODUCT(--($L$6:$L$300&lt;&gt;1),--($C$6:$C$300=$C237),$E$6:$E$300,$O$6:$O$300)/((N237-1)*SUMPRODUCT(--($L$6:$L$300&lt;&gt;1),--($C$6:$C$300=$C237),$E$6:$E$300)/N237))</f>
        <v>674.52323704703315</v>
      </c>
      <c r="Q237" s="2">
        <f t="shared" si="23"/>
        <v>-35.486947309313905</v>
      </c>
      <c r="R237" s="2">
        <f t="shared" si="23"/>
        <v>1693.3856735583604</v>
      </c>
      <c r="S237" s="2">
        <f t="shared" si="30"/>
        <v>995.62591846527187</v>
      </c>
    </row>
    <row r="238" spans="2:19" x14ac:dyDescent="0.25">
      <c r="B238">
        <v>508</v>
      </c>
      <c r="C238" s="38">
        <v>9</v>
      </c>
      <c r="D238" s="35" t="s">
        <v>284</v>
      </c>
      <c r="E238" s="154">
        <f>INDEX('2019 Data Lockdown'!H$5:H$257,MATCH(B238,'2019 Data Lockdown'!B$5:B$257,0))</f>
        <v>83.552342128140978</v>
      </c>
      <c r="F238" s="7">
        <f>INDEX('2019 Data Lockdown'!E$5:E$257,MATCH(B238,'2019 Data Lockdown'!B$5:B$257,0))</f>
        <v>78621.899999999994</v>
      </c>
      <c r="G238" s="7">
        <f>INDEX('2019 Data Lockdown'!F$5:F$257,MATCH(B238,'2019 Data Lockdown'!B$5:B$257,0))</f>
        <v>0</v>
      </c>
      <c r="H238" s="7">
        <f t="shared" si="25"/>
        <v>78621.899999999994</v>
      </c>
      <c r="I238" s="6">
        <f t="shared" si="26"/>
        <v>940.98977954945462</v>
      </c>
      <c r="J238" s="6">
        <f t="shared" si="27"/>
        <v>940.98977954945462</v>
      </c>
      <c r="K238" s="5">
        <f t="shared" si="28"/>
        <v>78621.899999999994</v>
      </c>
      <c r="L238" s="4">
        <f t="shared" si="24"/>
        <v>0</v>
      </c>
      <c r="M238" s="2" cm="1">
        <f t="array" ref="M238">SUMPRODUCT(--($L$6:$L$300&lt;&gt;1),--($C$6:$C$300=$C238),$H$6:$H$300)/SUMPRODUCT(--($L$6:$L$300&lt;&gt;1),--($C$6:$C$300=$C238),$E$6:$E$300)</f>
        <v>828.94936312452319</v>
      </c>
      <c r="N238" s="1" cm="1">
        <f t="array" ref="N238">SUMPRODUCT(--($L$6:$L$300&lt;&gt;1),--($C$6:$C$300=$C238))</f>
        <v>30</v>
      </c>
      <c r="O238" s="3">
        <f t="shared" si="29"/>
        <v>12553.054912672045</v>
      </c>
      <c r="P238" s="2" cm="1">
        <f t="array" ref="P238">SQRT(SUMPRODUCT(--($L$6:$L$300&lt;&gt;1),--($C$6:$C$300=$C238),$E$6:$E$300,$O$6:$O$300)/((N238-1)*SUMPRODUCT(--($L$6:$L$300&lt;&gt;1),--($C$6:$C$300=$C238),$E$6:$E$300)/N238))</f>
        <v>674.52323704703315</v>
      </c>
      <c r="Q238" s="2">
        <f t="shared" si="23"/>
        <v>-35.486947309313905</v>
      </c>
      <c r="R238" s="2">
        <f t="shared" si="23"/>
        <v>1693.3856735583604</v>
      </c>
      <c r="S238" s="2">
        <f t="shared" si="30"/>
        <v>940.98977954945462</v>
      </c>
    </row>
    <row r="239" spans="2:19" x14ac:dyDescent="0.25">
      <c r="B239">
        <v>512</v>
      </c>
      <c r="C239" s="38">
        <v>9</v>
      </c>
      <c r="D239" s="35" t="s">
        <v>285</v>
      </c>
      <c r="E239" s="154">
        <f>INDEX('2019 Data Lockdown'!H$5:H$257,MATCH(B239,'2019 Data Lockdown'!B$5:B$257,0))</f>
        <v>208.64932368107657</v>
      </c>
      <c r="F239" s="7">
        <f>INDEX('2019 Data Lockdown'!E$5:E$257,MATCH(B239,'2019 Data Lockdown'!B$5:B$257,0))</f>
        <v>275963.07</v>
      </c>
      <c r="G239" s="7">
        <f>INDEX('2019 Data Lockdown'!F$5:F$257,MATCH(B239,'2019 Data Lockdown'!B$5:B$257,0))</f>
        <v>3670.08</v>
      </c>
      <c r="H239" s="7">
        <f t="shared" si="25"/>
        <v>272292.99</v>
      </c>
      <c r="I239" s="6">
        <f t="shared" si="26"/>
        <v>1305.026947588882</v>
      </c>
      <c r="J239" s="6">
        <f t="shared" si="27"/>
        <v>1305.026947588882</v>
      </c>
      <c r="K239" s="5">
        <f t="shared" si="28"/>
        <v>272292.99</v>
      </c>
      <c r="L239" s="4">
        <f t="shared" si="24"/>
        <v>0</v>
      </c>
      <c r="M239" s="2" cm="1">
        <f t="array" ref="M239">SUMPRODUCT(--($L$6:$L$300&lt;&gt;1),--($C$6:$C$300=$C239),$H$6:$H$300)/SUMPRODUCT(--($L$6:$L$300&lt;&gt;1),--($C$6:$C$300=$C239),$E$6:$E$300)</f>
        <v>828.94936312452319</v>
      </c>
      <c r="N239" s="1" cm="1">
        <f t="array" ref="N239">SUMPRODUCT(--($L$6:$L$300&lt;&gt;1),--($C$6:$C$300=$C239))</f>
        <v>30</v>
      </c>
      <c r="O239" s="3">
        <f t="shared" si="29"/>
        <v>226649.86642941867</v>
      </c>
      <c r="P239" s="2" cm="1">
        <f t="array" ref="P239">SQRT(SUMPRODUCT(--($L$6:$L$300&lt;&gt;1),--($C$6:$C$300=$C239),$E$6:$E$300,$O$6:$O$300)/((N239-1)*SUMPRODUCT(--($L$6:$L$300&lt;&gt;1),--($C$6:$C$300=$C239),$E$6:$E$300)/N239))</f>
        <v>674.52323704703315</v>
      </c>
      <c r="Q239" s="2">
        <f t="shared" si="23"/>
        <v>-35.486947309313905</v>
      </c>
      <c r="R239" s="2">
        <f t="shared" si="23"/>
        <v>1693.3856735583604</v>
      </c>
      <c r="S239" s="2">
        <f t="shared" si="30"/>
        <v>1305.026947588882</v>
      </c>
    </row>
    <row r="240" spans="2:19" x14ac:dyDescent="0.25">
      <c r="B240">
        <v>516</v>
      </c>
      <c r="C240" s="38">
        <v>9</v>
      </c>
      <c r="D240" s="35" t="s">
        <v>286</v>
      </c>
      <c r="E240" s="154">
        <f>INDEX('2019 Data Lockdown'!H$5:H$257,MATCH(B240,'2019 Data Lockdown'!B$5:B$257,0))</f>
        <v>310.85525259616531</v>
      </c>
      <c r="F240" s="7">
        <f>INDEX('2019 Data Lockdown'!E$5:E$257,MATCH(B240,'2019 Data Lockdown'!B$5:B$257,0))</f>
        <v>161888.84</v>
      </c>
      <c r="G240" s="7">
        <f>INDEX('2019 Data Lockdown'!F$5:F$257,MATCH(B240,'2019 Data Lockdown'!B$5:B$257,0))</f>
        <v>144.16</v>
      </c>
      <c r="H240" s="7">
        <f t="shared" si="25"/>
        <v>161744.68</v>
      </c>
      <c r="I240" s="6">
        <f t="shared" si="26"/>
        <v>520.32152794318029</v>
      </c>
      <c r="J240" s="6">
        <f t="shared" si="27"/>
        <v>520.32152794318029</v>
      </c>
      <c r="K240" s="5">
        <f t="shared" si="28"/>
        <v>161744.68</v>
      </c>
      <c r="L240" s="4">
        <f t="shared" si="24"/>
        <v>0</v>
      </c>
      <c r="M240" s="2" cm="1">
        <f t="array" ref="M240">SUMPRODUCT(--($L$6:$L$300&lt;&gt;1),--($C$6:$C$300=$C240),$H$6:$H$300)/SUMPRODUCT(--($L$6:$L$300&lt;&gt;1),--($C$6:$C$300=$C240),$E$6:$E$300)</f>
        <v>828.94936312452319</v>
      </c>
      <c r="N240" s="1" cm="1">
        <f t="array" ref="N240">SUMPRODUCT(--($L$6:$L$300&lt;&gt;1),--($C$6:$C$300=$C240))</f>
        <v>30</v>
      </c>
      <c r="O240" s="3">
        <f t="shared" si="29"/>
        <v>95251.140648722154</v>
      </c>
      <c r="P240" s="2" cm="1">
        <f t="array" ref="P240">SQRT(SUMPRODUCT(--($L$6:$L$300&lt;&gt;1),--($C$6:$C$300=$C240),$E$6:$E$300,$O$6:$O$300)/((N240-1)*SUMPRODUCT(--($L$6:$L$300&lt;&gt;1),--($C$6:$C$300=$C240),$E$6:$E$300)/N240))</f>
        <v>674.52323704703315</v>
      </c>
      <c r="Q240" s="2">
        <f t="shared" si="23"/>
        <v>-35.486947309313905</v>
      </c>
      <c r="R240" s="2">
        <f t="shared" si="23"/>
        <v>1693.3856735583604</v>
      </c>
      <c r="S240" s="2">
        <f t="shared" si="30"/>
        <v>520.32152794318029</v>
      </c>
    </row>
    <row r="241" spans="2:26" x14ac:dyDescent="0.25">
      <c r="B241">
        <v>521</v>
      </c>
      <c r="C241" s="38">
        <v>9</v>
      </c>
      <c r="D241" s="35" t="s">
        <v>287</v>
      </c>
      <c r="E241" s="154">
        <f>INDEX('2019 Data Lockdown'!H$5:H$257,MATCH(B241,'2019 Data Lockdown'!B$5:B$257,0))</f>
        <v>125.15814085387638</v>
      </c>
      <c r="F241" s="7">
        <f>INDEX('2019 Data Lockdown'!E$5:E$257,MATCH(B241,'2019 Data Lockdown'!B$5:B$257,0))</f>
        <v>379162.42</v>
      </c>
      <c r="G241" s="7">
        <f>INDEX('2019 Data Lockdown'!F$5:F$257,MATCH(B241,'2019 Data Lockdown'!B$5:B$257,0))</f>
        <v>79.650000000000006</v>
      </c>
      <c r="H241" s="7">
        <f t="shared" si="25"/>
        <v>379082.76999999996</v>
      </c>
      <c r="I241" s="6">
        <f t="shared" si="26"/>
        <v>3028.8303055139149</v>
      </c>
      <c r="J241" s="6">
        <f t="shared" si="27"/>
        <v>1693.3856735583604</v>
      </c>
      <c r="K241" s="5">
        <f t="shared" si="28"/>
        <v>211941.0026511536</v>
      </c>
      <c r="L241" s="4">
        <f t="shared" ref="L241:L249" si="31">IF(ISERROR(I241),1,0)</f>
        <v>0</v>
      </c>
      <c r="M241" s="2" cm="1">
        <f t="array" ref="M241">SUMPRODUCT(--($L$6:$L$300&lt;&gt;1),--($C$6:$C$300=$C241),$H$6:$H$300)/SUMPRODUCT(--($L$6:$L$300&lt;&gt;1),--($C$6:$C$300=$C241),$E$6:$E$300)</f>
        <v>828.94936312452319</v>
      </c>
      <c r="N241" s="1" cm="1">
        <f t="array" ref="N241">SUMPRODUCT(--($L$6:$L$300&lt;&gt;1),--($C$6:$C$300=$C241))</f>
        <v>30</v>
      </c>
      <c r="O241" s="3">
        <f t="shared" si="29"/>
        <v>4839476.160688038</v>
      </c>
      <c r="P241" s="2" cm="1">
        <f t="array" ref="P241">SQRT(SUMPRODUCT(--($L$6:$L$300&lt;&gt;1),--($C$6:$C$300=$C241),$E$6:$E$300,$O$6:$O$300)/((N241-1)*SUMPRODUCT(--($L$6:$L$300&lt;&gt;1),--($C$6:$C$300=$C241),$E$6:$E$300)/N241))</f>
        <v>674.52323704703315</v>
      </c>
      <c r="Q241" s="2">
        <f t="shared" si="23"/>
        <v>-35.486947309313905</v>
      </c>
      <c r="R241" s="2">
        <f t="shared" si="23"/>
        <v>1693.3856735583604</v>
      </c>
      <c r="S241" s="2">
        <f t="shared" si="30"/>
        <v>1693.3856735583604</v>
      </c>
    </row>
    <row r="242" spans="2:26" x14ac:dyDescent="0.25">
      <c r="B242">
        <v>522</v>
      </c>
      <c r="C242" s="38">
        <v>9</v>
      </c>
      <c r="D242" s="35" t="s">
        <v>288</v>
      </c>
      <c r="E242" s="154">
        <f>INDEX('2019 Data Lockdown'!H$5:H$257,MATCH(B242,'2019 Data Lockdown'!B$5:B$257,0))</f>
        <v>76.169540800285816</v>
      </c>
      <c r="F242" s="7">
        <f>INDEX('2019 Data Lockdown'!E$5:E$257,MATCH(B242,'2019 Data Lockdown'!B$5:B$257,0))</f>
        <v>123348.86</v>
      </c>
      <c r="G242" s="7">
        <f>INDEX('2019 Data Lockdown'!F$5:F$257,MATCH(B242,'2019 Data Lockdown'!B$5:B$257,0))</f>
        <v>84</v>
      </c>
      <c r="H242" s="7">
        <f t="shared" si="25"/>
        <v>123264.86</v>
      </c>
      <c r="I242" s="6">
        <f t="shared" si="26"/>
        <v>1618.2959580023812</v>
      </c>
      <c r="J242" s="6">
        <f t="shared" si="27"/>
        <v>1618.2959580023812</v>
      </c>
      <c r="K242" s="5">
        <f t="shared" si="28"/>
        <v>123264.86</v>
      </c>
      <c r="L242" s="4">
        <f t="shared" si="31"/>
        <v>0</v>
      </c>
      <c r="M242" s="2" cm="1">
        <f t="array" ref="M242">SUMPRODUCT(--($L$6:$L$300&lt;&gt;1),--($C$6:$C$300=$C242),$H$6:$H$300)/SUMPRODUCT(--($L$6:$L$300&lt;&gt;1),--($C$6:$C$300=$C242),$E$6:$E$300)</f>
        <v>828.94936312452319</v>
      </c>
      <c r="N242" s="1" cm="1">
        <f t="array" ref="N242">SUMPRODUCT(--($L$6:$L$300&lt;&gt;1),--($C$6:$C$300=$C242))</f>
        <v>30</v>
      </c>
      <c r="O242" s="3">
        <f t="shared" si="29"/>
        <v>623068.04684526927</v>
      </c>
      <c r="P242" s="2" cm="1">
        <f t="array" ref="P242">SQRT(SUMPRODUCT(--($L$6:$L$300&lt;&gt;1),--($C$6:$C$300=$C242),$E$6:$E$300,$O$6:$O$300)/((N242-1)*SUMPRODUCT(--($L$6:$L$300&lt;&gt;1),--($C$6:$C$300=$C242),$E$6:$E$300)/N242))</f>
        <v>674.52323704703315</v>
      </c>
      <c r="Q242" s="2">
        <f t="shared" si="23"/>
        <v>-35.486947309313905</v>
      </c>
      <c r="R242" s="2">
        <f t="shared" si="23"/>
        <v>1693.3856735583604</v>
      </c>
      <c r="S242" s="2">
        <f t="shared" si="30"/>
        <v>1618.2959580023812</v>
      </c>
    </row>
    <row r="243" spans="2:26" x14ac:dyDescent="0.25">
      <c r="B243">
        <v>523</v>
      </c>
      <c r="C243" s="38">
        <v>9</v>
      </c>
      <c r="D243" s="35" t="s">
        <v>289</v>
      </c>
      <c r="E243" s="154">
        <f>INDEX('2019 Data Lockdown'!H$5:H$257,MATCH(B243,'2019 Data Lockdown'!B$5:B$257,0))</f>
        <v>698.36058335715143</v>
      </c>
      <c r="F243" s="7">
        <f>INDEX('2019 Data Lockdown'!E$5:E$257,MATCH(B243,'2019 Data Lockdown'!B$5:B$257,0))</f>
        <v>315458.90999999997</v>
      </c>
      <c r="G243" s="7">
        <f>INDEX('2019 Data Lockdown'!F$5:F$257,MATCH(B243,'2019 Data Lockdown'!B$5:B$257,0))</f>
        <v>856.49</v>
      </c>
      <c r="H243" s="7">
        <f t="shared" si="25"/>
        <v>314602.42</v>
      </c>
      <c r="I243" s="6">
        <f t="shared" si="26"/>
        <v>450.48708002339799</v>
      </c>
      <c r="J243" s="6">
        <f t="shared" si="27"/>
        <v>450.48708002339799</v>
      </c>
      <c r="K243" s="5">
        <f t="shared" si="28"/>
        <v>314602.42</v>
      </c>
      <c r="L243" s="4">
        <f t="shared" si="31"/>
        <v>0</v>
      </c>
      <c r="M243" s="2" cm="1">
        <f t="array" ref="M243">SUMPRODUCT(--($L$6:$L$300&lt;&gt;1),--($C$6:$C$300=$C243),$H$6:$H$300)/SUMPRODUCT(--($L$6:$L$300&lt;&gt;1),--($C$6:$C$300=$C243),$E$6:$E$300)</f>
        <v>828.94936312452319</v>
      </c>
      <c r="N243" s="1" cm="1">
        <f t="array" ref="N243">SUMPRODUCT(--($L$6:$L$300&lt;&gt;1),--($C$6:$C$300=$C243))</f>
        <v>30</v>
      </c>
      <c r="O243" s="3">
        <f t="shared" si="29"/>
        <v>143233.69973011623</v>
      </c>
      <c r="P243" s="2" cm="1">
        <f t="array" ref="P243">SQRT(SUMPRODUCT(--($L$6:$L$300&lt;&gt;1),--($C$6:$C$300=$C243),$E$6:$E$300,$O$6:$O$300)/((N243-1)*SUMPRODUCT(--($L$6:$L$300&lt;&gt;1),--($C$6:$C$300=$C243),$E$6:$E$300)/N243))</f>
        <v>674.52323704703315</v>
      </c>
      <c r="Q243" s="2">
        <f t="shared" ref="Q243:R258" si="32">NORMINV(Q$4,$M243,$P243)</f>
        <v>-35.486947309313905</v>
      </c>
      <c r="R243" s="2">
        <f t="shared" si="32"/>
        <v>1693.3856735583604</v>
      </c>
      <c r="S243" s="2">
        <f t="shared" si="30"/>
        <v>450.48708002339799</v>
      </c>
    </row>
    <row r="244" spans="2:26" x14ac:dyDescent="0.25">
      <c r="B244" s="30">
        <v>527</v>
      </c>
      <c r="C244" s="30">
        <v>9</v>
      </c>
      <c r="D244" s="35" t="s">
        <v>290</v>
      </c>
      <c r="E244" s="154">
        <f>INDEX('2019 Data Lockdown'!H$5:H$257,MATCH(B244,'2019 Data Lockdown'!B$5:B$257,0))</f>
        <v>153.26520815767537</v>
      </c>
      <c r="F244" s="7">
        <f>INDEX('2019 Data Lockdown'!E$5:E$257,MATCH(B244,'2019 Data Lockdown'!B$5:B$257,0))</f>
        <v>133668.4</v>
      </c>
      <c r="G244" s="7">
        <f>INDEX('2019 Data Lockdown'!F$5:F$257,MATCH(B244,'2019 Data Lockdown'!B$5:B$257,0))</f>
        <v>150</v>
      </c>
      <c r="H244" s="7">
        <f t="shared" si="25"/>
        <v>133518.39999999999</v>
      </c>
      <c r="I244" s="6">
        <f t="shared" si="26"/>
        <v>871.15922527335522</v>
      </c>
      <c r="J244" s="6">
        <f t="shared" si="27"/>
        <v>871.15922527335522</v>
      </c>
      <c r="K244" s="5">
        <f t="shared" si="28"/>
        <v>133518.39999999999</v>
      </c>
      <c r="L244" s="4">
        <f t="shared" si="31"/>
        <v>0</v>
      </c>
      <c r="M244" s="2" cm="1">
        <f t="array" ref="M244">SUMPRODUCT(--($L$6:$L$300&lt;&gt;1),--($C$6:$C$300=$C244),$H$6:$H$300)/SUMPRODUCT(--($L$6:$L$300&lt;&gt;1),--($C$6:$C$300=$C244),$E$6:$E$300)</f>
        <v>828.94936312452319</v>
      </c>
      <c r="N244" s="1" cm="1">
        <f t="array" ref="N244">SUMPRODUCT(--($L$6:$L$300&lt;&gt;1),--($C$6:$C$300=$C244))</f>
        <v>30</v>
      </c>
      <c r="O244" s="3">
        <f t="shared" si="29"/>
        <v>1781.6724626234029</v>
      </c>
      <c r="P244" s="2" cm="1">
        <f t="array" ref="P244">SQRT(SUMPRODUCT(--($L$6:$L$300&lt;&gt;1),--($C$6:$C$300=$C244),$E$6:$E$300,$O$6:$O$300)/((N244-1)*SUMPRODUCT(--($L$6:$L$300&lt;&gt;1),--($C$6:$C$300=$C244),$E$6:$E$300)/N244))</f>
        <v>674.52323704703315</v>
      </c>
      <c r="Q244" s="2">
        <f t="shared" si="32"/>
        <v>-35.486947309313905</v>
      </c>
      <c r="R244" s="2">
        <f t="shared" si="32"/>
        <v>1693.3856735583604</v>
      </c>
      <c r="S244" s="2">
        <f t="shared" si="30"/>
        <v>871.15922527335522</v>
      </c>
    </row>
    <row r="245" spans="2:26" x14ac:dyDescent="0.25">
      <c r="B245" s="26">
        <v>543</v>
      </c>
      <c r="C245" s="38">
        <v>9</v>
      </c>
      <c r="D245" s="35" t="s">
        <v>291</v>
      </c>
      <c r="E245" s="154">
        <f>INDEX('2019 Data Lockdown'!H$5:H$257,MATCH(B245,'2019 Data Lockdown'!B$5:B$257,0))</f>
        <v>79.576987566988208</v>
      </c>
      <c r="F245" s="7">
        <f>INDEX('2019 Data Lockdown'!E$5:E$257,MATCH(B245,'2019 Data Lockdown'!B$5:B$257,0))</f>
        <v>46654.18</v>
      </c>
      <c r="G245" s="7">
        <f>INDEX('2019 Data Lockdown'!F$5:F$257,MATCH(B245,'2019 Data Lockdown'!B$5:B$257,0))</f>
        <v>0</v>
      </c>
      <c r="H245" s="7">
        <f t="shared" si="25"/>
        <v>46654.18</v>
      </c>
      <c r="I245" s="6">
        <f t="shared" si="26"/>
        <v>586.2772822447738</v>
      </c>
      <c r="J245" s="6">
        <f t="shared" si="27"/>
        <v>586.2772822447738</v>
      </c>
      <c r="K245" s="5">
        <f t="shared" si="28"/>
        <v>46654.18</v>
      </c>
      <c r="L245" s="4">
        <f t="shared" si="31"/>
        <v>0</v>
      </c>
      <c r="M245" s="2" cm="1">
        <f t="array" ref="M245">SUMPRODUCT(--($L$6:$L$300&lt;&gt;1),--($C$6:$C$300=$C245),$H$6:$H$300)/SUMPRODUCT(--($L$6:$L$300&lt;&gt;1),--($C$6:$C$300=$C245),$E$6:$E$300)</f>
        <v>828.94936312452319</v>
      </c>
      <c r="N245" s="1" cm="1">
        <f t="array" ref="N245">SUMPRODUCT(--($L$6:$L$300&lt;&gt;1),--($C$6:$C$300=$C245))</f>
        <v>30</v>
      </c>
      <c r="O245" s="3">
        <f t="shared" si="29"/>
        <v>58889.738838507626</v>
      </c>
      <c r="P245" s="2" cm="1">
        <f t="array" ref="P245">SQRT(SUMPRODUCT(--($L$6:$L$300&lt;&gt;1),--($C$6:$C$300=$C245),$E$6:$E$300,$O$6:$O$300)/((N245-1)*SUMPRODUCT(--($L$6:$L$300&lt;&gt;1),--($C$6:$C$300=$C245),$E$6:$E$300)/N245))</f>
        <v>674.52323704703315</v>
      </c>
      <c r="Q245" s="2">
        <f t="shared" si="32"/>
        <v>-35.486947309313905</v>
      </c>
      <c r="R245" s="2">
        <f t="shared" si="32"/>
        <v>1693.3856735583604</v>
      </c>
      <c r="S245" s="2">
        <f t="shared" si="30"/>
        <v>586.2772822447738</v>
      </c>
    </row>
    <row r="246" spans="2:26" x14ac:dyDescent="0.25">
      <c r="B246" s="26">
        <v>547</v>
      </c>
      <c r="C246" s="38">
        <v>9</v>
      </c>
      <c r="D246" s="35" t="s">
        <v>292</v>
      </c>
      <c r="E246" s="154">
        <f>INDEX('2019 Data Lockdown'!H$5:H$257,MATCH(B246,'2019 Data Lockdown'!B$5:B$257,0))</f>
        <v>219.72789419435514</v>
      </c>
      <c r="F246" s="7">
        <f>INDEX('2019 Data Lockdown'!E$5:E$257,MATCH(B246,'2019 Data Lockdown'!B$5:B$257,0))</f>
        <v>122138.68</v>
      </c>
      <c r="G246" s="7">
        <f>INDEX('2019 Data Lockdown'!F$5:F$257,MATCH(B246,'2019 Data Lockdown'!B$5:B$257,0))</f>
        <v>0</v>
      </c>
      <c r="H246" s="7">
        <f t="shared" si="25"/>
        <v>122138.68</v>
      </c>
      <c r="I246" s="6">
        <f t="shared" ref="I246:I254" si="33">H246/E246</f>
        <v>555.8633347296593</v>
      </c>
      <c r="J246" s="6">
        <f t="shared" ref="J246:J254" si="34">IF(ISERROR(IF($J$2=1,MAX(MIN(I246,R246),Q246),MIN(I246,R246))),R246,IF($J$2=1,MAX(MIN(I246,R246),Q246),MIN(I246,R246)))</f>
        <v>555.8633347296593</v>
      </c>
      <c r="K246" s="5">
        <f t="shared" ref="K246:K254" si="35">J246*E246</f>
        <v>122138.68</v>
      </c>
      <c r="L246" s="4">
        <f t="shared" si="31"/>
        <v>0</v>
      </c>
      <c r="M246" s="2" cm="1">
        <f t="array" ref="M246">SUMPRODUCT(--($L$6:$L$300&lt;&gt;1),--($C$6:$C$300=$C246),$H$6:$H$300)/SUMPRODUCT(--($L$6:$L$300&lt;&gt;1),--($C$6:$C$300=$C246),$E$6:$E$300)</f>
        <v>828.94936312452319</v>
      </c>
      <c r="N246" s="1" cm="1">
        <f t="array" ref="N246">SUMPRODUCT(--($L$6:$L$300&lt;&gt;1),--($C$6:$C$300=$C246))</f>
        <v>30</v>
      </c>
      <c r="O246" s="3">
        <f t="shared" si="29"/>
        <v>74575.978904480406</v>
      </c>
      <c r="P246" s="2" cm="1">
        <f t="array" ref="P246">SQRT(SUMPRODUCT(--($L$6:$L$300&lt;&gt;1),--($C$6:$C$300=$C246),$E$6:$E$300,$O$6:$O$300)/((N246-1)*SUMPRODUCT(--($L$6:$L$300&lt;&gt;1),--($C$6:$C$300=$C246),$E$6:$E$300)/N246))</f>
        <v>674.52323704703315</v>
      </c>
      <c r="Q246" s="2">
        <f t="shared" si="32"/>
        <v>-35.486947309313905</v>
      </c>
      <c r="R246" s="2">
        <f t="shared" si="32"/>
        <v>1693.3856735583604</v>
      </c>
      <c r="S246" s="2">
        <f t="shared" si="30"/>
        <v>555.8633347296593</v>
      </c>
    </row>
    <row r="247" spans="2:26" x14ac:dyDescent="0.25">
      <c r="B247" s="26">
        <v>550</v>
      </c>
      <c r="C247" s="38">
        <v>9</v>
      </c>
      <c r="D247" s="35" t="s">
        <v>198</v>
      </c>
      <c r="E247" s="154">
        <f>INDEX('2019 Data Lockdown'!H$5:H$257,MATCH(B247,'2019 Data Lockdown'!B$5:B$257,0))</f>
        <v>242.01</v>
      </c>
      <c r="F247" s="7">
        <f>INDEX('2019 Data Lockdown'!E$5:E$257,MATCH(B247,'2019 Data Lockdown'!B$5:B$257,0))</f>
        <v>463950.3</v>
      </c>
      <c r="G247" s="7">
        <f>INDEX('2019 Data Lockdown'!F$5:F$257,MATCH(B247,'2019 Data Lockdown'!B$5:B$257,0))</f>
        <v>1281.74</v>
      </c>
      <c r="H247" s="7">
        <f t="shared" si="25"/>
        <v>462668.56</v>
      </c>
      <c r="I247" s="6">
        <f t="shared" si="33"/>
        <v>1911.7745547704642</v>
      </c>
      <c r="J247" s="6">
        <f t="shared" si="34"/>
        <v>1693.3856735583604</v>
      </c>
      <c r="K247" s="5">
        <f t="shared" si="35"/>
        <v>409816.26685785881</v>
      </c>
      <c r="L247" s="4">
        <f t="shared" si="31"/>
        <v>0</v>
      </c>
      <c r="M247" s="2" cm="1">
        <f t="array" ref="M247">SUMPRODUCT(--($L$6:$L$300&lt;&gt;1),--($C$6:$C$300=$C247),$H$6:$H$300)/SUMPRODUCT(--($L$6:$L$300&lt;&gt;1),--($C$6:$C$300=$C247),$E$6:$E$300)</f>
        <v>828.94936312452319</v>
      </c>
      <c r="N247" s="1" cm="1">
        <f t="array" ref="N247">SUMPRODUCT(--($L$6:$L$300&lt;&gt;1),--($C$6:$C$300=$C247))</f>
        <v>30</v>
      </c>
      <c r="O247" s="3">
        <f t="shared" si="29"/>
        <v>1172510.3956630689</v>
      </c>
      <c r="P247" s="2" cm="1">
        <f t="array" ref="P247">SQRT(SUMPRODUCT(--($L$6:$L$300&lt;&gt;1),--($C$6:$C$300=$C247),$E$6:$E$300,$O$6:$O$300)/((N247-1)*SUMPRODUCT(--($L$6:$L$300&lt;&gt;1),--($C$6:$C$300=$C247),$E$6:$E$300)/N247))</f>
        <v>674.52323704703315</v>
      </c>
      <c r="Q247" s="2">
        <f t="shared" si="32"/>
        <v>-35.486947309313905</v>
      </c>
      <c r="R247" s="2">
        <f t="shared" si="32"/>
        <v>1693.3856735583604</v>
      </c>
      <c r="S247" s="2">
        <f t="shared" si="30"/>
        <v>1693.3856735583604</v>
      </c>
    </row>
    <row r="248" spans="2:26" x14ac:dyDescent="0.25">
      <c r="B248" s="26">
        <v>552</v>
      </c>
      <c r="C248" s="38">
        <v>9</v>
      </c>
      <c r="D248" s="35" t="s">
        <v>293</v>
      </c>
      <c r="E248" s="154">
        <f>INDEX('2019 Data Lockdown'!H$5:H$257,MATCH(B248,'2019 Data Lockdown'!B$5:B$257,0))</f>
        <v>122.80000000000001</v>
      </c>
      <c r="F248" s="7">
        <f>INDEX('2019 Data Lockdown'!E$5:E$257,MATCH(B248,'2019 Data Lockdown'!B$5:B$257,0))</f>
        <v>141789.49</v>
      </c>
      <c r="G248" s="7">
        <f>INDEX('2019 Data Lockdown'!F$5:F$257,MATCH(B248,'2019 Data Lockdown'!B$5:B$257,0))</f>
        <v>0</v>
      </c>
      <c r="H248" s="7">
        <f t="shared" si="25"/>
        <v>141789.49</v>
      </c>
      <c r="I248" s="6">
        <f t="shared" si="33"/>
        <v>1154.6375407166122</v>
      </c>
      <c r="J248" s="6">
        <f t="shared" si="34"/>
        <v>1154.6375407166122</v>
      </c>
      <c r="K248" s="5">
        <f t="shared" si="35"/>
        <v>141789.49</v>
      </c>
      <c r="L248" s="4">
        <f t="shared" si="31"/>
        <v>0</v>
      </c>
      <c r="M248" s="2" cm="1">
        <f t="array" ref="M248">SUMPRODUCT(--($L$6:$L$300&lt;&gt;1),--($C$6:$C$300=$C248),$H$6:$H$300)/SUMPRODUCT(--($L$6:$L$300&lt;&gt;1),--($C$6:$C$300=$C248),$E$6:$E$300)</f>
        <v>828.94936312452319</v>
      </c>
      <c r="N248" s="1" cm="1">
        <f t="array" ref="N248">SUMPRODUCT(--($L$6:$L$300&lt;&gt;1),--($C$6:$C$300=$C248))</f>
        <v>30</v>
      </c>
      <c r="O248" s="3">
        <f t="shared" si="29"/>
        <v>106072.7890232561</v>
      </c>
      <c r="P248" s="2" cm="1">
        <f t="array" ref="P248">SQRT(SUMPRODUCT(--($L$6:$L$300&lt;&gt;1),--($C$6:$C$300=$C248),$E$6:$E$300,$O$6:$O$300)/((N248-1)*SUMPRODUCT(--($L$6:$L$300&lt;&gt;1),--($C$6:$C$300=$C248),$E$6:$E$300)/N248))</f>
        <v>674.52323704703315</v>
      </c>
      <c r="Q248" s="2">
        <f t="shared" si="32"/>
        <v>-35.486947309313905</v>
      </c>
      <c r="R248" s="2">
        <f t="shared" si="32"/>
        <v>1693.3856735583604</v>
      </c>
      <c r="S248" s="2">
        <f t="shared" si="30"/>
        <v>1154.6375407166122</v>
      </c>
    </row>
    <row r="249" spans="2:26" x14ac:dyDescent="0.25">
      <c r="B249" s="26">
        <v>567</v>
      </c>
      <c r="C249" s="38">
        <v>9</v>
      </c>
      <c r="D249" s="35" t="s">
        <v>294</v>
      </c>
      <c r="E249" s="154">
        <f>INDEX('2019 Data Lockdown'!H$5:H$257,MATCH(B249,'2019 Data Lockdown'!B$5:B$257,0))</f>
        <v>359.29341894128856</v>
      </c>
      <c r="F249" s="7">
        <f>INDEX('2019 Data Lockdown'!E$5:E$257,MATCH(B249,'2019 Data Lockdown'!B$5:B$257,0))</f>
        <v>233157.95</v>
      </c>
      <c r="G249" s="7">
        <f>INDEX('2019 Data Lockdown'!F$5:F$257,MATCH(B249,'2019 Data Lockdown'!B$5:B$257,0))</f>
        <v>0</v>
      </c>
      <c r="H249" s="7">
        <f t="shared" si="25"/>
        <v>233157.95</v>
      </c>
      <c r="I249" s="6">
        <f t="shared" si="33"/>
        <v>648.93465259406798</v>
      </c>
      <c r="J249" s="6">
        <f t="shared" si="34"/>
        <v>648.93465259406798</v>
      </c>
      <c r="K249" s="5">
        <f t="shared" si="35"/>
        <v>233157.95</v>
      </c>
      <c r="L249" s="4">
        <f t="shared" si="31"/>
        <v>0</v>
      </c>
      <c r="M249" s="2" cm="1">
        <f t="array" ref="M249">SUMPRODUCT(--($L$6:$L$300&lt;&gt;1),--($C$6:$C$300=$C249),$H$6:$H$300)/SUMPRODUCT(--($L$6:$L$300&lt;&gt;1),--($C$6:$C$300=$C249),$E$6:$E$300)</f>
        <v>828.94936312452319</v>
      </c>
      <c r="N249" s="1" cm="1">
        <f t="array" ref="N249">SUMPRODUCT(--($L$6:$L$300&lt;&gt;1),--($C$6:$C$300=$C249))</f>
        <v>30</v>
      </c>
      <c r="O249" s="3">
        <f t="shared" si="29"/>
        <v>32405.29600736358</v>
      </c>
      <c r="P249" s="2" cm="1">
        <f t="array" ref="P249">SQRT(SUMPRODUCT(--($L$6:$L$300&lt;&gt;1),--($C$6:$C$300=$C249),$E$6:$E$300,$O$6:$O$300)/((N249-1)*SUMPRODUCT(--($L$6:$L$300&lt;&gt;1),--($C$6:$C$300=$C249),$E$6:$E$300)/N249))</f>
        <v>674.52323704703315</v>
      </c>
      <c r="Q249" s="2">
        <f t="shared" si="32"/>
        <v>-35.486947309313905</v>
      </c>
      <c r="R249" s="2">
        <f t="shared" si="32"/>
        <v>1693.3856735583604</v>
      </c>
      <c r="S249" s="2">
        <f t="shared" si="30"/>
        <v>648.93465259406798</v>
      </c>
    </row>
    <row r="250" spans="2:26" x14ac:dyDescent="0.25">
      <c r="B250" s="26">
        <v>629</v>
      </c>
      <c r="C250" s="38">
        <v>9</v>
      </c>
      <c r="D250" s="35" t="s">
        <v>295</v>
      </c>
      <c r="E250" s="154">
        <f>INDEX('2019 Data Lockdown'!H$5:H$257,MATCH(B250,'2019 Data Lockdown'!B$5:B$257,0))</f>
        <v>239.08999999999997</v>
      </c>
      <c r="F250" s="7">
        <f>INDEX('2019 Data Lockdown'!E$5:E$257,MATCH(B250,'2019 Data Lockdown'!B$5:B$257,0))</f>
        <v>172741.52</v>
      </c>
      <c r="G250" s="7">
        <f>INDEX('2019 Data Lockdown'!F$5:F$257,MATCH(B250,'2019 Data Lockdown'!B$5:B$257,0))</f>
        <v>3864.35</v>
      </c>
      <c r="H250" s="7">
        <f t="shared" ref="H250:H258" si="36">F250-G250</f>
        <v>168877.16999999998</v>
      </c>
      <c r="I250" s="6">
        <f t="shared" si="33"/>
        <v>706.33305449830607</v>
      </c>
      <c r="J250" s="6">
        <f t="shared" si="34"/>
        <v>706.33305449830607</v>
      </c>
      <c r="K250" s="5">
        <f t="shared" si="35"/>
        <v>168877.16999999998</v>
      </c>
      <c r="L250" s="4">
        <f t="shared" ref="L250:L258" si="37">IF(ISERROR(I250),1,0)</f>
        <v>0</v>
      </c>
      <c r="M250" s="2" cm="1">
        <f t="array" ref="M250">SUMPRODUCT(--($L$6:$L$300&lt;&gt;1),--($C$6:$C$300=$C250),$H$6:$H$300)/SUMPRODUCT(--($L$6:$L$300&lt;&gt;1),--($C$6:$C$300=$C250),$E$6:$E$300)</f>
        <v>828.94936312452319</v>
      </c>
      <c r="N250" s="1" cm="1">
        <f t="array" ref="N250">SUMPRODUCT(--($L$6:$L$300&lt;&gt;1),--($C$6:$C$300=$C250))</f>
        <v>30</v>
      </c>
      <c r="O250" s="3">
        <f t="shared" si="29"/>
        <v>15034.759141119726</v>
      </c>
      <c r="P250" s="2" cm="1">
        <f t="array" ref="P250">SQRT(SUMPRODUCT(--($L$6:$L$300&lt;&gt;1),--($C$6:$C$300=$C250),$E$6:$E$300,$O$6:$O$300)/((N250-1)*SUMPRODUCT(--($L$6:$L$300&lt;&gt;1),--($C$6:$C$300=$C250),$E$6:$E$300)/N250))</f>
        <v>674.52323704703315</v>
      </c>
      <c r="Q250" s="2">
        <f t="shared" si="32"/>
        <v>-35.486947309313905</v>
      </c>
      <c r="R250" s="2">
        <f t="shared" si="32"/>
        <v>1693.3856735583604</v>
      </c>
      <c r="S250" s="2">
        <f t="shared" si="30"/>
        <v>706.33305449830607</v>
      </c>
    </row>
    <row r="251" spans="2:26" x14ac:dyDescent="0.25">
      <c r="B251" s="26">
        <v>630</v>
      </c>
      <c r="C251" s="38">
        <v>9</v>
      </c>
      <c r="D251" s="35" t="s">
        <v>296</v>
      </c>
      <c r="E251" s="154">
        <f>INDEX('2019 Data Lockdown'!H$5:H$257,MATCH(B251,'2019 Data Lockdown'!B$5:B$257,0))</f>
        <v>168.82</v>
      </c>
      <c r="F251" s="7">
        <f>INDEX('2019 Data Lockdown'!E$5:E$257,MATCH(B251,'2019 Data Lockdown'!B$5:B$257,0))</f>
        <v>241664.73</v>
      </c>
      <c r="G251" s="7">
        <f>INDEX('2019 Data Lockdown'!F$5:F$257,MATCH(B251,'2019 Data Lockdown'!B$5:B$257,0))</f>
        <v>2804.11</v>
      </c>
      <c r="H251" s="7">
        <f t="shared" si="36"/>
        <v>238860.62000000002</v>
      </c>
      <c r="I251" s="6">
        <f t="shared" si="33"/>
        <v>1414.8834261343445</v>
      </c>
      <c r="J251" s="6">
        <f t="shared" si="34"/>
        <v>1414.8834261343445</v>
      </c>
      <c r="K251" s="5">
        <f t="shared" si="35"/>
        <v>238860.62000000002</v>
      </c>
      <c r="L251" s="4">
        <f t="shared" si="37"/>
        <v>0</v>
      </c>
      <c r="M251" s="2" cm="1">
        <f t="array" ref="M251">SUMPRODUCT(--($L$6:$L$300&lt;&gt;1),--($C$6:$C$300=$C251),$H$6:$H$300)/SUMPRODUCT(--($L$6:$L$300&lt;&gt;1),--($C$6:$C$300=$C251),$E$6:$E$300)</f>
        <v>828.94936312452319</v>
      </c>
      <c r="N251" s="1" cm="1">
        <f t="array" ref="N251">SUMPRODUCT(--($L$6:$L$300&lt;&gt;1),--($C$6:$C$300=$C251))</f>
        <v>30</v>
      </c>
      <c r="O251" s="3">
        <f t="shared" si="29"/>
        <v>343318.72619519726</v>
      </c>
      <c r="P251" s="2" cm="1">
        <f t="array" ref="P251">SQRT(SUMPRODUCT(--($L$6:$L$300&lt;&gt;1),--($C$6:$C$300=$C251),$E$6:$E$300,$O$6:$O$300)/((N251-1)*SUMPRODUCT(--($L$6:$L$300&lt;&gt;1),--($C$6:$C$300=$C251),$E$6:$E$300)/N251))</f>
        <v>674.52323704703315</v>
      </c>
      <c r="Q251" s="2">
        <f t="shared" si="32"/>
        <v>-35.486947309313905</v>
      </c>
      <c r="R251" s="2">
        <f t="shared" si="32"/>
        <v>1693.3856735583604</v>
      </c>
      <c r="S251" s="2">
        <f t="shared" si="30"/>
        <v>1414.8834261343445</v>
      </c>
    </row>
    <row r="252" spans="2:26" x14ac:dyDescent="0.25">
      <c r="B252" s="26">
        <v>771</v>
      </c>
      <c r="C252" s="38">
        <v>9</v>
      </c>
      <c r="D252" s="35" t="s">
        <v>298</v>
      </c>
      <c r="E252" s="154">
        <f>INDEX('2019 Data Lockdown'!H$5:H$257,MATCH(B252,'2019 Data Lockdown'!B$5:B$257,0))</f>
        <v>150.2159801536263</v>
      </c>
      <c r="F252" s="7">
        <f>INDEX('2019 Data Lockdown'!E$5:E$257,MATCH(B252,'2019 Data Lockdown'!B$5:B$257,0))</f>
        <v>70947.31</v>
      </c>
      <c r="G252" s="7">
        <f>INDEX('2019 Data Lockdown'!F$5:F$257,MATCH(B252,'2019 Data Lockdown'!B$5:B$257,0))</f>
        <v>0</v>
      </c>
      <c r="H252" s="7">
        <f t="shared" si="36"/>
        <v>70947.31</v>
      </c>
      <c r="I252" s="6">
        <f t="shared" si="33"/>
        <v>472.30201425601979</v>
      </c>
      <c r="J252" s="6">
        <f t="shared" si="34"/>
        <v>472.30201425601979</v>
      </c>
      <c r="K252" s="5">
        <f t="shared" si="35"/>
        <v>70947.31</v>
      </c>
      <c r="L252" s="4">
        <f t="shared" si="37"/>
        <v>0</v>
      </c>
      <c r="M252" s="2" cm="1">
        <f t="array" ref="M252">SUMPRODUCT(--($L$6:$L$300&lt;&gt;1),--($C$6:$C$300=$C252),$H$6:$H$300)/SUMPRODUCT(--($L$6:$L$300&lt;&gt;1),--($C$6:$C$300=$C252),$E$6:$E$300)</f>
        <v>828.94936312452319</v>
      </c>
      <c r="N252" s="1" cm="1">
        <f t="array" ref="N252">SUMPRODUCT(--($L$6:$L$300&lt;&gt;1),--($C$6:$C$300=$C252))</f>
        <v>30</v>
      </c>
      <c r="O252" s="3">
        <f t="shared" si="29"/>
        <v>127197.33145493198</v>
      </c>
      <c r="P252" s="2" cm="1">
        <f t="array" ref="P252">SQRT(SUMPRODUCT(--($L$6:$L$300&lt;&gt;1),--($C$6:$C$300=$C252),$E$6:$E$300,$O$6:$O$300)/((N252-1)*SUMPRODUCT(--($L$6:$L$300&lt;&gt;1),--($C$6:$C$300=$C252),$E$6:$E$300)/N252))</f>
        <v>674.52323704703315</v>
      </c>
      <c r="Q252" s="2">
        <f t="shared" si="32"/>
        <v>-35.486947309313905</v>
      </c>
      <c r="R252" s="2">
        <f t="shared" si="32"/>
        <v>1693.3856735583604</v>
      </c>
      <c r="S252" s="2">
        <f t="shared" si="30"/>
        <v>472.30201425601979</v>
      </c>
    </row>
    <row r="253" spans="2:26" x14ac:dyDescent="0.25">
      <c r="B253" s="26">
        <v>830</v>
      </c>
      <c r="C253" s="38">
        <v>9</v>
      </c>
      <c r="D253" s="35" t="s">
        <v>299</v>
      </c>
      <c r="E253" s="154">
        <f>INDEX('2019 Data Lockdown'!H$5:H$257,MATCH(B253,'2019 Data Lockdown'!B$5:B$257,0))</f>
        <v>16.12858136239133</v>
      </c>
      <c r="F253" s="7">
        <f>INDEX('2019 Data Lockdown'!E$5:E$257,MATCH(B253,'2019 Data Lockdown'!B$5:B$257,0))</f>
        <v>29445.96</v>
      </c>
      <c r="G253" s="7">
        <f>INDEX('2019 Data Lockdown'!F$5:F$257,MATCH(B253,'2019 Data Lockdown'!B$5:B$257,0))</f>
        <v>0</v>
      </c>
      <c r="H253" s="7">
        <f t="shared" si="36"/>
        <v>29445.96</v>
      </c>
      <c r="I253" s="6">
        <f t="shared" si="33"/>
        <v>1825.7005584299043</v>
      </c>
      <c r="J253" s="6">
        <f t="shared" si="34"/>
        <v>1693.3856735583604</v>
      </c>
      <c r="K253" s="5">
        <f t="shared" si="35"/>
        <v>27311.908613893862</v>
      </c>
      <c r="L253" s="4">
        <f t="shared" si="37"/>
        <v>0</v>
      </c>
      <c r="M253" s="2" cm="1">
        <f t="array" ref="M253">SUMPRODUCT(--($L$6:$L$300&lt;&gt;1),--($C$6:$C$300=$C253),$H$6:$H$300)/SUMPRODUCT(--($L$6:$L$300&lt;&gt;1),--($C$6:$C$300=$C253),$E$6:$E$300)</f>
        <v>828.94936312452319</v>
      </c>
      <c r="N253" s="1" cm="1">
        <f t="array" ref="N253">SUMPRODUCT(--($L$6:$L$300&lt;&gt;1),--($C$6:$C$300=$C253))</f>
        <v>30</v>
      </c>
      <c r="O253" s="3">
        <f t="shared" si="29"/>
        <v>993512.94534270593</v>
      </c>
      <c r="P253" s="2" cm="1">
        <f t="array" ref="P253">SQRT(SUMPRODUCT(--($L$6:$L$300&lt;&gt;1),--($C$6:$C$300=$C253),$E$6:$E$300,$O$6:$O$300)/((N253-1)*SUMPRODUCT(--($L$6:$L$300&lt;&gt;1),--($C$6:$C$300=$C253),$E$6:$E$300)/N253))</f>
        <v>674.52323704703315</v>
      </c>
      <c r="Q253" s="2">
        <f t="shared" si="32"/>
        <v>-35.486947309313905</v>
      </c>
      <c r="R253" s="2">
        <f t="shared" si="32"/>
        <v>1693.3856735583604</v>
      </c>
      <c r="S253" s="2">
        <f t="shared" si="30"/>
        <v>1693.3856735583604</v>
      </c>
    </row>
    <row r="254" spans="2:26" x14ac:dyDescent="0.25">
      <c r="B254" s="26">
        <v>936</v>
      </c>
      <c r="C254" s="38">
        <v>9</v>
      </c>
      <c r="D254" s="35" t="s">
        <v>300</v>
      </c>
      <c r="E254" s="154">
        <f>INDEX('2019 Data Lockdown'!H$5:H$257,MATCH(B254,'2019 Data Lockdown'!B$5:B$257,0))</f>
        <v>40.443772007859948</v>
      </c>
      <c r="F254" s="7">
        <f>INDEX('2019 Data Lockdown'!E$5:E$257,MATCH(B254,'2019 Data Lockdown'!B$5:B$257,0))</f>
        <v>72884.08</v>
      </c>
      <c r="G254" s="7">
        <f>INDEX('2019 Data Lockdown'!F$5:F$257,MATCH(B254,'2019 Data Lockdown'!B$5:B$257,0))</f>
        <v>0</v>
      </c>
      <c r="H254" s="7">
        <f t="shared" si="36"/>
        <v>72884.08</v>
      </c>
      <c r="I254" s="6">
        <f t="shared" si="33"/>
        <v>1802.1088632839567</v>
      </c>
      <c r="J254" s="6">
        <f t="shared" si="34"/>
        <v>1693.3856735583604</v>
      </c>
      <c r="K254" s="5">
        <f t="shared" si="35"/>
        <v>68486.904102770684</v>
      </c>
      <c r="L254" s="4">
        <f t="shared" si="37"/>
        <v>0</v>
      </c>
      <c r="M254" s="2" cm="1">
        <f t="array" ref="M254">SUMPRODUCT(--($L$6:$L$300&lt;&gt;1),--($C$6:$C$300=$C254),$H$6:$H$300)/SUMPRODUCT(--($L$6:$L$300&lt;&gt;1),--($C$6:$C$300=$C254),$E$6:$E$300)</f>
        <v>828.94936312452319</v>
      </c>
      <c r="N254" s="1" cm="1">
        <f t="array" ref="N254">SUMPRODUCT(--($L$6:$L$300&lt;&gt;1),--($C$6:$C$300=$C254))</f>
        <v>30</v>
      </c>
      <c r="O254" s="3">
        <f t="shared" si="29"/>
        <v>947039.41275055846</v>
      </c>
      <c r="P254" s="2" cm="1">
        <f t="array" ref="P254">SQRT(SUMPRODUCT(--($L$6:$L$300&lt;&gt;1),--($C$6:$C$300=$C254),$E$6:$E$300,$O$6:$O$300)/((N254-1)*SUMPRODUCT(--($L$6:$L$300&lt;&gt;1),--($C$6:$C$300=$C254),$E$6:$E$300)/N254))</f>
        <v>674.52323704703315</v>
      </c>
      <c r="Q254" s="2">
        <f t="shared" si="32"/>
        <v>-35.486947309313905</v>
      </c>
      <c r="R254" s="2">
        <f t="shared" si="32"/>
        <v>1693.3856735583604</v>
      </c>
      <c r="S254" s="2">
        <f t="shared" si="30"/>
        <v>1693.3856735583604</v>
      </c>
    </row>
    <row r="255" spans="2:26" x14ac:dyDescent="0.25">
      <c r="B255" s="26">
        <v>952</v>
      </c>
      <c r="C255" s="38">
        <v>9</v>
      </c>
      <c r="D255" s="35" t="s">
        <v>301</v>
      </c>
      <c r="E255" s="154">
        <f>INDEX('2019 Data Lockdown'!H$5:H$257,MATCH(B255,'2019 Data Lockdown'!B$5:B$257,0))</f>
        <v>54.32</v>
      </c>
      <c r="F255" s="7">
        <f>INDEX('2019 Data Lockdown'!E$5:E$257,MATCH(B255,'2019 Data Lockdown'!B$5:B$257,0))</f>
        <v>71284.66</v>
      </c>
      <c r="G255" s="7">
        <f>INDEX('2019 Data Lockdown'!F$5:F$257,MATCH(B255,'2019 Data Lockdown'!B$5:B$257,0))</f>
        <v>1518.3</v>
      </c>
      <c r="H255" s="7">
        <f t="shared" si="36"/>
        <v>69766.36</v>
      </c>
      <c r="I255" s="6">
        <f>H255/E255</f>
        <v>1284.358615611193</v>
      </c>
      <c r="J255" s="6">
        <f>IF(ISERROR(IF($J$2=1,MAX(MIN(I255,R255),Q255),MIN(I255,R255))),R255,IF($J$2=1,MAX(MIN(I255,R255),Q255),MIN(I255,R255)))</f>
        <v>1284.358615611193</v>
      </c>
      <c r="K255" s="5">
        <f>J255*E255</f>
        <v>69766.36</v>
      </c>
      <c r="L255" s="4">
        <f t="shared" si="37"/>
        <v>0</v>
      </c>
      <c r="M255" s="2" cm="1">
        <f t="array" ref="M255">SUMPRODUCT(--($L$6:$L$300&lt;&gt;1),--($C$6:$C$300=$C255),$H$6:$H$300)/SUMPRODUCT(--($L$6:$L$300&lt;&gt;1),--($C$6:$C$300=$C255),$E$6:$E$300)</f>
        <v>828.94936312452319</v>
      </c>
      <c r="N255" s="1" cm="1">
        <f t="array" ref="N255">SUMPRODUCT(--($L$6:$L$300&lt;&gt;1),--($C$6:$C$300=$C255))</f>
        <v>30</v>
      </c>
      <c r="O255" s="3">
        <f t="shared" si="29"/>
        <v>207397.58725046742</v>
      </c>
      <c r="P255" s="2" cm="1">
        <f t="array" ref="P255">SQRT(SUMPRODUCT(--($L$6:$L$300&lt;&gt;1),--($C$6:$C$300=$C255),$E$6:$E$300,$O$6:$O$300)/((N255-1)*SUMPRODUCT(--($L$6:$L$300&lt;&gt;1),--($C$6:$C$300=$C255),$E$6:$E$300)/N255))</f>
        <v>674.52323704703315</v>
      </c>
      <c r="Q255" s="2">
        <f t="shared" si="32"/>
        <v>-35.486947309313905</v>
      </c>
      <c r="R255" s="2">
        <f t="shared" si="32"/>
        <v>1693.3856735583604</v>
      </c>
      <c r="S255" s="2">
        <f t="shared" si="30"/>
        <v>1284.358615611193</v>
      </c>
      <c r="T255" s="18"/>
      <c r="U255" s="18"/>
      <c r="V255" s="18"/>
      <c r="W255" s="18"/>
      <c r="X255" s="18"/>
      <c r="Y255" s="18"/>
      <c r="Z255" s="18"/>
    </row>
    <row r="256" spans="2:26" x14ac:dyDescent="0.25">
      <c r="B256" s="26">
        <v>982</v>
      </c>
      <c r="C256" s="38">
        <v>9</v>
      </c>
      <c r="D256" s="35" t="s">
        <v>302</v>
      </c>
      <c r="E256" s="154">
        <f>INDEX('2019 Data Lockdown'!H$5:H$257,MATCH(B256,'2019 Data Lockdown'!B$5:B$257,0))</f>
        <v>106.72298014171729</v>
      </c>
      <c r="F256" s="7">
        <f>INDEX('2019 Data Lockdown'!E$5:E$257,MATCH(B256,'2019 Data Lockdown'!B$5:B$257,0))</f>
        <v>139517.66</v>
      </c>
      <c r="G256" s="7">
        <f>INDEX('2019 Data Lockdown'!F$5:F$257,MATCH(B256,'2019 Data Lockdown'!B$5:B$257,0))</f>
        <v>0</v>
      </c>
      <c r="H256" s="7">
        <f t="shared" si="36"/>
        <v>139517.66</v>
      </c>
      <c r="I256" s="6">
        <f>H256/E256</f>
        <v>1307.2878944603563</v>
      </c>
      <c r="J256" s="6">
        <f>IF(ISERROR(IF($J$2=1,MAX(MIN(I256,R256),Q256),MIN(I256,R256))),R256,IF($J$2=1,MAX(MIN(I256,R256),Q256),MIN(I256,R256)))</f>
        <v>1307.2878944603563</v>
      </c>
      <c r="K256" s="5">
        <f>J256*E256</f>
        <v>139517.66</v>
      </c>
      <c r="L256" s="4">
        <f t="shared" si="37"/>
        <v>0</v>
      </c>
      <c r="M256" s="2" cm="1">
        <f t="array" ref="M256">SUMPRODUCT(--($L$6:$L$300&lt;&gt;1),--($C$6:$C$300=$C256),$H$6:$H$300)/SUMPRODUCT(--($L$6:$L$300&lt;&gt;1),--($C$6:$C$300=$C256),$E$6:$E$300)</f>
        <v>828.94936312452319</v>
      </c>
      <c r="N256" s="1" cm="1">
        <f t="array" ref="N256">SUMPRODUCT(--($L$6:$L$300&lt;&gt;1),--($C$6:$C$300=$C256))</f>
        <v>30</v>
      </c>
      <c r="O256" s="3">
        <f t="shared" si="29"/>
        <v>228807.75056052176</v>
      </c>
      <c r="P256" s="2" cm="1">
        <f t="array" ref="P256">SQRT(SUMPRODUCT(--($L$6:$L$300&lt;&gt;1),--($C$6:$C$300=$C256),$E$6:$E$300,$O$6:$O$300)/((N256-1)*SUMPRODUCT(--($L$6:$L$300&lt;&gt;1),--($C$6:$C$300=$C256),$E$6:$E$300)/N256))</f>
        <v>674.52323704703315</v>
      </c>
      <c r="Q256" s="2">
        <f t="shared" si="32"/>
        <v>-35.486947309313905</v>
      </c>
      <c r="R256" s="2">
        <f t="shared" si="32"/>
        <v>1693.3856735583604</v>
      </c>
      <c r="S256" s="2">
        <f t="shared" si="30"/>
        <v>1307.2878944603563</v>
      </c>
      <c r="T256" s="18"/>
      <c r="U256" s="18"/>
      <c r="V256" s="18"/>
      <c r="W256" s="18"/>
      <c r="X256" s="18"/>
      <c r="Y256" s="18"/>
      <c r="Z256" s="18"/>
    </row>
    <row r="257" spans="2:26" x14ac:dyDescent="0.25">
      <c r="B257" s="26">
        <v>987</v>
      </c>
      <c r="C257" s="38">
        <v>9</v>
      </c>
      <c r="D257" s="35" t="s">
        <v>303</v>
      </c>
      <c r="E257" s="154">
        <f>INDEX('2019 Data Lockdown'!H$5:H$257,MATCH(B257,'2019 Data Lockdown'!B$5:B$257,0))</f>
        <v>399.24791654162198</v>
      </c>
      <c r="F257" s="7">
        <f>INDEX('2019 Data Lockdown'!E$5:E$257,MATCH(B257,'2019 Data Lockdown'!B$5:B$257,0))</f>
        <v>108258.73</v>
      </c>
      <c r="G257" s="7">
        <f>INDEX('2019 Data Lockdown'!F$5:F$257,MATCH(B257,'2019 Data Lockdown'!B$5:B$257,0))</f>
        <v>0</v>
      </c>
      <c r="H257" s="7">
        <f t="shared" si="36"/>
        <v>108258.73</v>
      </c>
      <c r="I257" s="6">
        <f>H257/E257</f>
        <v>271.15665608918442</v>
      </c>
      <c r="J257" s="6">
        <f>IF(ISERROR(IF($J$2=1,MAX(MIN(I257,R257),Q257),MIN(I257,R257))),R257,IF($J$2=1,MAX(MIN(I257,R257),Q257),MIN(I257,R257)))</f>
        <v>271.15665608918442</v>
      </c>
      <c r="K257" s="5">
        <f>J257*E257</f>
        <v>108258.73</v>
      </c>
      <c r="L257" s="4">
        <f t="shared" si="37"/>
        <v>0</v>
      </c>
      <c r="M257" s="2" cm="1">
        <f t="array" ref="M257">SUMPRODUCT(--($L$6:$L$300&lt;&gt;1),--($C$6:$C$300=$C257),$H$6:$H$300)/SUMPRODUCT(--($L$6:$L$300&lt;&gt;1),--($C$6:$C$300=$C257),$E$6:$E$300)</f>
        <v>828.94936312452319</v>
      </c>
      <c r="N257" s="1" cm="1">
        <f t="array" ref="N257">SUMPRODUCT(--($L$6:$L$300&lt;&gt;1),--($C$6:$C$300=$C257))</f>
        <v>30</v>
      </c>
      <c r="O257" s="3">
        <f t="shared" si="29"/>
        <v>311132.70402181119</v>
      </c>
      <c r="P257" s="2" cm="1">
        <f t="array" ref="P257">SQRT(SUMPRODUCT(--($L$6:$L$300&lt;&gt;1),--($C$6:$C$300=$C257),$E$6:$E$300,$O$6:$O$300)/((N257-1)*SUMPRODUCT(--($L$6:$L$300&lt;&gt;1),--($C$6:$C$300=$C257),$E$6:$E$300)/N257))</f>
        <v>674.52323704703315</v>
      </c>
      <c r="Q257" s="2">
        <f t="shared" si="32"/>
        <v>-35.486947309313905</v>
      </c>
      <c r="R257" s="2">
        <f t="shared" si="32"/>
        <v>1693.3856735583604</v>
      </c>
      <c r="S257" s="2">
        <f t="shared" si="30"/>
        <v>271.15665608918442</v>
      </c>
      <c r="T257" s="18"/>
      <c r="U257" s="18"/>
      <c r="V257" s="18"/>
      <c r="W257" s="18"/>
      <c r="X257" s="18"/>
      <c r="Y257" s="18"/>
      <c r="Z257" s="18"/>
    </row>
    <row r="258" spans="2:26" x14ac:dyDescent="0.25">
      <c r="B258" s="26">
        <v>998</v>
      </c>
      <c r="C258" s="38">
        <v>9</v>
      </c>
      <c r="D258" s="35" t="s">
        <v>304</v>
      </c>
      <c r="E258" s="154">
        <f>INDEX('2019 Data Lockdown'!H$5:H$257,MATCH(B258,'2019 Data Lockdown'!B$5:B$257,0))</f>
        <v>43.685214957722998</v>
      </c>
      <c r="F258" s="7">
        <f>INDEX('2019 Data Lockdown'!E$5:E$257,MATCH(B258,'2019 Data Lockdown'!B$5:B$257,0))</f>
        <v>227035.45</v>
      </c>
      <c r="G258" s="7">
        <f>INDEX('2019 Data Lockdown'!F$5:F$257,MATCH(B258,'2019 Data Lockdown'!B$5:B$257,0))</f>
        <v>0</v>
      </c>
      <c r="H258" s="7">
        <f t="shared" si="36"/>
        <v>227035.45</v>
      </c>
      <c r="I258" s="6">
        <f>H258/E258</f>
        <v>5197.0775517464399</v>
      </c>
      <c r="J258" s="6">
        <f>IF(ISERROR(IF($J$2=1,MAX(MIN(I258,R258),Q258),MIN(I258,R258))),R258,IF($J$2=1,MAX(MIN(I258,R258),Q258),MIN(I258,R258)))</f>
        <v>1693.3856735583604</v>
      </c>
      <c r="K258" s="5">
        <f>J258*E258</f>
        <v>73975.917155725518</v>
      </c>
      <c r="L258" s="4">
        <f t="shared" si="37"/>
        <v>0</v>
      </c>
      <c r="M258" s="2" cm="1">
        <f t="array" ref="M258">SUMPRODUCT(--($L$6:$L$300&lt;&gt;1),--($C$6:$C$300=$C258),$H$6:$H$300)/SUMPRODUCT(--($L$6:$L$300&lt;&gt;1),--($C$6:$C$300=$C258),$E$6:$E$300)</f>
        <v>828.94936312452319</v>
      </c>
      <c r="N258" s="1" cm="1">
        <f t="array" ref="N258">SUMPRODUCT(--($L$6:$L$300&lt;&gt;1),--($C$6:$C$300=$C258))</f>
        <v>30</v>
      </c>
      <c r="O258" s="3">
        <f t="shared" si="29"/>
        <v>19080543.872233387</v>
      </c>
      <c r="P258" s="2" cm="1">
        <f t="array" ref="P258">SQRT(SUMPRODUCT(--($L$6:$L$300&lt;&gt;1),--($C$6:$C$300=$C258),$E$6:$E$300,$O$6:$O$300)/((N258-1)*SUMPRODUCT(--($L$6:$L$300&lt;&gt;1),--($C$6:$C$300=$C258),$E$6:$E$300)/N258))</f>
        <v>674.52323704703315</v>
      </c>
      <c r="Q258" s="2">
        <f t="shared" si="32"/>
        <v>-35.486947309313905</v>
      </c>
      <c r="R258" s="2">
        <f t="shared" si="32"/>
        <v>1693.3856735583604</v>
      </c>
      <c r="S258" s="2">
        <f t="shared" si="30"/>
        <v>1693.3856735583604</v>
      </c>
      <c r="T258" s="18"/>
      <c r="U258" s="18"/>
      <c r="V258" s="18"/>
      <c r="W258" s="18"/>
      <c r="X258" s="18"/>
      <c r="Y258" s="18"/>
      <c r="Z258" s="18"/>
    </row>
  </sheetData>
  <conditionalFormatting sqref="H7:L76 B51:D77 E6:S6 H78:L258 E7:G258 M7:S258">
    <cfRule type="expression" dxfId="52" priority="26">
      <formula>$C6&lt;&gt;$C5</formula>
    </cfRule>
  </conditionalFormatting>
  <conditionalFormatting sqref="J6:J258">
    <cfRule type="expression" dxfId="51" priority="24">
      <formula>$J6&lt;$I6=TRUE</formula>
    </cfRule>
  </conditionalFormatting>
  <conditionalFormatting sqref="B151:D163 B165:D170 B214:D236 B83:D149 B78:D80 B172:D182 B184:D212 B6:D49">
    <cfRule type="expression" dxfId="50" priority="16">
      <formula>$C6&lt;&gt;$C5</formula>
    </cfRule>
  </conditionalFormatting>
  <conditionalFormatting sqref="B50:D50 B164:D164 B213:D213 B81:D81 B183:D183">
    <cfRule type="expression" dxfId="49" priority="17">
      <formula>$C50&lt;&gt;$C48</formula>
    </cfRule>
  </conditionalFormatting>
  <conditionalFormatting sqref="B82:D82">
    <cfRule type="expression" dxfId="48" priority="19">
      <formula>$C82&lt;&gt;$C79</formula>
    </cfRule>
  </conditionalFormatting>
  <conditionalFormatting sqref="B150:D150 B171:D171">
    <cfRule type="expression" dxfId="47" priority="18">
      <formula>$C150&lt;&gt;#REF!</formula>
    </cfRule>
  </conditionalFormatting>
  <conditionalFormatting sqref="S6:S258">
    <cfRule type="expression" dxfId="46" priority="14">
      <formula>$S6&lt;$I6=TRUE</formula>
    </cfRule>
    <cfRule type="expression" dxfId="45" priority="15">
      <formula>$S6&gt;$I6=TRUE</formula>
    </cfRule>
  </conditionalFormatting>
  <conditionalFormatting sqref="E4">
    <cfRule type="expression" dxfId="44" priority="7">
      <formula>$C4&lt;&gt;$C3</formula>
    </cfRule>
  </conditionalFormatting>
  <conditionalFormatting sqref="E4">
    <cfRule type="expression" dxfId="43" priority="6">
      <formula>$C4&lt;&gt;$C3</formula>
    </cfRule>
  </conditionalFormatting>
  <conditionalFormatting sqref="E4">
    <cfRule type="expression" dxfId="42" priority="5">
      <formula>$C4&lt;&gt;$C3</formula>
    </cfRule>
  </conditionalFormatting>
  <conditionalFormatting sqref="F4">
    <cfRule type="expression" dxfId="41" priority="4">
      <formula>$C4&lt;&gt;$C3</formula>
    </cfRule>
  </conditionalFormatting>
  <conditionalFormatting sqref="G4">
    <cfRule type="expression" dxfId="40" priority="3">
      <formula>$C4&lt;&gt;$C3</formula>
    </cfRule>
  </conditionalFormatting>
  <conditionalFormatting sqref="H4">
    <cfRule type="expression" dxfId="39" priority="2">
      <formula>$C4&lt;&gt;$C3</formula>
    </cfRule>
  </conditionalFormatting>
  <conditionalFormatting sqref="H77:L77">
    <cfRule type="expression" dxfId="38" priority="43">
      <formula>$C77&lt;&gt;#REF!</formula>
    </cfRule>
  </conditionalFormatting>
  <conditionalFormatting sqref="K4">
    <cfRule type="expression" dxfId="37" priority="1">
      <formula>$C4&lt;&gt;$C3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D4414-4A91-4F01-9274-B69F71F3BAF0}">
  <sheetPr codeName="Sheet3">
    <tabColor theme="9" tint="0.79998168889431442"/>
  </sheetPr>
  <dimension ref="A1:I257"/>
  <sheetViews>
    <sheetView workbookViewId="0"/>
  </sheetViews>
  <sheetFormatPr defaultColWidth="8.875" defaultRowHeight="14.3" x14ac:dyDescent="0.25"/>
  <cols>
    <col min="1" max="1" width="4.875" style="34" customWidth="1"/>
    <col min="2" max="2" width="8.5" style="34" customWidth="1"/>
    <col min="3" max="3" width="8.875" style="34" customWidth="1"/>
    <col min="4" max="4" width="53" style="34" customWidth="1"/>
    <col min="5" max="8" width="13.875" style="34" customWidth="1"/>
    <col min="9" max="9" width="12.875" style="34" customWidth="1"/>
    <col min="10" max="16384" width="8.875" style="34"/>
  </cols>
  <sheetData>
    <row r="1" spans="1:9" x14ac:dyDescent="0.25">
      <c r="E1" s="34" t="s">
        <v>14</v>
      </c>
      <c r="F1" s="174">
        <v>1000</v>
      </c>
      <c r="H1" s="34" t="s">
        <v>15</v>
      </c>
      <c r="I1" s="175">
        <f t="array" ref="I1">AVERAGE(IF($I$5:$I$300&lt;&gt;0,IF($I$5:$I$300&lt;=F1,$I$5:$I$300)))</f>
        <v>544.34386778762507</v>
      </c>
    </row>
    <row r="2" spans="1:9" x14ac:dyDescent="0.25">
      <c r="B2" s="31" t="s">
        <v>375</v>
      </c>
      <c r="E2" s="32"/>
      <c r="H2" s="34" t="s">
        <v>16</v>
      </c>
      <c r="I2" s="175">
        <f t="array" ref="I2">STDEV(IF($I$5:$I$300&lt;&gt;0,IF($I$5:$I$300&lt;=F1,$I$5:$I$300)))</f>
        <v>208.11308489664901</v>
      </c>
    </row>
    <row r="3" spans="1:9" ht="14.95" thickBot="1" x14ac:dyDescent="0.3">
      <c r="E3" s="33">
        <f>SUM(E5:E300)</f>
        <v>383550745.09000021</v>
      </c>
      <c r="F3" s="33">
        <f>SUM(F5:F300)</f>
        <v>55390218.039999977</v>
      </c>
      <c r="G3" s="33">
        <f>SUM(G5:G300)</f>
        <v>328160527.05000001</v>
      </c>
      <c r="H3" s="155">
        <f>SUM(H5:H300)</f>
        <v>729906.48724807648</v>
      </c>
      <c r="I3" s="174">
        <f>G3/H3</f>
        <v>449.59256121595024</v>
      </c>
    </row>
    <row r="4" spans="1:9" ht="43.5" thickBot="1" x14ac:dyDescent="0.3">
      <c r="B4" s="176" t="s">
        <v>11</v>
      </c>
      <c r="C4" s="176" t="s">
        <v>10</v>
      </c>
      <c r="D4" s="176" t="s">
        <v>9</v>
      </c>
      <c r="E4" s="176" t="s">
        <v>17</v>
      </c>
      <c r="F4" s="176" t="s">
        <v>18</v>
      </c>
      <c r="G4" s="176" t="s">
        <v>19</v>
      </c>
      <c r="H4" s="177" t="s">
        <v>20</v>
      </c>
      <c r="I4" s="176" t="s">
        <v>21</v>
      </c>
    </row>
    <row r="5" spans="1:9" x14ac:dyDescent="0.25">
      <c r="A5" s="37">
        <v>1</v>
      </c>
      <c r="B5" s="178">
        <v>1</v>
      </c>
      <c r="C5" s="179">
        <v>1</v>
      </c>
      <c r="D5" s="180" t="s">
        <v>62</v>
      </c>
      <c r="E5" s="181">
        <v>9839514.6300000008</v>
      </c>
      <c r="F5" s="182">
        <v>303786.2</v>
      </c>
      <c r="G5" s="182">
        <f t="shared" ref="G5:G68" si="0">E5-F5</f>
        <v>9535728.4300000016</v>
      </c>
      <c r="H5" s="183">
        <v>28377.279999999999</v>
      </c>
      <c r="I5" s="184">
        <f t="shared" ref="I5:I68" si="1">IFERROR(G5/H5,0)</f>
        <v>336.03391269353517</v>
      </c>
    </row>
    <row r="6" spans="1:9" x14ac:dyDescent="0.25">
      <c r="A6" s="37">
        <v>1</v>
      </c>
      <c r="B6" s="178">
        <v>20</v>
      </c>
      <c r="C6" s="179">
        <v>1</v>
      </c>
      <c r="D6" s="180" t="s">
        <v>63</v>
      </c>
      <c r="E6" s="181">
        <v>71101496.409999996</v>
      </c>
      <c r="F6" s="182">
        <v>8915663.2400000002</v>
      </c>
      <c r="G6" s="182">
        <f t="shared" si="0"/>
        <v>62185833.169999994</v>
      </c>
      <c r="H6" s="183">
        <v>99784.55</v>
      </c>
      <c r="I6" s="184">
        <f t="shared" si="1"/>
        <v>623.20101829391422</v>
      </c>
    </row>
    <row r="7" spans="1:9" x14ac:dyDescent="0.25">
      <c r="A7" s="37">
        <v>1</v>
      </c>
      <c r="B7" s="178">
        <v>50</v>
      </c>
      <c r="C7" s="179">
        <v>1</v>
      </c>
      <c r="D7" s="180" t="s">
        <v>64</v>
      </c>
      <c r="E7" s="181">
        <v>10769002.390000001</v>
      </c>
      <c r="F7" s="182">
        <v>1985825.52</v>
      </c>
      <c r="G7" s="182">
        <f t="shared" si="0"/>
        <v>8783176.870000001</v>
      </c>
      <c r="H7" s="183">
        <v>21706.59</v>
      </c>
      <c r="I7" s="184">
        <f t="shared" si="1"/>
        <v>404.63181319590046</v>
      </c>
    </row>
    <row r="8" spans="1:9" x14ac:dyDescent="0.25">
      <c r="A8" s="37">
        <v>1</v>
      </c>
      <c r="B8" s="178">
        <v>97</v>
      </c>
      <c r="C8" s="179">
        <v>1</v>
      </c>
      <c r="D8" s="180" t="s">
        <v>65</v>
      </c>
      <c r="E8" s="181">
        <v>29964286.199999999</v>
      </c>
      <c r="F8" s="182">
        <v>4815316.72</v>
      </c>
      <c r="G8" s="182">
        <f t="shared" si="0"/>
        <v>25148969.48</v>
      </c>
      <c r="H8" s="183">
        <v>53554.62000000001</v>
      </c>
      <c r="I8" s="184">
        <f t="shared" si="1"/>
        <v>469.59477034847777</v>
      </c>
    </row>
    <row r="9" spans="1:9" x14ac:dyDescent="0.25">
      <c r="A9" s="37">
        <v>1</v>
      </c>
      <c r="B9" s="178">
        <v>172</v>
      </c>
      <c r="C9" s="179">
        <v>1</v>
      </c>
      <c r="D9" s="180" t="s">
        <v>66</v>
      </c>
      <c r="E9" s="181">
        <v>15527274.060000001</v>
      </c>
      <c r="F9" s="182">
        <v>2705559.01</v>
      </c>
      <c r="G9" s="182">
        <f t="shared" si="0"/>
        <v>12821715.050000001</v>
      </c>
      <c r="H9" s="183">
        <v>33148.810000000005</v>
      </c>
      <c r="I9" s="184">
        <f t="shared" si="1"/>
        <v>386.79261940323045</v>
      </c>
    </row>
    <row r="10" spans="1:9" x14ac:dyDescent="0.25">
      <c r="A10" s="37">
        <v>1</v>
      </c>
      <c r="B10" s="178">
        <v>270</v>
      </c>
      <c r="C10" s="179">
        <v>1</v>
      </c>
      <c r="D10" s="180" t="s">
        <v>67</v>
      </c>
      <c r="E10" s="181">
        <v>40222621.619999997</v>
      </c>
      <c r="F10" s="182">
        <v>2597373.92</v>
      </c>
      <c r="G10" s="182">
        <f t="shared" si="0"/>
        <v>37625247.699999996</v>
      </c>
      <c r="H10" s="183">
        <v>74041.960000000006</v>
      </c>
      <c r="I10" s="184">
        <f t="shared" si="1"/>
        <v>508.16115213589688</v>
      </c>
    </row>
    <row r="11" spans="1:9" x14ac:dyDescent="0.25">
      <c r="A11" s="37">
        <v>2</v>
      </c>
      <c r="B11" s="178">
        <v>6</v>
      </c>
      <c r="C11" s="179">
        <v>2</v>
      </c>
      <c r="D11" s="180" t="s">
        <v>68</v>
      </c>
      <c r="E11" s="181">
        <v>19734526.949999999</v>
      </c>
      <c r="F11" s="182">
        <v>3742083.3</v>
      </c>
      <c r="G11" s="182">
        <f t="shared" si="0"/>
        <v>15992443.649999999</v>
      </c>
      <c r="H11" s="183">
        <v>41206.969999999987</v>
      </c>
      <c r="I11" s="184">
        <f t="shared" si="1"/>
        <v>388.10045121007448</v>
      </c>
    </row>
    <row r="12" spans="1:9" x14ac:dyDescent="0.25">
      <c r="A12" s="37">
        <v>2</v>
      </c>
      <c r="B12" s="178">
        <v>18</v>
      </c>
      <c r="C12" s="179">
        <v>2</v>
      </c>
      <c r="D12" s="180" t="s">
        <v>69</v>
      </c>
      <c r="E12" s="181">
        <v>8788831.7100000009</v>
      </c>
      <c r="F12" s="182">
        <v>2133782.5100000002</v>
      </c>
      <c r="G12" s="182">
        <f t="shared" si="0"/>
        <v>6655049.2000000011</v>
      </c>
      <c r="H12" s="183">
        <v>19941.120000000003</v>
      </c>
      <c r="I12" s="184">
        <f t="shared" si="1"/>
        <v>333.73497576866293</v>
      </c>
    </row>
    <row r="13" spans="1:9" x14ac:dyDescent="0.25">
      <c r="A13" s="37">
        <v>2</v>
      </c>
      <c r="B13" s="178">
        <v>53</v>
      </c>
      <c r="C13" s="179">
        <v>2</v>
      </c>
      <c r="D13" s="180" t="s">
        <v>70</v>
      </c>
      <c r="E13" s="181">
        <v>10395927.890000001</v>
      </c>
      <c r="F13" s="182">
        <v>2947532.46</v>
      </c>
      <c r="G13" s="182">
        <f t="shared" si="0"/>
        <v>7448395.4300000006</v>
      </c>
      <c r="H13" s="183">
        <v>34960.206400000003</v>
      </c>
      <c r="I13" s="184">
        <f t="shared" si="1"/>
        <v>213.05353134299574</v>
      </c>
    </row>
    <row r="14" spans="1:9" x14ac:dyDescent="0.25">
      <c r="A14" s="37">
        <v>2</v>
      </c>
      <c r="B14" s="178">
        <v>335</v>
      </c>
      <c r="C14" s="179">
        <v>2</v>
      </c>
      <c r="D14" s="180" t="s">
        <v>71</v>
      </c>
      <c r="E14" s="181">
        <v>14903554.119999999</v>
      </c>
      <c r="F14" s="182">
        <v>1961104.7</v>
      </c>
      <c r="G14" s="182">
        <f t="shared" si="0"/>
        <v>12942449.42</v>
      </c>
      <c r="H14" s="183">
        <v>25689.83</v>
      </c>
      <c r="I14" s="184">
        <f t="shared" si="1"/>
        <v>503.79661601497554</v>
      </c>
    </row>
    <row r="15" spans="1:9" x14ac:dyDescent="0.25">
      <c r="A15" s="37">
        <v>2</v>
      </c>
      <c r="B15" s="178">
        <v>357</v>
      </c>
      <c r="C15" s="179">
        <v>2</v>
      </c>
      <c r="D15" s="180" t="s">
        <v>72</v>
      </c>
      <c r="E15" s="181">
        <v>13658152.119999999</v>
      </c>
      <c r="F15" s="182">
        <v>3498711.4300000006</v>
      </c>
      <c r="G15" s="182">
        <f t="shared" si="0"/>
        <v>10159440.689999998</v>
      </c>
      <c r="H15" s="183">
        <v>34912.030000000006</v>
      </c>
      <c r="I15" s="184">
        <f t="shared" si="1"/>
        <v>291.00114459113365</v>
      </c>
    </row>
    <row r="16" spans="1:9" x14ac:dyDescent="0.25">
      <c r="A16" s="37">
        <v>2</v>
      </c>
      <c r="B16" s="178">
        <v>441</v>
      </c>
      <c r="C16" s="179">
        <v>2</v>
      </c>
      <c r="D16" s="180" t="s">
        <v>73</v>
      </c>
      <c r="E16" s="181">
        <v>19919415.420000002</v>
      </c>
      <c r="F16" s="182">
        <v>6656078.0499999989</v>
      </c>
      <c r="G16" s="182">
        <f t="shared" si="0"/>
        <v>13263337.370000003</v>
      </c>
      <c r="H16" s="183">
        <v>55231.539999999986</v>
      </c>
      <c r="I16" s="184">
        <f t="shared" si="1"/>
        <v>240.14064011251554</v>
      </c>
    </row>
    <row r="17" spans="1:9" x14ac:dyDescent="0.25">
      <c r="A17" s="37">
        <v>3</v>
      </c>
      <c r="B17" s="178">
        <v>14</v>
      </c>
      <c r="C17" s="179">
        <v>3</v>
      </c>
      <c r="D17" s="180" t="s">
        <v>74</v>
      </c>
      <c r="E17" s="181">
        <v>2679551.4300000002</v>
      </c>
      <c r="F17" s="182">
        <v>129351.95</v>
      </c>
      <c r="G17" s="182">
        <f t="shared" si="0"/>
        <v>2550199.48</v>
      </c>
      <c r="H17" s="183">
        <v>11108.29</v>
      </c>
      <c r="I17" s="184">
        <f t="shared" si="1"/>
        <v>229.57624260799815</v>
      </c>
    </row>
    <row r="18" spans="1:9" x14ac:dyDescent="0.25">
      <c r="A18" s="37">
        <v>3</v>
      </c>
      <c r="B18" s="178">
        <v>36</v>
      </c>
      <c r="C18" s="179">
        <v>3</v>
      </c>
      <c r="D18" s="180" t="s">
        <v>75</v>
      </c>
      <c r="E18" s="181">
        <v>6633340.9699999997</v>
      </c>
      <c r="F18" s="182">
        <v>622957</v>
      </c>
      <c r="G18" s="182">
        <f t="shared" si="0"/>
        <v>6010383.9699999997</v>
      </c>
      <c r="H18" s="183">
        <v>5586.8</v>
      </c>
      <c r="I18" s="184">
        <f t="shared" si="1"/>
        <v>1075.8187101739813</v>
      </c>
    </row>
    <row r="19" spans="1:9" x14ac:dyDescent="0.25">
      <c r="A19" s="37">
        <v>3</v>
      </c>
      <c r="B19" s="178">
        <v>55</v>
      </c>
      <c r="C19" s="179">
        <v>3</v>
      </c>
      <c r="D19" s="180" t="s">
        <v>76</v>
      </c>
      <c r="E19" s="181">
        <v>1496659.65</v>
      </c>
      <c r="F19" s="182">
        <v>60217.409999999996</v>
      </c>
      <c r="G19" s="182">
        <f t="shared" si="0"/>
        <v>1436442.24</v>
      </c>
      <c r="H19" s="183">
        <v>3486.1699999999992</v>
      </c>
      <c r="I19" s="184">
        <f t="shared" si="1"/>
        <v>412.04021605372094</v>
      </c>
    </row>
    <row r="20" spans="1:9" x14ac:dyDescent="0.25">
      <c r="A20" s="37">
        <v>3</v>
      </c>
      <c r="B20" s="178">
        <v>103</v>
      </c>
      <c r="C20" s="179">
        <v>3</v>
      </c>
      <c r="D20" s="180" t="s">
        <v>77</v>
      </c>
      <c r="E20" s="181">
        <v>1753178.73</v>
      </c>
      <c r="F20" s="182">
        <v>368978.78</v>
      </c>
      <c r="G20" s="182">
        <f t="shared" si="0"/>
        <v>1384199.95</v>
      </c>
      <c r="H20" s="183">
        <v>4157.59</v>
      </c>
      <c r="I20" s="184">
        <f t="shared" si="1"/>
        <v>332.93324979134542</v>
      </c>
    </row>
    <row r="21" spans="1:9" x14ac:dyDescent="0.25">
      <c r="A21" s="37">
        <v>3</v>
      </c>
      <c r="B21" s="178">
        <v>123</v>
      </c>
      <c r="C21" s="179">
        <v>3</v>
      </c>
      <c r="D21" s="180" t="s">
        <v>78</v>
      </c>
      <c r="E21" s="181">
        <v>2566391.4700000002</v>
      </c>
      <c r="F21" s="182">
        <v>0</v>
      </c>
      <c r="G21" s="182">
        <f t="shared" si="0"/>
        <v>2566391.4700000002</v>
      </c>
      <c r="H21" s="183">
        <v>6660.2900000000009</v>
      </c>
      <c r="I21" s="184">
        <f t="shared" si="1"/>
        <v>385.32728604910596</v>
      </c>
    </row>
    <row r="22" spans="1:9" x14ac:dyDescent="0.25">
      <c r="A22" s="37">
        <v>3</v>
      </c>
      <c r="B22" s="178">
        <v>179</v>
      </c>
      <c r="C22" s="179">
        <v>3</v>
      </c>
      <c r="D22" s="180" t="s">
        <v>79</v>
      </c>
      <c r="E22" s="181">
        <v>2968846.76</v>
      </c>
      <c r="F22" s="182">
        <v>514798.43000000005</v>
      </c>
      <c r="G22" s="182">
        <f t="shared" si="0"/>
        <v>2454048.3299999996</v>
      </c>
      <c r="H22" s="183">
        <v>4762.12</v>
      </c>
      <c r="I22" s="184">
        <f t="shared" si="1"/>
        <v>515.32685652608495</v>
      </c>
    </row>
    <row r="23" spans="1:9" x14ac:dyDescent="0.25">
      <c r="A23" s="37">
        <v>3</v>
      </c>
      <c r="B23" s="178">
        <v>293</v>
      </c>
      <c r="C23" s="179">
        <v>3</v>
      </c>
      <c r="D23" s="180" t="s">
        <v>80</v>
      </c>
      <c r="E23" s="181">
        <v>2668555.6</v>
      </c>
      <c r="F23" s="182">
        <v>804269.87</v>
      </c>
      <c r="G23" s="182">
        <f t="shared" si="0"/>
        <v>1864285.73</v>
      </c>
      <c r="H23" s="183">
        <v>7281.260000000002</v>
      </c>
      <c r="I23" s="184">
        <f t="shared" si="1"/>
        <v>256.0388902470176</v>
      </c>
    </row>
    <row r="24" spans="1:9" x14ac:dyDescent="0.25">
      <c r="A24" s="37">
        <v>4</v>
      </c>
      <c r="B24" s="178">
        <v>12</v>
      </c>
      <c r="C24" s="179">
        <v>4</v>
      </c>
      <c r="D24" s="180" t="s">
        <v>81</v>
      </c>
      <c r="E24" s="181">
        <v>3046146.58</v>
      </c>
      <c r="F24" s="182">
        <v>488646.3899999999</v>
      </c>
      <c r="G24" s="182">
        <f t="shared" si="0"/>
        <v>2557500.1900000004</v>
      </c>
      <c r="H24" s="183">
        <v>4825.329999999999</v>
      </c>
      <c r="I24" s="184">
        <f t="shared" si="1"/>
        <v>530.01560307792442</v>
      </c>
    </row>
    <row r="25" spans="1:9" x14ac:dyDescent="0.25">
      <c r="A25" s="37">
        <v>4</v>
      </c>
      <c r="B25" s="178">
        <v>21</v>
      </c>
      <c r="C25" s="179">
        <v>4</v>
      </c>
      <c r="D25" s="180" t="s">
        <v>82</v>
      </c>
      <c r="E25" s="181">
        <v>3295191.2</v>
      </c>
      <c r="F25" s="182">
        <v>429434.07</v>
      </c>
      <c r="G25" s="182">
        <f t="shared" si="0"/>
        <v>2865757.1300000004</v>
      </c>
      <c r="H25" s="183">
        <v>5084.4800000000014</v>
      </c>
      <c r="I25" s="184">
        <f t="shared" si="1"/>
        <v>563.6283612090125</v>
      </c>
    </row>
    <row r="26" spans="1:9" x14ac:dyDescent="0.25">
      <c r="A26" s="37">
        <v>4</v>
      </c>
      <c r="B26" s="178">
        <v>34</v>
      </c>
      <c r="C26" s="179">
        <v>4</v>
      </c>
      <c r="D26" s="180" t="s">
        <v>83</v>
      </c>
      <c r="E26" s="181">
        <v>2138130.23</v>
      </c>
      <c r="F26" s="182">
        <v>417619.64</v>
      </c>
      <c r="G26" s="182">
        <f t="shared" si="0"/>
        <v>1720510.5899999999</v>
      </c>
      <c r="H26" s="183">
        <v>4463.82</v>
      </c>
      <c r="I26" s="184">
        <f t="shared" si="1"/>
        <v>385.43458069545812</v>
      </c>
    </row>
    <row r="27" spans="1:9" x14ac:dyDescent="0.25">
      <c r="A27" s="37">
        <v>4</v>
      </c>
      <c r="B27" s="178">
        <v>87</v>
      </c>
      <c r="C27" s="179">
        <v>4</v>
      </c>
      <c r="D27" s="180" t="s">
        <v>84</v>
      </c>
      <c r="E27" s="181">
        <v>4847089.93</v>
      </c>
      <c r="F27" s="182">
        <v>1112264.4600000002</v>
      </c>
      <c r="G27" s="182">
        <f t="shared" si="0"/>
        <v>3734825.4699999997</v>
      </c>
      <c r="H27" s="183">
        <v>10810.4</v>
      </c>
      <c r="I27" s="184">
        <f t="shared" si="1"/>
        <v>345.48448438540663</v>
      </c>
    </row>
    <row r="28" spans="1:9" x14ac:dyDescent="0.25">
      <c r="A28" s="37">
        <v>4</v>
      </c>
      <c r="B28" s="178">
        <v>88</v>
      </c>
      <c r="C28" s="179">
        <v>4</v>
      </c>
      <c r="D28" s="180" t="s">
        <v>85</v>
      </c>
      <c r="E28" s="181">
        <v>2453153.67</v>
      </c>
      <c r="F28" s="182">
        <v>459020.94</v>
      </c>
      <c r="G28" s="182">
        <f t="shared" si="0"/>
        <v>1994132.73</v>
      </c>
      <c r="H28" s="183">
        <v>4907.8008</v>
      </c>
      <c r="I28" s="184">
        <f t="shared" si="1"/>
        <v>406.31900341187441</v>
      </c>
    </row>
    <row r="29" spans="1:9" x14ac:dyDescent="0.25">
      <c r="A29" s="37">
        <v>4</v>
      </c>
      <c r="B29" s="178">
        <v>89</v>
      </c>
      <c r="C29" s="179">
        <v>4</v>
      </c>
      <c r="D29" s="180" t="s">
        <v>310</v>
      </c>
      <c r="E29" s="181">
        <v>4597599.62</v>
      </c>
      <c r="F29" s="182">
        <v>379921.47</v>
      </c>
      <c r="G29" s="182">
        <f t="shared" si="0"/>
        <v>4217678.1500000004</v>
      </c>
      <c r="H29" s="183">
        <v>5289.19</v>
      </c>
      <c r="I29" s="184">
        <f t="shared" si="1"/>
        <v>797.41475537842291</v>
      </c>
    </row>
    <row r="30" spans="1:9" x14ac:dyDescent="0.25">
      <c r="A30" s="37">
        <v>4</v>
      </c>
      <c r="B30" s="178">
        <v>143</v>
      </c>
      <c r="C30" s="179">
        <v>4</v>
      </c>
      <c r="D30" s="180" t="s">
        <v>87</v>
      </c>
      <c r="E30" s="181">
        <v>871204.41</v>
      </c>
      <c r="F30" s="182">
        <v>280661.95</v>
      </c>
      <c r="G30" s="182">
        <f t="shared" si="0"/>
        <v>590542.46</v>
      </c>
      <c r="H30" s="183">
        <v>2868.39</v>
      </c>
      <c r="I30" s="184">
        <f t="shared" si="1"/>
        <v>205.87941667625392</v>
      </c>
    </row>
    <row r="31" spans="1:9" x14ac:dyDescent="0.25">
      <c r="A31" s="37">
        <v>4</v>
      </c>
      <c r="B31" s="178">
        <v>183</v>
      </c>
      <c r="C31" s="179">
        <v>4</v>
      </c>
      <c r="D31" s="180" t="s">
        <v>88</v>
      </c>
      <c r="E31" s="181">
        <v>6636509.4800000004</v>
      </c>
      <c r="F31" s="182">
        <v>345255.24999999994</v>
      </c>
      <c r="G31" s="182">
        <f t="shared" si="0"/>
        <v>6291254.2300000004</v>
      </c>
      <c r="H31" s="183">
        <v>9420.8800000000028</v>
      </c>
      <c r="I31" s="184">
        <f t="shared" si="1"/>
        <v>667.79899860734861</v>
      </c>
    </row>
    <row r="32" spans="1:9" x14ac:dyDescent="0.25">
      <c r="A32" s="37">
        <v>4</v>
      </c>
      <c r="B32" s="178">
        <v>186</v>
      </c>
      <c r="C32" s="179">
        <v>4</v>
      </c>
      <c r="D32" s="180" t="s">
        <v>89</v>
      </c>
      <c r="E32" s="181">
        <v>8376430.6799999997</v>
      </c>
      <c r="F32" s="182">
        <v>1283505.8</v>
      </c>
      <c r="G32" s="182">
        <f t="shared" si="0"/>
        <v>7092924.8799999999</v>
      </c>
      <c r="H32" s="183">
        <v>10708.64</v>
      </c>
      <c r="I32" s="184">
        <f t="shared" si="1"/>
        <v>662.3553392400903</v>
      </c>
    </row>
    <row r="33" spans="1:9" x14ac:dyDescent="0.25">
      <c r="A33" s="37">
        <v>4</v>
      </c>
      <c r="B33" s="178">
        <v>190</v>
      </c>
      <c r="C33" s="179">
        <v>4</v>
      </c>
      <c r="D33" s="180" t="s">
        <v>90</v>
      </c>
      <c r="E33" s="181">
        <v>2361886.33</v>
      </c>
      <c r="F33" s="182">
        <v>436295.02999999997</v>
      </c>
      <c r="G33" s="182">
        <f t="shared" si="0"/>
        <v>1925591.3</v>
      </c>
      <c r="H33" s="183">
        <v>3049.19</v>
      </c>
      <c r="I33" s="184">
        <f t="shared" si="1"/>
        <v>631.50912209472028</v>
      </c>
    </row>
    <row r="34" spans="1:9" x14ac:dyDescent="0.25">
      <c r="A34" s="37">
        <v>4</v>
      </c>
      <c r="B34" s="178">
        <v>324</v>
      </c>
      <c r="C34" s="179">
        <v>4</v>
      </c>
      <c r="D34" s="180" t="s">
        <v>91</v>
      </c>
      <c r="E34" s="181">
        <v>4459243.79</v>
      </c>
      <c r="F34" s="182">
        <v>744094.01</v>
      </c>
      <c r="G34" s="182">
        <f t="shared" si="0"/>
        <v>3715149.7800000003</v>
      </c>
      <c r="H34" s="183">
        <v>7376.43</v>
      </c>
      <c r="I34" s="184">
        <f t="shared" si="1"/>
        <v>503.65146554634151</v>
      </c>
    </row>
    <row r="35" spans="1:9" x14ac:dyDescent="0.25">
      <c r="A35" s="37">
        <v>4</v>
      </c>
      <c r="B35" s="178">
        <v>429</v>
      </c>
      <c r="C35" s="179">
        <v>4</v>
      </c>
      <c r="D35" s="180" t="s">
        <v>92</v>
      </c>
      <c r="E35" s="181">
        <v>1615598.05</v>
      </c>
      <c r="F35" s="182">
        <v>324593.48</v>
      </c>
      <c r="G35" s="182">
        <f t="shared" si="0"/>
        <v>1291004.57</v>
      </c>
      <c r="H35" s="183">
        <v>4180.4643999999998</v>
      </c>
      <c r="I35" s="184">
        <f t="shared" si="1"/>
        <v>308.81845806413281</v>
      </c>
    </row>
    <row r="36" spans="1:9" x14ac:dyDescent="0.25">
      <c r="A36" s="37">
        <v>4</v>
      </c>
      <c r="B36" s="178">
        <v>601</v>
      </c>
      <c r="C36" s="179">
        <v>4</v>
      </c>
      <c r="D36" s="180" t="s">
        <v>93</v>
      </c>
      <c r="E36" s="181">
        <v>3050653.27</v>
      </c>
      <c r="F36" s="182">
        <v>210627.25999999998</v>
      </c>
      <c r="G36" s="182">
        <f t="shared" si="0"/>
        <v>2840026.0100000002</v>
      </c>
      <c r="H36" s="183">
        <v>5551.27</v>
      </c>
      <c r="I36" s="184">
        <f t="shared" si="1"/>
        <v>511.59932952279388</v>
      </c>
    </row>
    <row r="37" spans="1:9" x14ac:dyDescent="0.25">
      <c r="A37" s="37">
        <v>4</v>
      </c>
      <c r="B37" s="178">
        <v>760</v>
      </c>
      <c r="C37" s="179">
        <v>4</v>
      </c>
      <c r="D37" s="180" t="s">
        <v>94</v>
      </c>
      <c r="E37" s="181">
        <v>1509097.88</v>
      </c>
      <c r="F37" s="182">
        <v>554553.47</v>
      </c>
      <c r="G37" s="182">
        <f t="shared" si="0"/>
        <v>954544.40999999992</v>
      </c>
      <c r="H37" s="183">
        <v>5012.8599999999997</v>
      </c>
      <c r="I37" s="184">
        <f t="shared" si="1"/>
        <v>190.41912401303847</v>
      </c>
    </row>
    <row r="38" spans="1:9" x14ac:dyDescent="0.25">
      <c r="A38" s="37">
        <v>4</v>
      </c>
      <c r="B38" s="178">
        <v>878</v>
      </c>
      <c r="C38" s="179">
        <v>4</v>
      </c>
      <c r="D38" s="180" t="s">
        <v>95</v>
      </c>
      <c r="E38" s="181">
        <v>3017896.76</v>
      </c>
      <c r="F38" s="182">
        <v>419431.65</v>
      </c>
      <c r="G38" s="182">
        <f t="shared" si="0"/>
        <v>2598465.11</v>
      </c>
      <c r="H38" s="183">
        <v>7393.5</v>
      </c>
      <c r="I38" s="184">
        <f t="shared" si="1"/>
        <v>351.45264218570367</v>
      </c>
    </row>
    <row r="39" spans="1:9" x14ac:dyDescent="0.25">
      <c r="A39" s="37">
        <v>5</v>
      </c>
      <c r="B39" s="178">
        <v>8</v>
      </c>
      <c r="C39" s="179">
        <v>5</v>
      </c>
      <c r="D39" s="180" t="s">
        <v>96</v>
      </c>
      <c r="E39" s="181">
        <v>864369.87</v>
      </c>
      <c r="F39" s="182">
        <v>93052.72</v>
      </c>
      <c r="G39" s="182">
        <f t="shared" si="0"/>
        <v>771317.15</v>
      </c>
      <c r="H39" s="183">
        <v>2075.63</v>
      </c>
      <c r="I39" s="184">
        <f t="shared" si="1"/>
        <v>371.60628339347574</v>
      </c>
    </row>
    <row r="40" spans="1:9" x14ac:dyDescent="0.25">
      <c r="A40" s="37">
        <v>5</v>
      </c>
      <c r="B40" s="178">
        <v>41</v>
      </c>
      <c r="C40" s="179">
        <v>5</v>
      </c>
      <c r="D40" s="180" t="s">
        <v>97</v>
      </c>
      <c r="E40" s="181">
        <v>598036.62</v>
      </c>
      <c r="F40" s="182">
        <v>171251.26000000004</v>
      </c>
      <c r="G40" s="182">
        <f t="shared" si="0"/>
        <v>426785.36</v>
      </c>
      <c r="H40" s="183">
        <v>993.22</v>
      </c>
      <c r="I40" s="184">
        <f t="shared" si="1"/>
        <v>429.69871730331647</v>
      </c>
    </row>
    <row r="41" spans="1:9" x14ac:dyDescent="0.25">
      <c r="A41" s="37">
        <v>5</v>
      </c>
      <c r="B41" s="178">
        <v>56</v>
      </c>
      <c r="C41" s="179">
        <v>5</v>
      </c>
      <c r="D41" s="180" t="s">
        <v>98</v>
      </c>
      <c r="E41" s="181">
        <v>572395.97</v>
      </c>
      <c r="F41" s="182">
        <v>2299.3900000000003</v>
      </c>
      <c r="G41" s="182">
        <f t="shared" si="0"/>
        <v>570096.57999999996</v>
      </c>
      <c r="H41" s="183">
        <v>2867.28</v>
      </c>
      <c r="I41" s="184">
        <f t="shared" si="1"/>
        <v>198.82835997879522</v>
      </c>
    </row>
    <row r="42" spans="1:9" x14ac:dyDescent="0.25">
      <c r="A42" s="37">
        <v>5</v>
      </c>
      <c r="B42" s="178">
        <v>67</v>
      </c>
      <c r="C42" s="179">
        <v>5</v>
      </c>
      <c r="D42" s="180" t="s">
        <v>99</v>
      </c>
      <c r="E42" s="181">
        <v>207963.68</v>
      </c>
      <c r="F42" s="182">
        <v>0</v>
      </c>
      <c r="G42" s="182">
        <f t="shared" si="0"/>
        <v>207963.68</v>
      </c>
      <c r="H42" s="183">
        <v>1347.1733959092533</v>
      </c>
      <c r="I42" s="184">
        <f t="shared" si="1"/>
        <v>154.37038812634674</v>
      </c>
    </row>
    <row r="43" spans="1:9" x14ac:dyDescent="0.25">
      <c r="A43" s="37">
        <v>5</v>
      </c>
      <c r="B43" s="178">
        <v>157</v>
      </c>
      <c r="C43" s="179">
        <v>5</v>
      </c>
      <c r="D43" s="180" t="s">
        <v>100</v>
      </c>
      <c r="E43" s="181">
        <v>154392.98000000001</v>
      </c>
      <c r="F43" s="182">
        <v>250</v>
      </c>
      <c r="G43" s="182">
        <f t="shared" si="0"/>
        <v>154142.98000000001</v>
      </c>
      <c r="H43" s="183">
        <v>391.46461159743643</v>
      </c>
      <c r="I43" s="184">
        <f t="shared" si="1"/>
        <v>393.75967950460182</v>
      </c>
    </row>
    <row r="44" spans="1:9" x14ac:dyDescent="0.25">
      <c r="A44" s="37">
        <v>5</v>
      </c>
      <c r="B44" s="178">
        <v>214</v>
      </c>
      <c r="C44" s="179">
        <v>5</v>
      </c>
      <c r="D44" s="180" t="s">
        <v>101</v>
      </c>
      <c r="E44" s="181">
        <v>1755275.05</v>
      </c>
      <c r="F44" s="182">
        <v>255085.94</v>
      </c>
      <c r="G44" s="182">
        <f t="shared" si="0"/>
        <v>1500189.11</v>
      </c>
      <c r="H44" s="183">
        <v>2751.6000000000004</v>
      </c>
      <c r="I44" s="184">
        <f t="shared" si="1"/>
        <v>545.2061019043465</v>
      </c>
    </row>
    <row r="45" spans="1:9" x14ac:dyDescent="0.25">
      <c r="A45" s="37">
        <v>5</v>
      </c>
      <c r="B45" s="178">
        <v>223</v>
      </c>
      <c r="C45" s="179">
        <v>5</v>
      </c>
      <c r="D45" s="180" t="s">
        <v>102</v>
      </c>
      <c r="E45" s="181">
        <v>235853.73</v>
      </c>
      <c r="F45" s="182">
        <v>800.41</v>
      </c>
      <c r="G45" s="182">
        <f t="shared" si="0"/>
        <v>235053.32</v>
      </c>
      <c r="H45" s="183">
        <v>274</v>
      </c>
      <c r="I45" s="184">
        <f t="shared" si="1"/>
        <v>857.85883211678834</v>
      </c>
    </row>
    <row r="46" spans="1:9" x14ac:dyDescent="0.25">
      <c r="A46" s="37">
        <v>5</v>
      </c>
      <c r="B46" s="178">
        <v>224</v>
      </c>
      <c r="C46" s="179">
        <v>5</v>
      </c>
      <c r="D46" s="180" t="s">
        <v>103</v>
      </c>
      <c r="E46" s="181">
        <v>77631.63</v>
      </c>
      <c r="F46" s="182">
        <v>210</v>
      </c>
      <c r="G46" s="182">
        <f t="shared" si="0"/>
        <v>77421.63</v>
      </c>
      <c r="H46" s="183">
        <v>196.82810451351673</v>
      </c>
      <c r="I46" s="184">
        <f t="shared" si="1"/>
        <v>393.34641864969666</v>
      </c>
    </row>
    <row r="47" spans="1:9" x14ac:dyDescent="0.25">
      <c r="A47" s="37">
        <v>5</v>
      </c>
      <c r="B47" s="178">
        <v>233</v>
      </c>
      <c r="C47" s="179">
        <v>5</v>
      </c>
      <c r="D47" s="180" t="s">
        <v>104</v>
      </c>
      <c r="E47" s="181">
        <v>703293.56</v>
      </c>
      <c r="F47" s="182">
        <v>171134.77</v>
      </c>
      <c r="G47" s="182">
        <f t="shared" si="0"/>
        <v>532158.79</v>
      </c>
      <c r="H47" s="183">
        <v>2130.7600000000002</v>
      </c>
      <c r="I47" s="184">
        <f t="shared" si="1"/>
        <v>249.7506945878466</v>
      </c>
    </row>
    <row r="48" spans="1:9" x14ac:dyDescent="0.25">
      <c r="A48" s="37">
        <v>5</v>
      </c>
      <c r="B48" s="178">
        <v>272</v>
      </c>
      <c r="C48" s="179">
        <v>5</v>
      </c>
      <c r="D48" s="180" t="s">
        <v>105</v>
      </c>
      <c r="E48" s="181">
        <v>96048.45</v>
      </c>
      <c r="F48" s="182">
        <v>0</v>
      </c>
      <c r="G48" s="182">
        <f t="shared" si="0"/>
        <v>96048.45</v>
      </c>
      <c r="H48" s="183">
        <v>311.79011619626056</v>
      </c>
      <c r="I48" s="184">
        <f t="shared" si="1"/>
        <v>308.05482602130013</v>
      </c>
    </row>
    <row r="49" spans="1:9" x14ac:dyDescent="0.25">
      <c r="A49" s="37">
        <v>5</v>
      </c>
      <c r="B49" s="178">
        <v>427</v>
      </c>
      <c r="C49" s="179">
        <v>5</v>
      </c>
      <c r="D49" s="180" t="s">
        <v>106</v>
      </c>
      <c r="E49" s="181">
        <v>207168.59</v>
      </c>
      <c r="F49" s="182">
        <v>41727.25</v>
      </c>
      <c r="G49" s="182">
        <f t="shared" si="0"/>
        <v>165441.34</v>
      </c>
      <c r="H49" s="183">
        <v>437.80999999999989</v>
      </c>
      <c r="I49" s="184">
        <f t="shared" si="1"/>
        <v>377.88387656746085</v>
      </c>
    </row>
    <row r="50" spans="1:9" x14ac:dyDescent="0.25">
      <c r="A50" s="37">
        <v>5</v>
      </c>
      <c r="B50" s="178">
        <v>524</v>
      </c>
      <c r="C50" s="179">
        <v>5</v>
      </c>
      <c r="D50" s="180" t="s">
        <v>107</v>
      </c>
      <c r="E50" s="181">
        <v>318123.49</v>
      </c>
      <c r="F50" s="182">
        <v>89207.8</v>
      </c>
      <c r="G50" s="182">
        <f t="shared" si="0"/>
        <v>228915.69</v>
      </c>
      <c r="H50" s="183">
        <v>482.90262956638958</v>
      </c>
      <c r="I50" s="184">
        <f t="shared" si="1"/>
        <v>474.04109231202398</v>
      </c>
    </row>
    <row r="51" spans="1:9" x14ac:dyDescent="0.25">
      <c r="A51" s="37">
        <v>5</v>
      </c>
      <c r="B51" s="178">
        <v>565</v>
      </c>
      <c r="C51" s="179">
        <v>5</v>
      </c>
      <c r="D51" s="180" t="s">
        <v>108</v>
      </c>
      <c r="E51" s="181">
        <v>274241.52</v>
      </c>
      <c r="F51" s="182">
        <v>88951.02</v>
      </c>
      <c r="G51" s="182">
        <f t="shared" si="0"/>
        <v>185290.5</v>
      </c>
      <c r="H51" s="183">
        <v>494.21083681672025</v>
      </c>
      <c r="I51" s="184">
        <f t="shared" si="1"/>
        <v>374.92196891812716</v>
      </c>
    </row>
    <row r="52" spans="1:9" x14ac:dyDescent="0.25">
      <c r="A52" s="37">
        <v>5</v>
      </c>
      <c r="B52" s="178">
        <v>613</v>
      </c>
      <c r="C52" s="179">
        <v>5</v>
      </c>
      <c r="D52" s="180" t="s">
        <v>109</v>
      </c>
      <c r="E52" s="181">
        <v>69874.64</v>
      </c>
      <c r="F52" s="182">
        <v>0</v>
      </c>
      <c r="G52" s="182">
        <f t="shared" si="0"/>
        <v>69874.64</v>
      </c>
      <c r="H52" s="183">
        <v>131.44881180778847</v>
      </c>
      <c r="I52" s="184">
        <f t="shared" si="1"/>
        <v>531.57300578855336</v>
      </c>
    </row>
    <row r="53" spans="1:9" x14ac:dyDescent="0.25">
      <c r="A53" s="37">
        <v>5</v>
      </c>
      <c r="B53" s="178">
        <v>696</v>
      </c>
      <c r="C53" s="179">
        <v>5</v>
      </c>
      <c r="D53" s="180" t="s">
        <v>110</v>
      </c>
      <c r="E53" s="181">
        <v>129470.73</v>
      </c>
      <c r="F53" s="182">
        <v>201.75</v>
      </c>
      <c r="G53" s="182">
        <f t="shared" si="0"/>
        <v>129268.98</v>
      </c>
      <c r="H53" s="183">
        <v>255.58264483294207</v>
      </c>
      <c r="I53" s="184">
        <f t="shared" si="1"/>
        <v>505.78152551983652</v>
      </c>
    </row>
    <row r="54" spans="1:9" x14ac:dyDescent="0.25">
      <c r="A54" s="37">
        <v>5</v>
      </c>
      <c r="B54" s="178">
        <v>731</v>
      </c>
      <c r="C54" s="179">
        <v>5</v>
      </c>
      <c r="D54" s="180" t="s">
        <v>111</v>
      </c>
      <c r="E54" s="181">
        <v>268966.73</v>
      </c>
      <c r="F54" s="182">
        <v>41367.85</v>
      </c>
      <c r="G54" s="182">
        <f t="shared" si="0"/>
        <v>227598.87999999998</v>
      </c>
      <c r="H54" s="183">
        <v>1049.3999999999999</v>
      </c>
      <c r="I54" s="184">
        <f t="shared" si="1"/>
        <v>216.88477225080999</v>
      </c>
    </row>
    <row r="55" spans="1:9" x14ac:dyDescent="0.25">
      <c r="A55" s="37">
        <v>5</v>
      </c>
      <c r="B55" s="178">
        <v>732</v>
      </c>
      <c r="C55" s="179">
        <v>5</v>
      </c>
      <c r="D55" s="180" t="s">
        <v>112</v>
      </c>
      <c r="E55" s="181">
        <v>70626.64</v>
      </c>
      <c r="F55" s="182">
        <v>0</v>
      </c>
      <c r="G55" s="182">
        <f t="shared" si="0"/>
        <v>70626.64</v>
      </c>
      <c r="H55" s="183">
        <v>190.20939315714199</v>
      </c>
      <c r="I55" s="184">
        <f t="shared" si="1"/>
        <v>371.3099486188446</v>
      </c>
    </row>
    <row r="56" spans="1:9" x14ac:dyDescent="0.25">
      <c r="A56" s="37">
        <v>5</v>
      </c>
      <c r="B56" s="178">
        <v>754</v>
      </c>
      <c r="C56" s="179">
        <v>5</v>
      </c>
      <c r="D56" s="180" t="s">
        <v>113</v>
      </c>
      <c r="E56" s="181">
        <v>35014.82</v>
      </c>
      <c r="F56" s="182">
        <v>0</v>
      </c>
      <c r="G56" s="182">
        <f t="shared" si="0"/>
        <v>35014.82</v>
      </c>
      <c r="H56" s="183">
        <v>100.39736101583898</v>
      </c>
      <c r="I56" s="184">
        <f t="shared" si="1"/>
        <v>348.762354365828</v>
      </c>
    </row>
    <row r="57" spans="1:9" x14ac:dyDescent="0.25">
      <c r="A57" s="37">
        <v>5</v>
      </c>
      <c r="B57" s="178">
        <v>885</v>
      </c>
      <c r="C57" s="179">
        <v>5</v>
      </c>
      <c r="D57" s="180" t="s">
        <v>114</v>
      </c>
      <c r="E57" s="181">
        <v>146152.16</v>
      </c>
      <c r="F57" s="182">
        <v>0</v>
      </c>
      <c r="G57" s="182">
        <f t="shared" si="0"/>
        <v>146152.16</v>
      </c>
      <c r="H57" s="183">
        <v>441.47999999999996</v>
      </c>
      <c r="I57" s="184">
        <f t="shared" si="1"/>
        <v>331.05046661230409</v>
      </c>
    </row>
    <row r="58" spans="1:9" x14ac:dyDescent="0.25">
      <c r="A58" s="37">
        <v>5</v>
      </c>
      <c r="B58" s="178">
        <v>909</v>
      </c>
      <c r="C58" s="179">
        <v>5</v>
      </c>
      <c r="D58" s="180" t="s">
        <v>115</v>
      </c>
      <c r="E58" s="181">
        <v>200038.02</v>
      </c>
      <c r="F58" s="182">
        <v>620.13</v>
      </c>
      <c r="G58" s="182">
        <f t="shared" si="0"/>
        <v>199417.88999999998</v>
      </c>
      <c r="H58" s="183">
        <v>447.85999999999996</v>
      </c>
      <c r="I58" s="184">
        <f t="shared" si="1"/>
        <v>445.26836511409817</v>
      </c>
    </row>
    <row r="59" spans="1:9" x14ac:dyDescent="0.25">
      <c r="A59" s="37">
        <v>5</v>
      </c>
      <c r="B59" s="178">
        <v>923</v>
      </c>
      <c r="C59" s="179">
        <v>5</v>
      </c>
      <c r="D59" s="180" t="s">
        <v>116</v>
      </c>
      <c r="E59" s="181">
        <v>31192.39</v>
      </c>
      <c r="F59" s="182">
        <v>84</v>
      </c>
      <c r="G59" s="182">
        <f t="shared" si="0"/>
        <v>31108.39</v>
      </c>
      <c r="H59" s="183">
        <v>44.943349148505419</v>
      </c>
      <c r="I59" s="184">
        <f t="shared" si="1"/>
        <v>692.16893243111815</v>
      </c>
    </row>
    <row r="60" spans="1:9" x14ac:dyDescent="0.25">
      <c r="A60" s="37">
        <v>6</v>
      </c>
      <c r="B60" s="178">
        <v>394</v>
      </c>
      <c r="C60" s="179">
        <v>6</v>
      </c>
      <c r="D60" s="180" t="s">
        <v>117</v>
      </c>
      <c r="E60" s="181">
        <v>421357.69</v>
      </c>
      <c r="F60" s="182">
        <v>25617.809999999998</v>
      </c>
      <c r="G60" s="182">
        <f t="shared" si="0"/>
        <v>395739.88</v>
      </c>
      <c r="H60" s="183">
        <v>594.22</v>
      </c>
      <c r="I60" s="184">
        <f t="shared" si="1"/>
        <v>665.982094173875</v>
      </c>
    </row>
    <row r="61" spans="1:9" x14ac:dyDescent="0.25">
      <c r="A61" s="37">
        <v>6</v>
      </c>
      <c r="B61" s="178">
        <v>414</v>
      </c>
      <c r="C61" s="179">
        <v>6</v>
      </c>
      <c r="D61" s="180" t="s">
        <v>118</v>
      </c>
      <c r="E61" s="181">
        <v>222802.48</v>
      </c>
      <c r="F61" s="182">
        <v>11641.15</v>
      </c>
      <c r="G61" s="182">
        <f t="shared" si="0"/>
        <v>211161.33000000002</v>
      </c>
      <c r="H61" s="183">
        <v>165.57466674439706</v>
      </c>
      <c r="I61" s="184">
        <f t="shared" si="1"/>
        <v>1275.3239016085506</v>
      </c>
    </row>
    <row r="62" spans="1:9" x14ac:dyDescent="0.25">
      <c r="A62" s="37">
        <v>6</v>
      </c>
      <c r="B62" s="178">
        <v>426</v>
      </c>
      <c r="C62" s="179">
        <v>6</v>
      </c>
      <c r="D62" s="180" t="s">
        <v>119</v>
      </c>
      <c r="E62" s="181">
        <v>170973.35</v>
      </c>
      <c r="F62" s="182">
        <v>420</v>
      </c>
      <c r="G62" s="182">
        <f t="shared" si="0"/>
        <v>170553.35</v>
      </c>
      <c r="H62" s="183">
        <v>463.46518252947482</v>
      </c>
      <c r="I62" s="184">
        <f t="shared" si="1"/>
        <v>367.9960360110835</v>
      </c>
    </row>
    <row r="63" spans="1:9" x14ac:dyDescent="0.25">
      <c r="A63" s="37">
        <v>6</v>
      </c>
      <c r="B63" s="178">
        <v>430</v>
      </c>
      <c r="C63" s="179">
        <v>6</v>
      </c>
      <c r="D63" s="180" t="s">
        <v>120</v>
      </c>
      <c r="E63" s="181">
        <v>1748413.46</v>
      </c>
      <c r="F63" s="182">
        <v>480</v>
      </c>
      <c r="G63" s="182">
        <f t="shared" si="0"/>
        <v>1747933.46</v>
      </c>
      <c r="H63" s="183">
        <v>2460.6196060451061</v>
      </c>
      <c r="I63" s="184">
        <f t="shared" si="1"/>
        <v>710.36313605962471</v>
      </c>
    </row>
    <row r="64" spans="1:9" x14ac:dyDescent="0.25">
      <c r="A64" s="37">
        <v>6</v>
      </c>
      <c r="B64" s="178">
        <v>443</v>
      </c>
      <c r="C64" s="179">
        <v>6</v>
      </c>
      <c r="D64" s="180" t="s">
        <v>121</v>
      </c>
      <c r="E64" s="181">
        <v>15830.2</v>
      </c>
      <c r="F64" s="182">
        <v>0</v>
      </c>
      <c r="G64" s="182">
        <f t="shared" si="0"/>
        <v>15830.2</v>
      </c>
      <c r="H64" s="183">
        <v>15.06</v>
      </c>
      <c r="I64" s="184">
        <f t="shared" si="1"/>
        <v>1051.1420982735724</v>
      </c>
    </row>
    <row r="65" spans="1:9" x14ac:dyDescent="0.25">
      <c r="A65" s="37">
        <v>6</v>
      </c>
      <c r="B65" s="178">
        <v>562</v>
      </c>
      <c r="C65" s="179">
        <v>6</v>
      </c>
      <c r="D65" s="180" t="s">
        <v>122</v>
      </c>
      <c r="E65" s="181">
        <v>48863.76</v>
      </c>
      <c r="F65" s="182">
        <v>0</v>
      </c>
      <c r="G65" s="182">
        <f t="shared" si="0"/>
        <v>48863.76</v>
      </c>
      <c r="H65" s="183">
        <v>81.472925896153384</v>
      </c>
      <c r="I65" s="184">
        <f t="shared" si="1"/>
        <v>599.75457444946176</v>
      </c>
    </row>
    <row r="66" spans="1:9" x14ac:dyDescent="0.25">
      <c r="A66" s="37">
        <v>6</v>
      </c>
      <c r="B66" s="178">
        <v>603</v>
      </c>
      <c r="C66" s="179">
        <v>6</v>
      </c>
      <c r="D66" s="180" t="s">
        <v>123</v>
      </c>
      <c r="E66" s="181">
        <v>86512.44</v>
      </c>
      <c r="F66" s="182">
        <v>0</v>
      </c>
      <c r="G66" s="182">
        <f t="shared" si="0"/>
        <v>86512.44</v>
      </c>
      <c r="H66" s="183">
        <v>97.242711867752604</v>
      </c>
      <c r="I66" s="184">
        <f t="shared" si="1"/>
        <v>889.65474469340722</v>
      </c>
    </row>
    <row r="67" spans="1:9" x14ac:dyDescent="0.25">
      <c r="A67" s="37">
        <v>6</v>
      </c>
      <c r="B67" s="178">
        <v>618</v>
      </c>
      <c r="C67" s="179">
        <v>6</v>
      </c>
      <c r="D67" s="180" t="s">
        <v>124</v>
      </c>
      <c r="E67" s="181">
        <v>17288.669999999998</v>
      </c>
      <c r="F67" s="182">
        <v>16785.12</v>
      </c>
      <c r="G67" s="182">
        <f t="shared" si="0"/>
        <v>503.54999999999927</v>
      </c>
      <c r="H67" s="183">
        <v>17.61132857645476</v>
      </c>
      <c r="I67" s="184">
        <f t="shared" si="1"/>
        <v>28.592391415217474</v>
      </c>
    </row>
    <row r="68" spans="1:9" x14ac:dyDescent="0.25">
      <c r="A68" s="37">
        <v>6</v>
      </c>
      <c r="B68" s="178">
        <v>620</v>
      </c>
      <c r="C68" s="179">
        <v>6</v>
      </c>
      <c r="D68" s="180" t="s">
        <v>125</v>
      </c>
      <c r="E68" s="181">
        <v>122866.55</v>
      </c>
      <c r="F68" s="182">
        <v>0</v>
      </c>
      <c r="G68" s="182">
        <f t="shared" si="0"/>
        <v>122866.55</v>
      </c>
      <c r="H68" s="183">
        <v>235.76910512683102</v>
      </c>
      <c r="I68" s="184">
        <f t="shared" si="1"/>
        <v>521.13083236204523</v>
      </c>
    </row>
    <row r="69" spans="1:9" x14ac:dyDescent="0.25">
      <c r="A69" s="37">
        <v>6</v>
      </c>
      <c r="B69" s="178">
        <v>622</v>
      </c>
      <c r="C69" s="179">
        <v>6</v>
      </c>
      <c r="D69" s="180" t="s">
        <v>126</v>
      </c>
      <c r="E69" s="181">
        <v>83536.710000000006</v>
      </c>
      <c r="F69" s="182">
        <v>396</v>
      </c>
      <c r="G69" s="182">
        <f t="shared" ref="G69:G132" si="2">E69-F69</f>
        <v>83140.710000000006</v>
      </c>
      <c r="H69" s="183">
        <v>122.59818725735381</v>
      </c>
      <c r="I69" s="184">
        <f t="shared" ref="I69:I132" si="3">IFERROR(G69/H69,0)</f>
        <v>678.15611192907727</v>
      </c>
    </row>
    <row r="70" spans="1:9" x14ac:dyDescent="0.25">
      <c r="A70" s="37">
        <v>6</v>
      </c>
      <c r="B70" s="178">
        <v>623</v>
      </c>
      <c r="C70" s="179">
        <v>6</v>
      </c>
      <c r="D70" s="180" t="s">
        <v>127</v>
      </c>
      <c r="E70" s="181">
        <v>79811.240000000005</v>
      </c>
      <c r="F70" s="182">
        <v>0</v>
      </c>
      <c r="G70" s="182">
        <f t="shared" si="2"/>
        <v>79811.240000000005</v>
      </c>
      <c r="H70" s="183">
        <v>230.09002718232705</v>
      </c>
      <c r="I70" s="184">
        <f t="shared" si="3"/>
        <v>346.86961871996431</v>
      </c>
    </row>
    <row r="71" spans="1:9" x14ac:dyDescent="0.25">
      <c r="A71" s="37">
        <v>6</v>
      </c>
      <c r="B71" s="178">
        <v>626</v>
      </c>
      <c r="C71" s="179">
        <v>6</v>
      </c>
      <c r="D71" s="180" t="s">
        <v>128</v>
      </c>
      <c r="E71" s="181">
        <v>17900.14</v>
      </c>
      <c r="F71" s="182">
        <v>0</v>
      </c>
      <c r="G71" s="182">
        <f t="shared" si="2"/>
        <v>17900.14</v>
      </c>
      <c r="H71" s="183">
        <v>21.510599845182803</v>
      </c>
      <c r="I71" s="184">
        <f t="shared" si="3"/>
        <v>832.15438569039497</v>
      </c>
    </row>
    <row r="72" spans="1:9" x14ac:dyDescent="0.25">
      <c r="A72" s="37">
        <v>6</v>
      </c>
      <c r="B72" s="178">
        <v>627</v>
      </c>
      <c r="C72" s="179">
        <v>6</v>
      </c>
      <c r="D72" s="180" t="s">
        <v>129</v>
      </c>
      <c r="E72" s="181">
        <v>81020.789999999994</v>
      </c>
      <c r="F72" s="182">
        <v>0</v>
      </c>
      <c r="G72" s="182">
        <f t="shared" si="2"/>
        <v>81020.789999999994</v>
      </c>
      <c r="H72" s="183">
        <v>166.68530619268788</v>
      </c>
      <c r="I72" s="184">
        <f t="shared" si="3"/>
        <v>486.07037927110457</v>
      </c>
    </row>
    <row r="73" spans="1:9" x14ac:dyDescent="0.25">
      <c r="A73" s="37">
        <v>6</v>
      </c>
      <c r="B73" s="178">
        <v>634</v>
      </c>
      <c r="C73" s="179">
        <v>6</v>
      </c>
      <c r="D73" s="180" t="s">
        <v>130</v>
      </c>
      <c r="E73" s="181">
        <v>651840.68999999994</v>
      </c>
      <c r="F73" s="182">
        <v>0</v>
      </c>
      <c r="G73" s="182">
        <f t="shared" si="2"/>
        <v>651840.68999999994</v>
      </c>
      <c r="H73" s="183">
        <v>627.63252780769471</v>
      </c>
      <c r="I73" s="184">
        <f t="shared" si="3"/>
        <v>1038.5705984310018</v>
      </c>
    </row>
    <row r="74" spans="1:9" x14ac:dyDescent="0.25">
      <c r="A74" s="37">
        <v>6</v>
      </c>
      <c r="B74" s="178">
        <v>636</v>
      </c>
      <c r="C74" s="179">
        <v>6</v>
      </c>
      <c r="D74" s="180" t="s">
        <v>313</v>
      </c>
      <c r="E74" s="181">
        <v>82605.94</v>
      </c>
      <c r="F74" s="182">
        <v>76356</v>
      </c>
      <c r="G74" s="182">
        <f t="shared" si="2"/>
        <v>6249.9400000000023</v>
      </c>
      <c r="H74" s="183">
        <v>71.040896564249138</v>
      </c>
      <c r="I74" s="184">
        <f t="shared" si="3"/>
        <v>87.976648694848308</v>
      </c>
    </row>
    <row r="75" spans="1:9" x14ac:dyDescent="0.25">
      <c r="A75" s="37">
        <v>6</v>
      </c>
      <c r="B75" s="178">
        <v>641</v>
      </c>
      <c r="C75" s="179">
        <v>6</v>
      </c>
      <c r="D75" s="180" t="s">
        <v>335</v>
      </c>
      <c r="E75" s="181">
        <v>28951.200000000001</v>
      </c>
      <c r="F75" s="182">
        <v>0</v>
      </c>
      <c r="G75" s="182">
        <f t="shared" si="2"/>
        <v>28951.200000000001</v>
      </c>
      <c r="H75" s="183">
        <v>7.6885978325592479</v>
      </c>
      <c r="I75" s="184">
        <f t="shared" si="3"/>
        <v>3765.4720184997923</v>
      </c>
    </row>
    <row r="76" spans="1:9" x14ac:dyDescent="0.25">
      <c r="A76" s="37">
        <v>6</v>
      </c>
      <c r="B76" s="178">
        <v>694</v>
      </c>
      <c r="C76" s="179">
        <v>6</v>
      </c>
      <c r="D76" s="180" t="s">
        <v>131</v>
      </c>
      <c r="E76" s="181">
        <v>89610.08</v>
      </c>
      <c r="F76" s="182">
        <v>0</v>
      </c>
      <c r="G76" s="182">
        <f t="shared" si="2"/>
        <v>89610.08</v>
      </c>
      <c r="H76" s="183">
        <v>13.652301912467729</v>
      </c>
      <c r="I76" s="184">
        <f t="shared" si="3"/>
        <v>6563.7341288332582</v>
      </c>
    </row>
    <row r="77" spans="1:9" x14ac:dyDescent="0.25">
      <c r="A77" s="37">
        <v>6</v>
      </c>
      <c r="B77" s="178">
        <v>706</v>
      </c>
      <c r="C77" s="179">
        <v>6</v>
      </c>
      <c r="D77" s="180" t="s">
        <v>239</v>
      </c>
      <c r="E77" s="181">
        <v>63477.03</v>
      </c>
      <c r="F77" s="182">
        <v>0</v>
      </c>
      <c r="G77" s="182">
        <f t="shared" si="2"/>
        <v>63477.03</v>
      </c>
      <c r="H77" s="183">
        <v>56.018113935987294</v>
      </c>
      <c r="I77" s="184">
        <f t="shared" si="3"/>
        <v>1133.1518599954313</v>
      </c>
    </row>
    <row r="78" spans="1:9" x14ac:dyDescent="0.25">
      <c r="A78" s="37">
        <v>6</v>
      </c>
      <c r="B78" s="178">
        <v>710</v>
      </c>
      <c r="C78" s="179">
        <v>6</v>
      </c>
      <c r="D78" s="180" t="s">
        <v>133</v>
      </c>
      <c r="E78" s="181">
        <v>68111.539999999994</v>
      </c>
      <c r="F78" s="182">
        <v>0</v>
      </c>
      <c r="G78" s="182">
        <f t="shared" si="2"/>
        <v>68111.539999999994</v>
      </c>
      <c r="H78" s="183">
        <v>69.210000000000008</v>
      </c>
      <c r="I78" s="184">
        <f t="shared" si="3"/>
        <v>984.12859413379545</v>
      </c>
    </row>
    <row r="79" spans="1:9" x14ac:dyDescent="0.25">
      <c r="A79" s="37">
        <v>6</v>
      </c>
      <c r="B79" s="178">
        <v>743</v>
      </c>
      <c r="C79" s="179">
        <v>6</v>
      </c>
      <c r="D79" s="180" t="s">
        <v>134</v>
      </c>
      <c r="E79" s="181">
        <v>137831.6</v>
      </c>
      <c r="F79" s="182">
        <v>0</v>
      </c>
      <c r="G79" s="182">
        <f t="shared" si="2"/>
        <v>137831.6</v>
      </c>
      <c r="H79" s="183">
        <v>71.128633854585487</v>
      </c>
      <c r="I79" s="184">
        <f t="shared" si="3"/>
        <v>1937.7793798455521</v>
      </c>
    </row>
    <row r="80" spans="1:9" x14ac:dyDescent="0.25">
      <c r="A80" s="37">
        <v>6</v>
      </c>
      <c r="B80" s="178">
        <v>747</v>
      </c>
      <c r="C80" s="179">
        <v>6</v>
      </c>
      <c r="D80" s="180" t="s">
        <v>135</v>
      </c>
      <c r="E80" s="181">
        <v>67182.81</v>
      </c>
      <c r="F80" s="182">
        <v>0</v>
      </c>
      <c r="G80" s="182">
        <f t="shared" si="2"/>
        <v>67182.81</v>
      </c>
      <c r="H80" s="183">
        <v>38</v>
      </c>
      <c r="I80" s="184">
        <f t="shared" si="3"/>
        <v>1767.9686842105264</v>
      </c>
    </row>
    <row r="81" spans="1:9" x14ac:dyDescent="0.25">
      <c r="A81" s="37">
        <v>6</v>
      </c>
      <c r="B81" s="178">
        <v>758</v>
      </c>
      <c r="C81" s="179">
        <v>6</v>
      </c>
      <c r="D81" s="180" t="s">
        <v>136</v>
      </c>
      <c r="E81" s="181">
        <v>340319.42</v>
      </c>
      <c r="F81" s="182">
        <v>142.1</v>
      </c>
      <c r="G81" s="182">
        <f t="shared" si="2"/>
        <v>340177.32</v>
      </c>
      <c r="H81" s="183">
        <v>242.43754918347622</v>
      </c>
      <c r="I81" s="184">
        <f t="shared" si="3"/>
        <v>1403.1544253178147</v>
      </c>
    </row>
    <row r="82" spans="1:9" x14ac:dyDescent="0.25">
      <c r="A82" s="37">
        <v>6</v>
      </c>
      <c r="B82" s="178">
        <v>765</v>
      </c>
      <c r="C82" s="179">
        <v>6</v>
      </c>
      <c r="D82" s="180" t="s">
        <v>137</v>
      </c>
      <c r="E82" s="181">
        <v>83939.95</v>
      </c>
      <c r="F82" s="182">
        <v>0</v>
      </c>
      <c r="G82" s="182">
        <f t="shared" si="2"/>
        <v>83939.95</v>
      </c>
      <c r="H82" s="183">
        <v>86.906400000000005</v>
      </c>
      <c r="I82" s="184">
        <f t="shared" si="3"/>
        <v>965.86615024900345</v>
      </c>
    </row>
    <row r="83" spans="1:9" x14ac:dyDescent="0.25">
      <c r="A83" s="37">
        <v>6</v>
      </c>
      <c r="B83" s="178">
        <v>770</v>
      </c>
      <c r="C83" s="179">
        <v>6</v>
      </c>
      <c r="D83" s="180" t="s">
        <v>138</v>
      </c>
      <c r="E83" s="181">
        <v>30839.79</v>
      </c>
      <c r="F83" s="182">
        <v>0</v>
      </c>
      <c r="G83" s="182">
        <f t="shared" si="2"/>
        <v>30839.79</v>
      </c>
      <c r="H83" s="183">
        <v>26.529705367571449</v>
      </c>
      <c r="I83" s="184">
        <f t="shared" si="3"/>
        <v>1162.4625894902315</v>
      </c>
    </row>
    <row r="84" spans="1:9" x14ac:dyDescent="0.25">
      <c r="A84" s="37">
        <v>6</v>
      </c>
      <c r="B84" s="178">
        <v>774</v>
      </c>
      <c r="C84" s="179">
        <v>6</v>
      </c>
      <c r="D84" s="180" t="s">
        <v>139</v>
      </c>
      <c r="E84" s="181">
        <v>291174.90000000002</v>
      </c>
      <c r="F84" s="182">
        <v>0</v>
      </c>
      <c r="G84" s="182">
        <f t="shared" si="2"/>
        <v>291174.90000000002</v>
      </c>
      <c r="H84" s="183">
        <v>357.53110369632333</v>
      </c>
      <c r="I84" s="184">
        <f t="shared" si="3"/>
        <v>814.40438884812556</v>
      </c>
    </row>
    <row r="85" spans="1:9" x14ac:dyDescent="0.25">
      <c r="A85" s="37">
        <v>6</v>
      </c>
      <c r="B85" s="178">
        <v>794</v>
      </c>
      <c r="C85" s="179">
        <v>6</v>
      </c>
      <c r="D85" s="180" t="s">
        <v>140</v>
      </c>
      <c r="E85" s="181">
        <v>44067.08</v>
      </c>
      <c r="F85" s="182">
        <v>0</v>
      </c>
      <c r="G85" s="182">
        <f t="shared" si="2"/>
        <v>44067.08</v>
      </c>
      <c r="H85" s="183">
        <v>19.658346730975349</v>
      </c>
      <c r="I85" s="184">
        <f t="shared" si="3"/>
        <v>2241.6473065135328</v>
      </c>
    </row>
    <row r="86" spans="1:9" x14ac:dyDescent="0.25">
      <c r="A86" s="37">
        <v>6</v>
      </c>
      <c r="B86" s="178">
        <v>806</v>
      </c>
      <c r="C86" s="179">
        <v>6</v>
      </c>
      <c r="D86" s="180" t="s">
        <v>141</v>
      </c>
      <c r="E86" s="181">
        <v>39624.269999999997</v>
      </c>
      <c r="F86" s="182">
        <v>0</v>
      </c>
      <c r="G86" s="182">
        <f t="shared" si="2"/>
        <v>39624.269999999997</v>
      </c>
      <c r="H86" s="183">
        <v>28</v>
      </c>
      <c r="I86" s="184">
        <f t="shared" si="3"/>
        <v>1415.1524999999999</v>
      </c>
    </row>
    <row r="87" spans="1:9" x14ac:dyDescent="0.25">
      <c r="A87" s="37">
        <v>6</v>
      </c>
      <c r="B87" s="178">
        <v>809</v>
      </c>
      <c r="C87" s="179">
        <v>6</v>
      </c>
      <c r="D87" s="180" t="s">
        <v>318</v>
      </c>
      <c r="E87" s="181">
        <v>495521.19</v>
      </c>
      <c r="F87" s="182">
        <v>0</v>
      </c>
      <c r="G87" s="182">
        <f t="shared" si="2"/>
        <v>495521.19</v>
      </c>
      <c r="H87" s="183">
        <v>348.46479174516446</v>
      </c>
      <c r="I87" s="184">
        <f t="shared" si="3"/>
        <v>1422.0122139696089</v>
      </c>
    </row>
    <row r="88" spans="1:9" x14ac:dyDescent="0.25">
      <c r="A88" s="37">
        <v>6</v>
      </c>
      <c r="B88" s="178">
        <v>811</v>
      </c>
      <c r="C88" s="179">
        <v>6</v>
      </c>
      <c r="D88" s="180" t="s">
        <v>142</v>
      </c>
      <c r="E88" s="181">
        <v>529013.12</v>
      </c>
      <c r="F88" s="182">
        <v>7228.6</v>
      </c>
      <c r="G88" s="182">
        <f t="shared" si="2"/>
        <v>521784.52</v>
      </c>
      <c r="H88" s="183">
        <v>586.72493379030573</v>
      </c>
      <c r="I88" s="184">
        <f t="shared" si="3"/>
        <v>889.31710576746127</v>
      </c>
    </row>
    <row r="89" spans="1:9" x14ac:dyDescent="0.25">
      <c r="A89" s="37">
        <v>6</v>
      </c>
      <c r="B89" s="178">
        <v>824</v>
      </c>
      <c r="C89" s="179">
        <v>6</v>
      </c>
      <c r="D89" s="180" t="s">
        <v>143</v>
      </c>
      <c r="E89" s="181">
        <v>64105.83</v>
      </c>
      <c r="F89" s="182">
        <v>0</v>
      </c>
      <c r="G89" s="182">
        <f t="shared" si="2"/>
        <v>64105.83</v>
      </c>
      <c r="H89" s="183">
        <v>33.61</v>
      </c>
      <c r="I89" s="184">
        <f t="shared" si="3"/>
        <v>1907.3439452543887</v>
      </c>
    </row>
    <row r="90" spans="1:9" x14ac:dyDescent="0.25">
      <c r="A90" s="37">
        <v>6</v>
      </c>
      <c r="B90" s="178">
        <v>826</v>
      </c>
      <c r="C90" s="179">
        <v>6</v>
      </c>
      <c r="D90" s="180" t="s">
        <v>144</v>
      </c>
      <c r="E90" s="181">
        <v>36328.44</v>
      </c>
      <c r="F90" s="182">
        <v>0</v>
      </c>
      <c r="G90" s="182">
        <f t="shared" si="2"/>
        <v>36328.44</v>
      </c>
      <c r="H90" s="183">
        <v>39.180399999999999</v>
      </c>
      <c r="I90" s="184">
        <f t="shared" si="3"/>
        <v>927.20952312891143</v>
      </c>
    </row>
    <row r="91" spans="1:9" x14ac:dyDescent="0.25">
      <c r="A91" s="37">
        <v>6</v>
      </c>
      <c r="B91" s="178">
        <v>840</v>
      </c>
      <c r="C91" s="179">
        <v>6</v>
      </c>
      <c r="D91" s="180" t="s">
        <v>145</v>
      </c>
      <c r="E91" s="181">
        <v>115261.04</v>
      </c>
      <c r="F91" s="182">
        <v>0</v>
      </c>
      <c r="G91" s="182">
        <f t="shared" si="2"/>
        <v>115261.04</v>
      </c>
      <c r="H91" s="183">
        <v>138.55202775991427</v>
      </c>
      <c r="I91" s="184">
        <f t="shared" si="3"/>
        <v>831.89717150676881</v>
      </c>
    </row>
    <row r="92" spans="1:9" x14ac:dyDescent="0.25">
      <c r="A92" s="37">
        <v>6</v>
      </c>
      <c r="B92" s="178">
        <v>843</v>
      </c>
      <c r="C92" s="179">
        <v>6</v>
      </c>
      <c r="D92" s="180" t="s">
        <v>146</v>
      </c>
      <c r="E92" s="181">
        <v>32653.86</v>
      </c>
      <c r="F92" s="182">
        <v>0</v>
      </c>
      <c r="G92" s="182">
        <f t="shared" si="2"/>
        <v>32653.86</v>
      </c>
      <c r="H92" s="183">
        <v>24.72</v>
      </c>
      <c r="I92" s="184">
        <f t="shared" si="3"/>
        <v>1320.9490291262136</v>
      </c>
    </row>
    <row r="93" spans="1:9" x14ac:dyDescent="0.25">
      <c r="A93" s="37">
        <v>6</v>
      </c>
      <c r="B93" s="178">
        <v>846</v>
      </c>
      <c r="C93" s="179">
        <v>6</v>
      </c>
      <c r="D93" s="180" t="s">
        <v>147</v>
      </c>
      <c r="E93" s="181">
        <v>35434.99</v>
      </c>
      <c r="F93" s="182">
        <v>0</v>
      </c>
      <c r="G93" s="182">
        <f t="shared" si="2"/>
        <v>35434.99</v>
      </c>
      <c r="H93" s="183">
        <v>24.695999999999998</v>
      </c>
      <c r="I93" s="184">
        <f t="shared" si="3"/>
        <v>1434.8473436993845</v>
      </c>
    </row>
    <row r="94" spans="1:9" x14ac:dyDescent="0.25">
      <c r="A94" s="37">
        <v>6</v>
      </c>
      <c r="B94" s="178">
        <v>888</v>
      </c>
      <c r="C94" s="179">
        <v>6</v>
      </c>
      <c r="D94" s="180" t="s">
        <v>148</v>
      </c>
      <c r="E94" s="181">
        <v>49302.5</v>
      </c>
      <c r="F94" s="182">
        <v>0</v>
      </c>
      <c r="G94" s="182">
        <f t="shared" si="2"/>
        <v>49302.5</v>
      </c>
      <c r="H94" s="183">
        <v>103.64754100869358</v>
      </c>
      <c r="I94" s="184">
        <f t="shared" si="3"/>
        <v>475.67457481566964</v>
      </c>
    </row>
    <row r="95" spans="1:9" x14ac:dyDescent="0.25">
      <c r="A95" s="37">
        <v>6</v>
      </c>
      <c r="B95" s="178">
        <v>889</v>
      </c>
      <c r="C95" s="179">
        <v>6</v>
      </c>
      <c r="D95" s="180" t="s">
        <v>149</v>
      </c>
      <c r="E95" s="181">
        <v>52828.79</v>
      </c>
      <c r="F95" s="182">
        <v>0</v>
      </c>
      <c r="G95" s="182">
        <f t="shared" si="2"/>
        <v>52828.79</v>
      </c>
      <c r="H95" s="183">
        <v>36.258728414910088</v>
      </c>
      <c r="I95" s="184">
        <f t="shared" si="3"/>
        <v>1456.9951101284644</v>
      </c>
    </row>
    <row r="96" spans="1:9" x14ac:dyDescent="0.25">
      <c r="A96" s="37">
        <v>6</v>
      </c>
      <c r="B96" s="178">
        <v>891</v>
      </c>
      <c r="C96" s="179">
        <v>6</v>
      </c>
      <c r="D96" s="180" t="s">
        <v>150</v>
      </c>
      <c r="E96" s="181">
        <v>101210.64</v>
      </c>
      <c r="F96" s="182">
        <v>0</v>
      </c>
      <c r="G96" s="182">
        <f t="shared" si="2"/>
        <v>101210.64</v>
      </c>
      <c r="H96" s="183">
        <v>291.1434394945195</v>
      </c>
      <c r="I96" s="184">
        <f t="shared" si="3"/>
        <v>347.63153233238216</v>
      </c>
    </row>
    <row r="97" spans="1:9" x14ac:dyDescent="0.25">
      <c r="A97" s="37">
        <v>6</v>
      </c>
      <c r="B97" s="178">
        <v>897</v>
      </c>
      <c r="C97" s="179">
        <v>6</v>
      </c>
      <c r="D97" s="180" t="s">
        <v>260</v>
      </c>
      <c r="E97" s="181">
        <v>311526.77</v>
      </c>
      <c r="F97" s="182">
        <v>84</v>
      </c>
      <c r="G97" s="182">
        <f t="shared" si="2"/>
        <v>311442.77</v>
      </c>
      <c r="H97" s="183">
        <v>72.361426854937321</v>
      </c>
      <c r="I97" s="184">
        <f t="shared" si="3"/>
        <v>4303.9887898334036</v>
      </c>
    </row>
    <row r="98" spans="1:9" x14ac:dyDescent="0.25">
      <c r="A98" s="37">
        <v>6</v>
      </c>
      <c r="B98" s="178">
        <v>904</v>
      </c>
      <c r="C98" s="179">
        <v>6</v>
      </c>
      <c r="D98" s="180" t="s">
        <v>151</v>
      </c>
      <c r="E98" s="181">
        <v>14117.02</v>
      </c>
      <c r="F98" s="182">
        <v>0</v>
      </c>
      <c r="G98" s="182">
        <f t="shared" si="2"/>
        <v>14117.02</v>
      </c>
      <c r="H98" s="183">
        <v>23.64144748103287</v>
      </c>
      <c r="I98" s="184">
        <f t="shared" si="3"/>
        <v>597.13010429356518</v>
      </c>
    </row>
    <row r="99" spans="1:9" x14ac:dyDescent="0.25">
      <c r="A99" s="37">
        <v>6</v>
      </c>
      <c r="B99" s="178">
        <v>906</v>
      </c>
      <c r="C99" s="179">
        <v>6</v>
      </c>
      <c r="D99" s="180" t="s">
        <v>320</v>
      </c>
      <c r="E99" s="181">
        <v>183746.4</v>
      </c>
      <c r="F99" s="182">
        <v>58.4</v>
      </c>
      <c r="G99" s="182">
        <f t="shared" si="2"/>
        <v>183688</v>
      </c>
      <c r="H99" s="183">
        <v>251.9</v>
      </c>
      <c r="I99" s="184">
        <f t="shared" si="3"/>
        <v>729.21000396982924</v>
      </c>
    </row>
    <row r="100" spans="1:9" x14ac:dyDescent="0.25">
      <c r="A100" s="37">
        <v>6</v>
      </c>
      <c r="B100" s="178">
        <v>917</v>
      </c>
      <c r="C100" s="179">
        <v>6</v>
      </c>
      <c r="D100" s="180" t="s">
        <v>153</v>
      </c>
      <c r="E100" s="181">
        <v>59201.33</v>
      </c>
      <c r="F100" s="182">
        <v>0</v>
      </c>
      <c r="G100" s="182">
        <f t="shared" si="2"/>
        <v>59201.33</v>
      </c>
      <c r="H100" s="183">
        <v>188.10307825939799</v>
      </c>
      <c r="I100" s="184">
        <f t="shared" si="3"/>
        <v>314.72812963943181</v>
      </c>
    </row>
    <row r="101" spans="1:9" x14ac:dyDescent="0.25">
      <c r="A101" s="37">
        <v>6</v>
      </c>
      <c r="B101" s="178">
        <v>957</v>
      </c>
      <c r="C101" s="179">
        <v>6</v>
      </c>
      <c r="D101" s="180" t="s">
        <v>154</v>
      </c>
      <c r="E101" s="181">
        <v>40203.24</v>
      </c>
      <c r="F101" s="182">
        <v>0</v>
      </c>
      <c r="G101" s="182">
        <f t="shared" si="2"/>
        <v>40203.24</v>
      </c>
      <c r="H101" s="183">
        <v>101.14874671311182</v>
      </c>
      <c r="I101" s="184">
        <f t="shared" si="3"/>
        <v>397.46651645648603</v>
      </c>
    </row>
    <row r="102" spans="1:9" x14ac:dyDescent="0.25">
      <c r="A102" s="37">
        <v>6</v>
      </c>
      <c r="B102" s="178">
        <v>959</v>
      </c>
      <c r="C102" s="179">
        <v>6</v>
      </c>
      <c r="D102" s="180" t="s">
        <v>155</v>
      </c>
      <c r="E102" s="181">
        <v>123075.62</v>
      </c>
      <c r="F102" s="182">
        <v>0</v>
      </c>
      <c r="G102" s="182">
        <f t="shared" si="2"/>
        <v>123075.62</v>
      </c>
      <c r="H102" s="183">
        <v>330.53645925433352</v>
      </c>
      <c r="I102" s="184">
        <f t="shared" si="3"/>
        <v>372.35111756702952</v>
      </c>
    </row>
    <row r="103" spans="1:9" x14ac:dyDescent="0.25">
      <c r="A103" s="37">
        <v>6</v>
      </c>
      <c r="B103" s="178">
        <v>969</v>
      </c>
      <c r="C103" s="179">
        <v>6</v>
      </c>
      <c r="D103" s="180" t="s">
        <v>156</v>
      </c>
      <c r="E103" s="181">
        <v>87738.63</v>
      </c>
      <c r="F103" s="182">
        <v>0</v>
      </c>
      <c r="G103" s="182">
        <f t="shared" si="2"/>
        <v>87738.63</v>
      </c>
      <c r="H103" s="183">
        <v>20.253027862922973</v>
      </c>
      <c r="I103" s="184">
        <f t="shared" si="3"/>
        <v>4332.124094917298</v>
      </c>
    </row>
    <row r="104" spans="1:9" x14ac:dyDescent="0.25">
      <c r="A104" s="37">
        <v>6</v>
      </c>
      <c r="B104" s="178">
        <v>970</v>
      </c>
      <c r="C104" s="179">
        <v>6</v>
      </c>
      <c r="D104" s="180" t="s">
        <v>157</v>
      </c>
      <c r="E104" s="181">
        <v>73920.09</v>
      </c>
      <c r="F104" s="182">
        <v>161.72</v>
      </c>
      <c r="G104" s="182">
        <f t="shared" si="2"/>
        <v>73758.37</v>
      </c>
      <c r="H104" s="183">
        <v>155.95183681022218</v>
      </c>
      <c r="I104" s="184">
        <f t="shared" si="3"/>
        <v>472.9560838052621</v>
      </c>
    </row>
    <row r="105" spans="1:9" x14ac:dyDescent="0.25">
      <c r="A105" s="37">
        <v>6</v>
      </c>
      <c r="B105" s="178">
        <v>978</v>
      </c>
      <c r="C105" s="179">
        <v>6</v>
      </c>
      <c r="D105" s="180" t="s">
        <v>270</v>
      </c>
      <c r="E105" s="181">
        <v>28052.51</v>
      </c>
      <c r="F105" s="182">
        <v>0</v>
      </c>
      <c r="G105" s="182">
        <f t="shared" si="2"/>
        <v>28052.51</v>
      </c>
      <c r="H105" s="183">
        <v>25.008086578565759</v>
      </c>
      <c r="I105" s="184">
        <f t="shared" si="3"/>
        <v>1121.7375592438805</v>
      </c>
    </row>
    <row r="106" spans="1:9" x14ac:dyDescent="0.25">
      <c r="A106" s="37">
        <v>7</v>
      </c>
      <c r="B106" s="178">
        <v>986</v>
      </c>
      <c r="C106" s="179">
        <v>6</v>
      </c>
      <c r="D106" s="180" t="s">
        <v>159</v>
      </c>
      <c r="E106" s="181">
        <v>43562.55</v>
      </c>
      <c r="F106" s="182">
        <v>0</v>
      </c>
      <c r="G106" s="182">
        <f t="shared" si="2"/>
        <v>43562.55</v>
      </c>
      <c r="H106" s="183">
        <v>7.8194298879459128</v>
      </c>
      <c r="I106" s="184">
        <f t="shared" si="3"/>
        <v>5571.0647226537712</v>
      </c>
    </row>
    <row r="107" spans="1:9" x14ac:dyDescent="0.25">
      <c r="A107" s="37">
        <v>7</v>
      </c>
      <c r="B107" s="178">
        <v>988</v>
      </c>
      <c r="C107" s="179">
        <v>6</v>
      </c>
      <c r="D107" s="180" t="s">
        <v>160</v>
      </c>
      <c r="E107" s="181">
        <v>132703.88</v>
      </c>
      <c r="F107" s="182">
        <v>91</v>
      </c>
      <c r="G107" s="182">
        <f t="shared" si="2"/>
        <v>132612.88</v>
      </c>
      <c r="H107" s="183">
        <v>133.20495744908894</v>
      </c>
      <c r="I107" s="184">
        <f t="shared" si="3"/>
        <v>995.55513953513912</v>
      </c>
    </row>
    <row r="108" spans="1:9" x14ac:dyDescent="0.25">
      <c r="A108" s="37">
        <v>7</v>
      </c>
      <c r="B108" s="178">
        <v>989</v>
      </c>
      <c r="C108" s="179">
        <v>6</v>
      </c>
      <c r="D108" s="180" t="s">
        <v>161</v>
      </c>
      <c r="E108" s="181">
        <v>300886.87</v>
      </c>
      <c r="F108" s="182">
        <v>37627.469999999994</v>
      </c>
      <c r="G108" s="182">
        <f t="shared" si="2"/>
        <v>263259.40000000002</v>
      </c>
      <c r="H108" s="183">
        <v>326.70423415609696</v>
      </c>
      <c r="I108" s="184">
        <f t="shared" si="3"/>
        <v>805.80345302233377</v>
      </c>
    </row>
    <row r="109" spans="1:9" x14ac:dyDescent="0.25">
      <c r="A109" s="37">
        <v>7</v>
      </c>
      <c r="B109" s="178">
        <v>39</v>
      </c>
      <c r="C109" s="179">
        <v>7</v>
      </c>
      <c r="D109" s="180" t="s">
        <v>162</v>
      </c>
      <c r="E109" s="181">
        <v>131981.43</v>
      </c>
      <c r="F109" s="182">
        <v>1501.53</v>
      </c>
      <c r="G109" s="182">
        <f t="shared" si="2"/>
        <v>130479.9</v>
      </c>
      <c r="H109" s="183">
        <v>314.39</v>
      </c>
      <c r="I109" s="184">
        <f t="shared" si="3"/>
        <v>415.02560514011259</v>
      </c>
    </row>
    <row r="110" spans="1:9" x14ac:dyDescent="0.25">
      <c r="A110" s="37">
        <v>7</v>
      </c>
      <c r="B110" s="178">
        <v>59</v>
      </c>
      <c r="C110" s="179">
        <v>7</v>
      </c>
      <c r="D110" s="180" t="s">
        <v>163</v>
      </c>
      <c r="E110" s="181">
        <v>176388.86</v>
      </c>
      <c r="F110" s="182">
        <v>0</v>
      </c>
      <c r="G110" s="182">
        <f t="shared" si="2"/>
        <v>176388.86</v>
      </c>
      <c r="H110" s="183">
        <v>199.24752698257859</v>
      </c>
      <c r="I110" s="184">
        <f t="shared" si="3"/>
        <v>885.27502785729791</v>
      </c>
    </row>
    <row r="111" spans="1:9" x14ac:dyDescent="0.25">
      <c r="A111" s="37">
        <v>7</v>
      </c>
      <c r="B111" s="178">
        <v>100</v>
      </c>
      <c r="C111" s="179">
        <v>7</v>
      </c>
      <c r="D111" s="180" t="s">
        <v>272</v>
      </c>
      <c r="E111" s="181">
        <v>31057.59</v>
      </c>
      <c r="F111" s="182">
        <v>0</v>
      </c>
      <c r="G111" s="182">
        <f t="shared" si="2"/>
        <v>31057.59</v>
      </c>
      <c r="H111" s="183">
        <v>28.459906979550897</v>
      </c>
      <c r="I111" s="184">
        <f t="shared" si="3"/>
        <v>1091.2751760684109</v>
      </c>
    </row>
    <row r="112" spans="1:9" x14ac:dyDescent="0.25">
      <c r="A112" s="37">
        <v>7</v>
      </c>
      <c r="B112" s="178">
        <v>128</v>
      </c>
      <c r="C112" s="179">
        <v>7</v>
      </c>
      <c r="D112" s="180" t="s">
        <v>164</v>
      </c>
      <c r="E112" s="181">
        <v>94207.63</v>
      </c>
      <c r="F112" s="182">
        <v>265.42</v>
      </c>
      <c r="G112" s="182">
        <f t="shared" si="2"/>
        <v>93942.21</v>
      </c>
      <c r="H112" s="183">
        <v>124.30075709261769</v>
      </c>
      <c r="I112" s="184">
        <f t="shared" si="3"/>
        <v>755.76538870155684</v>
      </c>
    </row>
    <row r="113" spans="1:9" x14ac:dyDescent="0.25">
      <c r="A113" s="37">
        <v>7</v>
      </c>
      <c r="B113" s="178">
        <v>152</v>
      </c>
      <c r="C113" s="179">
        <v>7</v>
      </c>
      <c r="D113" s="180" t="s">
        <v>165</v>
      </c>
      <c r="E113" s="181">
        <v>201392.59</v>
      </c>
      <c r="F113" s="182">
        <v>0</v>
      </c>
      <c r="G113" s="182">
        <f t="shared" si="2"/>
        <v>201392.59</v>
      </c>
      <c r="H113" s="183">
        <v>416.02</v>
      </c>
      <c r="I113" s="184">
        <f t="shared" si="3"/>
        <v>484.09352915725208</v>
      </c>
    </row>
    <row r="114" spans="1:9" x14ac:dyDescent="0.25">
      <c r="A114" s="37">
        <v>7</v>
      </c>
      <c r="B114" s="178">
        <v>162</v>
      </c>
      <c r="C114" s="179">
        <v>7</v>
      </c>
      <c r="D114" s="180" t="s">
        <v>166</v>
      </c>
      <c r="E114" s="181">
        <v>406976.46</v>
      </c>
      <c r="F114" s="182">
        <v>20849.919999999998</v>
      </c>
      <c r="G114" s="182">
        <f t="shared" si="2"/>
        <v>386126.54000000004</v>
      </c>
      <c r="H114" s="183">
        <v>817.57999999999993</v>
      </c>
      <c r="I114" s="184">
        <f t="shared" si="3"/>
        <v>472.27982582744204</v>
      </c>
    </row>
    <row r="115" spans="1:9" x14ac:dyDescent="0.25">
      <c r="A115" s="37">
        <v>7</v>
      </c>
      <c r="B115" s="178">
        <v>166</v>
      </c>
      <c r="C115" s="179">
        <v>7</v>
      </c>
      <c r="D115" s="180" t="s">
        <v>167</v>
      </c>
      <c r="E115" s="181">
        <v>468737.5</v>
      </c>
      <c r="F115" s="182">
        <v>69372.91</v>
      </c>
      <c r="G115" s="182">
        <f t="shared" si="2"/>
        <v>399364.58999999997</v>
      </c>
      <c r="H115" s="183">
        <v>812.39060000000006</v>
      </c>
      <c r="I115" s="184">
        <f t="shared" si="3"/>
        <v>491.59184018131174</v>
      </c>
    </row>
    <row r="116" spans="1:9" x14ac:dyDescent="0.25">
      <c r="A116" s="37">
        <v>7</v>
      </c>
      <c r="B116" s="178">
        <v>192</v>
      </c>
      <c r="C116" s="179">
        <v>7</v>
      </c>
      <c r="D116" s="180" t="s">
        <v>168</v>
      </c>
      <c r="E116" s="181">
        <v>131883.44</v>
      </c>
      <c r="F116" s="182">
        <v>15209.029999999999</v>
      </c>
      <c r="G116" s="182">
        <f t="shared" si="2"/>
        <v>116674.41</v>
      </c>
      <c r="H116" s="183">
        <v>176.93</v>
      </c>
      <c r="I116" s="184">
        <f t="shared" si="3"/>
        <v>659.43825241620982</v>
      </c>
    </row>
    <row r="117" spans="1:9" x14ac:dyDescent="0.25">
      <c r="A117" s="37">
        <v>7</v>
      </c>
      <c r="B117" s="178">
        <v>205</v>
      </c>
      <c r="C117" s="179">
        <v>7</v>
      </c>
      <c r="D117" s="180" t="s">
        <v>169</v>
      </c>
      <c r="E117" s="181">
        <v>404989.35</v>
      </c>
      <c r="F117" s="182">
        <v>12086.56</v>
      </c>
      <c r="G117" s="182">
        <f t="shared" si="2"/>
        <v>392902.79</v>
      </c>
      <c r="H117" s="183">
        <v>569.83868095153036</v>
      </c>
      <c r="I117" s="184">
        <f t="shared" si="3"/>
        <v>689.49827930936772</v>
      </c>
    </row>
    <row r="118" spans="1:9" x14ac:dyDescent="0.25">
      <c r="A118" s="37">
        <v>7</v>
      </c>
      <c r="B118" s="178">
        <v>212</v>
      </c>
      <c r="C118" s="179">
        <v>7</v>
      </c>
      <c r="D118" s="180" t="s">
        <v>170</v>
      </c>
      <c r="E118" s="181">
        <v>252873.52</v>
      </c>
      <c r="F118" s="182">
        <v>851</v>
      </c>
      <c r="G118" s="182">
        <f t="shared" si="2"/>
        <v>252022.52</v>
      </c>
      <c r="H118" s="183">
        <v>406.1665486930608</v>
      </c>
      <c r="I118" s="184">
        <f t="shared" si="3"/>
        <v>620.49058646248307</v>
      </c>
    </row>
    <row r="119" spans="1:9" x14ac:dyDescent="0.25">
      <c r="A119" s="37">
        <v>7</v>
      </c>
      <c r="B119" s="178">
        <v>216</v>
      </c>
      <c r="C119" s="179">
        <v>7</v>
      </c>
      <c r="D119" s="180" t="s">
        <v>171</v>
      </c>
      <c r="E119" s="181">
        <v>322813.15000000002</v>
      </c>
      <c r="F119" s="182">
        <v>665</v>
      </c>
      <c r="G119" s="182">
        <f t="shared" si="2"/>
        <v>322148.15000000002</v>
      </c>
      <c r="H119" s="183">
        <v>734.36593752530666</v>
      </c>
      <c r="I119" s="184">
        <f t="shared" si="3"/>
        <v>438.6752347005455</v>
      </c>
    </row>
    <row r="120" spans="1:9" x14ac:dyDescent="0.25">
      <c r="A120" s="37">
        <v>7</v>
      </c>
      <c r="B120" s="178">
        <v>218</v>
      </c>
      <c r="C120" s="179">
        <v>7</v>
      </c>
      <c r="D120" s="180" t="s">
        <v>276</v>
      </c>
      <c r="E120" s="181">
        <v>202407.39</v>
      </c>
      <c r="F120" s="182">
        <v>240</v>
      </c>
      <c r="G120" s="182">
        <f t="shared" si="2"/>
        <v>202167.39</v>
      </c>
      <c r="H120" s="183">
        <v>234.26633373228532</v>
      </c>
      <c r="I120" s="184">
        <f t="shared" si="3"/>
        <v>862.98097886755124</v>
      </c>
    </row>
    <row r="121" spans="1:9" x14ac:dyDescent="0.25">
      <c r="A121" s="37">
        <v>7</v>
      </c>
      <c r="B121" s="178">
        <v>229</v>
      </c>
      <c r="C121" s="179">
        <v>7</v>
      </c>
      <c r="D121" s="180" t="s">
        <v>172</v>
      </c>
      <c r="E121" s="181">
        <v>520124.41</v>
      </c>
      <c r="F121" s="182">
        <v>81188.479999999996</v>
      </c>
      <c r="G121" s="182">
        <f t="shared" si="2"/>
        <v>438935.93</v>
      </c>
      <c r="H121" s="183">
        <v>828.46</v>
      </c>
      <c r="I121" s="184">
        <f t="shared" si="3"/>
        <v>529.82151220336527</v>
      </c>
    </row>
    <row r="122" spans="1:9" x14ac:dyDescent="0.25">
      <c r="A122" s="37">
        <v>7</v>
      </c>
      <c r="B122" s="178">
        <v>236</v>
      </c>
      <c r="C122" s="179">
        <v>7</v>
      </c>
      <c r="D122" s="180" t="s">
        <v>173</v>
      </c>
      <c r="E122" s="181">
        <v>641009.56000000006</v>
      </c>
      <c r="F122" s="182">
        <v>131330.90000000002</v>
      </c>
      <c r="G122" s="182">
        <f t="shared" si="2"/>
        <v>509678.66000000003</v>
      </c>
      <c r="H122" s="183">
        <v>1063.22</v>
      </c>
      <c r="I122" s="184">
        <f t="shared" si="3"/>
        <v>479.37271684129342</v>
      </c>
    </row>
    <row r="123" spans="1:9" x14ac:dyDescent="0.25">
      <c r="A123" s="37">
        <v>7</v>
      </c>
      <c r="B123" s="178">
        <v>238</v>
      </c>
      <c r="C123" s="179">
        <v>7</v>
      </c>
      <c r="D123" s="180" t="s">
        <v>311</v>
      </c>
      <c r="E123" s="181">
        <v>35866.36</v>
      </c>
      <c r="F123" s="182">
        <v>24</v>
      </c>
      <c r="G123" s="182">
        <f t="shared" si="2"/>
        <v>35842.36</v>
      </c>
      <c r="H123" s="183">
        <v>59.944851964987492</v>
      </c>
      <c r="I123" s="184">
        <f t="shared" si="3"/>
        <v>597.92223727459964</v>
      </c>
    </row>
    <row r="124" spans="1:9" x14ac:dyDescent="0.25">
      <c r="A124" s="37">
        <v>7</v>
      </c>
      <c r="B124" s="178">
        <v>239</v>
      </c>
      <c r="C124" s="179">
        <v>7</v>
      </c>
      <c r="D124" s="180" t="s">
        <v>174</v>
      </c>
      <c r="E124" s="181">
        <v>1822993.26</v>
      </c>
      <c r="F124" s="182">
        <v>204609.35</v>
      </c>
      <c r="G124" s="182">
        <f t="shared" si="2"/>
        <v>1618383.91</v>
      </c>
      <c r="H124" s="183">
        <v>2925.25</v>
      </c>
      <c r="I124" s="184">
        <f t="shared" si="3"/>
        <v>553.24635843090334</v>
      </c>
    </row>
    <row r="125" spans="1:9" x14ac:dyDescent="0.25">
      <c r="A125" s="37">
        <v>7</v>
      </c>
      <c r="B125" s="178">
        <v>249</v>
      </c>
      <c r="C125" s="179">
        <v>7</v>
      </c>
      <c r="D125" s="180" t="s">
        <v>175</v>
      </c>
      <c r="E125" s="181">
        <v>679586.79</v>
      </c>
      <c r="F125" s="182">
        <v>0</v>
      </c>
      <c r="G125" s="182">
        <f t="shared" si="2"/>
        <v>679586.79</v>
      </c>
      <c r="H125" s="183">
        <v>1034.1301694779929</v>
      </c>
      <c r="I125" s="184">
        <f t="shared" si="3"/>
        <v>657.15788017580132</v>
      </c>
    </row>
    <row r="126" spans="1:9" x14ac:dyDescent="0.25">
      <c r="A126" s="37">
        <v>7</v>
      </c>
      <c r="B126" s="178">
        <v>271</v>
      </c>
      <c r="C126" s="179">
        <v>7</v>
      </c>
      <c r="D126" s="180" t="s">
        <v>176</v>
      </c>
      <c r="E126" s="181">
        <v>826410.04</v>
      </c>
      <c r="F126" s="182">
        <v>100875.81000000001</v>
      </c>
      <c r="G126" s="182">
        <f t="shared" si="2"/>
        <v>725534.23</v>
      </c>
      <c r="H126" s="183">
        <v>759.30399999999997</v>
      </c>
      <c r="I126" s="184">
        <f t="shared" si="3"/>
        <v>955.5253627005784</v>
      </c>
    </row>
    <row r="127" spans="1:9" x14ac:dyDescent="0.25">
      <c r="A127" s="37">
        <v>7</v>
      </c>
      <c r="B127" s="178">
        <v>275</v>
      </c>
      <c r="C127" s="179">
        <v>7</v>
      </c>
      <c r="D127" s="180" t="s">
        <v>177</v>
      </c>
      <c r="E127" s="181">
        <v>404511.52</v>
      </c>
      <c r="F127" s="182">
        <v>70724.679999999993</v>
      </c>
      <c r="G127" s="182">
        <f t="shared" si="2"/>
        <v>333786.84000000003</v>
      </c>
      <c r="H127" s="183">
        <v>690.47</v>
      </c>
      <c r="I127" s="184">
        <f t="shared" si="3"/>
        <v>483.41975755644705</v>
      </c>
    </row>
    <row r="128" spans="1:9" x14ac:dyDescent="0.25">
      <c r="A128" s="37">
        <v>7</v>
      </c>
      <c r="B128" s="178">
        <v>282</v>
      </c>
      <c r="C128" s="179">
        <v>7</v>
      </c>
      <c r="D128" s="180" t="s">
        <v>178</v>
      </c>
      <c r="E128" s="181">
        <v>58517.06</v>
      </c>
      <c r="F128" s="182">
        <v>0</v>
      </c>
      <c r="G128" s="182">
        <f t="shared" si="2"/>
        <v>58517.06</v>
      </c>
      <c r="H128" s="183">
        <v>110.63436611728881</v>
      </c>
      <c r="I128" s="184">
        <f t="shared" si="3"/>
        <v>528.92299249912321</v>
      </c>
    </row>
    <row r="129" spans="1:9" x14ac:dyDescent="0.25">
      <c r="A129" s="37">
        <v>7</v>
      </c>
      <c r="B129" s="178">
        <v>287</v>
      </c>
      <c r="C129" s="179">
        <v>7</v>
      </c>
      <c r="D129" s="180" t="s">
        <v>179</v>
      </c>
      <c r="E129" s="181">
        <v>122709.58</v>
      </c>
      <c r="F129" s="182">
        <v>1002.5</v>
      </c>
      <c r="G129" s="182">
        <f t="shared" si="2"/>
        <v>121707.08</v>
      </c>
      <c r="H129" s="183">
        <v>159.07256423396998</v>
      </c>
      <c r="I129" s="184">
        <f t="shared" si="3"/>
        <v>765.1041559937928</v>
      </c>
    </row>
    <row r="130" spans="1:9" x14ac:dyDescent="0.25">
      <c r="A130" s="37">
        <v>7</v>
      </c>
      <c r="B130" s="178">
        <v>290</v>
      </c>
      <c r="C130" s="179">
        <v>7</v>
      </c>
      <c r="D130" s="180" t="s">
        <v>180</v>
      </c>
      <c r="E130" s="181">
        <v>123807.44</v>
      </c>
      <c r="F130" s="182">
        <v>4228.57</v>
      </c>
      <c r="G130" s="182">
        <f t="shared" si="2"/>
        <v>119578.87</v>
      </c>
      <c r="H130" s="183">
        <v>274.8776164213059</v>
      </c>
      <c r="I130" s="184">
        <f t="shared" si="3"/>
        <v>435.02585462150194</v>
      </c>
    </row>
    <row r="131" spans="1:9" x14ac:dyDescent="0.25">
      <c r="A131" s="37">
        <v>7</v>
      </c>
      <c r="B131" s="178">
        <v>294</v>
      </c>
      <c r="C131" s="179">
        <v>7</v>
      </c>
      <c r="D131" s="180" t="s">
        <v>181</v>
      </c>
      <c r="E131" s="181">
        <v>583456.06000000006</v>
      </c>
      <c r="F131" s="182">
        <v>1414</v>
      </c>
      <c r="G131" s="182">
        <f t="shared" si="2"/>
        <v>582042.06000000006</v>
      </c>
      <c r="H131" s="183">
        <v>1039.1314711563653</v>
      </c>
      <c r="I131" s="184">
        <f t="shared" si="3"/>
        <v>560.12359952133158</v>
      </c>
    </row>
    <row r="132" spans="1:9" x14ac:dyDescent="0.25">
      <c r="A132" s="37">
        <v>7</v>
      </c>
      <c r="B132" s="178">
        <v>296</v>
      </c>
      <c r="C132" s="179">
        <v>7</v>
      </c>
      <c r="D132" s="180" t="s">
        <v>182</v>
      </c>
      <c r="E132" s="181">
        <v>880549.01</v>
      </c>
      <c r="F132" s="182">
        <v>140281.66999999998</v>
      </c>
      <c r="G132" s="182">
        <f t="shared" si="2"/>
        <v>740267.34000000008</v>
      </c>
      <c r="H132" s="183">
        <v>799.83</v>
      </c>
      <c r="I132" s="184">
        <f t="shared" si="3"/>
        <v>925.53085030569002</v>
      </c>
    </row>
    <row r="133" spans="1:9" x14ac:dyDescent="0.25">
      <c r="A133" s="37">
        <v>7</v>
      </c>
      <c r="B133" s="178">
        <v>301</v>
      </c>
      <c r="C133" s="179">
        <v>7</v>
      </c>
      <c r="D133" s="180" t="s">
        <v>183</v>
      </c>
      <c r="E133" s="181">
        <v>272819.37</v>
      </c>
      <c r="F133" s="182">
        <v>512.72</v>
      </c>
      <c r="G133" s="182">
        <f t="shared" ref="G133:G196" si="4">E133-F133</f>
        <v>272306.65000000002</v>
      </c>
      <c r="H133" s="183">
        <v>570.3041310256192</v>
      </c>
      <c r="I133" s="184">
        <f t="shared" ref="I133:I196" si="5">IFERROR(G133/H133,0)</f>
        <v>477.47620118109836</v>
      </c>
    </row>
    <row r="134" spans="1:9" x14ac:dyDescent="0.25">
      <c r="A134" s="37">
        <v>7</v>
      </c>
      <c r="B134" s="178">
        <v>321</v>
      </c>
      <c r="C134" s="179">
        <v>7</v>
      </c>
      <c r="D134" s="180" t="s">
        <v>184</v>
      </c>
      <c r="E134" s="181">
        <v>499165.92</v>
      </c>
      <c r="F134" s="182">
        <v>29784.109999999997</v>
      </c>
      <c r="G134" s="182">
        <f t="shared" si="4"/>
        <v>469381.81</v>
      </c>
      <c r="H134" s="183">
        <v>367.13</v>
      </c>
      <c r="I134" s="184">
        <f t="shared" si="5"/>
        <v>1278.5166289870074</v>
      </c>
    </row>
    <row r="135" spans="1:9" x14ac:dyDescent="0.25">
      <c r="A135" s="37">
        <v>7</v>
      </c>
      <c r="B135" s="178">
        <v>325</v>
      </c>
      <c r="C135" s="179">
        <v>7</v>
      </c>
      <c r="D135" s="180" t="s">
        <v>185</v>
      </c>
      <c r="E135" s="181">
        <v>167952.06</v>
      </c>
      <c r="F135" s="182">
        <v>0</v>
      </c>
      <c r="G135" s="182">
        <f t="shared" si="4"/>
        <v>167952.06</v>
      </c>
      <c r="H135" s="183">
        <v>334.4714798023104</v>
      </c>
      <c r="I135" s="184">
        <f t="shared" si="5"/>
        <v>502.14164776999274</v>
      </c>
    </row>
    <row r="136" spans="1:9" x14ac:dyDescent="0.25">
      <c r="A136" s="37">
        <v>7</v>
      </c>
      <c r="B136" s="178">
        <v>346</v>
      </c>
      <c r="C136" s="179">
        <v>7</v>
      </c>
      <c r="D136" s="180" t="s">
        <v>186</v>
      </c>
      <c r="E136" s="181">
        <v>141740.18</v>
      </c>
      <c r="F136" s="182">
        <v>18678.990000000002</v>
      </c>
      <c r="G136" s="182">
        <f t="shared" si="4"/>
        <v>123061.18999999999</v>
      </c>
      <c r="H136" s="183">
        <v>223.88000000000002</v>
      </c>
      <c r="I136" s="184">
        <f t="shared" si="5"/>
        <v>549.67478113274956</v>
      </c>
    </row>
    <row r="137" spans="1:9" x14ac:dyDescent="0.25">
      <c r="A137" s="37">
        <v>7</v>
      </c>
      <c r="B137" s="178">
        <v>358</v>
      </c>
      <c r="C137" s="179">
        <v>7</v>
      </c>
      <c r="D137" s="180" t="s">
        <v>187</v>
      </c>
      <c r="E137" s="181">
        <v>249358.72</v>
      </c>
      <c r="F137" s="182">
        <v>33885.050000000003</v>
      </c>
      <c r="G137" s="182">
        <f t="shared" si="4"/>
        <v>215473.66999999998</v>
      </c>
      <c r="H137" s="183">
        <v>394.71</v>
      </c>
      <c r="I137" s="184">
        <f t="shared" si="5"/>
        <v>545.90375212181095</v>
      </c>
    </row>
    <row r="138" spans="1:9" x14ac:dyDescent="0.25">
      <c r="A138" s="37">
        <v>7</v>
      </c>
      <c r="B138" s="178">
        <v>361</v>
      </c>
      <c r="C138" s="179">
        <v>7</v>
      </c>
      <c r="D138" s="180" t="s">
        <v>188</v>
      </c>
      <c r="E138" s="181">
        <v>950847.24</v>
      </c>
      <c r="F138" s="182">
        <v>8401.06</v>
      </c>
      <c r="G138" s="182">
        <f t="shared" si="4"/>
        <v>942446.17999999993</v>
      </c>
      <c r="H138" s="183">
        <v>1529.9173871204</v>
      </c>
      <c r="I138" s="184">
        <f t="shared" si="5"/>
        <v>616.01115716049583</v>
      </c>
    </row>
    <row r="139" spans="1:9" x14ac:dyDescent="0.25">
      <c r="A139" s="37">
        <v>7</v>
      </c>
      <c r="B139" s="178">
        <v>376</v>
      </c>
      <c r="C139" s="179">
        <v>7</v>
      </c>
      <c r="D139" s="180" t="s">
        <v>189</v>
      </c>
      <c r="E139" s="181">
        <v>292314.15999999997</v>
      </c>
      <c r="F139" s="182">
        <v>428</v>
      </c>
      <c r="G139" s="182">
        <f t="shared" si="4"/>
        <v>291886.15999999997</v>
      </c>
      <c r="H139" s="183">
        <v>640.18588281699169</v>
      </c>
      <c r="I139" s="184">
        <f t="shared" si="5"/>
        <v>455.93970100624779</v>
      </c>
    </row>
    <row r="140" spans="1:9" x14ac:dyDescent="0.25">
      <c r="A140" s="37">
        <v>7</v>
      </c>
      <c r="B140" s="178">
        <v>382</v>
      </c>
      <c r="C140" s="179">
        <v>7</v>
      </c>
      <c r="D140" s="180" t="s">
        <v>190</v>
      </c>
      <c r="E140" s="181">
        <v>102492.26</v>
      </c>
      <c r="F140" s="182">
        <v>19148.469999999998</v>
      </c>
      <c r="G140" s="182">
        <f t="shared" si="4"/>
        <v>83343.789999999994</v>
      </c>
      <c r="H140" s="183">
        <v>165.19</v>
      </c>
      <c r="I140" s="184">
        <f t="shared" si="5"/>
        <v>504.53290150735512</v>
      </c>
    </row>
    <row r="141" spans="1:9" x14ac:dyDescent="0.25">
      <c r="A141" s="37">
        <v>7</v>
      </c>
      <c r="B141" s="178">
        <v>389</v>
      </c>
      <c r="C141" s="179">
        <v>7</v>
      </c>
      <c r="D141" s="180" t="s">
        <v>191</v>
      </c>
      <c r="E141" s="181">
        <v>170757.02</v>
      </c>
      <c r="F141" s="182">
        <v>807.5</v>
      </c>
      <c r="G141" s="182">
        <f t="shared" si="4"/>
        <v>169949.52</v>
      </c>
      <c r="H141" s="183">
        <v>867.99901008098129</v>
      </c>
      <c r="I141" s="184">
        <f t="shared" si="5"/>
        <v>195.79460117603622</v>
      </c>
    </row>
    <row r="142" spans="1:9" x14ac:dyDescent="0.25">
      <c r="A142" s="37">
        <v>7</v>
      </c>
      <c r="B142" s="178">
        <v>420</v>
      </c>
      <c r="C142" s="179">
        <v>7</v>
      </c>
      <c r="D142" s="180" t="s">
        <v>283</v>
      </c>
      <c r="E142" s="181">
        <v>176959.11</v>
      </c>
      <c r="F142" s="182">
        <v>167</v>
      </c>
      <c r="G142" s="182">
        <f t="shared" si="4"/>
        <v>176792.11</v>
      </c>
      <c r="H142" s="183">
        <v>342.99823535503288</v>
      </c>
      <c r="I142" s="184">
        <f t="shared" si="5"/>
        <v>515.43154388827929</v>
      </c>
    </row>
    <row r="143" spans="1:9" x14ac:dyDescent="0.25">
      <c r="A143" s="37">
        <v>7</v>
      </c>
      <c r="B143" s="178">
        <v>434</v>
      </c>
      <c r="C143" s="179">
        <v>7</v>
      </c>
      <c r="D143" s="180" t="s">
        <v>192</v>
      </c>
      <c r="E143" s="181">
        <v>134168.73000000001</v>
      </c>
      <c r="F143" s="182">
        <v>0</v>
      </c>
      <c r="G143" s="182">
        <f t="shared" si="4"/>
        <v>134168.73000000001</v>
      </c>
      <c r="H143" s="183">
        <v>253.47632993519809</v>
      </c>
      <c r="I143" s="184">
        <f t="shared" si="5"/>
        <v>529.3146308150375</v>
      </c>
    </row>
    <row r="144" spans="1:9" x14ac:dyDescent="0.25">
      <c r="A144" s="37">
        <v>7</v>
      </c>
      <c r="B144" s="178">
        <v>437</v>
      </c>
      <c r="C144" s="179">
        <v>7</v>
      </c>
      <c r="D144" s="180" t="s">
        <v>193</v>
      </c>
      <c r="E144" s="181">
        <v>243556.24</v>
      </c>
      <c r="F144" s="182">
        <v>0</v>
      </c>
      <c r="G144" s="182">
        <f t="shared" si="4"/>
        <v>243556.24</v>
      </c>
      <c r="H144" s="183">
        <v>305.36634845286437</v>
      </c>
      <c r="I144" s="184">
        <f t="shared" si="5"/>
        <v>797.58703352211307</v>
      </c>
    </row>
    <row r="145" spans="1:9" x14ac:dyDescent="0.25">
      <c r="A145" s="37">
        <v>7</v>
      </c>
      <c r="B145" s="178">
        <v>502</v>
      </c>
      <c r="C145" s="179">
        <v>7</v>
      </c>
      <c r="D145" s="180" t="s">
        <v>194</v>
      </c>
      <c r="E145" s="181">
        <v>294346.69</v>
      </c>
      <c r="F145" s="182">
        <v>0</v>
      </c>
      <c r="G145" s="182">
        <f t="shared" si="4"/>
        <v>294346.69</v>
      </c>
      <c r="H145" s="183">
        <v>497.74545729062561</v>
      </c>
      <c r="I145" s="184">
        <f t="shared" si="5"/>
        <v>591.35987217686591</v>
      </c>
    </row>
    <row r="146" spans="1:9" x14ac:dyDescent="0.25">
      <c r="A146" s="37">
        <v>7</v>
      </c>
      <c r="B146" s="178">
        <v>503</v>
      </c>
      <c r="C146" s="179">
        <v>7</v>
      </c>
      <c r="D146" s="180" t="s">
        <v>195</v>
      </c>
      <c r="E146" s="181">
        <v>213000.07</v>
      </c>
      <c r="F146" s="182">
        <v>33972.22</v>
      </c>
      <c r="G146" s="182">
        <f t="shared" si="4"/>
        <v>179027.85</v>
      </c>
      <c r="H146" s="183">
        <v>391.2185740323925</v>
      </c>
      <c r="I146" s="184">
        <f t="shared" si="5"/>
        <v>457.61592593805807</v>
      </c>
    </row>
    <row r="147" spans="1:9" x14ac:dyDescent="0.25">
      <c r="A147" s="37">
        <v>7</v>
      </c>
      <c r="B147" s="178">
        <v>510</v>
      </c>
      <c r="C147" s="179">
        <v>7</v>
      </c>
      <c r="D147" s="180" t="s">
        <v>196</v>
      </c>
      <c r="E147" s="181">
        <v>259881.62</v>
      </c>
      <c r="F147" s="182">
        <v>1071</v>
      </c>
      <c r="G147" s="182">
        <f t="shared" si="4"/>
        <v>258810.62</v>
      </c>
      <c r="H147" s="183">
        <v>507.29892721805413</v>
      </c>
      <c r="I147" s="184">
        <f t="shared" si="5"/>
        <v>510.17379717176988</v>
      </c>
    </row>
    <row r="148" spans="1:9" x14ac:dyDescent="0.25">
      <c r="A148" s="37">
        <v>7</v>
      </c>
      <c r="B148" s="178">
        <v>531</v>
      </c>
      <c r="C148" s="179">
        <v>7</v>
      </c>
      <c r="D148" s="180" t="s">
        <v>197</v>
      </c>
      <c r="E148" s="181">
        <v>629818.71</v>
      </c>
      <c r="F148" s="182">
        <v>2609.7399999999998</v>
      </c>
      <c r="G148" s="182">
        <f t="shared" si="4"/>
        <v>627208.97</v>
      </c>
      <c r="H148" s="183">
        <v>1984.57</v>
      </c>
      <c r="I148" s="184">
        <f t="shared" si="5"/>
        <v>316.04275485369624</v>
      </c>
    </row>
    <row r="149" spans="1:9" x14ac:dyDescent="0.25">
      <c r="A149" s="37">
        <v>7</v>
      </c>
      <c r="B149" s="178">
        <v>551</v>
      </c>
      <c r="C149" s="179">
        <v>7</v>
      </c>
      <c r="D149" s="180" t="s">
        <v>199</v>
      </c>
      <c r="E149" s="181">
        <v>117853.72</v>
      </c>
      <c r="F149" s="182">
        <v>72</v>
      </c>
      <c r="G149" s="182">
        <f t="shared" si="4"/>
        <v>117781.72</v>
      </c>
      <c r="H149" s="183">
        <v>153.38752675955698</v>
      </c>
      <c r="I149" s="184">
        <f t="shared" si="5"/>
        <v>767.87025965044108</v>
      </c>
    </row>
    <row r="150" spans="1:9" x14ac:dyDescent="0.25">
      <c r="A150" s="37">
        <v>7</v>
      </c>
      <c r="B150" s="178">
        <v>555</v>
      </c>
      <c r="C150" s="179">
        <v>7</v>
      </c>
      <c r="D150" s="180" t="s">
        <v>200</v>
      </c>
      <c r="E150" s="181">
        <v>492608.68</v>
      </c>
      <c r="F150" s="182">
        <v>497.7</v>
      </c>
      <c r="G150" s="182">
        <f t="shared" si="4"/>
        <v>492110.98</v>
      </c>
      <c r="H150" s="183">
        <v>517.66739217631118</v>
      </c>
      <c r="I150" s="184">
        <f t="shared" si="5"/>
        <v>950.63159750342743</v>
      </c>
    </row>
    <row r="151" spans="1:9" x14ac:dyDescent="0.25">
      <c r="A151" s="37">
        <v>7</v>
      </c>
      <c r="B151" s="178">
        <v>556</v>
      </c>
      <c r="C151" s="179">
        <v>7</v>
      </c>
      <c r="D151" s="180" t="s">
        <v>201</v>
      </c>
      <c r="E151" s="181">
        <v>251644.37</v>
      </c>
      <c r="F151" s="182">
        <v>73939.33</v>
      </c>
      <c r="G151" s="182">
        <f t="shared" si="4"/>
        <v>177705.03999999998</v>
      </c>
      <c r="H151" s="183">
        <v>429.57419276527332</v>
      </c>
      <c r="I151" s="184">
        <f t="shared" si="5"/>
        <v>413.67717845448192</v>
      </c>
    </row>
    <row r="152" spans="1:9" x14ac:dyDescent="0.25">
      <c r="A152" s="37">
        <v>7</v>
      </c>
      <c r="B152" s="178">
        <v>558</v>
      </c>
      <c r="C152" s="179">
        <v>7</v>
      </c>
      <c r="D152" s="180" t="s">
        <v>202</v>
      </c>
      <c r="E152" s="181">
        <v>237481.28</v>
      </c>
      <c r="F152" s="182">
        <v>9049.75</v>
      </c>
      <c r="G152" s="182">
        <f t="shared" si="4"/>
        <v>228431.53</v>
      </c>
      <c r="H152" s="183">
        <v>390.35157563140439</v>
      </c>
      <c r="I152" s="184">
        <f t="shared" si="5"/>
        <v>585.19433316108882</v>
      </c>
    </row>
    <row r="153" spans="1:9" x14ac:dyDescent="0.25">
      <c r="A153" s="37">
        <v>7</v>
      </c>
      <c r="B153" s="178">
        <v>600</v>
      </c>
      <c r="C153" s="179">
        <v>7</v>
      </c>
      <c r="D153" s="180" t="s">
        <v>203</v>
      </c>
      <c r="E153" s="181">
        <v>289349.82</v>
      </c>
      <c r="F153" s="182">
        <v>0</v>
      </c>
      <c r="G153" s="182">
        <f t="shared" si="4"/>
        <v>289349.82</v>
      </c>
      <c r="H153" s="183">
        <v>754.93</v>
      </c>
      <c r="I153" s="184">
        <f t="shared" si="5"/>
        <v>383.28033062668067</v>
      </c>
    </row>
    <row r="154" spans="1:9" x14ac:dyDescent="0.25">
      <c r="A154" s="37">
        <v>7</v>
      </c>
      <c r="B154" s="178">
        <v>604</v>
      </c>
      <c r="C154" s="179">
        <v>7</v>
      </c>
      <c r="D154" s="180" t="s">
        <v>204</v>
      </c>
      <c r="E154" s="181">
        <v>227300.68</v>
      </c>
      <c r="F154" s="182">
        <v>4684.6499999999996</v>
      </c>
      <c r="G154" s="182">
        <f t="shared" si="4"/>
        <v>222616.03</v>
      </c>
      <c r="H154" s="183">
        <v>515.30042961563572</v>
      </c>
      <c r="I154" s="184">
        <f t="shared" si="5"/>
        <v>432.01211799114941</v>
      </c>
    </row>
    <row r="155" spans="1:9" x14ac:dyDescent="0.25">
      <c r="A155" s="37">
        <v>7</v>
      </c>
      <c r="B155" s="178">
        <v>612</v>
      </c>
      <c r="C155" s="179">
        <v>7</v>
      </c>
      <c r="D155" s="180" t="s">
        <v>205</v>
      </c>
      <c r="E155" s="181">
        <v>309970.14</v>
      </c>
      <c r="F155" s="182">
        <v>6701.21</v>
      </c>
      <c r="G155" s="182">
        <f t="shared" si="4"/>
        <v>303268.93</v>
      </c>
      <c r="H155" s="183">
        <v>465.4674142756993</v>
      </c>
      <c r="I155" s="184">
        <f t="shared" si="5"/>
        <v>651.53632821302483</v>
      </c>
    </row>
    <row r="156" spans="1:9" x14ac:dyDescent="0.25">
      <c r="A156" s="37">
        <v>7</v>
      </c>
      <c r="B156" s="178">
        <v>635</v>
      </c>
      <c r="C156" s="179">
        <v>7</v>
      </c>
      <c r="D156" s="180" t="s">
        <v>312</v>
      </c>
      <c r="E156" s="181">
        <v>38338.959999999999</v>
      </c>
      <c r="F156" s="182">
        <v>0</v>
      </c>
      <c r="G156" s="182">
        <f t="shared" si="4"/>
        <v>38338.959999999999</v>
      </c>
      <c r="H156" s="183">
        <v>58.100000000000016</v>
      </c>
      <c r="I156" s="184">
        <f t="shared" si="5"/>
        <v>659.8788296041306</v>
      </c>
    </row>
    <row r="157" spans="1:9" x14ac:dyDescent="0.25">
      <c r="A157" s="37">
        <v>7</v>
      </c>
      <c r="B157" s="178">
        <v>642</v>
      </c>
      <c r="C157" s="179">
        <v>7</v>
      </c>
      <c r="D157" s="180" t="s">
        <v>336</v>
      </c>
      <c r="E157" s="181">
        <v>57394.98</v>
      </c>
      <c r="F157" s="182">
        <v>0</v>
      </c>
      <c r="G157" s="182">
        <f t="shared" si="4"/>
        <v>57394.98</v>
      </c>
      <c r="H157" s="183">
        <v>131.41386363582231</v>
      </c>
      <c r="I157" s="184">
        <f t="shared" si="5"/>
        <v>436.74981019547937</v>
      </c>
    </row>
    <row r="158" spans="1:9" x14ac:dyDescent="0.25">
      <c r="A158" s="37">
        <v>7</v>
      </c>
      <c r="B158" s="178">
        <v>643</v>
      </c>
      <c r="C158" s="179">
        <v>7</v>
      </c>
      <c r="D158" s="180" t="s">
        <v>337</v>
      </c>
      <c r="E158" s="181">
        <v>25324.71</v>
      </c>
      <c r="F158" s="182">
        <v>0</v>
      </c>
      <c r="G158" s="182">
        <f t="shared" si="4"/>
        <v>25324.71</v>
      </c>
      <c r="H158" s="183">
        <v>8.1079758961533877</v>
      </c>
      <c r="I158" s="184">
        <f t="shared" si="5"/>
        <v>3123.4318311200986</v>
      </c>
    </row>
    <row r="159" spans="1:9" x14ac:dyDescent="0.25">
      <c r="A159" s="37">
        <v>7</v>
      </c>
      <c r="B159" s="178">
        <v>711</v>
      </c>
      <c r="C159" s="179">
        <v>7</v>
      </c>
      <c r="D159" s="180" t="s">
        <v>206</v>
      </c>
      <c r="E159" s="181">
        <v>239906.51</v>
      </c>
      <c r="F159" s="182">
        <v>6079.57</v>
      </c>
      <c r="G159" s="182">
        <f t="shared" si="4"/>
        <v>233826.94</v>
      </c>
      <c r="H159" s="183">
        <v>456.7</v>
      </c>
      <c r="I159" s="184">
        <f t="shared" si="5"/>
        <v>511.99242391066349</v>
      </c>
    </row>
    <row r="160" spans="1:9" x14ac:dyDescent="0.25">
      <c r="A160" s="37">
        <v>7</v>
      </c>
      <c r="B160" s="178">
        <v>712</v>
      </c>
      <c r="C160" s="179">
        <v>7</v>
      </c>
      <c r="D160" s="180" t="s">
        <v>207</v>
      </c>
      <c r="E160" s="181">
        <v>294954.17</v>
      </c>
      <c r="F160" s="182">
        <v>0</v>
      </c>
      <c r="G160" s="182">
        <f t="shared" si="4"/>
        <v>294954.17</v>
      </c>
      <c r="H160" s="183">
        <v>732.75000000000011</v>
      </c>
      <c r="I160" s="184">
        <f t="shared" si="5"/>
        <v>402.53042647560551</v>
      </c>
    </row>
    <row r="161" spans="1:9" x14ac:dyDescent="0.25">
      <c r="A161" s="37">
        <v>7</v>
      </c>
      <c r="B161" s="178">
        <v>718</v>
      </c>
      <c r="C161" s="179">
        <v>7</v>
      </c>
      <c r="D161" s="180" t="s">
        <v>208</v>
      </c>
      <c r="E161" s="181">
        <v>24351.48</v>
      </c>
      <c r="F161" s="182">
        <v>0</v>
      </c>
      <c r="G161" s="182">
        <f t="shared" si="4"/>
        <v>24351.48</v>
      </c>
      <c r="H161" s="183">
        <v>33.193832100901929</v>
      </c>
      <c r="I161" s="184">
        <f t="shared" si="5"/>
        <v>733.61460424264578</v>
      </c>
    </row>
    <row r="162" spans="1:9" x14ac:dyDescent="0.25">
      <c r="A162" s="37">
        <v>7</v>
      </c>
      <c r="B162" s="178">
        <v>736</v>
      </c>
      <c r="C162" s="179">
        <v>7</v>
      </c>
      <c r="D162" s="180" t="s">
        <v>209</v>
      </c>
      <c r="E162" s="181">
        <v>112946.17</v>
      </c>
      <c r="F162" s="182">
        <v>198</v>
      </c>
      <c r="G162" s="182">
        <f t="shared" si="4"/>
        <v>112748.17</v>
      </c>
      <c r="H162" s="183">
        <v>122.59818725735381</v>
      </c>
      <c r="I162" s="184">
        <f t="shared" si="5"/>
        <v>919.65609379951923</v>
      </c>
    </row>
    <row r="163" spans="1:9" x14ac:dyDescent="0.25">
      <c r="A163" s="37">
        <v>7</v>
      </c>
      <c r="B163" s="178">
        <v>757</v>
      </c>
      <c r="C163" s="179">
        <v>7</v>
      </c>
      <c r="D163" s="180" t="s">
        <v>210</v>
      </c>
      <c r="E163" s="181">
        <v>282725.34000000003</v>
      </c>
      <c r="F163" s="182">
        <v>29075.73</v>
      </c>
      <c r="G163" s="182">
        <f t="shared" si="4"/>
        <v>253649.61000000002</v>
      </c>
      <c r="H163" s="183">
        <v>525.4</v>
      </c>
      <c r="I163" s="184">
        <f t="shared" si="5"/>
        <v>482.77428625808915</v>
      </c>
    </row>
    <row r="164" spans="1:9" x14ac:dyDescent="0.25">
      <c r="A164" s="37">
        <v>7</v>
      </c>
      <c r="B164" s="178">
        <v>786</v>
      </c>
      <c r="C164" s="179">
        <v>7</v>
      </c>
      <c r="D164" s="180" t="s">
        <v>211</v>
      </c>
      <c r="E164" s="181">
        <v>1688120.75</v>
      </c>
      <c r="F164" s="182">
        <v>214655.14</v>
      </c>
      <c r="G164" s="182">
        <f t="shared" si="4"/>
        <v>1473465.6099999999</v>
      </c>
      <c r="H164" s="183">
        <v>3077.6600000000003</v>
      </c>
      <c r="I164" s="184">
        <f t="shared" si="5"/>
        <v>478.76165983247006</v>
      </c>
    </row>
    <row r="165" spans="1:9" x14ac:dyDescent="0.25">
      <c r="A165" s="37">
        <v>7</v>
      </c>
      <c r="B165" s="178">
        <v>854</v>
      </c>
      <c r="C165" s="179">
        <v>7</v>
      </c>
      <c r="D165" s="180" t="s">
        <v>212</v>
      </c>
      <c r="E165" s="181">
        <v>538668.79</v>
      </c>
      <c r="F165" s="182">
        <v>37955.19</v>
      </c>
      <c r="G165" s="182">
        <f t="shared" si="4"/>
        <v>500713.60000000003</v>
      </c>
      <c r="H165" s="183">
        <v>929.24</v>
      </c>
      <c r="I165" s="184">
        <f t="shared" si="5"/>
        <v>538.84206448280315</v>
      </c>
    </row>
    <row r="166" spans="1:9" x14ac:dyDescent="0.25">
      <c r="A166" s="37">
        <v>7</v>
      </c>
      <c r="B166" s="178">
        <v>855</v>
      </c>
      <c r="C166" s="179">
        <v>7</v>
      </c>
      <c r="D166" s="180" t="s">
        <v>213</v>
      </c>
      <c r="E166" s="181">
        <v>140023.82</v>
      </c>
      <c r="F166" s="182">
        <v>7037</v>
      </c>
      <c r="G166" s="182">
        <f t="shared" si="4"/>
        <v>132986.82</v>
      </c>
      <c r="H166" s="183">
        <v>155.11353756998295</v>
      </c>
      <c r="I166" s="184">
        <f t="shared" si="5"/>
        <v>857.35147352951071</v>
      </c>
    </row>
    <row r="167" spans="1:9" x14ac:dyDescent="0.25">
      <c r="A167" s="37">
        <v>7</v>
      </c>
      <c r="B167" s="178">
        <v>862</v>
      </c>
      <c r="C167" s="179">
        <v>7</v>
      </c>
      <c r="D167" s="180" t="s">
        <v>214</v>
      </c>
      <c r="E167" s="181">
        <v>11467.29</v>
      </c>
      <c r="F167" s="182">
        <v>8232.5</v>
      </c>
      <c r="G167" s="182">
        <f t="shared" si="4"/>
        <v>3234.7900000000009</v>
      </c>
      <c r="H167" s="183">
        <v>12.345441747052517</v>
      </c>
      <c r="I167" s="184">
        <f t="shared" si="5"/>
        <v>262.02302568657046</v>
      </c>
    </row>
    <row r="168" spans="1:9" x14ac:dyDescent="0.25">
      <c r="A168" s="37">
        <v>8</v>
      </c>
      <c r="B168" s="178">
        <v>958</v>
      </c>
      <c r="C168" s="179">
        <v>7</v>
      </c>
      <c r="D168" s="180" t="s">
        <v>215</v>
      </c>
      <c r="E168" s="181">
        <v>99405.3</v>
      </c>
      <c r="F168" s="182">
        <v>311.52</v>
      </c>
      <c r="G168" s="182">
        <f t="shared" si="4"/>
        <v>99093.78</v>
      </c>
      <c r="H168" s="183">
        <v>508.60074662379418</v>
      </c>
      <c r="I168" s="184">
        <f t="shared" si="5"/>
        <v>194.83608834199859</v>
      </c>
    </row>
    <row r="169" spans="1:9" x14ac:dyDescent="0.25">
      <c r="A169" s="37">
        <v>8</v>
      </c>
      <c r="B169" s="178">
        <v>967</v>
      </c>
      <c r="C169" s="179">
        <v>7</v>
      </c>
      <c r="D169" s="180" t="s">
        <v>216</v>
      </c>
      <c r="E169" s="181">
        <v>82909.41</v>
      </c>
      <c r="F169" s="182">
        <v>0</v>
      </c>
      <c r="G169" s="182">
        <f t="shared" si="4"/>
        <v>82909.41</v>
      </c>
      <c r="H169" s="183">
        <v>155.99990261402883</v>
      </c>
      <c r="I169" s="184">
        <f t="shared" si="5"/>
        <v>531.47090870391412</v>
      </c>
    </row>
    <row r="170" spans="1:9" x14ac:dyDescent="0.25">
      <c r="A170" s="37">
        <v>8</v>
      </c>
      <c r="B170" s="178">
        <v>971</v>
      </c>
      <c r="C170" s="179">
        <v>7</v>
      </c>
      <c r="D170" s="180" t="s">
        <v>217</v>
      </c>
      <c r="E170" s="181">
        <v>579439.27</v>
      </c>
      <c r="F170" s="182">
        <v>96935.22</v>
      </c>
      <c r="G170" s="182">
        <f t="shared" si="4"/>
        <v>482504.05000000005</v>
      </c>
      <c r="H170" s="183">
        <v>888.33999999999992</v>
      </c>
      <c r="I170" s="184">
        <f t="shared" si="5"/>
        <v>543.15245288965946</v>
      </c>
    </row>
    <row r="171" spans="1:9" x14ac:dyDescent="0.25">
      <c r="A171" s="37">
        <v>8</v>
      </c>
      <c r="B171" s="178">
        <v>975</v>
      </c>
      <c r="C171" s="179">
        <v>7</v>
      </c>
      <c r="D171" s="180" t="s">
        <v>218</v>
      </c>
      <c r="E171" s="181">
        <v>76785.06</v>
      </c>
      <c r="F171" s="182">
        <v>0</v>
      </c>
      <c r="G171" s="182">
        <f t="shared" si="4"/>
        <v>76785.06</v>
      </c>
      <c r="H171" s="183">
        <v>30.317539180659761</v>
      </c>
      <c r="I171" s="184">
        <f t="shared" si="5"/>
        <v>2532.694343773881</v>
      </c>
    </row>
    <row r="172" spans="1:9" x14ac:dyDescent="0.25">
      <c r="A172" s="37">
        <v>8</v>
      </c>
      <c r="B172" s="178">
        <v>976</v>
      </c>
      <c r="C172" s="179">
        <v>7</v>
      </c>
      <c r="D172" s="180" t="s">
        <v>219</v>
      </c>
      <c r="E172" s="181">
        <v>39297.230000000003</v>
      </c>
      <c r="F172" s="182">
        <v>0</v>
      </c>
      <c r="G172" s="182">
        <f t="shared" si="4"/>
        <v>39297.230000000003</v>
      </c>
      <c r="H172" s="183">
        <v>31.32229912468739</v>
      </c>
      <c r="I172" s="184">
        <f t="shared" si="5"/>
        <v>1254.6087323783645</v>
      </c>
    </row>
    <row r="173" spans="1:9" x14ac:dyDescent="0.25">
      <c r="A173" s="37">
        <v>8</v>
      </c>
      <c r="B173" s="178">
        <v>977</v>
      </c>
      <c r="C173" s="179">
        <v>7</v>
      </c>
      <c r="D173" s="180" t="s">
        <v>220</v>
      </c>
      <c r="E173" s="181">
        <v>60860.35</v>
      </c>
      <c r="F173" s="182">
        <v>0</v>
      </c>
      <c r="G173" s="182">
        <f t="shared" si="4"/>
        <v>60860.35</v>
      </c>
      <c r="H173" s="183">
        <v>47.09266172442539</v>
      </c>
      <c r="I173" s="184">
        <f t="shared" si="5"/>
        <v>1292.3531559150281</v>
      </c>
    </row>
    <row r="174" spans="1:9" x14ac:dyDescent="0.25">
      <c r="A174" s="37">
        <v>8</v>
      </c>
      <c r="B174" s="178">
        <v>979</v>
      </c>
      <c r="C174" s="179">
        <v>7</v>
      </c>
      <c r="D174" s="180" t="s">
        <v>305</v>
      </c>
      <c r="E174" s="181">
        <v>106200.78</v>
      </c>
      <c r="F174" s="182">
        <v>0</v>
      </c>
      <c r="G174" s="182">
        <f t="shared" si="4"/>
        <v>106200.78</v>
      </c>
      <c r="H174" s="183">
        <v>251.06766740502562</v>
      </c>
      <c r="I174" s="184">
        <f t="shared" si="5"/>
        <v>422.99664109546819</v>
      </c>
    </row>
    <row r="175" spans="1:9" x14ac:dyDescent="0.25">
      <c r="A175" s="37">
        <v>8</v>
      </c>
      <c r="B175" s="178">
        <v>981</v>
      </c>
      <c r="C175" s="179">
        <v>7</v>
      </c>
      <c r="D175" s="180" t="s">
        <v>221</v>
      </c>
      <c r="E175" s="181">
        <v>116776.12</v>
      </c>
      <c r="F175" s="182">
        <v>26983</v>
      </c>
      <c r="G175" s="182">
        <f t="shared" si="4"/>
        <v>89793.12</v>
      </c>
      <c r="H175" s="183">
        <v>202.51591950101229</v>
      </c>
      <c r="I175" s="184">
        <f t="shared" si="5"/>
        <v>443.38795795039294</v>
      </c>
    </row>
    <row r="176" spans="1:9" x14ac:dyDescent="0.25">
      <c r="A176" s="37">
        <v>8</v>
      </c>
      <c r="B176" s="178">
        <v>983</v>
      </c>
      <c r="C176" s="179">
        <v>7</v>
      </c>
      <c r="D176" s="180" t="s">
        <v>222</v>
      </c>
      <c r="E176" s="181">
        <v>32152.06</v>
      </c>
      <c r="F176" s="182">
        <v>0</v>
      </c>
      <c r="G176" s="182">
        <f t="shared" si="4"/>
        <v>32152.06</v>
      </c>
      <c r="H176" s="183">
        <v>75.897781633089437</v>
      </c>
      <c r="I176" s="184">
        <f t="shared" si="5"/>
        <v>423.62318513381354</v>
      </c>
    </row>
    <row r="177" spans="1:9" x14ac:dyDescent="0.25">
      <c r="A177" s="37">
        <v>8</v>
      </c>
      <c r="B177" s="178">
        <v>984</v>
      </c>
      <c r="C177" s="179">
        <v>7</v>
      </c>
      <c r="D177" s="180" t="s">
        <v>338</v>
      </c>
      <c r="E177" s="181">
        <v>9622.4</v>
      </c>
      <c r="F177" s="182">
        <v>2612</v>
      </c>
      <c r="G177" s="182">
        <f t="shared" si="4"/>
        <v>7010.4</v>
      </c>
      <c r="H177" s="183">
        <v>22.261985542455641</v>
      </c>
      <c r="I177" s="184">
        <f t="shared" si="5"/>
        <v>314.90452577244406</v>
      </c>
    </row>
    <row r="178" spans="1:9" x14ac:dyDescent="0.25">
      <c r="A178" s="37">
        <v>8</v>
      </c>
      <c r="B178" s="178">
        <v>188</v>
      </c>
      <c r="C178" s="179">
        <v>8</v>
      </c>
      <c r="D178" s="180" t="s">
        <v>223</v>
      </c>
      <c r="E178" s="181">
        <v>136694.57999999999</v>
      </c>
      <c r="F178" s="182">
        <v>8053</v>
      </c>
      <c r="G178" s="182">
        <f t="shared" si="4"/>
        <v>128641.57999999999</v>
      </c>
      <c r="H178" s="183">
        <v>151.82</v>
      </c>
      <c r="I178" s="184">
        <f t="shared" si="5"/>
        <v>847.32960084310366</v>
      </c>
    </row>
    <row r="179" spans="1:9" x14ac:dyDescent="0.25">
      <c r="A179" s="37">
        <v>8</v>
      </c>
      <c r="B179" s="178">
        <v>232</v>
      </c>
      <c r="C179" s="179">
        <v>8</v>
      </c>
      <c r="D179" s="180" t="s">
        <v>224</v>
      </c>
      <c r="E179" s="181">
        <v>120790.9</v>
      </c>
      <c r="F179" s="182">
        <v>0</v>
      </c>
      <c r="G179" s="182">
        <f t="shared" si="4"/>
        <v>120790.9</v>
      </c>
      <c r="H179" s="183">
        <v>99.943034780278666</v>
      </c>
      <c r="I179" s="184">
        <f t="shared" si="5"/>
        <v>1208.5974802101482</v>
      </c>
    </row>
    <row r="180" spans="1:9" x14ac:dyDescent="0.25">
      <c r="A180" s="37">
        <v>8</v>
      </c>
      <c r="B180" s="178">
        <v>245</v>
      </c>
      <c r="C180" s="179">
        <v>8</v>
      </c>
      <c r="D180" s="180" t="s">
        <v>225</v>
      </c>
      <c r="E180" s="181">
        <v>631790.16</v>
      </c>
      <c r="F180" s="182">
        <v>0</v>
      </c>
      <c r="G180" s="182">
        <f t="shared" si="4"/>
        <v>631790.16</v>
      </c>
      <c r="H180" s="183">
        <v>237.74999999999997</v>
      </c>
      <c r="I180" s="184">
        <f t="shared" si="5"/>
        <v>2657.3718611987388</v>
      </c>
    </row>
    <row r="181" spans="1:9" x14ac:dyDescent="0.25">
      <c r="A181" s="37">
        <v>8</v>
      </c>
      <c r="B181" s="178">
        <v>372</v>
      </c>
      <c r="C181" s="179">
        <v>8</v>
      </c>
      <c r="D181" s="180" t="s">
        <v>226</v>
      </c>
      <c r="E181" s="181">
        <v>86253.52</v>
      </c>
      <c r="F181" s="182">
        <v>0</v>
      </c>
      <c r="G181" s="182">
        <f t="shared" si="4"/>
        <v>86253.52</v>
      </c>
      <c r="H181" s="183">
        <v>124.59</v>
      </c>
      <c r="I181" s="184">
        <f t="shared" si="5"/>
        <v>692.29890039328995</v>
      </c>
    </row>
    <row r="182" spans="1:9" x14ac:dyDescent="0.25">
      <c r="A182" s="37">
        <v>8</v>
      </c>
      <c r="B182" s="178">
        <v>375</v>
      </c>
      <c r="C182" s="179">
        <v>8</v>
      </c>
      <c r="D182" s="180" t="s">
        <v>227</v>
      </c>
      <c r="E182" s="181">
        <v>231561.51</v>
      </c>
      <c r="F182" s="182">
        <v>0</v>
      </c>
      <c r="G182" s="182">
        <f t="shared" si="4"/>
        <v>231561.51</v>
      </c>
      <c r="H182" s="183">
        <v>162.62</v>
      </c>
      <c r="I182" s="184">
        <f t="shared" si="5"/>
        <v>1423.9423810109458</v>
      </c>
    </row>
    <row r="183" spans="1:9" x14ac:dyDescent="0.25">
      <c r="A183" s="37">
        <v>8</v>
      </c>
      <c r="B183" s="178">
        <v>404</v>
      </c>
      <c r="C183" s="179">
        <v>8</v>
      </c>
      <c r="D183" s="180" t="s">
        <v>228</v>
      </c>
      <c r="E183" s="181">
        <v>301241.45</v>
      </c>
      <c r="F183" s="182">
        <v>16226.76</v>
      </c>
      <c r="G183" s="182">
        <f t="shared" si="4"/>
        <v>285014.69</v>
      </c>
      <c r="H183" s="183">
        <v>459.07044990472792</v>
      </c>
      <c r="I183" s="184">
        <f t="shared" si="5"/>
        <v>620.85174521503143</v>
      </c>
    </row>
    <row r="184" spans="1:9" x14ac:dyDescent="0.25">
      <c r="A184" s="37">
        <v>8</v>
      </c>
      <c r="B184" s="178">
        <v>413</v>
      </c>
      <c r="C184" s="179">
        <v>8</v>
      </c>
      <c r="D184" s="180" t="s">
        <v>229</v>
      </c>
      <c r="E184" s="181">
        <v>92788.2</v>
      </c>
      <c r="F184" s="182">
        <v>110</v>
      </c>
      <c r="G184" s="182">
        <f t="shared" si="4"/>
        <v>92678.2</v>
      </c>
      <c r="H184" s="183">
        <v>76.8</v>
      </c>
      <c r="I184" s="184">
        <f t="shared" si="5"/>
        <v>1206.7473958333333</v>
      </c>
    </row>
    <row r="185" spans="1:9" x14ac:dyDescent="0.25">
      <c r="A185" s="37">
        <v>8</v>
      </c>
      <c r="B185" s="178">
        <v>537</v>
      </c>
      <c r="C185" s="179">
        <v>8</v>
      </c>
      <c r="D185" s="180" t="s">
        <v>230</v>
      </c>
      <c r="E185" s="181">
        <v>8112.34</v>
      </c>
      <c r="F185" s="182">
        <v>0</v>
      </c>
      <c r="G185" s="182">
        <f t="shared" si="4"/>
        <v>8112.34</v>
      </c>
      <c r="H185" s="183">
        <v>9.7918986885088461</v>
      </c>
      <c r="I185" s="184">
        <f t="shared" si="5"/>
        <v>828.47466646281077</v>
      </c>
    </row>
    <row r="186" spans="1:9" x14ac:dyDescent="0.25">
      <c r="A186" s="37">
        <v>8</v>
      </c>
      <c r="B186" s="178">
        <v>545</v>
      </c>
      <c r="C186" s="179">
        <v>8</v>
      </c>
      <c r="D186" s="180" t="s">
        <v>231</v>
      </c>
      <c r="E186" s="181">
        <v>8088.84</v>
      </c>
      <c r="F186" s="182">
        <v>0</v>
      </c>
      <c r="G186" s="182">
        <f t="shared" si="4"/>
        <v>8088.84</v>
      </c>
      <c r="H186" s="183">
        <v>14.800550827676549</v>
      </c>
      <c r="I186" s="184">
        <f t="shared" si="5"/>
        <v>546.52290270671085</v>
      </c>
    </row>
    <row r="187" spans="1:9" x14ac:dyDescent="0.25">
      <c r="A187" s="37">
        <v>8</v>
      </c>
      <c r="B187" s="178">
        <v>602</v>
      </c>
      <c r="C187" s="179">
        <v>8</v>
      </c>
      <c r="D187" s="180" t="s">
        <v>232</v>
      </c>
      <c r="E187" s="181">
        <v>26328.83</v>
      </c>
      <c r="F187" s="182">
        <v>0</v>
      </c>
      <c r="G187" s="182">
        <f t="shared" si="4"/>
        <v>26328.83</v>
      </c>
      <c r="H187" s="183">
        <v>15.286633204362731</v>
      </c>
      <c r="I187" s="184">
        <f t="shared" si="5"/>
        <v>1722.3432817427633</v>
      </c>
    </row>
    <row r="188" spans="1:9" x14ac:dyDescent="0.25">
      <c r="A188" s="37">
        <v>8</v>
      </c>
      <c r="B188" s="178">
        <v>605</v>
      </c>
      <c r="C188" s="179">
        <v>8</v>
      </c>
      <c r="D188" s="180" t="s">
        <v>233</v>
      </c>
      <c r="E188" s="181">
        <v>8356.2900000000009</v>
      </c>
      <c r="F188" s="182">
        <v>0</v>
      </c>
      <c r="G188" s="182">
        <f t="shared" si="4"/>
        <v>8356.2900000000009</v>
      </c>
      <c r="H188" s="183">
        <v>11.743233894780035</v>
      </c>
      <c r="I188" s="184">
        <f t="shared" si="5"/>
        <v>711.58337429644837</v>
      </c>
    </row>
    <row r="189" spans="1:9" x14ac:dyDescent="0.25">
      <c r="A189" s="37">
        <v>8</v>
      </c>
      <c r="B189" s="178">
        <v>607</v>
      </c>
      <c r="C189" s="179">
        <v>8</v>
      </c>
      <c r="D189" s="180" t="s">
        <v>234</v>
      </c>
      <c r="E189" s="181">
        <v>12544.93</v>
      </c>
      <c r="F189" s="182">
        <v>0</v>
      </c>
      <c r="G189" s="182">
        <f t="shared" si="4"/>
        <v>12544.93</v>
      </c>
      <c r="H189" s="183">
        <v>17.618373107885343</v>
      </c>
      <c r="I189" s="184">
        <f t="shared" si="5"/>
        <v>712.0367994923065</v>
      </c>
    </row>
    <row r="190" spans="1:9" x14ac:dyDescent="0.25">
      <c r="A190" s="37">
        <v>8</v>
      </c>
      <c r="B190" s="178">
        <v>610</v>
      </c>
      <c r="C190" s="179">
        <v>8</v>
      </c>
      <c r="D190" s="180" t="s">
        <v>235</v>
      </c>
      <c r="E190" s="181">
        <v>39395.15</v>
      </c>
      <c r="F190" s="182">
        <v>0</v>
      </c>
      <c r="G190" s="182">
        <f t="shared" si="4"/>
        <v>39395.15</v>
      </c>
      <c r="H190" s="183">
        <v>75.671529349767766</v>
      </c>
      <c r="I190" s="184">
        <f t="shared" si="5"/>
        <v>520.60729231344533</v>
      </c>
    </row>
    <row r="191" spans="1:9" x14ac:dyDescent="0.25">
      <c r="A191" s="37">
        <v>8</v>
      </c>
      <c r="B191" s="178">
        <v>611</v>
      </c>
      <c r="C191" s="179">
        <v>8</v>
      </c>
      <c r="D191" s="180" t="s">
        <v>236</v>
      </c>
      <c r="E191" s="181">
        <v>37334.879999999997</v>
      </c>
      <c r="F191" s="182">
        <v>0</v>
      </c>
      <c r="G191" s="182">
        <f t="shared" si="4"/>
        <v>37334.879999999997</v>
      </c>
      <c r="H191" s="183">
        <v>19.780665332856973</v>
      </c>
      <c r="I191" s="184">
        <f t="shared" si="5"/>
        <v>1887.4430850404374</v>
      </c>
    </row>
    <row r="192" spans="1:9" x14ac:dyDescent="0.25">
      <c r="A192" s="37">
        <v>8</v>
      </c>
      <c r="B192" s="178">
        <v>616</v>
      </c>
      <c r="C192" s="179">
        <v>8</v>
      </c>
      <c r="D192" s="180" t="s">
        <v>237</v>
      </c>
      <c r="E192" s="181">
        <v>264029.39</v>
      </c>
      <c r="F192" s="182">
        <v>0</v>
      </c>
      <c r="G192" s="182">
        <f t="shared" si="4"/>
        <v>264029.39</v>
      </c>
      <c r="H192" s="183">
        <v>164.92000000000002</v>
      </c>
      <c r="I192" s="184">
        <f t="shared" si="5"/>
        <v>1600.9543414989084</v>
      </c>
    </row>
    <row r="193" spans="1:9" x14ac:dyDescent="0.25">
      <c r="A193" s="37"/>
      <c r="B193" s="178">
        <v>637</v>
      </c>
      <c r="C193" s="179">
        <v>8</v>
      </c>
      <c r="D193" s="180" t="s">
        <v>314</v>
      </c>
      <c r="E193" s="181">
        <v>24131.66</v>
      </c>
      <c r="F193" s="182">
        <v>0</v>
      </c>
      <c r="G193" s="182">
        <f t="shared" si="4"/>
        <v>24131.66</v>
      </c>
      <c r="H193" s="183">
        <v>11.1622</v>
      </c>
      <c r="I193" s="184">
        <f t="shared" si="5"/>
        <v>2161.9089426815503</v>
      </c>
    </row>
    <row r="194" spans="1:9" x14ac:dyDescent="0.25">
      <c r="A194" s="37">
        <v>8</v>
      </c>
      <c r="B194" s="178">
        <v>638</v>
      </c>
      <c r="C194" s="179">
        <v>8</v>
      </c>
      <c r="D194" s="180" t="s">
        <v>315</v>
      </c>
      <c r="E194" s="181">
        <v>19979.61</v>
      </c>
      <c r="F194" s="182">
        <v>0</v>
      </c>
      <c r="G194" s="182">
        <f t="shared" si="4"/>
        <v>19979.61</v>
      </c>
      <c r="H194" s="183">
        <v>11.482586231848504</v>
      </c>
      <c r="I194" s="184">
        <f t="shared" si="5"/>
        <v>1739.9921582634279</v>
      </c>
    </row>
    <row r="195" spans="1:9" x14ac:dyDescent="0.25">
      <c r="A195" s="37">
        <v>8</v>
      </c>
      <c r="B195" s="178">
        <v>639</v>
      </c>
      <c r="C195" s="179">
        <v>8</v>
      </c>
      <c r="D195" s="180" t="s">
        <v>316</v>
      </c>
      <c r="E195" s="181">
        <v>19587.5</v>
      </c>
      <c r="F195" s="182">
        <v>0</v>
      </c>
      <c r="G195" s="182">
        <f t="shared" si="4"/>
        <v>19587.5</v>
      </c>
      <c r="H195" s="183">
        <v>26.744088597118019</v>
      </c>
      <c r="I195" s="184">
        <f t="shared" si="5"/>
        <v>732.40484262046516</v>
      </c>
    </row>
    <row r="196" spans="1:9" x14ac:dyDescent="0.25">
      <c r="A196" s="37">
        <v>8</v>
      </c>
      <c r="B196" s="178">
        <v>645</v>
      </c>
      <c r="C196" s="179">
        <v>8</v>
      </c>
      <c r="D196" s="180" t="s">
        <v>339</v>
      </c>
      <c r="E196" s="181">
        <v>14942.85</v>
      </c>
      <c r="F196" s="182">
        <v>0</v>
      </c>
      <c r="G196" s="182">
        <f t="shared" si="4"/>
        <v>14942.85</v>
      </c>
      <c r="H196" s="183">
        <v>4.4384178397046563</v>
      </c>
      <c r="I196" s="184">
        <f t="shared" si="5"/>
        <v>3366.7064570455891</v>
      </c>
    </row>
    <row r="197" spans="1:9" x14ac:dyDescent="0.25">
      <c r="A197" s="37">
        <v>8</v>
      </c>
      <c r="B197" s="178">
        <v>709</v>
      </c>
      <c r="C197" s="179">
        <v>8</v>
      </c>
      <c r="D197" s="180" t="s">
        <v>240</v>
      </c>
      <c r="E197" s="181">
        <v>43632.11</v>
      </c>
      <c r="F197" s="182">
        <v>0</v>
      </c>
      <c r="G197" s="182">
        <f t="shared" ref="G197:G257" si="6">E197-F197</f>
        <v>43632.11</v>
      </c>
      <c r="H197" s="183">
        <v>69.808973502441347</v>
      </c>
      <c r="I197" s="184">
        <f t="shared" ref="I197:I257" si="7">IFERROR(G197/H197,0)</f>
        <v>625.02150956959861</v>
      </c>
    </row>
    <row r="198" spans="1:9" x14ac:dyDescent="0.25">
      <c r="A198" s="37">
        <v>8</v>
      </c>
      <c r="B198" s="178">
        <v>714</v>
      </c>
      <c r="C198" s="179">
        <v>8</v>
      </c>
      <c r="D198" s="180" t="s">
        <v>241</v>
      </c>
      <c r="E198" s="181">
        <v>63101.23</v>
      </c>
      <c r="F198" s="182">
        <v>0</v>
      </c>
      <c r="G198" s="182">
        <f t="shared" si="6"/>
        <v>63101.23</v>
      </c>
      <c r="H198" s="183">
        <v>55.79475654400381</v>
      </c>
      <c r="I198" s="184">
        <f t="shared" si="7"/>
        <v>1130.9526899760513</v>
      </c>
    </row>
    <row r="199" spans="1:9" x14ac:dyDescent="0.25">
      <c r="A199" s="37">
        <v>8</v>
      </c>
      <c r="B199" s="178">
        <v>749</v>
      </c>
      <c r="C199" s="179">
        <v>8</v>
      </c>
      <c r="D199" s="180" t="s">
        <v>242</v>
      </c>
      <c r="E199" s="181">
        <v>4690.4399999999996</v>
      </c>
      <c r="F199" s="182">
        <v>0</v>
      </c>
      <c r="G199" s="182">
        <f t="shared" si="6"/>
        <v>4690.4399999999996</v>
      </c>
      <c r="H199" s="183">
        <v>25.180157901631535</v>
      </c>
      <c r="I199" s="184">
        <f t="shared" si="7"/>
        <v>186.27524173293946</v>
      </c>
    </row>
    <row r="200" spans="1:9" x14ac:dyDescent="0.25">
      <c r="A200" s="37">
        <v>8</v>
      </c>
      <c r="B200" s="178">
        <v>764</v>
      </c>
      <c r="C200" s="179">
        <v>8</v>
      </c>
      <c r="D200" s="180" t="s">
        <v>243</v>
      </c>
      <c r="E200" s="181">
        <v>11682.68</v>
      </c>
      <c r="F200" s="182">
        <v>0</v>
      </c>
      <c r="G200" s="182">
        <f t="shared" si="6"/>
        <v>11682.68</v>
      </c>
      <c r="H200" s="183">
        <v>15.2</v>
      </c>
      <c r="I200" s="184">
        <f t="shared" si="7"/>
        <v>768.59736842105269</v>
      </c>
    </row>
    <row r="201" spans="1:9" x14ac:dyDescent="0.25">
      <c r="A201" s="37">
        <v>8</v>
      </c>
      <c r="B201" s="178">
        <v>775</v>
      </c>
      <c r="C201" s="179">
        <v>8</v>
      </c>
      <c r="D201" s="180" t="s">
        <v>244</v>
      </c>
      <c r="E201" s="181">
        <v>103016.36</v>
      </c>
      <c r="F201" s="182">
        <v>0</v>
      </c>
      <c r="G201" s="182">
        <f t="shared" si="6"/>
        <v>103016.36</v>
      </c>
      <c r="H201" s="183">
        <v>138.16439494800289</v>
      </c>
      <c r="I201" s="184">
        <f t="shared" si="7"/>
        <v>745.6071445814199</v>
      </c>
    </row>
    <row r="202" spans="1:9" x14ac:dyDescent="0.25">
      <c r="A202" s="37">
        <v>8</v>
      </c>
      <c r="B202" s="178">
        <v>790</v>
      </c>
      <c r="C202" s="179">
        <v>8</v>
      </c>
      <c r="D202" s="180" t="s">
        <v>245</v>
      </c>
      <c r="E202" s="181">
        <v>8112.34</v>
      </c>
      <c r="F202" s="182">
        <v>0</v>
      </c>
      <c r="G202" s="182">
        <f t="shared" si="6"/>
        <v>8112.34</v>
      </c>
      <c r="H202" s="183">
        <v>9.7918986885088461</v>
      </c>
      <c r="I202" s="184">
        <f t="shared" si="7"/>
        <v>828.47466646281077</v>
      </c>
    </row>
    <row r="203" spans="1:9" x14ac:dyDescent="0.25">
      <c r="A203" s="37">
        <v>8</v>
      </c>
      <c r="B203" s="178">
        <v>795</v>
      </c>
      <c r="C203" s="179">
        <v>8</v>
      </c>
      <c r="D203" s="180" t="s">
        <v>317</v>
      </c>
      <c r="E203" s="181">
        <v>272650.90000000002</v>
      </c>
      <c r="F203" s="182">
        <v>18454.21</v>
      </c>
      <c r="G203" s="182">
        <f t="shared" si="6"/>
        <v>254196.69000000003</v>
      </c>
      <c r="H203" s="183">
        <v>254.79365731271687</v>
      </c>
      <c r="I203" s="184">
        <f t="shared" si="7"/>
        <v>997.65705583485476</v>
      </c>
    </row>
    <row r="204" spans="1:9" x14ac:dyDescent="0.25">
      <c r="A204" s="37">
        <v>8</v>
      </c>
      <c r="B204" s="178">
        <v>796</v>
      </c>
      <c r="C204" s="179">
        <v>8</v>
      </c>
      <c r="D204" s="180" t="s">
        <v>246</v>
      </c>
      <c r="E204" s="181">
        <v>22596.76</v>
      </c>
      <c r="F204" s="182">
        <v>0</v>
      </c>
      <c r="G204" s="182">
        <f t="shared" si="6"/>
        <v>22596.76</v>
      </c>
      <c r="H204" s="183">
        <v>32</v>
      </c>
      <c r="I204" s="184">
        <f t="shared" si="7"/>
        <v>706.14874999999995</v>
      </c>
    </row>
    <row r="205" spans="1:9" x14ac:dyDescent="0.25">
      <c r="A205" s="37">
        <v>8</v>
      </c>
      <c r="B205" s="178">
        <v>797</v>
      </c>
      <c r="C205" s="179">
        <v>8</v>
      </c>
      <c r="D205" s="180" t="s">
        <v>247</v>
      </c>
      <c r="E205" s="181">
        <v>39985.18</v>
      </c>
      <c r="F205" s="182">
        <v>1159</v>
      </c>
      <c r="G205" s="182">
        <f t="shared" si="6"/>
        <v>38826.18</v>
      </c>
      <c r="H205" s="183">
        <v>24.367612903417886</v>
      </c>
      <c r="I205" s="184">
        <f t="shared" si="7"/>
        <v>1593.3518048685887</v>
      </c>
    </row>
    <row r="206" spans="1:9" x14ac:dyDescent="0.25">
      <c r="A206" s="37">
        <v>8</v>
      </c>
      <c r="B206" s="178">
        <v>801</v>
      </c>
      <c r="C206" s="179">
        <v>8</v>
      </c>
      <c r="D206" s="180" t="s">
        <v>248</v>
      </c>
      <c r="E206" s="181">
        <v>96738.85</v>
      </c>
      <c r="F206" s="182">
        <v>0</v>
      </c>
      <c r="G206" s="182">
        <f t="shared" si="6"/>
        <v>96738.85</v>
      </c>
      <c r="H206" s="183">
        <v>135.0746846492795</v>
      </c>
      <c r="I206" s="184">
        <f t="shared" si="7"/>
        <v>716.18786489253534</v>
      </c>
    </row>
    <row r="207" spans="1:9" x14ac:dyDescent="0.25">
      <c r="A207" s="37">
        <v>8</v>
      </c>
      <c r="B207" s="178">
        <v>810</v>
      </c>
      <c r="C207" s="179">
        <v>8</v>
      </c>
      <c r="D207" s="180" t="s">
        <v>249</v>
      </c>
      <c r="E207" s="181">
        <v>140596.89000000001</v>
      </c>
      <c r="F207" s="182">
        <v>0</v>
      </c>
      <c r="G207" s="182">
        <f t="shared" si="6"/>
        <v>140596.89000000001</v>
      </c>
      <c r="H207" s="183">
        <v>124.98999999999998</v>
      </c>
      <c r="I207" s="184">
        <f t="shared" si="7"/>
        <v>1124.8651092087371</v>
      </c>
    </row>
    <row r="208" spans="1:9" x14ac:dyDescent="0.25">
      <c r="A208" s="37">
        <v>8</v>
      </c>
      <c r="B208" s="178">
        <v>812</v>
      </c>
      <c r="C208" s="179">
        <v>8</v>
      </c>
      <c r="D208" s="180" t="s">
        <v>250</v>
      </c>
      <c r="E208" s="181">
        <v>81577.919999999998</v>
      </c>
      <c r="F208" s="182">
        <v>273</v>
      </c>
      <c r="G208" s="182">
        <f t="shared" si="6"/>
        <v>81304.92</v>
      </c>
      <c r="H208" s="183">
        <v>42.133342486310362</v>
      </c>
      <c r="I208" s="184">
        <f t="shared" si="7"/>
        <v>1929.7049605408581</v>
      </c>
    </row>
    <row r="209" spans="1:9" x14ac:dyDescent="0.25">
      <c r="A209" s="37">
        <v>8</v>
      </c>
      <c r="B209" s="178">
        <v>818</v>
      </c>
      <c r="C209" s="179">
        <v>8</v>
      </c>
      <c r="D209" s="180" t="s">
        <v>251</v>
      </c>
      <c r="E209" s="181">
        <v>15868.89</v>
      </c>
      <c r="F209" s="182">
        <v>0</v>
      </c>
      <c r="G209" s="182">
        <f t="shared" si="6"/>
        <v>15868.89</v>
      </c>
      <c r="H209" s="183">
        <v>39.648701095629384</v>
      </c>
      <c r="I209" s="184">
        <f t="shared" si="7"/>
        <v>400.23732332934566</v>
      </c>
    </row>
    <row r="210" spans="1:9" x14ac:dyDescent="0.25">
      <c r="A210" s="37">
        <v>8</v>
      </c>
      <c r="B210" s="178">
        <v>833</v>
      </c>
      <c r="C210" s="179">
        <v>8</v>
      </c>
      <c r="D210" s="180" t="s">
        <v>252</v>
      </c>
      <c r="E210" s="181">
        <v>37349.99</v>
      </c>
      <c r="F210" s="182">
        <v>0</v>
      </c>
      <c r="G210" s="182">
        <f t="shared" si="6"/>
        <v>37349.99</v>
      </c>
      <c r="H210" s="183">
        <v>61.805842122186505</v>
      </c>
      <c r="I210" s="184">
        <f t="shared" si="7"/>
        <v>604.31164300231148</v>
      </c>
    </row>
    <row r="211" spans="1:9" x14ac:dyDescent="0.25">
      <c r="A211" s="37">
        <v>8</v>
      </c>
      <c r="B211" s="178">
        <v>834</v>
      </c>
      <c r="C211" s="179">
        <v>8</v>
      </c>
      <c r="D211" s="180" t="s">
        <v>253</v>
      </c>
      <c r="E211" s="181">
        <v>55123.19</v>
      </c>
      <c r="F211" s="182">
        <v>3760.4799999999996</v>
      </c>
      <c r="G211" s="182">
        <f t="shared" si="6"/>
        <v>51362.710000000006</v>
      </c>
      <c r="H211" s="183">
        <v>74.23</v>
      </c>
      <c r="I211" s="184">
        <f t="shared" si="7"/>
        <v>691.94005119224039</v>
      </c>
    </row>
    <row r="212" spans="1:9" x14ac:dyDescent="0.25">
      <c r="A212" s="37">
        <v>8</v>
      </c>
      <c r="B212" s="178">
        <v>837</v>
      </c>
      <c r="C212" s="179">
        <v>8</v>
      </c>
      <c r="D212" s="180" t="s">
        <v>254</v>
      </c>
      <c r="E212" s="181">
        <v>142476.71</v>
      </c>
      <c r="F212" s="182">
        <v>0</v>
      </c>
      <c r="G212" s="182">
        <f t="shared" si="6"/>
        <v>142476.71</v>
      </c>
      <c r="H212" s="183">
        <v>176.99</v>
      </c>
      <c r="I212" s="184">
        <f t="shared" si="7"/>
        <v>804.99864399118587</v>
      </c>
    </row>
    <row r="213" spans="1:9" x14ac:dyDescent="0.25">
      <c r="A213" s="37">
        <v>8</v>
      </c>
      <c r="B213" s="178">
        <v>845</v>
      </c>
      <c r="C213" s="179">
        <v>8</v>
      </c>
      <c r="D213" s="180" t="s">
        <v>319</v>
      </c>
      <c r="E213" s="181">
        <v>8943.76</v>
      </c>
      <c r="F213" s="182">
        <v>0</v>
      </c>
      <c r="G213" s="182">
        <f t="shared" si="6"/>
        <v>8943.76</v>
      </c>
      <c r="H213" s="183">
        <v>4.1985407326268138</v>
      </c>
      <c r="I213" s="184">
        <f t="shared" si="7"/>
        <v>2130.2067955416364</v>
      </c>
    </row>
    <row r="214" spans="1:9" x14ac:dyDescent="0.25">
      <c r="A214" s="37">
        <v>8</v>
      </c>
      <c r="B214" s="178">
        <v>847</v>
      </c>
      <c r="C214" s="179">
        <v>8</v>
      </c>
      <c r="D214" s="180" t="s">
        <v>255</v>
      </c>
      <c r="E214" s="181">
        <v>131761.98000000001</v>
      </c>
      <c r="F214" s="182">
        <v>0</v>
      </c>
      <c r="G214" s="182">
        <f t="shared" si="6"/>
        <v>131761.98000000001</v>
      </c>
      <c r="H214" s="183">
        <v>66.183100660950345</v>
      </c>
      <c r="I214" s="184">
        <f t="shared" si="7"/>
        <v>1990.8704591373553</v>
      </c>
    </row>
    <row r="215" spans="1:9" x14ac:dyDescent="0.25">
      <c r="A215" s="37">
        <v>8</v>
      </c>
      <c r="B215" s="178">
        <v>866</v>
      </c>
      <c r="C215" s="179">
        <v>8</v>
      </c>
      <c r="D215" s="180" t="s">
        <v>256</v>
      </c>
      <c r="E215" s="181">
        <v>54975.040000000001</v>
      </c>
      <c r="F215" s="182">
        <v>0</v>
      </c>
      <c r="G215" s="182">
        <f t="shared" si="6"/>
        <v>54975.040000000001</v>
      </c>
      <c r="H215" s="183">
        <v>147.75213403001072</v>
      </c>
      <c r="I215" s="184">
        <f t="shared" si="7"/>
        <v>372.07611491305926</v>
      </c>
    </row>
    <row r="216" spans="1:9" x14ac:dyDescent="0.25">
      <c r="A216" s="37">
        <v>8</v>
      </c>
      <c r="B216" s="178">
        <v>871</v>
      </c>
      <c r="C216" s="179">
        <v>8</v>
      </c>
      <c r="D216" s="180" t="s">
        <v>257</v>
      </c>
      <c r="E216" s="181">
        <v>12724.9</v>
      </c>
      <c r="F216" s="182">
        <v>0</v>
      </c>
      <c r="G216" s="182">
        <f t="shared" si="6"/>
        <v>12724.9</v>
      </c>
      <c r="H216" s="183">
        <v>12.214386102179351</v>
      </c>
      <c r="I216" s="184">
        <f t="shared" si="7"/>
        <v>1041.7961159529386</v>
      </c>
    </row>
    <row r="217" spans="1:9" x14ac:dyDescent="0.25">
      <c r="A217" s="37">
        <v>8</v>
      </c>
      <c r="B217" s="178">
        <v>873</v>
      </c>
      <c r="C217" s="179">
        <v>8</v>
      </c>
      <c r="D217" s="180" t="s">
        <v>258</v>
      </c>
      <c r="E217" s="181">
        <v>74605.5</v>
      </c>
      <c r="F217" s="182">
        <v>0</v>
      </c>
      <c r="G217" s="182">
        <f t="shared" si="6"/>
        <v>74605.5</v>
      </c>
      <c r="H217" s="183">
        <v>185.67000000000002</v>
      </c>
      <c r="I217" s="184">
        <f t="shared" si="7"/>
        <v>401.81774115365971</v>
      </c>
    </row>
    <row r="218" spans="1:9" x14ac:dyDescent="0.25">
      <c r="A218" s="37">
        <v>8</v>
      </c>
      <c r="B218" s="178">
        <v>905</v>
      </c>
      <c r="C218" s="179">
        <v>8</v>
      </c>
      <c r="D218" s="180" t="s">
        <v>261</v>
      </c>
      <c r="E218" s="181">
        <v>62186.54</v>
      </c>
      <c r="F218" s="182">
        <v>0</v>
      </c>
      <c r="G218" s="182">
        <f t="shared" si="6"/>
        <v>62186.54</v>
      </c>
      <c r="H218" s="183">
        <v>93.093193074907703</v>
      </c>
      <c r="I218" s="184">
        <f t="shared" si="7"/>
        <v>668.00308321105092</v>
      </c>
    </row>
    <row r="219" spans="1:9" x14ac:dyDescent="0.25">
      <c r="A219" s="37">
        <v>8</v>
      </c>
      <c r="B219" s="178">
        <v>907</v>
      </c>
      <c r="C219" s="179">
        <v>8</v>
      </c>
      <c r="D219" s="180" t="s">
        <v>262</v>
      </c>
      <c r="E219" s="181">
        <v>20189.84</v>
      </c>
      <c r="F219" s="182">
        <v>0</v>
      </c>
      <c r="G219" s="182">
        <f t="shared" si="6"/>
        <v>20189.84</v>
      </c>
      <c r="H219" s="183">
        <v>19.623398559009171</v>
      </c>
      <c r="I219" s="184">
        <f t="shared" si="7"/>
        <v>1028.8656136340244</v>
      </c>
    </row>
    <row r="220" spans="1:9" x14ac:dyDescent="0.25">
      <c r="A220" s="37">
        <v>9</v>
      </c>
      <c r="B220" s="178">
        <v>918</v>
      </c>
      <c r="C220" s="179">
        <v>8</v>
      </c>
      <c r="D220" s="180" t="s">
        <v>263</v>
      </c>
      <c r="E220" s="181">
        <v>92014.79</v>
      </c>
      <c r="F220" s="182">
        <v>0</v>
      </c>
      <c r="G220" s="182">
        <f t="shared" si="6"/>
        <v>92014.79</v>
      </c>
      <c r="H220" s="183">
        <v>61.65731239133023</v>
      </c>
      <c r="I220" s="184">
        <f t="shared" si="7"/>
        <v>1492.358106950805</v>
      </c>
    </row>
    <row r="221" spans="1:9" x14ac:dyDescent="0.25">
      <c r="A221" s="37">
        <v>9</v>
      </c>
      <c r="B221" s="178">
        <v>922</v>
      </c>
      <c r="C221" s="179">
        <v>8</v>
      </c>
      <c r="D221" s="180" t="s">
        <v>264</v>
      </c>
      <c r="E221" s="181">
        <v>133724.62</v>
      </c>
      <c r="F221" s="182">
        <v>5755.5599999999995</v>
      </c>
      <c r="G221" s="182">
        <f t="shared" si="6"/>
        <v>127969.06</v>
      </c>
      <c r="H221" s="183">
        <v>48.13</v>
      </c>
      <c r="I221" s="184">
        <f t="shared" si="7"/>
        <v>2658.8211094951171</v>
      </c>
    </row>
    <row r="222" spans="1:9" x14ac:dyDescent="0.25">
      <c r="A222" s="37">
        <v>9</v>
      </c>
      <c r="B222" s="178">
        <v>924</v>
      </c>
      <c r="C222" s="179">
        <v>8</v>
      </c>
      <c r="D222" s="180" t="s">
        <v>265</v>
      </c>
      <c r="E222" s="181">
        <v>60061.57</v>
      </c>
      <c r="F222" s="182">
        <v>0</v>
      </c>
      <c r="G222" s="182">
        <f t="shared" si="6"/>
        <v>60061.57</v>
      </c>
      <c r="H222" s="183">
        <v>94.709546028343453</v>
      </c>
      <c r="I222" s="184">
        <f t="shared" si="7"/>
        <v>634.1659581181558</v>
      </c>
    </row>
    <row r="223" spans="1:9" x14ac:dyDescent="0.25">
      <c r="A223" s="37">
        <v>9</v>
      </c>
      <c r="B223" s="178">
        <v>929</v>
      </c>
      <c r="C223" s="179">
        <v>8</v>
      </c>
      <c r="D223" s="180" t="s">
        <v>266</v>
      </c>
      <c r="E223" s="181">
        <v>45278.1</v>
      </c>
      <c r="F223" s="182">
        <v>0</v>
      </c>
      <c r="G223" s="182">
        <f t="shared" si="6"/>
        <v>45278.1</v>
      </c>
      <c r="H223" s="183">
        <v>53.697866226033099</v>
      </c>
      <c r="I223" s="184">
        <f t="shared" si="7"/>
        <v>843.20110243130785</v>
      </c>
    </row>
    <row r="224" spans="1:9" x14ac:dyDescent="0.25">
      <c r="A224" s="37">
        <v>9</v>
      </c>
      <c r="B224" s="178">
        <v>955</v>
      </c>
      <c r="C224" s="179">
        <v>8</v>
      </c>
      <c r="D224" s="180" t="s">
        <v>267</v>
      </c>
      <c r="E224" s="181">
        <v>25073.62</v>
      </c>
      <c r="F224" s="182">
        <v>0</v>
      </c>
      <c r="G224" s="182">
        <f t="shared" si="6"/>
        <v>25073.62</v>
      </c>
      <c r="H224" s="183">
        <v>50.276820820063051</v>
      </c>
      <c r="I224" s="184">
        <f t="shared" si="7"/>
        <v>498.71132643284255</v>
      </c>
    </row>
    <row r="225" spans="1:9" x14ac:dyDescent="0.25">
      <c r="A225" s="37">
        <v>9</v>
      </c>
      <c r="B225" s="178">
        <v>973</v>
      </c>
      <c r="C225" s="179">
        <v>8</v>
      </c>
      <c r="D225" s="180" t="s">
        <v>268</v>
      </c>
      <c r="E225" s="181">
        <v>8741.84</v>
      </c>
      <c r="F225" s="182">
        <v>0</v>
      </c>
      <c r="G225" s="182">
        <f t="shared" si="6"/>
        <v>8741.84</v>
      </c>
      <c r="H225" s="183">
        <v>8.1012111451691897</v>
      </c>
      <c r="I225" s="184">
        <f t="shared" si="7"/>
        <v>1079.0781579878735</v>
      </c>
    </row>
    <row r="226" spans="1:9" x14ac:dyDescent="0.25">
      <c r="A226" s="37">
        <v>9</v>
      </c>
      <c r="B226" s="178">
        <v>974</v>
      </c>
      <c r="C226" s="179">
        <v>8</v>
      </c>
      <c r="D226" s="180" t="s">
        <v>269</v>
      </c>
      <c r="E226" s="181">
        <v>15310.94</v>
      </c>
      <c r="F226" s="182">
        <v>0</v>
      </c>
      <c r="G226" s="182">
        <f t="shared" si="6"/>
        <v>15310.94</v>
      </c>
      <c r="H226" s="183">
        <v>17.47</v>
      </c>
      <c r="I226" s="184">
        <f t="shared" si="7"/>
        <v>876.41327990841455</v>
      </c>
    </row>
    <row r="227" spans="1:9" x14ac:dyDescent="0.25">
      <c r="A227" s="37">
        <v>9</v>
      </c>
      <c r="B227" s="178">
        <v>985</v>
      </c>
      <c r="C227" s="179">
        <v>8</v>
      </c>
      <c r="D227" s="180" t="s">
        <v>271</v>
      </c>
      <c r="E227" s="181">
        <v>119730.94</v>
      </c>
      <c r="F227" s="182">
        <v>0</v>
      </c>
      <c r="G227" s="182">
        <f t="shared" si="6"/>
        <v>119730.94</v>
      </c>
      <c r="H227" s="183">
        <v>65.667615124449199</v>
      </c>
      <c r="I227" s="184">
        <f t="shared" si="7"/>
        <v>1823.2874724183805</v>
      </c>
    </row>
    <row r="228" spans="1:9" x14ac:dyDescent="0.25">
      <c r="A228" s="37">
        <v>9</v>
      </c>
      <c r="B228" s="178">
        <v>159</v>
      </c>
      <c r="C228" s="179">
        <v>9</v>
      </c>
      <c r="D228" s="180" t="s">
        <v>273</v>
      </c>
      <c r="E228" s="181">
        <v>166217.32</v>
      </c>
      <c r="F228" s="182">
        <v>0</v>
      </c>
      <c r="G228" s="182">
        <f t="shared" si="6"/>
        <v>166217.32</v>
      </c>
      <c r="H228" s="183">
        <v>721.93312534833865</v>
      </c>
      <c r="I228" s="184">
        <f t="shared" si="7"/>
        <v>230.2392204538319</v>
      </c>
    </row>
    <row r="229" spans="1:9" x14ac:dyDescent="0.25">
      <c r="A229" s="37">
        <v>9</v>
      </c>
      <c r="B229" s="178">
        <v>173</v>
      </c>
      <c r="C229" s="179">
        <v>9</v>
      </c>
      <c r="D229" s="180" t="s">
        <v>274</v>
      </c>
      <c r="E229" s="181">
        <v>188734.3</v>
      </c>
      <c r="F229" s="182">
        <v>0</v>
      </c>
      <c r="G229" s="182">
        <f t="shared" si="6"/>
        <v>188734.3</v>
      </c>
      <c r="H229" s="183">
        <v>317.52000000000004</v>
      </c>
      <c r="I229" s="184">
        <f t="shared" si="7"/>
        <v>594.40129755605938</v>
      </c>
    </row>
    <row r="230" spans="1:9" x14ac:dyDescent="0.25">
      <c r="A230" s="37">
        <v>9</v>
      </c>
      <c r="B230" s="178">
        <v>204</v>
      </c>
      <c r="C230" s="179">
        <v>9</v>
      </c>
      <c r="D230" s="180" t="s">
        <v>275</v>
      </c>
      <c r="E230" s="181">
        <v>522018.01</v>
      </c>
      <c r="F230" s="182">
        <v>0</v>
      </c>
      <c r="G230" s="182">
        <f t="shared" si="6"/>
        <v>522018.01</v>
      </c>
      <c r="H230" s="183">
        <v>445.31300985280456</v>
      </c>
      <c r="I230" s="184">
        <f t="shared" si="7"/>
        <v>1172.2496276777313</v>
      </c>
    </row>
    <row r="231" spans="1:9" x14ac:dyDescent="0.25">
      <c r="A231" s="37">
        <v>9</v>
      </c>
      <c r="B231" s="178">
        <v>230</v>
      </c>
      <c r="C231" s="179">
        <v>9</v>
      </c>
      <c r="D231" s="180" t="s">
        <v>277</v>
      </c>
      <c r="E231" s="181">
        <v>95548.24</v>
      </c>
      <c r="F231" s="182">
        <v>1799.3000000000002</v>
      </c>
      <c r="G231" s="182">
        <f t="shared" si="6"/>
        <v>93748.94</v>
      </c>
      <c r="H231" s="183">
        <v>137.3463158270811</v>
      </c>
      <c r="I231" s="184">
        <f t="shared" si="7"/>
        <v>682.57338710147746</v>
      </c>
    </row>
    <row r="232" spans="1:9" x14ac:dyDescent="0.25">
      <c r="A232" s="37">
        <v>9</v>
      </c>
      <c r="B232" s="178">
        <v>277</v>
      </c>
      <c r="C232" s="179">
        <v>9</v>
      </c>
      <c r="D232" s="180" t="s">
        <v>278</v>
      </c>
      <c r="E232" s="181">
        <v>193093.73</v>
      </c>
      <c r="F232" s="182">
        <v>5454.62</v>
      </c>
      <c r="G232" s="182">
        <f t="shared" si="6"/>
        <v>187639.11000000002</v>
      </c>
      <c r="H232" s="183">
        <v>77.20924891627962</v>
      </c>
      <c r="I232" s="184">
        <f t="shared" si="7"/>
        <v>2430.2672624553429</v>
      </c>
    </row>
    <row r="233" spans="1:9" x14ac:dyDescent="0.25">
      <c r="A233" s="37">
        <v>9</v>
      </c>
      <c r="B233" s="178">
        <v>279</v>
      </c>
      <c r="C233" s="179">
        <v>9</v>
      </c>
      <c r="D233" s="180" t="s">
        <v>279</v>
      </c>
      <c r="E233" s="181">
        <v>185521.99</v>
      </c>
      <c r="F233" s="182">
        <v>796</v>
      </c>
      <c r="G233" s="182">
        <f t="shared" si="6"/>
        <v>184725.99</v>
      </c>
      <c r="H233" s="183">
        <v>281.14056938192209</v>
      </c>
      <c r="I233" s="184">
        <f t="shared" si="7"/>
        <v>657.05917294723326</v>
      </c>
    </row>
    <row r="234" spans="1:9" x14ac:dyDescent="0.25">
      <c r="A234" s="37">
        <v>9</v>
      </c>
      <c r="B234" s="178">
        <v>331</v>
      </c>
      <c r="C234" s="179">
        <v>9</v>
      </c>
      <c r="D234" s="180" t="s">
        <v>280</v>
      </c>
      <c r="E234" s="181">
        <v>160212.76999999999</v>
      </c>
      <c r="F234" s="182">
        <v>0</v>
      </c>
      <c r="G234" s="182">
        <f t="shared" si="6"/>
        <v>160212.76999999999</v>
      </c>
      <c r="H234" s="183">
        <v>442.75839063951412</v>
      </c>
      <c r="I234" s="184">
        <f t="shared" si="7"/>
        <v>361.85145981895653</v>
      </c>
    </row>
    <row r="235" spans="1:9" x14ac:dyDescent="0.25">
      <c r="A235" s="37">
        <v>9</v>
      </c>
      <c r="B235" s="178">
        <v>369</v>
      </c>
      <c r="C235" s="179">
        <v>9</v>
      </c>
      <c r="D235" s="180" t="s">
        <v>281</v>
      </c>
      <c r="E235" s="181">
        <v>439717.41</v>
      </c>
      <c r="F235" s="182">
        <v>0</v>
      </c>
      <c r="G235" s="182">
        <f t="shared" si="6"/>
        <v>439717.41</v>
      </c>
      <c r="H235" s="183">
        <v>372.33</v>
      </c>
      <c r="I235" s="184">
        <f t="shared" si="7"/>
        <v>1180.9883973894125</v>
      </c>
    </row>
    <row r="236" spans="1:9" x14ac:dyDescent="0.25">
      <c r="A236" s="37">
        <v>9</v>
      </c>
      <c r="B236" s="178">
        <v>416</v>
      </c>
      <c r="C236" s="179">
        <v>9</v>
      </c>
      <c r="D236" s="180" t="s">
        <v>282</v>
      </c>
      <c r="E236" s="181">
        <v>63073.1</v>
      </c>
      <c r="F236" s="182">
        <v>67.5</v>
      </c>
      <c r="G236" s="182">
        <f t="shared" si="6"/>
        <v>63005.599999999999</v>
      </c>
      <c r="H236" s="183">
        <v>63.282402387757521</v>
      </c>
      <c r="I236" s="184">
        <f t="shared" si="7"/>
        <v>995.62591846527187</v>
      </c>
    </row>
    <row r="237" spans="1:9" x14ac:dyDescent="0.25">
      <c r="A237" s="37">
        <v>9</v>
      </c>
      <c r="B237" s="178">
        <v>508</v>
      </c>
      <c r="C237" s="179">
        <v>9</v>
      </c>
      <c r="D237" s="180" t="s">
        <v>284</v>
      </c>
      <c r="E237" s="181">
        <v>78621.899999999994</v>
      </c>
      <c r="F237" s="182">
        <v>0</v>
      </c>
      <c r="G237" s="182">
        <f t="shared" si="6"/>
        <v>78621.899999999994</v>
      </c>
      <c r="H237" s="183">
        <v>83.552342128140978</v>
      </c>
      <c r="I237" s="184">
        <f t="shared" si="7"/>
        <v>940.98977954945462</v>
      </c>
    </row>
    <row r="238" spans="1:9" x14ac:dyDescent="0.25">
      <c r="A238" s="37"/>
      <c r="B238" s="178">
        <v>512</v>
      </c>
      <c r="C238" s="179">
        <v>9</v>
      </c>
      <c r="D238" s="180" t="s">
        <v>285</v>
      </c>
      <c r="E238" s="181">
        <v>275963.07</v>
      </c>
      <c r="F238" s="182">
        <v>3670.08</v>
      </c>
      <c r="G238" s="182">
        <f t="shared" si="6"/>
        <v>272292.99</v>
      </c>
      <c r="H238" s="183">
        <v>208.64932368107657</v>
      </c>
      <c r="I238" s="184">
        <f t="shared" si="7"/>
        <v>1305.026947588882</v>
      </c>
    </row>
    <row r="239" spans="1:9" x14ac:dyDescent="0.25">
      <c r="A239" s="37"/>
      <c r="B239" s="178">
        <v>516</v>
      </c>
      <c r="C239" s="179">
        <v>9</v>
      </c>
      <c r="D239" s="180" t="s">
        <v>286</v>
      </c>
      <c r="E239" s="181">
        <v>161888.84</v>
      </c>
      <c r="F239" s="182">
        <v>144.16</v>
      </c>
      <c r="G239" s="182">
        <f t="shared" si="6"/>
        <v>161744.68</v>
      </c>
      <c r="H239" s="183">
        <v>310.85525259616531</v>
      </c>
      <c r="I239" s="184">
        <f t="shared" si="7"/>
        <v>520.32152794318029</v>
      </c>
    </row>
    <row r="240" spans="1:9" x14ac:dyDescent="0.25">
      <c r="A240" s="37"/>
      <c r="B240" s="178">
        <v>521</v>
      </c>
      <c r="C240" s="179">
        <v>9</v>
      </c>
      <c r="D240" s="180" t="s">
        <v>287</v>
      </c>
      <c r="E240" s="181">
        <v>379162.42</v>
      </c>
      <c r="F240" s="182">
        <v>79.650000000000006</v>
      </c>
      <c r="G240" s="182">
        <f t="shared" si="6"/>
        <v>379082.76999999996</v>
      </c>
      <c r="H240" s="183">
        <v>125.15814085387638</v>
      </c>
      <c r="I240" s="184">
        <f t="shared" si="7"/>
        <v>3028.8303055139149</v>
      </c>
    </row>
    <row r="241" spans="1:9" x14ac:dyDescent="0.25">
      <c r="A241" s="37"/>
      <c r="B241" s="178">
        <v>522</v>
      </c>
      <c r="C241" s="179">
        <v>9</v>
      </c>
      <c r="D241" s="180" t="s">
        <v>288</v>
      </c>
      <c r="E241" s="181">
        <v>123348.86</v>
      </c>
      <c r="F241" s="182">
        <v>84</v>
      </c>
      <c r="G241" s="182">
        <f t="shared" si="6"/>
        <v>123264.86</v>
      </c>
      <c r="H241" s="183">
        <v>76.169540800285816</v>
      </c>
      <c r="I241" s="184">
        <f t="shared" si="7"/>
        <v>1618.2959580023812</v>
      </c>
    </row>
    <row r="242" spans="1:9" x14ac:dyDescent="0.25">
      <c r="A242" s="37"/>
      <c r="B242" s="178">
        <v>523</v>
      </c>
      <c r="C242" s="179">
        <v>9</v>
      </c>
      <c r="D242" s="180" t="s">
        <v>289</v>
      </c>
      <c r="E242" s="181">
        <v>315458.90999999997</v>
      </c>
      <c r="F242" s="182">
        <v>856.49</v>
      </c>
      <c r="G242" s="182">
        <f t="shared" si="6"/>
        <v>314602.42</v>
      </c>
      <c r="H242" s="183">
        <v>698.36058335715143</v>
      </c>
      <c r="I242" s="184">
        <f t="shared" si="7"/>
        <v>450.48708002339799</v>
      </c>
    </row>
    <row r="243" spans="1:9" x14ac:dyDescent="0.25">
      <c r="B243" s="178">
        <v>527</v>
      </c>
      <c r="C243" s="179">
        <v>9</v>
      </c>
      <c r="D243" s="180" t="s">
        <v>290</v>
      </c>
      <c r="E243" s="181">
        <v>133668.4</v>
      </c>
      <c r="F243" s="182">
        <v>150</v>
      </c>
      <c r="G243" s="182">
        <f t="shared" si="6"/>
        <v>133518.39999999999</v>
      </c>
      <c r="H243" s="183">
        <v>153.26520815767537</v>
      </c>
      <c r="I243" s="184">
        <f t="shared" si="7"/>
        <v>871.15922527335522</v>
      </c>
    </row>
    <row r="244" spans="1:9" x14ac:dyDescent="0.25">
      <c r="B244" s="178">
        <v>543</v>
      </c>
      <c r="C244" s="179">
        <v>9</v>
      </c>
      <c r="D244" s="180" t="s">
        <v>291</v>
      </c>
      <c r="E244" s="181">
        <v>46654.18</v>
      </c>
      <c r="F244" s="182">
        <v>0</v>
      </c>
      <c r="G244" s="182">
        <f t="shared" si="6"/>
        <v>46654.18</v>
      </c>
      <c r="H244" s="183">
        <v>79.576987566988208</v>
      </c>
      <c r="I244" s="184">
        <f t="shared" si="7"/>
        <v>586.2772822447738</v>
      </c>
    </row>
    <row r="245" spans="1:9" x14ac:dyDescent="0.25">
      <c r="B245" s="178">
        <v>547</v>
      </c>
      <c r="C245" s="179">
        <v>9</v>
      </c>
      <c r="D245" s="180" t="s">
        <v>292</v>
      </c>
      <c r="E245" s="181">
        <v>122138.68</v>
      </c>
      <c r="F245" s="182">
        <v>0</v>
      </c>
      <c r="G245" s="182">
        <f t="shared" si="6"/>
        <v>122138.68</v>
      </c>
      <c r="H245" s="183">
        <v>219.72789419435514</v>
      </c>
      <c r="I245" s="184">
        <f t="shared" si="7"/>
        <v>555.8633347296593</v>
      </c>
    </row>
    <row r="246" spans="1:9" x14ac:dyDescent="0.25">
      <c r="B246" s="178">
        <v>550</v>
      </c>
      <c r="C246" s="179">
        <v>9</v>
      </c>
      <c r="D246" s="180" t="s">
        <v>198</v>
      </c>
      <c r="E246" s="181">
        <v>463950.3</v>
      </c>
      <c r="F246" s="182">
        <v>1281.74</v>
      </c>
      <c r="G246" s="182">
        <f t="shared" si="6"/>
        <v>462668.56</v>
      </c>
      <c r="H246" s="183">
        <v>242.01</v>
      </c>
      <c r="I246" s="184">
        <f t="shared" si="7"/>
        <v>1911.7745547704642</v>
      </c>
    </row>
    <row r="247" spans="1:9" x14ac:dyDescent="0.25">
      <c r="B247" s="178">
        <v>552</v>
      </c>
      <c r="C247" s="179">
        <v>9</v>
      </c>
      <c r="D247" s="180" t="s">
        <v>293</v>
      </c>
      <c r="E247" s="181">
        <v>141789.49</v>
      </c>
      <c r="F247" s="182">
        <v>0</v>
      </c>
      <c r="G247" s="182">
        <f t="shared" si="6"/>
        <v>141789.49</v>
      </c>
      <c r="H247" s="183">
        <v>122.80000000000001</v>
      </c>
      <c r="I247" s="184">
        <f t="shared" si="7"/>
        <v>1154.6375407166122</v>
      </c>
    </row>
    <row r="248" spans="1:9" x14ac:dyDescent="0.25">
      <c r="B248" s="178">
        <v>567</v>
      </c>
      <c r="C248" s="179">
        <v>9</v>
      </c>
      <c r="D248" s="180" t="s">
        <v>294</v>
      </c>
      <c r="E248" s="181">
        <v>233157.95</v>
      </c>
      <c r="F248" s="182">
        <v>0</v>
      </c>
      <c r="G248" s="182">
        <f t="shared" si="6"/>
        <v>233157.95</v>
      </c>
      <c r="H248" s="183">
        <v>359.29341894128856</v>
      </c>
      <c r="I248" s="184">
        <f t="shared" si="7"/>
        <v>648.93465259406798</v>
      </c>
    </row>
    <row r="249" spans="1:9" x14ac:dyDescent="0.25">
      <c r="B249" s="178">
        <v>629</v>
      </c>
      <c r="C249" s="179">
        <v>9</v>
      </c>
      <c r="D249" s="180" t="s">
        <v>295</v>
      </c>
      <c r="E249" s="181">
        <v>172741.52</v>
      </c>
      <c r="F249" s="182">
        <v>3864.35</v>
      </c>
      <c r="G249" s="182">
        <f t="shared" si="6"/>
        <v>168877.16999999998</v>
      </c>
      <c r="H249" s="183">
        <v>239.08999999999997</v>
      </c>
      <c r="I249" s="184">
        <f t="shared" si="7"/>
        <v>706.33305449830607</v>
      </c>
    </row>
    <row r="250" spans="1:9" x14ac:dyDescent="0.25">
      <c r="B250" s="178">
        <v>630</v>
      </c>
      <c r="C250" s="179">
        <v>9</v>
      </c>
      <c r="D250" s="180" t="s">
        <v>296</v>
      </c>
      <c r="E250" s="181">
        <v>241664.73</v>
      </c>
      <c r="F250" s="182">
        <v>2804.11</v>
      </c>
      <c r="G250" s="182">
        <f t="shared" si="6"/>
        <v>238860.62000000002</v>
      </c>
      <c r="H250" s="183">
        <v>168.82</v>
      </c>
      <c r="I250" s="184">
        <f t="shared" si="7"/>
        <v>1414.8834261343445</v>
      </c>
    </row>
    <row r="251" spans="1:9" x14ac:dyDescent="0.25">
      <c r="B251" s="178">
        <v>771</v>
      </c>
      <c r="C251" s="179">
        <v>9</v>
      </c>
      <c r="D251" s="180" t="s">
        <v>298</v>
      </c>
      <c r="E251" s="181">
        <v>70947.31</v>
      </c>
      <c r="F251" s="182">
        <v>0</v>
      </c>
      <c r="G251" s="182">
        <f t="shared" si="6"/>
        <v>70947.31</v>
      </c>
      <c r="H251" s="183">
        <v>150.2159801536263</v>
      </c>
      <c r="I251" s="184">
        <f t="shared" si="7"/>
        <v>472.30201425601979</v>
      </c>
    </row>
    <row r="252" spans="1:9" x14ac:dyDescent="0.25">
      <c r="B252" s="178">
        <v>830</v>
      </c>
      <c r="C252" s="179">
        <v>9</v>
      </c>
      <c r="D252" s="180" t="s">
        <v>299</v>
      </c>
      <c r="E252" s="181">
        <v>29445.96</v>
      </c>
      <c r="F252" s="182">
        <v>0</v>
      </c>
      <c r="G252" s="182">
        <f t="shared" si="6"/>
        <v>29445.96</v>
      </c>
      <c r="H252" s="183">
        <v>16.12858136239133</v>
      </c>
      <c r="I252" s="184">
        <f t="shared" si="7"/>
        <v>1825.7005584299043</v>
      </c>
    </row>
    <row r="253" spans="1:9" x14ac:dyDescent="0.25">
      <c r="B253" s="178">
        <v>936</v>
      </c>
      <c r="C253" s="179">
        <v>9</v>
      </c>
      <c r="D253" s="180" t="s">
        <v>300</v>
      </c>
      <c r="E253" s="181">
        <v>72884.08</v>
      </c>
      <c r="F253" s="182">
        <v>0</v>
      </c>
      <c r="G253" s="182">
        <f t="shared" si="6"/>
        <v>72884.08</v>
      </c>
      <c r="H253" s="183">
        <v>40.443772007859948</v>
      </c>
      <c r="I253" s="184">
        <f t="shared" si="7"/>
        <v>1802.1088632839567</v>
      </c>
    </row>
    <row r="254" spans="1:9" x14ac:dyDescent="0.25">
      <c r="B254" s="178">
        <v>952</v>
      </c>
      <c r="C254" s="179">
        <v>9</v>
      </c>
      <c r="D254" s="180" t="s">
        <v>301</v>
      </c>
      <c r="E254" s="181">
        <v>71284.66</v>
      </c>
      <c r="F254" s="182">
        <v>1518.3</v>
      </c>
      <c r="G254" s="182">
        <f t="shared" si="6"/>
        <v>69766.36</v>
      </c>
      <c r="H254" s="183">
        <v>54.32</v>
      </c>
      <c r="I254" s="184">
        <f t="shared" si="7"/>
        <v>1284.358615611193</v>
      </c>
    </row>
    <row r="255" spans="1:9" x14ac:dyDescent="0.25">
      <c r="B255" s="178">
        <v>982</v>
      </c>
      <c r="C255" s="179">
        <v>9</v>
      </c>
      <c r="D255" s="180" t="s">
        <v>302</v>
      </c>
      <c r="E255" s="181">
        <v>139517.66</v>
      </c>
      <c r="F255" s="182">
        <v>0</v>
      </c>
      <c r="G255" s="182">
        <f t="shared" si="6"/>
        <v>139517.66</v>
      </c>
      <c r="H255" s="183">
        <v>106.72298014171729</v>
      </c>
      <c r="I255" s="184">
        <f t="shared" si="7"/>
        <v>1307.2878944603563</v>
      </c>
    </row>
    <row r="256" spans="1:9" x14ac:dyDescent="0.25">
      <c r="B256" s="178">
        <v>987</v>
      </c>
      <c r="C256" s="179">
        <v>9</v>
      </c>
      <c r="D256" s="180" t="s">
        <v>303</v>
      </c>
      <c r="E256" s="181">
        <v>108258.73</v>
      </c>
      <c r="F256" s="182">
        <v>0</v>
      </c>
      <c r="G256" s="182">
        <f t="shared" si="6"/>
        <v>108258.73</v>
      </c>
      <c r="H256" s="183">
        <v>399.24791654162198</v>
      </c>
      <c r="I256" s="184">
        <f t="shared" si="7"/>
        <v>271.15665608918442</v>
      </c>
    </row>
    <row r="257" spans="2:9" x14ac:dyDescent="0.25">
      <c r="B257" s="178">
        <v>998</v>
      </c>
      <c r="C257" s="179">
        <v>9</v>
      </c>
      <c r="D257" s="180" t="s">
        <v>304</v>
      </c>
      <c r="E257" s="181">
        <v>227035.45</v>
      </c>
      <c r="F257" s="182">
        <v>0</v>
      </c>
      <c r="G257" s="182">
        <f t="shared" si="6"/>
        <v>227035.45</v>
      </c>
      <c r="H257" s="183">
        <v>43.685214957722998</v>
      </c>
      <c r="I257" s="184">
        <f t="shared" si="7"/>
        <v>5197.0775517464399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9" tint="0.79998168889431442"/>
  </sheetPr>
  <dimension ref="A1:L256"/>
  <sheetViews>
    <sheetView workbookViewId="0"/>
  </sheetViews>
  <sheetFormatPr defaultRowHeight="14.3" x14ac:dyDescent="0.25"/>
  <cols>
    <col min="3" max="3" width="50.75" customWidth="1"/>
    <col min="4" max="4" width="12" customWidth="1"/>
    <col min="5" max="5" width="10.875" customWidth="1"/>
    <col min="6" max="7" width="11.5" customWidth="1"/>
    <col min="8" max="8" width="10.875" customWidth="1"/>
    <col min="9" max="9" width="10.5" customWidth="1"/>
    <col min="10" max="11" width="11.5" customWidth="1"/>
    <col min="12" max="12" width="14.875" customWidth="1"/>
  </cols>
  <sheetData>
    <row r="1" spans="1:12" x14ac:dyDescent="0.25">
      <c r="D1" s="122">
        <v>0.16666666666666666</v>
      </c>
      <c r="E1" s="122">
        <v>8.3333333333333329E-2</v>
      </c>
      <c r="F1" s="122">
        <v>8.3333333333333329E-2</v>
      </c>
      <c r="G1" s="122">
        <v>0.16666666666666666</v>
      </c>
      <c r="H1" s="122">
        <v>0.16666666666666666</v>
      </c>
      <c r="I1" s="122">
        <v>0.1111111111111111</v>
      </c>
      <c r="J1" s="122">
        <v>0.1111111111111111</v>
      </c>
      <c r="K1" s="122">
        <v>0.1111111111111111</v>
      </c>
    </row>
    <row r="2" spans="1:12" ht="14.95" thickBot="1" x14ac:dyDescent="0.3">
      <c r="A2" s="114" t="s">
        <v>327</v>
      </c>
      <c r="B2" s="1"/>
      <c r="D2" s="115">
        <v>0.16666666666666666</v>
      </c>
      <c r="E2" s="115">
        <v>8.3333333333333329E-2</v>
      </c>
      <c r="F2" s="115">
        <v>8.3333333333333329E-2</v>
      </c>
      <c r="G2" s="115">
        <v>0.16666666666666666</v>
      </c>
      <c r="H2" s="115">
        <v>0.16666666666666666</v>
      </c>
      <c r="I2" s="115">
        <v>0.1111111111111111</v>
      </c>
      <c r="J2" s="115">
        <v>0.1111111111111111</v>
      </c>
      <c r="K2" s="115">
        <v>0.1111111111111111</v>
      </c>
      <c r="L2" s="115">
        <f>SUM(D2:K2)</f>
        <v>1</v>
      </c>
    </row>
    <row r="3" spans="1:12" ht="14.95" thickBot="1" x14ac:dyDescent="0.3">
      <c r="A3" s="116" t="s">
        <v>11</v>
      </c>
      <c r="B3" s="116" t="s">
        <v>10</v>
      </c>
      <c r="C3" s="116" t="s">
        <v>55</v>
      </c>
      <c r="D3" s="117">
        <v>1</v>
      </c>
      <c r="E3" s="117">
        <v>2</v>
      </c>
      <c r="F3" s="117">
        <v>3</v>
      </c>
      <c r="G3" s="117" t="s">
        <v>56</v>
      </c>
      <c r="H3" s="117" t="s">
        <v>57</v>
      </c>
      <c r="I3" s="117">
        <v>5</v>
      </c>
      <c r="J3" s="117">
        <v>6</v>
      </c>
      <c r="K3" s="117">
        <v>7</v>
      </c>
      <c r="L3" s="123" t="s">
        <v>374</v>
      </c>
    </row>
    <row r="4" spans="1:12" x14ac:dyDescent="0.25">
      <c r="A4" s="168">
        <v>1</v>
      </c>
      <c r="B4" s="168">
        <v>1</v>
      </c>
      <c r="C4" s="171" t="s">
        <v>62</v>
      </c>
      <c r="D4" s="169">
        <v>1</v>
      </c>
      <c r="E4" s="169">
        <v>1</v>
      </c>
      <c r="F4" s="169">
        <v>1</v>
      </c>
      <c r="G4" s="169">
        <v>0.75</v>
      </c>
      <c r="H4" s="169">
        <v>1</v>
      </c>
      <c r="I4" s="169">
        <v>1</v>
      </c>
      <c r="J4" s="169">
        <v>1</v>
      </c>
      <c r="K4" s="169">
        <v>1</v>
      </c>
      <c r="L4" s="170">
        <f>SUMPRODUCT($D$2:$K$2,D4:K4)</f>
        <v>0.95833333333333348</v>
      </c>
    </row>
    <row r="5" spans="1:12" x14ac:dyDescent="0.25">
      <c r="A5" s="152">
        <v>20</v>
      </c>
      <c r="B5" s="152">
        <v>1</v>
      </c>
      <c r="C5" s="172" t="s">
        <v>63</v>
      </c>
      <c r="D5" s="169">
        <v>1</v>
      </c>
      <c r="E5" s="169">
        <v>1</v>
      </c>
      <c r="F5" s="169">
        <v>1</v>
      </c>
      <c r="G5" s="169">
        <v>0.5</v>
      </c>
      <c r="H5" s="169">
        <v>0.5</v>
      </c>
      <c r="I5" s="169">
        <v>1</v>
      </c>
      <c r="J5" s="169">
        <v>1</v>
      </c>
      <c r="K5" s="169">
        <v>1</v>
      </c>
      <c r="L5" s="167">
        <f t="shared" ref="L5:L68" si="0">SUMPRODUCT($D$2:$K$2,D5:K5)</f>
        <v>0.83333333333333326</v>
      </c>
    </row>
    <row r="6" spans="1:12" x14ac:dyDescent="0.25">
      <c r="A6" s="152">
        <v>50</v>
      </c>
      <c r="B6" s="152">
        <v>1</v>
      </c>
      <c r="C6" s="173" t="s">
        <v>64</v>
      </c>
      <c r="D6" s="169">
        <v>1</v>
      </c>
      <c r="E6" s="169">
        <v>1</v>
      </c>
      <c r="F6" s="169">
        <v>1</v>
      </c>
      <c r="G6" s="169">
        <v>0.75</v>
      </c>
      <c r="H6" s="169">
        <v>1</v>
      </c>
      <c r="I6" s="169">
        <v>1</v>
      </c>
      <c r="J6" s="169">
        <v>1</v>
      </c>
      <c r="K6" s="169">
        <v>1</v>
      </c>
      <c r="L6" s="167">
        <f t="shared" si="0"/>
        <v>0.95833333333333348</v>
      </c>
    </row>
    <row r="7" spans="1:12" x14ac:dyDescent="0.25">
      <c r="A7" s="152">
        <v>97</v>
      </c>
      <c r="B7" s="152">
        <v>1</v>
      </c>
      <c r="C7" s="172" t="s">
        <v>65</v>
      </c>
      <c r="D7" s="169">
        <v>1</v>
      </c>
      <c r="E7" s="169">
        <v>1</v>
      </c>
      <c r="F7" s="169">
        <v>1</v>
      </c>
      <c r="G7" s="169">
        <v>0.75</v>
      </c>
      <c r="H7" s="169">
        <v>0.75</v>
      </c>
      <c r="I7" s="169">
        <v>1</v>
      </c>
      <c r="J7" s="169">
        <v>1</v>
      </c>
      <c r="K7" s="169">
        <v>1</v>
      </c>
      <c r="L7" s="167">
        <f t="shared" si="0"/>
        <v>0.91666666666666674</v>
      </c>
    </row>
    <row r="8" spans="1:12" x14ac:dyDescent="0.25">
      <c r="A8" s="152">
        <v>172</v>
      </c>
      <c r="B8" s="152">
        <v>1</v>
      </c>
      <c r="C8" s="173" t="s">
        <v>66</v>
      </c>
      <c r="D8" s="169">
        <v>1</v>
      </c>
      <c r="E8" s="169">
        <v>1</v>
      </c>
      <c r="F8" s="169">
        <v>0.5</v>
      </c>
      <c r="G8" s="169">
        <v>1</v>
      </c>
      <c r="H8" s="169">
        <v>1</v>
      </c>
      <c r="I8" s="169">
        <v>1</v>
      </c>
      <c r="J8" s="169">
        <v>1</v>
      </c>
      <c r="K8" s="169">
        <v>1</v>
      </c>
      <c r="L8" s="167">
        <f t="shared" si="0"/>
        <v>0.95833333333333348</v>
      </c>
    </row>
    <row r="9" spans="1:12" x14ac:dyDescent="0.25">
      <c r="A9" s="152">
        <v>270</v>
      </c>
      <c r="B9" s="152">
        <v>1</v>
      </c>
      <c r="C9" s="173" t="s">
        <v>67</v>
      </c>
      <c r="D9" s="169">
        <v>1</v>
      </c>
      <c r="E9" s="169">
        <v>1</v>
      </c>
      <c r="F9" s="169">
        <v>1</v>
      </c>
      <c r="G9" s="169">
        <v>0.75</v>
      </c>
      <c r="H9" s="169">
        <v>0.5</v>
      </c>
      <c r="I9" s="169">
        <v>1</v>
      </c>
      <c r="J9" s="169">
        <v>1</v>
      </c>
      <c r="K9" s="169">
        <v>1</v>
      </c>
      <c r="L9" s="167">
        <f t="shared" si="0"/>
        <v>0.875</v>
      </c>
    </row>
    <row r="10" spans="1:12" x14ac:dyDescent="0.25">
      <c r="A10" s="152">
        <v>6</v>
      </c>
      <c r="B10" s="152">
        <v>2</v>
      </c>
      <c r="C10" s="172" t="s">
        <v>68</v>
      </c>
      <c r="D10" s="169">
        <v>1</v>
      </c>
      <c r="E10" s="169">
        <v>1</v>
      </c>
      <c r="F10" s="169">
        <v>1</v>
      </c>
      <c r="G10" s="169">
        <v>0.75</v>
      </c>
      <c r="H10" s="169">
        <v>0.25</v>
      </c>
      <c r="I10" s="169">
        <v>0.76600000000000001</v>
      </c>
      <c r="J10" s="169">
        <v>1</v>
      </c>
      <c r="K10" s="169">
        <v>1</v>
      </c>
      <c r="L10" s="167">
        <f t="shared" si="0"/>
        <v>0.80733333333333346</v>
      </c>
    </row>
    <row r="11" spans="1:12" x14ac:dyDescent="0.25">
      <c r="A11" s="152">
        <v>18</v>
      </c>
      <c r="B11" s="152">
        <v>2</v>
      </c>
      <c r="C11" s="173" t="s">
        <v>69</v>
      </c>
      <c r="D11" s="169">
        <v>1</v>
      </c>
      <c r="E11" s="169">
        <v>1</v>
      </c>
      <c r="F11" s="169">
        <v>0.75</v>
      </c>
      <c r="G11" s="169">
        <v>0</v>
      </c>
      <c r="H11" s="169">
        <v>0.5</v>
      </c>
      <c r="I11" s="169">
        <v>0</v>
      </c>
      <c r="J11" s="169">
        <v>1</v>
      </c>
      <c r="K11" s="169">
        <v>1</v>
      </c>
      <c r="L11" s="167">
        <f t="shared" si="0"/>
        <v>0.61805555555555558</v>
      </c>
    </row>
    <row r="12" spans="1:12" x14ac:dyDescent="0.25">
      <c r="A12" s="152">
        <v>53</v>
      </c>
      <c r="B12" s="152">
        <v>2</v>
      </c>
      <c r="C12" s="173" t="s">
        <v>70</v>
      </c>
      <c r="D12" s="169">
        <v>1</v>
      </c>
      <c r="E12" s="169">
        <v>1</v>
      </c>
      <c r="F12" s="169">
        <v>1</v>
      </c>
      <c r="G12" s="169">
        <v>0.5</v>
      </c>
      <c r="H12" s="169">
        <v>1</v>
      </c>
      <c r="I12" s="169">
        <v>1</v>
      </c>
      <c r="J12" s="169">
        <v>1</v>
      </c>
      <c r="K12" s="169">
        <v>1</v>
      </c>
      <c r="L12" s="167">
        <f t="shared" si="0"/>
        <v>0.91666666666666674</v>
      </c>
    </row>
    <row r="13" spans="1:12" x14ac:dyDescent="0.25">
      <c r="A13" s="152">
        <v>335</v>
      </c>
      <c r="B13" s="152">
        <v>2</v>
      </c>
      <c r="C13" s="173" t="s">
        <v>71</v>
      </c>
      <c r="D13" s="169">
        <v>1</v>
      </c>
      <c r="E13" s="169">
        <v>1</v>
      </c>
      <c r="F13" s="169">
        <v>1</v>
      </c>
      <c r="G13" s="169">
        <v>1</v>
      </c>
      <c r="H13" s="169">
        <v>0.25</v>
      </c>
      <c r="I13" s="169">
        <v>1</v>
      </c>
      <c r="J13" s="169">
        <v>1</v>
      </c>
      <c r="K13" s="169">
        <v>1</v>
      </c>
      <c r="L13" s="167">
        <f t="shared" si="0"/>
        <v>0.875</v>
      </c>
    </row>
    <row r="14" spans="1:12" x14ac:dyDescent="0.25">
      <c r="A14" s="152">
        <v>357</v>
      </c>
      <c r="B14" s="152">
        <v>2</v>
      </c>
      <c r="C14" s="173" t="s">
        <v>72</v>
      </c>
      <c r="D14" s="169">
        <v>1</v>
      </c>
      <c r="E14" s="169">
        <v>1</v>
      </c>
      <c r="F14" s="169">
        <v>1</v>
      </c>
      <c r="G14" s="169">
        <v>1</v>
      </c>
      <c r="H14" s="169">
        <v>0.75</v>
      </c>
      <c r="I14" s="169">
        <v>1</v>
      </c>
      <c r="J14" s="169">
        <v>1</v>
      </c>
      <c r="K14" s="169">
        <v>1</v>
      </c>
      <c r="L14" s="167">
        <f t="shared" si="0"/>
        <v>0.95833333333333348</v>
      </c>
    </row>
    <row r="15" spans="1:12" x14ac:dyDescent="0.25">
      <c r="A15" s="152">
        <v>441</v>
      </c>
      <c r="B15" s="152">
        <v>2</v>
      </c>
      <c r="C15" s="173" t="s">
        <v>73</v>
      </c>
      <c r="D15" s="169">
        <v>1</v>
      </c>
      <c r="E15" s="169">
        <v>0.66666666666666663</v>
      </c>
      <c r="F15" s="169">
        <v>1</v>
      </c>
      <c r="G15" s="169">
        <v>0.25</v>
      </c>
      <c r="H15" s="169">
        <v>1</v>
      </c>
      <c r="I15" s="169">
        <v>1</v>
      </c>
      <c r="J15" s="169">
        <v>1</v>
      </c>
      <c r="K15" s="169">
        <v>1</v>
      </c>
      <c r="L15" s="167">
        <f t="shared" si="0"/>
        <v>0.84722222222222232</v>
      </c>
    </row>
    <row r="16" spans="1:12" x14ac:dyDescent="0.25">
      <c r="A16" s="152">
        <v>14</v>
      </c>
      <c r="B16" s="152">
        <v>3</v>
      </c>
      <c r="C16" s="173" t="s">
        <v>74</v>
      </c>
      <c r="D16" s="169">
        <v>1</v>
      </c>
      <c r="E16" s="169">
        <v>1</v>
      </c>
      <c r="F16" s="169">
        <v>1</v>
      </c>
      <c r="G16" s="169">
        <v>0.75</v>
      </c>
      <c r="H16" s="169">
        <v>0.75</v>
      </c>
      <c r="I16" s="169">
        <v>1</v>
      </c>
      <c r="J16" s="169">
        <v>1</v>
      </c>
      <c r="K16" s="169">
        <v>1</v>
      </c>
      <c r="L16" s="167">
        <f t="shared" si="0"/>
        <v>0.91666666666666674</v>
      </c>
    </row>
    <row r="17" spans="1:12" x14ac:dyDescent="0.25">
      <c r="A17" s="152">
        <v>36</v>
      </c>
      <c r="B17" s="152">
        <v>3</v>
      </c>
      <c r="C17" s="173" t="s">
        <v>75</v>
      </c>
      <c r="D17" s="169">
        <v>0.66666666666666663</v>
      </c>
      <c r="E17" s="169">
        <v>1</v>
      </c>
      <c r="F17" s="169">
        <v>0.875</v>
      </c>
      <c r="G17" s="169">
        <v>0.25</v>
      </c>
      <c r="H17" s="169">
        <v>0.25</v>
      </c>
      <c r="I17" s="169">
        <v>1</v>
      </c>
      <c r="J17" s="169">
        <v>1</v>
      </c>
      <c r="K17" s="169">
        <v>1</v>
      </c>
      <c r="L17" s="167">
        <f t="shared" si="0"/>
        <v>0.68402777777777768</v>
      </c>
    </row>
    <row r="18" spans="1:12" x14ac:dyDescent="0.25">
      <c r="A18" s="152">
        <v>55</v>
      </c>
      <c r="B18" s="152">
        <v>3</v>
      </c>
      <c r="C18" s="172" t="s">
        <v>76</v>
      </c>
      <c r="D18" s="169">
        <v>0</v>
      </c>
      <c r="E18" s="169">
        <v>0</v>
      </c>
      <c r="F18" s="169">
        <v>0</v>
      </c>
      <c r="G18" s="169">
        <v>0.25</v>
      </c>
      <c r="H18" s="169">
        <v>0.75</v>
      </c>
      <c r="I18" s="169">
        <v>1</v>
      </c>
      <c r="J18" s="169">
        <v>0.66666666666666663</v>
      </c>
      <c r="K18" s="169">
        <v>1</v>
      </c>
      <c r="L18" s="167">
        <f t="shared" si="0"/>
        <v>0.46296296296296297</v>
      </c>
    </row>
    <row r="19" spans="1:12" x14ac:dyDescent="0.25">
      <c r="A19" s="152">
        <v>103</v>
      </c>
      <c r="B19" s="152">
        <v>3</v>
      </c>
      <c r="C19" s="172" t="s">
        <v>77</v>
      </c>
      <c r="D19" s="169">
        <v>0.33333333333333331</v>
      </c>
      <c r="E19" s="169">
        <v>1</v>
      </c>
      <c r="F19" s="169">
        <v>0.875</v>
      </c>
      <c r="G19" s="169">
        <v>0.5</v>
      </c>
      <c r="H19" s="169">
        <v>0.75</v>
      </c>
      <c r="I19" s="169">
        <v>0.125</v>
      </c>
      <c r="J19" s="169">
        <v>0.5</v>
      </c>
      <c r="K19" s="169">
        <v>1</v>
      </c>
      <c r="L19" s="167">
        <f t="shared" si="0"/>
        <v>0.60069444444444442</v>
      </c>
    </row>
    <row r="20" spans="1:12" x14ac:dyDescent="0.25">
      <c r="A20" s="152">
        <v>123</v>
      </c>
      <c r="B20" s="152">
        <v>3</v>
      </c>
      <c r="C20" s="172" t="s">
        <v>78</v>
      </c>
      <c r="D20" s="169">
        <v>1</v>
      </c>
      <c r="E20" s="169">
        <v>1</v>
      </c>
      <c r="F20" s="169">
        <v>0.75</v>
      </c>
      <c r="G20" s="169">
        <v>0.75</v>
      </c>
      <c r="H20" s="169">
        <v>0.75</v>
      </c>
      <c r="I20" s="169">
        <v>0.375</v>
      </c>
      <c r="J20" s="169">
        <v>1</v>
      </c>
      <c r="K20" s="169">
        <v>1</v>
      </c>
      <c r="L20" s="167">
        <f t="shared" si="0"/>
        <v>0.82638888888888884</v>
      </c>
    </row>
    <row r="21" spans="1:12" x14ac:dyDescent="0.25">
      <c r="A21" s="152">
        <v>179</v>
      </c>
      <c r="B21" s="152">
        <v>3</v>
      </c>
      <c r="C21" s="172" t="s">
        <v>79</v>
      </c>
      <c r="D21" s="169">
        <v>1</v>
      </c>
      <c r="E21" s="169">
        <v>1</v>
      </c>
      <c r="F21" s="169">
        <v>1</v>
      </c>
      <c r="G21" s="169">
        <v>0.25</v>
      </c>
      <c r="H21" s="169">
        <v>0.5</v>
      </c>
      <c r="I21" s="169">
        <v>1</v>
      </c>
      <c r="J21" s="169">
        <v>1</v>
      </c>
      <c r="K21" s="169">
        <v>1</v>
      </c>
      <c r="L21" s="167">
        <f t="shared" si="0"/>
        <v>0.79166666666666674</v>
      </c>
    </row>
    <row r="22" spans="1:12" x14ac:dyDescent="0.25">
      <c r="A22" s="152">
        <v>293</v>
      </c>
      <c r="B22" s="152">
        <v>3</v>
      </c>
      <c r="C22" s="173" t="s">
        <v>80</v>
      </c>
      <c r="D22" s="169">
        <v>1</v>
      </c>
      <c r="E22" s="169">
        <v>1</v>
      </c>
      <c r="F22" s="169">
        <v>1</v>
      </c>
      <c r="G22" s="169">
        <v>1</v>
      </c>
      <c r="H22" s="169">
        <v>0.75</v>
      </c>
      <c r="I22" s="169">
        <v>0.375</v>
      </c>
      <c r="J22" s="169">
        <v>0.83333333333333337</v>
      </c>
      <c r="K22" s="169">
        <v>1</v>
      </c>
      <c r="L22" s="167">
        <f t="shared" si="0"/>
        <v>0.87037037037037024</v>
      </c>
    </row>
    <row r="23" spans="1:12" x14ac:dyDescent="0.25">
      <c r="A23" s="152">
        <v>12</v>
      </c>
      <c r="B23" s="152">
        <v>4</v>
      </c>
      <c r="C23" s="172" t="s">
        <v>81</v>
      </c>
      <c r="D23" s="169">
        <v>1</v>
      </c>
      <c r="E23" s="169">
        <v>0.83333333333333337</v>
      </c>
      <c r="F23" s="169">
        <v>1</v>
      </c>
      <c r="G23" s="169">
        <v>0.25</v>
      </c>
      <c r="H23" s="169">
        <v>0.5</v>
      </c>
      <c r="I23" s="169">
        <v>1</v>
      </c>
      <c r="J23" s="169">
        <v>1</v>
      </c>
      <c r="K23" s="169">
        <v>1</v>
      </c>
      <c r="L23" s="167">
        <f t="shared" si="0"/>
        <v>0.7777777777777779</v>
      </c>
    </row>
    <row r="24" spans="1:12" x14ac:dyDescent="0.25">
      <c r="A24" s="152">
        <v>21</v>
      </c>
      <c r="B24" s="152">
        <v>4</v>
      </c>
      <c r="C24" s="173" t="s">
        <v>82</v>
      </c>
      <c r="D24" s="169">
        <v>1</v>
      </c>
      <c r="E24" s="169">
        <v>1</v>
      </c>
      <c r="F24" s="169">
        <v>1</v>
      </c>
      <c r="G24" s="169">
        <v>0.25</v>
      </c>
      <c r="H24" s="169">
        <v>0.5</v>
      </c>
      <c r="I24" s="169">
        <v>0.875</v>
      </c>
      <c r="J24" s="169">
        <v>1</v>
      </c>
      <c r="K24" s="169">
        <v>1</v>
      </c>
      <c r="L24" s="167">
        <f t="shared" si="0"/>
        <v>0.7777777777777779</v>
      </c>
    </row>
    <row r="25" spans="1:12" x14ac:dyDescent="0.25">
      <c r="A25" s="152">
        <v>34</v>
      </c>
      <c r="B25" s="152">
        <v>4</v>
      </c>
      <c r="C25" s="172" t="s">
        <v>83</v>
      </c>
      <c r="D25" s="169">
        <v>1</v>
      </c>
      <c r="E25" s="169">
        <v>1</v>
      </c>
      <c r="F25" s="169">
        <v>0.5</v>
      </c>
      <c r="G25" s="169">
        <v>0.75</v>
      </c>
      <c r="H25" s="169">
        <v>1</v>
      </c>
      <c r="I25" s="169">
        <v>0.75</v>
      </c>
      <c r="J25" s="169">
        <v>1</v>
      </c>
      <c r="K25" s="169">
        <v>1</v>
      </c>
      <c r="L25" s="167">
        <f t="shared" si="0"/>
        <v>0.88888888888888906</v>
      </c>
    </row>
    <row r="26" spans="1:12" x14ac:dyDescent="0.25">
      <c r="A26" s="152">
        <v>87</v>
      </c>
      <c r="B26" s="152">
        <v>4</v>
      </c>
      <c r="C26" s="173" t="s">
        <v>84</v>
      </c>
      <c r="D26" s="169">
        <v>1</v>
      </c>
      <c r="E26" s="169">
        <v>1</v>
      </c>
      <c r="F26" s="169">
        <v>1</v>
      </c>
      <c r="G26" s="169">
        <v>0.75</v>
      </c>
      <c r="H26" s="169">
        <v>1</v>
      </c>
      <c r="I26" s="169">
        <v>1</v>
      </c>
      <c r="J26" s="169">
        <v>1</v>
      </c>
      <c r="K26" s="169">
        <v>1</v>
      </c>
      <c r="L26" s="167">
        <f t="shared" si="0"/>
        <v>0.95833333333333348</v>
      </c>
    </row>
    <row r="27" spans="1:12" x14ac:dyDescent="0.25">
      <c r="A27" s="152">
        <v>88</v>
      </c>
      <c r="B27" s="152">
        <v>4</v>
      </c>
      <c r="C27" s="173" t="s">
        <v>85</v>
      </c>
      <c r="D27" s="169">
        <v>1</v>
      </c>
      <c r="E27" s="169">
        <v>1</v>
      </c>
      <c r="F27" s="169">
        <v>1</v>
      </c>
      <c r="G27" s="169">
        <v>1</v>
      </c>
      <c r="H27" s="169">
        <v>0.75</v>
      </c>
      <c r="I27" s="169">
        <v>1</v>
      </c>
      <c r="J27" s="169">
        <v>1</v>
      </c>
      <c r="K27" s="169">
        <v>1</v>
      </c>
      <c r="L27" s="167">
        <f t="shared" si="0"/>
        <v>0.95833333333333348</v>
      </c>
    </row>
    <row r="28" spans="1:12" x14ac:dyDescent="0.25">
      <c r="A28" s="152">
        <v>89</v>
      </c>
      <c r="B28" s="152">
        <v>4</v>
      </c>
      <c r="C28" s="172" t="s">
        <v>310</v>
      </c>
      <c r="D28" s="169">
        <v>1</v>
      </c>
      <c r="E28" s="169">
        <v>1</v>
      </c>
      <c r="F28" s="169">
        <v>0.75</v>
      </c>
      <c r="G28" s="169">
        <v>1</v>
      </c>
      <c r="H28" s="169">
        <v>0</v>
      </c>
      <c r="I28" s="169">
        <v>1</v>
      </c>
      <c r="J28" s="169">
        <v>0.66666666666666663</v>
      </c>
      <c r="K28" s="169">
        <v>1</v>
      </c>
      <c r="L28" s="167">
        <f t="shared" si="0"/>
        <v>0.7754629629629628</v>
      </c>
    </row>
    <row r="29" spans="1:12" x14ac:dyDescent="0.25">
      <c r="A29" s="152">
        <v>143</v>
      </c>
      <c r="B29" s="152">
        <v>4</v>
      </c>
      <c r="C29" s="172" t="s">
        <v>87</v>
      </c>
      <c r="D29" s="169">
        <v>0.83333333333333337</v>
      </c>
      <c r="E29" s="169">
        <v>1</v>
      </c>
      <c r="F29" s="169">
        <v>0.75</v>
      </c>
      <c r="G29" s="169">
        <v>0.25</v>
      </c>
      <c r="H29" s="169">
        <v>1</v>
      </c>
      <c r="I29" s="169">
        <v>0.75</v>
      </c>
      <c r="J29" s="169">
        <v>1</v>
      </c>
      <c r="K29" s="169">
        <v>1</v>
      </c>
      <c r="L29" s="167">
        <f t="shared" si="0"/>
        <v>0.79861111111111116</v>
      </c>
    </row>
    <row r="30" spans="1:12" x14ac:dyDescent="0.25">
      <c r="A30" s="152">
        <v>183</v>
      </c>
      <c r="B30" s="152">
        <v>4</v>
      </c>
      <c r="C30" s="173" t="s">
        <v>88</v>
      </c>
      <c r="D30" s="169">
        <v>1</v>
      </c>
      <c r="E30" s="169">
        <v>1</v>
      </c>
      <c r="F30" s="169">
        <v>1</v>
      </c>
      <c r="G30" s="169">
        <v>0.5</v>
      </c>
      <c r="H30" s="169">
        <v>0.25</v>
      </c>
      <c r="I30" s="169">
        <v>1</v>
      </c>
      <c r="J30" s="169">
        <v>1</v>
      </c>
      <c r="K30" s="169">
        <v>1</v>
      </c>
      <c r="L30" s="167">
        <f t="shared" si="0"/>
        <v>0.79166666666666674</v>
      </c>
    </row>
    <row r="31" spans="1:12" x14ac:dyDescent="0.25">
      <c r="A31" s="152">
        <v>186</v>
      </c>
      <c r="B31" s="152">
        <v>4</v>
      </c>
      <c r="C31" s="173" t="s">
        <v>89</v>
      </c>
      <c r="D31" s="169">
        <v>1</v>
      </c>
      <c r="E31" s="169">
        <v>1</v>
      </c>
      <c r="F31" s="169">
        <v>1</v>
      </c>
      <c r="G31" s="169">
        <v>0.75</v>
      </c>
      <c r="H31" s="169">
        <v>0.25</v>
      </c>
      <c r="I31" s="169">
        <v>0.75</v>
      </c>
      <c r="J31" s="169">
        <v>0.83333333333333337</v>
      </c>
      <c r="K31" s="169">
        <v>1</v>
      </c>
      <c r="L31" s="167">
        <f t="shared" si="0"/>
        <v>0.78703703703703698</v>
      </c>
    </row>
    <row r="32" spans="1:12" x14ac:dyDescent="0.25">
      <c r="A32" s="152">
        <v>190</v>
      </c>
      <c r="B32" s="152">
        <v>4</v>
      </c>
      <c r="C32" s="173" t="s">
        <v>90</v>
      </c>
      <c r="D32" s="169">
        <v>1</v>
      </c>
      <c r="E32" s="169">
        <v>0.83333333333333337</v>
      </c>
      <c r="F32" s="169">
        <v>0.375</v>
      </c>
      <c r="G32" s="169">
        <v>0.25</v>
      </c>
      <c r="H32" s="169">
        <v>0.25</v>
      </c>
      <c r="I32" s="169">
        <v>0.5</v>
      </c>
      <c r="J32" s="169">
        <v>0</v>
      </c>
      <c r="K32" s="169">
        <v>0.5</v>
      </c>
      <c r="L32" s="167">
        <f t="shared" si="0"/>
        <v>0.46180555555555558</v>
      </c>
    </row>
    <row r="33" spans="1:12" x14ac:dyDescent="0.25">
      <c r="A33" s="152">
        <v>324</v>
      </c>
      <c r="B33" s="152">
        <v>4</v>
      </c>
      <c r="C33" s="173" t="s">
        <v>91</v>
      </c>
      <c r="D33" s="169">
        <v>1</v>
      </c>
      <c r="E33" s="169">
        <v>1</v>
      </c>
      <c r="F33" s="169">
        <v>1</v>
      </c>
      <c r="G33" s="169">
        <v>0.5</v>
      </c>
      <c r="H33" s="169">
        <v>0.5</v>
      </c>
      <c r="I33" s="169">
        <v>1</v>
      </c>
      <c r="J33" s="169">
        <v>1</v>
      </c>
      <c r="K33" s="169">
        <v>1</v>
      </c>
      <c r="L33" s="167">
        <f t="shared" si="0"/>
        <v>0.83333333333333326</v>
      </c>
    </row>
    <row r="34" spans="1:12" x14ac:dyDescent="0.25">
      <c r="A34" s="152">
        <v>429</v>
      </c>
      <c r="B34" s="152">
        <v>4</v>
      </c>
      <c r="C34" s="173" t="s">
        <v>92</v>
      </c>
      <c r="D34" s="169">
        <v>1</v>
      </c>
      <c r="E34" s="169">
        <v>1</v>
      </c>
      <c r="F34" s="169">
        <v>1</v>
      </c>
      <c r="G34" s="169">
        <v>0</v>
      </c>
      <c r="H34" s="169">
        <v>1</v>
      </c>
      <c r="I34" s="169">
        <v>0.25</v>
      </c>
      <c r="J34" s="169">
        <v>1</v>
      </c>
      <c r="K34" s="169">
        <v>1</v>
      </c>
      <c r="L34" s="167">
        <f t="shared" si="0"/>
        <v>0.75</v>
      </c>
    </row>
    <row r="35" spans="1:12" x14ac:dyDescent="0.25">
      <c r="A35" s="152">
        <v>601</v>
      </c>
      <c r="B35" s="152">
        <v>4</v>
      </c>
      <c r="C35" s="173" t="s">
        <v>93</v>
      </c>
      <c r="D35" s="169">
        <v>1</v>
      </c>
      <c r="E35" s="169">
        <v>1</v>
      </c>
      <c r="F35" s="169">
        <v>1</v>
      </c>
      <c r="G35" s="169">
        <v>0.75</v>
      </c>
      <c r="H35" s="169">
        <v>0.5</v>
      </c>
      <c r="I35" s="169">
        <v>1</v>
      </c>
      <c r="J35" s="169">
        <v>1</v>
      </c>
      <c r="K35" s="169">
        <v>1</v>
      </c>
      <c r="L35" s="167">
        <f t="shared" si="0"/>
        <v>0.875</v>
      </c>
    </row>
    <row r="36" spans="1:12" x14ac:dyDescent="0.25">
      <c r="A36" s="152">
        <v>760</v>
      </c>
      <c r="B36" s="152">
        <v>4</v>
      </c>
      <c r="C36" s="173" t="s">
        <v>94</v>
      </c>
      <c r="D36" s="169">
        <v>1</v>
      </c>
      <c r="E36" s="169">
        <v>1</v>
      </c>
      <c r="F36" s="169">
        <v>1</v>
      </c>
      <c r="G36" s="169">
        <v>1</v>
      </c>
      <c r="H36" s="169">
        <v>1</v>
      </c>
      <c r="I36" s="169">
        <v>1</v>
      </c>
      <c r="J36" s="169">
        <v>1</v>
      </c>
      <c r="K36" s="169">
        <v>1</v>
      </c>
      <c r="L36" s="167">
        <f t="shared" si="0"/>
        <v>1</v>
      </c>
    </row>
    <row r="37" spans="1:12" x14ac:dyDescent="0.25">
      <c r="A37" s="152">
        <v>878</v>
      </c>
      <c r="B37" s="152">
        <v>4</v>
      </c>
      <c r="C37" s="173" t="s">
        <v>95</v>
      </c>
      <c r="D37" s="169">
        <v>1</v>
      </c>
      <c r="E37" s="169">
        <v>1</v>
      </c>
      <c r="F37" s="169">
        <v>0.75</v>
      </c>
      <c r="G37" s="169">
        <v>0.75</v>
      </c>
      <c r="H37" s="169">
        <v>1</v>
      </c>
      <c r="I37" s="169">
        <v>1</v>
      </c>
      <c r="J37" s="169">
        <v>1</v>
      </c>
      <c r="K37" s="169">
        <v>1</v>
      </c>
      <c r="L37" s="167">
        <f t="shared" si="0"/>
        <v>0.9375</v>
      </c>
    </row>
    <row r="38" spans="1:12" x14ac:dyDescent="0.25">
      <c r="A38" s="152">
        <v>8</v>
      </c>
      <c r="B38" s="152">
        <v>5</v>
      </c>
      <c r="C38" s="172" t="s">
        <v>96</v>
      </c>
      <c r="D38" s="169">
        <v>0.33333333333333331</v>
      </c>
      <c r="E38" s="169">
        <v>1</v>
      </c>
      <c r="F38" s="169">
        <v>1</v>
      </c>
      <c r="G38" s="169">
        <v>0.75</v>
      </c>
      <c r="H38" s="169">
        <v>0.5</v>
      </c>
      <c r="I38" s="169">
        <v>0.66666666666666663</v>
      </c>
      <c r="J38" s="169">
        <v>1</v>
      </c>
      <c r="K38" s="169">
        <v>1</v>
      </c>
      <c r="L38" s="167">
        <f t="shared" si="0"/>
        <v>0.72685185185185186</v>
      </c>
    </row>
    <row r="39" spans="1:12" x14ac:dyDescent="0.25">
      <c r="A39" s="152">
        <v>41</v>
      </c>
      <c r="B39" s="152">
        <v>5</v>
      </c>
      <c r="C39" s="173" t="s">
        <v>97</v>
      </c>
      <c r="D39" s="169">
        <v>0</v>
      </c>
      <c r="E39" s="169">
        <v>0</v>
      </c>
      <c r="F39" s="169">
        <v>0</v>
      </c>
      <c r="G39" s="169">
        <v>0.25</v>
      </c>
      <c r="H39" s="169">
        <v>0.5</v>
      </c>
      <c r="I39" s="169">
        <v>0</v>
      </c>
      <c r="J39" s="169">
        <v>0.5</v>
      </c>
      <c r="K39" s="169">
        <v>0.5</v>
      </c>
      <c r="L39" s="167">
        <f t="shared" si="0"/>
        <v>0.2361111111111111</v>
      </c>
    </row>
    <row r="40" spans="1:12" x14ac:dyDescent="0.25">
      <c r="A40" s="152">
        <v>56</v>
      </c>
      <c r="B40" s="152">
        <v>5</v>
      </c>
      <c r="C40" s="173" t="s">
        <v>98</v>
      </c>
      <c r="D40" s="169">
        <v>1</v>
      </c>
      <c r="E40" s="169">
        <v>0.83333333333333337</v>
      </c>
      <c r="F40" s="169">
        <v>1</v>
      </c>
      <c r="G40" s="169">
        <v>1</v>
      </c>
      <c r="H40" s="169">
        <v>1</v>
      </c>
      <c r="I40" s="169">
        <v>0.83333333333333337</v>
      </c>
      <c r="J40" s="169">
        <v>1</v>
      </c>
      <c r="K40" s="169">
        <v>1</v>
      </c>
      <c r="L40" s="167">
        <f t="shared" si="0"/>
        <v>0.96759259259259256</v>
      </c>
    </row>
    <row r="41" spans="1:12" x14ac:dyDescent="0.25">
      <c r="A41" s="152">
        <v>67</v>
      </c>
      <c r="B41" s="152">
        <v>5</v>
      </c>
      <c r="C41" s="172" t="s">
        <v>99</v>
      </c>
      <c r="D41" s="169">
        <v>0.83333333333333337</v>
      </c>
      <c r="E41" s="169">
        <v>1</v>
      </c>
      <c r="F41" s="169">
        <v>0.75</v>
      </c>
      <c r="G41" s="169">
        <v>0.75</v>
      </c>
      <c r="H41" s="169">
        <v>1</v>
      </c>
      <c r="I41" s="169">
        <v>1</v>
      </c>
      <c r="J41" s="169">
        <v>0.66666666666666663</v>
      </c>
      <c r="K41" s="169">
        <v>0.5</v>
      </c>
      <c r="L41" s="167">
        <f t="shared" si="0"/>
        <v>0.81712962962962965</v>
      </c>
    </row>
    <row r="42" spans="1:12" x14ac:dyDescent="0.25">
      <c r="A42" s="152">
        <v>157</v>
      </c>
      <c r="B42" s="152">
        <v>5</v>
      </c>
      <c r="C42" s="173" t="s">
        <v>100</v>
      </c>
      <c r="D42" s="169">
        <v>1</v>
      </c>
      <c r="E42" s="169">
        <v>0.66666666666666663</v>
      </c>
      <c r="F42" s="169">
        <v>0</v>
      </c>
      <c r="G42" s="169">
        <v>0.25</v>
      </c>
      <c r="H42" s="169">
        <v>0.5</v>
      </c>
      <c r="I42" s="169">
        <v>0</v>
      </c>
      <c r="J42" s="169">
        <v>0.66666666666666663</v>
      </c>
      <c r="K42" s="169">
        <v>1</v>
      </c>
      <c r="L42" s="167">
        <f t="shared" si="0"/>
        <v>0.53240740740740744</v>
      </c>
    </row>
    <row r="43" spans="1:12" x14ac:dyDescent="0.25">
      <c r="A43" s="152">
        <v>214</v>
      </c>
      <c r="B43" s="152">
        <v>5</v>
      </c>
      <c r="C43" s="173" t="s">
        <v>101</v>
      </c>
      <c r="D43" s="169">
        <v>0.83333333333333337</v>
      </c>
      <c r="E43" s="169">
        <v>1</v>
      </c>
      <c r="F43" s="169">
        <v>0.75</v>
      </c>
      <c r="G43" s="169">
        <v>0.5</v>
      </c>
      <c r="H43" s="169">
        <v>0.25</v>
      </c>
      <c r="I43" s="169">
        <v>0.83333333333333337</v>
      </c>
      <c r="J43" s="169">
        <v>1</v>
      </c>
      <c r="K43" s="169">
        <v>0.5</v>
      </c>
      <c r="L43" s="167">
        <f t="shared" si="0"/>
        <v>0.6689814814814814</v>
      </c>
    </row>
    <row r="44" spans="1:12" x14ac:dyDescent="0.25">
      <c r="A44" s="152">
        <v>223</v>
      </c>
      <c r="B44" s="152">
        <v>5</v>
      </c>
      <c r="C44" s="173" t="s">
        <v>102</v>
      </c>
      <c r="D44" s="169">
        <v>1</v>
      </c>
      <c r="E44" s="169">
        <v>0</v>
      </c>
      <c r="F44" s="169">
        <v>0.75</v>
      </c>
      <c r="G44" s="169">
        <v>0</v>
      </c>
      <c r="H44" s="169">
        <v>0</v>
      </c>
      <c r="I44" s="169">
        <v>0</v>
      </c>
      <c r="J44" s="169">
        <v>1</v>
      </c>
      <c r="K44" s="169">
        <v>1</v>
      </c>
      <c r="L44" s="167">
        <f t="shared" si="0"/>
        <v>0.4513888888888889</v>
      </c>
    </row>
    <row r="45" spans="1:12" x14ac:dyDescent="0.25">
      <c r="A45" s="152">
        <v>224</v>
      </c>
      <c r="B45" s="152">
        <v>5</v>
      </c>
      <c r="C45" s="173" t="s">
        <v>103</v>
      </c>
      <c r="D45" s="169">
        <v>1</v>
      </c>
      <c r="E45" s="169">
        <v>0.33333333333333331</v>
      </c>
      <c r="F45" s="169">
        <v>0.5</v>
      </c>
      <c r="G45" s="169">
        <v>0.25</v>
      </c>
      <c r="H45" s="169">
        <v>0.5</v>
      </c>
      <c r="I45" s="169">
        <v>0</v>
      </c>
      <c r="J45" s="169">
        <v>0.66666666666666663</v>
      </c>
      <c r="K45" s="169">
        <v>0.5</v>
      </c>
      <c r="L45" s="167">
        <f t="shared" si="0"/>
        <v>0.4907407407407407</v>
      </c>
    </row>
    <row r="46" spans="1:12" x14ac:dyDescent="0.25">
      <c r="A46" s="152">
        <v>233</v>
      </c>
      <c r="B46" s="152">
        <v>5</v>
      </c>
      <c r="C46" s="173" t="s">
        <v>104</v>
      </c>
      <c r="D46" s="169">
        <v>0.66666666666666663</v>
      </c>
      <c r="E46" s="169">
        <v>0</v>
      </c>
      <c r="F46" s="169">
        <v>0.5</v>
      </c>
      <c r="G46" s="169">
        <v>0.25</v>
      </c>
      <c r="H46" s="169">
        <v>1</v>
      </c>
      <c r="I46" s="169">
        <v>1</v>
      </c>
      <c r="J46" s="169">
        <v>1</v>
      </c>
      <c r="K46" s="169">
        <v>1</v>
      </c>
      <c r="L46" s="167">
        <f t="shared" si="0"/>
        <v>0.69444444444444442</v>
      </c>
    </row>
    <row r="47" spans="1:12" x14ac:dyDescent="0.25">
      <c r="A47" s="152">
        <v>272</v>
      </c>
      <c r="B47" s="152">
        <v>5</v>
      </c>
      <c r="C47" s="173" t="s">
        <v>105</v>
      </c>
      <c r="D47" s="169">
        <v>1</v>
      </c>
      <c r="E47" s="169">
        <v>0</v>
      </c>
      <c r="F47" s="169">
        <v>0</v>
      </c>
      <c r="G47" s="169">
        <v>0.5</v>
      </c>
      <c r="H47" s="169">
        <v>0.75</v>
      </c>
      <c r="I47" s="169">
        <v>0</v>
      </c>
      <c r="J47" s="169">
        <v>0</v>
      </c>
      <c r="K47" s="169">
        <v>0.5</v>
      </c>
      <c r="L47" s="167">
        <f t="shared" si="0"/>
        <v>0.43055555555555558</v>
      </c>
    </row>
    <row r="48" spans="1:12" x14ac:dyDescent="0.25">
      <c r="A48" s="152">
        <v>427</v>
      </c>
      <c r="B48" s="152">
        <v>5</v>
      </c>
      <c r="C48" s="173" t="s">
        <v>106</v>
      </c>
      <c r="D48" s="169">
        <v>1</v>
      </c>
      <c r="E48" s="169">
        <v>1</v>
      </c>
      <c r="F48" s="169">
        <v>1</v>
      </c>
      <c r="G48" s="169">
        <v>0.5</v>
      </c>
      <c r="H48" s="169">
        <v>0.5</v>
      </c>
      <c r="I48" s="169">
        <v>1</v>
      </c>
      <c r="J48" s="169">
        <v>0.66666666666666663</v>
      </c>
      <c r="K48" s="169">
        <v>1</v>
      </c>
      <c r="L48" s="167">
        <f t="shared" si="0"/>
        <v>0.79629629629629628</v>
      </c>
    </row>
    <row r="49" spans="1:12" x14ac:dyDescent="0.25">
      <c r="A49" s="152">
        <v>524</v>
      </c>
      <c r="B49" s="152">
        <v>5</v>
      </c>
      <c r="C49" s="173" t="s">
        <v>107</v>
      </c>
      <c r="D49" s="169">
        <v>1</v>
      </c>
      <c r="E49" s="169">
        <v>1</v>
      </c>
      <c r="F49" s="169">
        <v>1</v>
      </c>
      <c r="G49" s="169">
        <v>0.5</v>
      </c>
      <c r="H49" s="169">
        <v>0.25</v>
      </c>
      <c r="I49" s="169">
        <v>1</v>
      </c>
      <c r="J49" s="169">
        <v>1</v>
      </c>
      <c r="K49" s="169">
        <v>1</v>
      </c>
      <c r="L49" s="167">
        <f t="shared" si="0"/>
        <v>0.79166666666666674</v>
      </c>
    </row>
    <row r="50" spans="1:12" x14ac:dyDescent="0.25">
      <c r="A50" s="152">
        <v>565</v>
      </c>
      <c r="B50" s="152">
        <v>5</v>
      </c>
      <c r="C50" s="173" t="s">
        <v>108</v>
      </c>
      <c r="D50" s="169">
        <v>0.66666666666666663</v>
      </c>
      <c r="E50" s="169">
        <v>1</v>
      </c>
      <c r="F50" s="169">
        <v>1</v>
      </c>
      <c r="G50" s="169">
        <v>0.5</v>
      </c>
      <c r="H50" s="169">
        <v>0.5</v>
      </c>
      <c r="I50" s="169">
        <v>0.5</v>
      </c>
      <c r="J50" s="169">
        <v>1</v>
      </c>
      <c r="K50" s="169">
        <v>1</v>
      </c>
      <c r="L50" s="167">
        <f t="shared" si="0"/>
        <v>0.7222222222222221</v>
      </c>
    </row>
    <row r="51" spans="1:12" x14ac:dyDescent="0.25">
      <c r="A51" s="152">
        <v>613</v>
      </c>
      <c r="B51" s="152">
        <v>5</v>
      </c>
      <c r="C51" s="172" t="s">
        <v>109</v>
      </c>
      <c r="D51" s="169">
        <v>0</v>
      </c>
      <c r="E51" s="169">
        <v>0</v>
      </c>
      <c r="F51" s="169">
        <v>0</v>
      </c>
      <c r="G51" s="169">
        <v>0.75</v>
      </c>
      <c r="H51" s="169">
        <v>0.25</v>
      </c>
      <c r="I51" s="169">
        <v>0</v>
      </c>
      <c r="J51" s="169">
        <v>0</v>
      </c>
      <c r="K51" s="169">
        <v>0.5</v>
      </c>
      <c r="L51" s="167">
        <f t="shared" si="0"/>
        <v>0.22222222222222221</v>
      </c>
    </row>
    <row r="52" spans="1:12" x14ac:dyDescent="0.25">
      <c r="A52" s="152">
        <v>696</v>
      </c>
      <c r="B52" s="152">
        <v>5</v>
      </c>
      <c r="C52" s="173" t="s">
        <v>110</v>
      </c>
      <c r="D52" s="169">
        <v>0.66666666666666663</v>
      </c>
      <c r="E52" s="169">
        <v>0</v>
      </c>
      <c r="F52" s="169">
        <v>0.75</v>
      </c>
      <c r="G52" s="169">
        <v>0</v>
      </c>
      <c r="H52" s="169">
        <v>0.25</v>
      </c>
      <c r="I52" s="169">
        <v>0.25</v>
      </c>
      <c r="J52" s="169">
        <v>0.66666666666666663</v>
      </c>
      <c r="K52" s="169">
        <v>0.5</v>
      </c>
      <c r="L52" s="167">
        <f t="shared" si="0"/>
        <v>0.37268518518518512</v>
      </c>
    </row>
    <row r="53" spans="1:12" x14ac:dyDescent="0.25">
      <c r="A53" s="152">
        <v>731</v>
      </c>
      <c r="B53" s="152">
        <v>5</v>
      </c>
      <c r="C53" s="173" t="s">
        <v>111</v>
      </c>
      <c r="D53" s="169">
        <v>0</v>
      </c>
      <c r="E53" s="169">
        <v>1</v>
      </c>
      <c r="F53" s="169">
        <v>0.5</v>
      </c>
      <c r="G53" s="169">
        <v>1</v>
      </c>
      <c r="H53" s="169">
        <v>1</v>
      </c>
      <c r="I53" s="169">
        <v>0.33333333333333331</v>
      </c>
      <c r="J53" s="169">
        <v>0.83333333333333337</v>
      </c>
      <c r="K53" s="169">
        <v>1</v>
      </c>
      <c r="L53" s="167">
        <f t="shared" si="0"/>
        <v>0.69907407407407396</v>
      </c>
    </row>
    <row r="54" spans="1:12" x14ac:dyDescent="0.25">
      <c r="A54" s="152">
        <v>732</v>
      </c>
      <c r="B54" s="152">
        <v>5</v>
      </c>
      <c r="C54" s="173" t="s">
        <v>112</v>
      </c>
      <c r="D54" s="169">
        <v>0.33333333333333331</v>
      </c>
      <c r="E54" s="169">
        <v>0.33333333333333331</v>
      </c>
      <c r="F54" s="169">
        <v>0.5</v>
      </c>
      <c r="G54" s="169">
        <v>0.25</v>
      </c>
      <c r="H54" s="169">
        <v>0.5</v>
      </c>
      <c r="I54" s="169">
        <v>1</v>
      </c>
      <c r="J54" s="169">
        <v>0.66666666666666663</v>
      </c>
      <c r="K54" s="169">
        <v>0.5</v>
      </c>
      <c r="L54" s="167">
        <f t="shared" si="0"/>
        <v>0.4907407407407407</v>
      </c>
    </row>
    <row r="55" spans="1:12" x14ac:dyDescent="0.25">
      <c r="A55" s="152">
        <v>754</v>
      </c>
      <c r="B55" s="152">
        <v>5</v>
      </c>
      <c r="C55" s="173" t="s">
        <v>113</v>
      </c>
      <c r="D55" s="169">
        <v>0</v>
      </c>
      <c r="E55" s="169">
        <v>0</v>
      </c>
      <c r="F55" s="169">
        <v>0</v>
      </c>
      <c r="G55" s="169">
        <v>0.5</v>
      </c>
      <c r="H55" s="169">
        <v>0.5</v>
      </c>
      <c r="I55" s="169">
        <v>0</v>
      </c>
      <c r="J55" s="169">
        <v>0</v>
      </c>
      <c r="K55" s="169">
        <v>0.5</v>
      </c>
      <c r="L55" s="167">
        <f t="shared" si="0"/>
        <v>0.22222222222222221</v>
      </c>
    </row>
    <row r="56" spans="1:12" x14ac:dyDescent="0.25">
      <c r="A56" s="152">
        <v>885</v>
      </c>
      <c r="B56" s="152">
        <v>5</v>
      </c>
      <c r="C56" s="173" t="s">
        <v>114</v>
      </c>
      <c r="D56" s="169">
        <v>0.66666666666666663</v>
      </c>
      <c r="E56" s="169">
        <v>0.16666666666666666</v>
      </c>
      <c r="F56" s="169">
        <v>0</v>
      </c>
      <c r="G56" s="169">
        <v>0.75</v>
      </c>
      <c r="H56" s="169">
        <v>0.75</v>
      </c>
      <c r="I56" s="169">
        <v>0</v>
      </c>
      <c r="J56" s="169">
        <v>0</v>
      </c>
      <c r="K56" s="169">
        <v>1</v>
      </c>
      <c r="L56" s="167">
        <f t="shared" si="0"/>
        <v>0.4861111111111111</v>
      </c>
    </row>
    <row r="57" spans="1:12" x14ac:dyDescent="0.25">
      <c r="A57" s="152">
        <v>909</v>
      </c>
      <c r="B57" s="152">
        <v>5</v>
      </c>
      <c r="C57" s="173" t="s">
        <v>115</v>
      </c>
      <c r="D57" s="169">
        <v>1</v>
      </c>
      <c r="E57" s="169">
        <v>1</v>
      </c>
      <c r="F57" s="169">
        <v>1</v>
      </c>
      <c r="G57" s="169">
        <v>0.25</v>
      </c>
      <c r="H57" s="169">
        <v>0.25</v>
      </c>
      <c r="I57" s="169">
        <v>1</v>
      </c>
      <c r="J57" s="169">
        <v>1</v>
      </c>
      <c r="K57" s="169">
        <v>0.5</v>
      </c>
      <c r="L57" s="167">
        <f t="shared" si="0"/>
        <v>0.69444444444444442</v>
      </c>
    </row>
    <row r="58" spans="1:12" x14ac:dyDescent="0.25">
      <c r="A58" s="152">
        <v>923</v>
      </c>
      <c r="B58" s="152">
        <v>5</v>
      </c>
      <c r="C58" s="173" t="s">
        <v>116</v>
      </c>
      <c r="D58" s="169">
        <v>0.83333333333333337</v>
      </c>
      <c r="E58" s="169">
        <v>0.33333333333333331</v>
      </c>
      <c r="F58" s="169">
        <v>0</v>
      </c>
      <c r="G58" s="169">
        <v>0.5</v>
      </c>
      <c r="H58" s="169">
        <v>0</v>
      </c>
      <c r="I58" s="169">
        <v>0</v>
      </c>
      <c r="J58" s="169">
        <v>0.66666666666666663</v>
      </c>
      <c r="K58" s="169">
        <v>0.5</v>
      </c>
      <c r="L58" s="167">
        <f t="shared" si="0"/>
        <v>0.37962962962962965</v>
      </c>
    </row>
    <row r="59" spans="1:12" x14ac:dyDescent="0.25">
      <c r="A59" s="152">
        <v>394</v>
      </c>
      <c r="B59" s="152">
        <v>6</v>
      </c>
      <c r="C59" s="173" t="s">
        <v>117</v>
      </c>
      <c r="D59" s="169">
        <v>1</v>
      </c>
      <c r="E59" s="169">
        <v>1</v>
      </c>
      <c r="F59" s="169">
        <v>0.5</v>
      </c>
      <c r="G59" s="169">
        <v>0.25</v>
      </c>
      <c r="H59" s="169">
        <v>0.75</v>
      </c>
      <c r="I59" s="169">
        <v>0.83333333333333337</v>
      </c>
      <c r="J59" s="169">
        <v>1</v>
      </c>
      <c r="K59" s="169">
        <v>1</v>
      </c>
      <c r="L59" s="167">
        <f t="shared" si="0"/>
        <v>0.77314814814814814</v>
      </c>
    </row>
    <row r="60" spans="1:12" x14ac:dyDescent="0.25">
      <c r="A60" s="152">
        <v>414</v>
      </c>
      <c r="B60" s="152">
        <v>6</v>
      </c>
      <c r="C60" s="173" t="s">
        <v>118</v>
      </c>
      <c r="D60" s="169">
        <v>0.83333333333333337</v>
      </c>
      <c r="E60" s="169">
        <v>0.83333333333333337</v>
      </c>
      <c r="F60" s="169">
        <v>1</v>
      </c>
      <c r="G60" s="169">
        <v>0</v>
      </c>
      <c r="H60" s="169">
        <v>0</v>
      </c>
      <c r="I60" s="169">
        <v>1</v>
      </c>
      <c r="J60" s="169">
        <v>0.66666666666666663</v>
      </c>
      <c r="K60" s="169">
        <v>1</v>
      </c>
      <c r="L60" s="167">
        <f t="shared" si="0"/>
        <v>0.58796296296296302</v>
      </c>
    </row>
    <row r="61" spans="1:12" x14ac:dyDescent="0.25">
      <c r="A61" s="152">
        <v>426</v>
      </c>
      <c r="B61" s="152">
        <v>6</v>
      </c>
      <c r="C61" s="173" t="s">
        <v>119</v>
      </c>
      <c r="D61" s="169">
        <v>1</v>
      </c>
      <c r="E61" s="169">
        <v>0</v>
      </c>
      <c r="F61" s="169">
        <v>1</v>
      </c>
      <c r="G61" s="169">
        <v>0.5</v>
      </c>
      <c r="H61" s="169">
        <v>1</v>
      </c>
      <c r="I61" s="169">
        <v>1</v>
      </c>
      <c r="J61" s="169">
        <v>0.66666666666666663</v>
      </c>
      <c r="K61" s="169">
        <v>1</v>
      </c>
      <c r="L61" s="167">
        <f t="shared" si="0"/>
        <v>0.79629629629629628</v>
      </c>
    </row>
    <row r="62" spans="1:12" x14ac:dyDescent="0.25">
      <c r="A62" s="152">
        <v>430</v>
      </c>
      <c r="B62" s="152">
        <v>6</v>
      </c>
      <c r="C62" s="173" t="s">
        <v>120</v>
      </c>
      <c r="D62" s="169">
        <v>0</v>
      </c>
      <c r="E62" s="169">
        <v>1</v>
      </c>
      <c r="F62" s="169">
        <v>0.75</v>
      </c>
      <c r="G62" s="169">
        <v>0.75</v>
      </c>
      <c r="H62" s="169">
        <v>0.5</v>
      </c>
      <c r="I62" s="169">
        <v>0</v>
      </c>
      <c r="J62" s="169">
        <v>0.66666666666666663</v>
      </c>
      <c r="K62" s="169">
        <v>1</v>
      </c>
      <c r="L62" s="167">
        <f t="shared" si="0"/>
        <v>0.53935185185185186</v>
      </c>
    </row>
    <row r="63" spans="1:12" x14ac:dyDescent="0.25">
      <c r="A63" s="152">
        <v>443</v>
      </c>
      <c r="B63" s="152">
        <v>6</v>
      </c>
      <c r="C63" s="173" t="s">
        <v>121</v>
      </c>
      <c r="D63" s="169">
        <v>0.5</v>
      </c>
      <c r="E63" s="169">
        <v>0</v>
      </c>
      <c r="F63" s="169">
        <v>0</v>
      </c>
      <c r="G63" s="169">
        <v>1</v>
      </c>
      <c r="H63" s="169">
        <v>0.25</v>
      </c>
      <c r="I63" s="169">
        <v>0</v>
      </c>
      <c r="J63" s="169">
        <v>0</v>
      </c>
      <c r="K63" s="169">
        <v>1</v>
      </c>
      <c r="L63" s="167">
        <f t="shared" si="0"/>
        <v>0.40277777777777779</v>
      </c>
    </row>
    <row r="64" spans="1:12" x14ac:dyDescent="0.25">
      <c r="A64" s="152">
        <v>562</v>
      </c>
      <c r="B64" s="152">
        <v>6</v>
      </c>
      <c r="C64" s="173" t="s">
        <v>122</v>
      </c>
      <c r="D64" s="169">
        <v>0</v>
      </c>
      <c r="E64" s="169">
        <v>0.5</v>
      </c>
      <c r="F64" s="169">
        <v>0</v>
      </c>
      <c r="G64" s="169">
        <v>1</v>
      </c>
      <c r="H64" s="169">
        <v>0.75</v>
      </c>
      <c r="I64" s="169">
        <v>0.25</v>
      </c>
      <c r="J64" s="169">
        <v>0.33333333333333331</v>
      </c>
      <c r="K64" s="169">
        <v>1</v>
      </c>
      <c r="L64" s="167">
        <f t="shared" si="0"/>
        <v>0.5092592592592593</v>
      </c>
    </row>
    <row r="65" spans="1:12" x14ac:dyDescent="0.25">
      <c r="A65" s="152">
        <v>603</v>
      </c>
      <c r="B65" s="152">
        <v>6</v>
      </c>
      <c r="C65" s="173" t="s">
        <v>123</v>
      </c>
      <c r="D65" s="169">
        <v>0</v>
      </c>
      <c r="E65" s="169">
        <v>0.83333333333333337</v>
      </c>
      <c r="F65" s="169">
        <v>0.125</v>
      </c>
      <c r="G65" s="169">
        <v>0.25</v>
      </c>
      <c r="H65" s="169">
        <v>0.25</v>
      </c>
      <c r="I65" s="169">
        <v>0</v>
      </c>
      <c r="J65" s="169">
        <v>0.83333333333333337</v>
      </c>
      <c r="K65" s="169">
        <v>0.5</v>
      </c>
      <c r="L65" s="167">
        <f t="shared" si="0"/>
        <v>0.31134259259259256</v>
      </c>
    </row>
    <row r="66" spans="1:12" x14ac:dyDescent="0.25">
      <c r="A66" s="152">
        <v>618</v>
      </c>
      <c r="B66" s="152">
        <v>6</v>
      </c>
      <c r="C66" s="173" t="s">
        <v>124</v>
      </c>
      <c r="D66" s="169">
        <v>0.33333333333333331</v>
      </c>
      <c r="E66" s="169">
        <v>0</v>
      </c>
      <c r="F66" s="169">
        <v>0</v>
      </c>
      <c r="G66" s="169">
        <v>0</v>
      </c>
      <c r="H66" s="169">
        <v>1</v>
      </c>
      <c r="I66" s="169">
        <v>0</v>
      </c>
      <c r="J66" s="169">
        <v>0</v>
      </c>
      <c r="K66" s="169">
        <v>0.5</v>
      </c>
      <c r="L66" s="167">
        <f t="shared" si="0"/>
        <v>0.27777777777777779</v>
      </c>
    </row>
    <row r="67" spans="1:12" x14ac:dyDescent="0.25">
      <c r="A67" s="152">
        <v>620</v>
      </c>
      <c r="B67" s="152">
        <v>6</v>
      </c>
      <c r="C67" s="173" t="s">
        <v>125</v>
      </c>
      <c r="D67" s="169">
        <v>0</v>
      </c>
      <c r="E67" s="169">
        <v>0</v>
      </c>
      <c r="F67" s="169">
        <v>0</v>
      </c>
      <c r="G67" s="169">
        <v>1</v>
      </c>
      <c r="H67" s="169">
        <v>1</v>
      </c>
      <c r="I67" s="169">
        <v>0</v>
      </c>
      <c r="J67" s="169">
        <v>0.83333333333333337</v>
      </c>
      <c r="K67" s="169">
        <v>1</v>
      </c>
      <c r="L67" s="167">
        <f t="shared" si="0"/>
        <v>0.53703703703703698</v>
      </c>
    </row>
    <row r="68" spans="1:12" x14ac:dyDescent="0.25">
      <c r="A68" s="152">
        <v>622</v>
      </c>
      <c r="B68" s="152">
        <v>6</v>
      </c>
      <c r="C68" s="173" t="s">
        <v>126</v>
      </c>
      <c r="D68" s="169">
        <v>0.16666666666666666</v>
      </c>
      <c r="E68" s="169">
        <v>0</v>
      </c>
      <c r="F68" s="169">
        <v>0</v>
      </c>
      <c r="G68" s="169">
        <v>0.75</v>
      </c>
      <c r="H68" s="169">
        <v>0.75</v>
      </c>
      <c r="I68" s="169">
        <v>0</v>
      </c>
      <c r="J68" s="169">
        <v>0</v>
      </c>
      <c r="K68" s="169">
        <v>0.5</v>
      </c>
      <c r="L68" s="167">
        <f t="shared" si="0"/>
        <v>0.33333333333333337</v>
      </c>
    </row>
    <row r="69" spans="1:12" x14ac:dyDescent="0.25">
      <c r="A69" s="152">
        <v>623</v>
      </c>
      <c r="B69" s="152">
        <v>6</v>
      </c>
      <c r="C69" s="173" t="s">
        <v>127</v>
      </c>
      <c r="D69" s="169">
        <v>0</v>
      </c>
      <c r="E69" s="169">
        <v>0.16666666666666666</v>
      </c>
      <c r="F69" s="169">
        <v>0</v>
      </c>
      <c r="G69" s="169">
        <v>0.5</v>
      </c>
      <c r="H69" s="169">
        <v>1</v>
      </c>
      <c r="I69" s="169">
        <v>0</v>
      </c>
      <c r="J69" s="169">
        <v>0</v>
      </c>
      <c r="K69" s="169">
        <v>0.5</v>
      </c>
      <c r="L69" s="167">
        <f t="shared" ref="L69:L132" si="1">SUMPRODUCT($D$2:$K$2,D69:K69)</f>
        <v>0.31944444444444442</v>
      </c>
    </row>
    <row r="70" spans="1:12" x14ac:dyDescent="0.25">
      <c r="A70" s="152">
        <v>626</v>
      </c>
      <c r="B70" s="152">
        <v>6</v>
      </c>
      <c r="C70" s="173" t="s">
        <v>128</v>
      </c>
      <c r="D70" s="169">
        <v>0</v>
      </c>
      <c r="E70" s="169">
        <v>0</v>
      </c>
      <c r="F70" s="169">
        <v>0</v>
      </c>
      <c r="G70" s="169">
        <v>0.75</v>
      </c>
      <c r="H70" s="169">
        <v>0.25</v>
      </c>
      <c r="I70" s="169">
        <v>0</v>
      </c>
      <c r="J70" s="169">
        <v>0</v>
      </c>
      <c r="K70" s="169">
        <v>0.5</v>
      </c>
      <c r="L70" s="167">
        <f t="shared" si="1"/>
        <v>0.22222222222222221</v>
      </c>
    </row>
    <row r="71" spans="1:12" x14ac:dyDescent="0.25">
      <c r="A71" s="152">
        <v>627</v>
      </c>
      <c r="B71" s="152">
        <v>6</v>
      </c>
      <c r="C71" s="173" t="s">
        <v>129</v>
      </c>
      <c r="D71" s="169">
        <v>0</v>
      </c>
      <c r="E71" s="169">
        <v>0</v>
      </c>
      <c r="F71" s="169">
        <v>0</v>
      </c>
      <c r="G71" s="169">
        <v>0.75</v>
      </c>
      <c r="H71" s="169">
        <v>1</v>
      </c>
      <c r="I71" s="169">
        <v>0</v>
      </c>
      <c r="J71" s="169">
        <v>0</v>
      </c>
      <c r="K71" s="169">
        <v>0.5</v>
      </c>
      <c r="L71" s="167">
        <f t="shared" si="1"/>
        <v>0.34722222222222221</v>
      </c>
    </row>
    <row r="72" spans="1:12" x14ac:dyDescent="0.25">
      <c r="A72" s="152">
        <v>634</v>
      </c>
      <c r="B72" s="152">
        <v>6</v>
      </c>
      <c r="C72" s="173" t="s">
        <v>130</v>
      </c>
      <c r="D72" s="169">
        <v>0.83333333333333337</v>
      </c>
      <c r="E72" s="169">
        <v>1</v>
      </c>
      <c r="F72" s="169">
        <v>1</v>
      </c>
      <c r="G72" s="169">
        <v>0.75</v>
      </c>
      <c r="H72" s="169">
        <v>0.25</v>
      </c>
      <c r="I72" s="169">
        <v>1</v>
      </c>
      <c r="J72" s="169">
        <v>0.83333333333333337</v>
      </c>
      <c r="K72" s="169">
        <v>1</v>
      </c>
      <c r="L72" s="167">
        <f t="shared" si="1"/>
        <v>0.78703703703703698</v>
      </c>
    </row>
    <row r="73" spans="1:12" x14ac:dyDescent="0.25">
      <c r="A73" s="152">
        <v>636</v>
      </c>
      <c r="B73" s="152">
        <v>6</v>
      </c>
      <c r="C73" s="173" t="s">
        <v>313</v>
      </c>
      <c r="D73" s="169">
        <v>0.66666666666666663</v>
      </c>
      <c r="E73" s="169">
        <v>0</v>
      </c>
      <c r="F73" s="169">
        <v>0</v>
      </c>
      <c r="G73" s="169">
        <v>0.5</v>
      </c>
      <c r="H73" s="169">
        <v>1</v>
      </c>
      <c r="I73" s="169">
        <v>0</v>
      </c>
      <c r="J73" s="169">
        <v>0</v>
      </c>
      <c r="K73" s="169">
        <v>1</v>
      </c>
      <c r="L73" s="167">
        <f t="shared" si="1"/>
        <v>0.47222222222222215</v>
      </c>
    </row>
    <row r="74" spans="1:12" x14ac:dyDescent="0.25">
      <c r="A74" s="152">
        <v>641</v>
      </c>
      <c r="B74" s="152">
        <v>6</v>
      </c>
      <c r="C74" s="173" t="s">
        <v>335</v>
      </c>
      <c r="D74" s="169">
        <v>0</v>
      </c>
      <c r="E74" s="169">
        <v>0</v>
      </c>
      <c r="F74" s="169">
        <v>0</v>
      </c>
      <c r="G74" s="169">
        <v>0.5</v>
      </c>
      <c r="H74" s="169">
        <v>0</v>
      </c>
      <c r="I74" s="169">
        <v>0</v>
      </c>
      <c r="J74" s="169">
        <v>0</v>
      </c>
      <c r="K74" s="169">
        <v>0</v>
      </c>
      <c r="L74" s="167">
        <f t="shared" si="1"/>
        <v>8.3333333333333329E-2</v>
      </c>
    </row>
    <row r="75" spans="1:12" x14ac:dyDescent="0.25">
      <c r="A75" s="152">
        <v>694</v>
      </c>
      <c r="B75" s="152">
        <v>6</v>
      </c>
      <c r="C75" s="173" t="s">
        <v>131</v>
      </c>
      <c r="D75" s="169">
        <v>0.83333333333333337</v>
      </c>
      <c r="E75" s="169">
        <v>1</v>
      </c>
      <c r="F75" s="169">
        <v>0.75</v>
      </c>
      <c r="G75" s="169">
        <v>1</v>
      </c>
      <c r="H75" s="169">
        <v>0</v>
      </c>
      <c r="I75" s="169">
        <v>0.5</v>
      </c>
      <c r="J75" s="169">
        <v>1</v>
      </c>
      <c r="K75" s="169">
        <v>1</v>
      </c>
      <c r="L75" s="167">
        <f t="shared" si="1"/>
        <v>0.72916666666666674</v>
      </c>
    </row>
    <row r="76" spans="1:12" x14ac:dyDescent="0.25">
      <c r="A76" s="152">
        <v>706</v>
      </c>
      <c r="B76" s="152">
        <v>6</v>
      </c>
      <c r="C76" s="173" t="s">
        <v>239</v>
      </c>
      <c r="D76" s="169">
        <v>0.83333333333333337</v>
      </c>
      <c r="E76" s="169">
        <v>0</v>
      </c>
      <c r="F76" s="169">
        <v>0</v>
      </c>
      <c r="G76" s="169">
        <v>0.5</v>
      </c>
      <c r="H76" s="169">
        <v>0.25</v>
      </c>
      <c r="I76" s="169">
        <v>0</v>
      </c>
      <c r="J76" s="169">
        <v>0</v>
      </c>
      <c r="K76" s="169">
        <v>1</v>
      </c>
      <c r="L76" s="167">
        <f t="shared" si="1"/>
        <v>0.375</v>
      </c>
    </row>
    <row r="77" spans="1:12" x14ac:dyDescent="0.25">
      <c r="A77" s="152">
        <v>710</v>
      </c>
      <c r="B77" s="152">
        <v>6</v>
      </c>
      <c r="C77" s="173" t="s">
        <v>133</v>
      </c>
      <c r="D77" s="169">
        <v>0</v>
      </c>
      <c r="E77" s="169">
        <v>0</v>
      </c>
      <c r="F77" s="169">
        <v>0.25</v>
      </c>
      <c r="G77" s="169">
        <v>0</v>
      </c>
      <c r="H77" s="169">
        <v>0.25</v>
      </c>
      <c r="I77" s="169">
        <v>0.75</v>
      </c>
      <c r="J77" s="169">
        <v>0</v>
      </c>
      <c r="K77" s="169">
        <v>0.5</v>
      </c>
      <c r="L77" s="167">
        <f t="shared" si="1"/>
        <v>0.20138888888888887</v>
      </c>
    </row>
    <row r="78" spans="1:12" x14ac:dyDescent="0.25">
      <c r="A78" s="152">
        <v>743</v>
      </c>
      <c r="B78" s="152">
        <v>6</v>
      </c>
      <c r="C78" s="173" t="s">
        <v>134</v>
      </c>
      <c r="D78" s="169">
        <v>0.83333333333333337</v>
      </c>
      <c r="E78" s="169">
        <v>1</v>
      </c>
      <c r="F78" s="169">
        <v>0.75</v>
      </c>
      <c r="G78" s="169">
        <v>0.75</v>
      </c>
      <c r="H78" s="169">
        <v>0</v>
      </c>
      <c r="I78" s="169">
        <v>0</v>
      </c>
      <c r="J78" s="169">
        <v>0.83333333333333337</v>
      </c>
      <c r="K78" s="169">
        <v>1</v>
      </c>
      <c r="L78" s="167">
        <f t="shared" si="1"/>
        <v>0.61342592592592582</v>
      </c>
    </row>
    <row r="79" spans="1:12" x14ac:dyDescent="0.25">
      <c r="A79" s="152">
        <v>747</v>
      </c>
      <c r="B79" s="152">
        <v>6</v>
      </c>
      <c r="C79" s="173" t="s">
        <v>135</v>
      </c>
      <c r="D79" s="169">
        <v>0.33333333333333331</v>
      </c>
      <c r="E79" s="169">
        <v>0</v>
      </c>
      <c r="F79" s="169">
        <v>0</v>
      </c>
      <c r="G79" s="169">
        <v>0.75</v>
      </c>
      <c r="H79" s="169">
        <v>0</v>
      </c>
      <c r="I79" s="169">
        <v>0</v>
      </c>
      <c r="J79" s="169">
        <v>0</v>
      </c>
      <c r="K79" s="169">
        <v>1</v>
      </c>
      <c r="L79" s="167">
        <f t="shared" si="1"/>
        <v>0.29166666666666663</v>
      </c>
    </row>
    <row r="80" spans="1:12" x14ac:dyDescent="0.25">
      <c r="A80" s="152">
        <v>758</v>
      </c>
      <c r="B80" s="152">
        <v>6</v>
      </c>
      <c r="C80" s="173" t="s">
        <v>136</v>
      </c>
      <c r="D80" s="169">
        <v>0.83333333333333337</v>
      </c>
      <c r="E80" s="169">
        <v>1</v>
      </c>
      <c r="F80" s="169">
        <v>1</v>
      </c>
      <c r="G80" s="169">
        <v>0</v>
      </c>
      <c r="H80" s="169">
        <v>0</v>
      </c>
      <c r="I80" s="169">
        <v>1</v>
      </c>
      <c r="J80" s="169">
        <v>0.83333333333333337</v>
      </c>
      <c r="K80" s="169">
        <v>1</v>
      </c>
      <c r="L80" s="167">
        <f t="shared" si="1"/>
        <v>0.62037037037037024</v>
      </c>
    </row>
    <row r="81" spans="1:12" x14ac:dyDescent="0.25">
      <c r="A81" s="152">
        <v>765</v>
      </c>
      <c r="B81" s="152">
        <v>6</v>
      </c>
      <c r="C81" s="173" t="s">
        <v>137</v>
      </c>
      <c r="D81" s="169">
        <v>0.5</v>
      </c>
      <c r="E81" s="169">
        <v>0</v>
      </c>
      <c r="F81" s="169">
        <v>0</v>
      </c>
      <c r="G81" s="169">
        <v>0.75</v>
      </c>
      <c r="H81" s="169">
        <v>0.25</v>
      </c>
      <c r="I81" s="169">
        <v>0</v>
      </c>
      <c r="J81" s="169">
        <v>0</v>
      </c>
      <c r="K81" s="169">
        <v>1</v>
      </c>
      <c r="L81" s="167">
        <f t="shared" si="1"/>
        <v>0.36111111111111105</v>
      </c>
    </row>
    <row r="82" spans="1:12" x14ac:dyDescent="0.25">
      <c r="A82" s="152">
        <v>770</v>
      </c>
      <c r="B82" s="152">
        <v>6</v>
      </c>
      <c r="C82" s="173" t="s">
        <v>138</v>
      </c>
      <c r="D82" s="169">
        <v>0.33333333333333331</v>
      </c>
      <c r="E82" s="169">
        <v>0</v>
      </c>
      <c r="F82" s="169">
        <v>0</v>
      </c>
      <c r="G82" s="169">
        <v>0.75</v>
      </c>
      <c r="H82" s="169">
        <v>0</v>
      </c>
      <c r="I82" s="169">
        <v>0</v>
      </c>
      <c r="J82" s="169">
        <v>0</v>
      </c>
      <c r="K82" s="169">
        <v>1</v>
      </c>
      <c r="L82" s="167">
        <f t="shared" si="1"/>
        <v>0.29166666666666663</v>
      </c>
    </row>
    <row r="83" spans="1:12" x14ac:dyDescent="0.25">
      <c r="A83" s="152">
        <v>774</v>
      </c>
      <c r="B83" s="152">
        <v>6</v>
      </c>
      <c r="C83" s="173" t="s">
        <v>139</v>
      </c>
      <c r="D83" s="169">
        <v>1</v>
      </c>
      <c r="E83" s="169">
        <v>0.66666666666666663</v>
      </c>
      <c r="F83" s="169">
        <v>0.75</v>
      </c>
      <c r="G83" s="169">
        <v>0.5</v>
      </c>
      <c r="H83" s="169">
        <v>0.25</v>
      </c>
      <c r="I83" s="169">
        <v>0.5</v>
      </c>
      <c r="J83" s="169">
        <v>0.83333333333333337</v>
      </c>
      <c r="K83" s="169">
        <v>1</v>
      </c>
      <c r="L83" s="167">
        <f t="shared" si="1"/>
        <v>0.6689814814814814</v>
      </c>
    </row>
    <row r="84" spans="1:12" x14ac:dyDescent="0.25">
      <c r="A84" s="152">
        <v>794</v>
      </c>
      <c r="B84" s="152">
        <v>6</v>
      </c>
      <c r="C84" s="173" t="s">
        <v>140</v>
      </c>
      <c r="D84" s="169">
        <v>0.5</v>
      </c>
      <c r="E84" s="169">
        <v>0.83333333333333337</v>
      </c>
      <c r="F84" s="169">
        <v>1</v>
      </c>
      <c r="G84" s="169">
        <v>1</v>
      </c>
      <c r="H84" s="169">
        <v>0</v>
      </c>
      <c r="I84" s="169">
        <v>1</v>
      </c>
      <c r="J84" s="169">
        <v>0</v>
      </c>
      <c r="K84" s="169">
        <v>0.5</v>
      </c>
      <c r="L84" s="167">
        <f t="shared" si="1"/>
        <v>0.56944444444444442</v>
      </c>
    </row>
    <row r="85" spans="1:12" x14ac:dyDescent="0.25">
      <c r="A85" s="152">
        <v>806</v>
      </c>
      <c r="B85" s="152">
        <v>6</v>
      </c>
      <c r="C85" s="173" t="s">
        <v>141</v>
      </c>
      <c r="D85" s="169">
        <v>0.5</v>
      </c>
      <c r="E85" s="169">
        <v>0</v>
      </c>
      <c r="F85" s="169">
        <v>0</v>
      </c>
      <c r="G85" s="169">
        <v>0.75</v>
      </c>
      <c r="H85" s="169">
        <v>0</v>
      </c>
      <c r="I85" s="169">
        <v>0</v>
      </c>
      <c r="J85" s="169">
        <v>0</v>
      </c>
      <c r="K85" s="169">
        <v>1</v>
      </c>
      <c r="L85" s="167">
        <f t="shared" si="1"/>
        <v>0.31944444444444442</v>
      </c>
    </row>
    <row r="86" spans="1:12" x14ac:dyDescent="0.25">
      <c r="A86" s="152">
        <v>809</v>
      </c>
      <c r="B86" s="152">
        <v>6</v>
      </c>
      <c r="C86" s="173" t="s">
        <v>318</v>
      </c>
      <c r="D86" s="169">
        <v>0.83333333333333337</v>
      </c>
      <c r="E86" s="169">
        <v>0.5</v>
      </c>
      <c r="F86" s="169">
        <v>0.5</v>
      </c>
      <c r="G86" s="169">
        <v>0.5</v>
      </c>
      <c r="H86" s="169">
        <v>0</v>
      </c>
      <c r="I86" s="169">
        <v>0.75</v>
      </c>
      <c r="J86" s="169">
        <v>0.66666666666666663</v>
      </c>
      <c r="K86" s="169">
        <v>0.5</v>
      </c>
      <c r="L86" s="167">
        <f t="shared" si="1"/>
        <v>0.51851851851851849</v>
      </c>
    </row>
    <row r="87" spans="1:12" x14ac:dyDescent="0.25">
      <c r="A87" s="152">
        <v>811</v>
      </c>
      <c r="B87" s="152">
        <v>6</v>
      </c>
      <c r="C87" s="173" t="s">
        <v>142</v>
      </c>
      <c r="D87" s="169">
        <v>0</v>
      </c>
      <c r="E87" s="169">
        <v>1</v>
      </c>
      <c r="F87" s="169">
        <v>1</v>
      </c>
      <c r="G87" s="169">
        <v>0.25</v>
      </c>
      <c r="H87" s="169">
        <v>0.25</v>
      </c>
      <c r="I87" s="169">
        <v>0.66666666666666663</v>
      </c>
      <c r="J87" s="169">
        <v>0.83333333333333337</v>
      </c>
      <c r="K87" s="169">
        <v>0.5</v>
      </c>
      <c r="L87" s="167">
        <f t="shared" si="1"/>
        <v>0.47222222222222221</v>
      </c>
    </row>
    <row r="88" spans="1:12" x14ac:dyDescent="0.25">
      <c r="A88" s="152">
        <v>824</v>
      </c>
      <c r="B88" s="152">
        <v>6</v>
      </c>
      <c r="C88" s="173" t="s">
        <v>143</v>
      </c>
      <c r="D88" s="169">
        <v>0.5</v>
      </c>
      <c r="E88" s="169">
        <v>0</v>
      </c>
      <c r="F88" s="169">
        <v>0</v>
      </c>
      <c r="G88" s="169">
        <v>0.5</v>
      </c>
      <c r="H88" s="169">
        <v>0</v>
      </c>
      <c r="I88" s="169">
        <v>0</v>
      </c>
      <c r="J88" s="169">
        <v>0</v>
      </c>
      <c r="K88" s="169">
        <v>1</v>
      </c>
      <c r="L88" s="167">
        <f t="shared" si="1"/>
        <v>0.27777777777777779</v>
      </c>
    </row>
    <row r="89" spans="1:12" x14ac:dyDescent="0.25">
      <c r="A89" s="152">
        <v>826</v>
      </c>
      <c r="B89" s="152">
        <v>6</v>
      </c>
      <c r="C89" s="173" t="s">
        <v>144</v>
      </c>
      <c r="D89" s="169">
        <v>0.5</v>
      </c>
      <c r="E89" s="169">
        <v>0</v>
      </c>
      <c r="F89" s="169">
        <v>0</v>
      </c>
      <c r="G89" s="169">
        <v>1</v>
      </c>
      <c r="H89" s="169">
        <v>0.25</v>
      </c>
      <c r="I89" s="169">
        <v>0</v>
      </c>
      <c r="J89" s="169">
        <v>0</v>
      </c>
      <c r="K89" s="169">
        <v>1</v>
      </c>
      <c r="L89" s="167">
        <f t="shared" si="1"/>
        <v>0.40277777777777779</v>
      </c>
    </row>
    <row r="90" spans="1:12" x14ac:dyDescent="0.25">
      <c r="A90" s="152">
        <v>840</v>
      </c>
      <c r="B90" s="152">
        <v>6</v>
      </c>
      <c r="C90" s="173" t="s">
        <v>145</v>
      </c>
      <c r="D90" s="169">
        <v>0.83333333333333337</v>
      </c>
      <c r="E90" s="169">
        <v>1</v>
      </c>
      <c r="F90" s="169">
        <v>0</v>
      </c>
      <c r="G90" s="169">
        <v>0.25</v>
      </c>
      <c r="H90" s="169">
        <v>0.25</v>
      </c>
      <c r="I90" s="169">
        <v>0</v>
      </c>
      <c r="J90" s="169">
        <v>0.16666666666666666</v>
      </c>
      <c r="K90" s="169">
        <v>0.5</v>
      </c>
      <c r="L90" s="167">
        <f t="shared" si="1"/>
        <v>0.37962962962962965</v>
      </c>
    </row>
    <row r="91" spans="1:12" x14ac:dyDescent="0.25">
      <c r="A91" s="152">
        <v>843</v>
      </c>
      <c r="B91" s="152">
        <v>6</v>
      </c>
      <c r="C91" s="173" t="s">
        <v>146</v>
      </c>
      <c r="D91" s="169">
        <v>0.5</v>
      </c>
      <c r="E91" s="169">
        <v>0</v>
      </c>
      <c r="F91" s="169">
        <v>0</v>
      </c>
      <c r="G91" s="169">
        <v>0</v>
      </c>
      <c r="H91" s="169">
        <v>0</v>
      </c>
      <c r="I91" s="169">
        <v>0</v>
      </c>
      <c r="J91" s="169">
        <v>0</v>
      </c>
      <c r="K91" s="169">
        <v>1</v>
      </c>
      <c r="L91" s="167">
        <f t="shared" si="1"/>
        <v>0.19444444444444442</v>
      </c>
    </row>
    <row r="92" spans="1:12" x14ac:dyDescent="0.25">
      <c r="A92" s="152">
        <v>846</v>
      </c>
      <c r="B92" s="152">
        <v>6</v>
      </c>
      <c r="C92" s="173" t="s">
        <v>147</v>
      </c>
      <c r="D92" s="169">
        <v>0.5</v>
      </c>
      <c r="E92" s="169">
        <v>0</v>
      </c>
      <c r="F92" s="169">
        <v>0</v>
      </c>
      <c r="G92" s="169">
        <v>0.25</v>
      </c>
      <c r="H92" s="169">
        <v>0</v>
      </c>
      <c r="I92" s="169">
        <v>0</v>
      </c>
      <c r="J92" s="169">
        <v>0</v>
      </c>
      <c r="K92" s="169">
        <v>1</v>
      </c>
      <c r="L92" s="167">
        <f t="shared" si="1"/>
        <v>0.2361111111111111</v>
      </c>
    </row>
    <row r="93" spans="1:12" x14ac:dyDescent="0.25">
      <c r="A93" s="152">
        <v>888</v>
      </c>
      <c r="B93" s="152">
        <v>6</v>
      </c>
      <c r="C93" s="173" t="s">
        <v>148</v>
      </c>
      <c r="D93" s="169">
        <v>0.83333333333333337</v>
      </c>
      <c r="E93" s="169">
        <v>0</v>
      </c>
      <c r="F93" s="169">
        <v>0.5</v>
      </c>
      <c r="G93" s="169">
        <v>0.25</v>
      </c>
      <c r="H93" s="169">
        <v>1</v>
      </c>
      <c r="I93" s="169">
        <v>0</v>
      </c>
      <c r="J93" s="169">
        <v>0.66666666666666663</v>
      </c>
      <c r="K93" s="169">
        <v>0.5</v>
      </c>
      <c r="L93" s="167">
        <f t="shared" si="1"/>
        <v>0.51851851851851849</v>
      </c>
    </row>
    <row r="94" spans="1:12" x14ac:dyDescent="0.25">
      <c r="A94" s="152">
        <v>889</v>
      </c>
      <c r="B94" s="152">
        <v>6</v>
      </c>
      <c r="C94" s="173" t="s">
        <v>149</v>
      </c>
      <c r="D94" s="169">
        <v>1</v>
      </c>
      <c r="E94" s="169">
        <v>0.83333333333333337</v>
      </c>
      <c r="F94" s="169">
        <v>0.5</v>
      </c>
      <c r="G94" s="169">
        <v>0.25</v>
      </c>
      <c r="H94" s="169">
        <v>0</v>
      </c>
      <c r="I94" s="169">
        <v>0.5</v>
      </c>
      <c r="J94" s="169">
        <v>0</v>
      </c>
      <c r="K94" s="169">
        <v>0.5</v>
      </c>
      <c r="L94" s="167">
        <f t="shared" si="1"/>
        <v>0.43055555555555558</v>
      </c>
    </row>
    <row r="95" spans="1:12" x14ac:dyDescent="0.25">
      <c r="A95" s="152">
        <v>891</v>
      </c>
      <c r="B95" s="152">
        <v>6</v>
      </c>
      <c r="C95" s="173" t="s">
        <v>150</v>
      </c>
      <c r="D95" s="169">
        <v>0</v>
      </c>
      <c r="E95" s="169">
        <v>0</v>
      </c>
      <c r="F95" s="169">
        <v>0</v>
      </c>
      <c r="G95" s="169">
        <v>1</v>
      </c>
      <c r="H95" s="169">
        <v>1</v>
      </c>
      <c r="I95" s="169">
        <v>0</v>
      </c>
      <c r="J95" s="169">
        <v>0</v>
      </c>
      <c r="K95" s="169">
        <v>1</v>
      </c>
      <c r="L95" s="167">
        <f t="shared" si="1"/>
        <v>0.44444444444444442</v>
      </c>
    </row>
    <row r="96" spans="1:12" x14ac:dyDescent="0.25">
      <c r="A96" s="152">
        <v>897</v>
      </c>
      <c r="B96" s="152">
        <v>6</v>
      </c>
      <c r="C96" s="172" t="s">
        <v>260</v>
      </c>
      <c r="D96" s="169">
        <v>0.83333333333333337</v>
      </c>
      <c r="E96" s="169">
        <v>1</v>
      </c>
      <c r="F96" s="169">
        <v>0.25</v>
      </c>
      <c r="G96" s="169">
        <v>0</v>
      </c>
      <c r="H96" s="169">
        <v>0</v>
      </c>
      <c r="I96" s="169">
        <v>1</v>
      </c>
      <c r="J96" s="169">
        <v>0</v>
      </c>
      <c r="K96" s="169">
        <v>1</v>
      </c>
      <c r="L96" s="167">
        <f t="shared" si="1"/>
        <v>0.46527777777777773</v>
      </c>
    </row>
    <row r="97" spans="1:12" x14ac:dyDescent="0.25">
      <c r="A97" s="152">
        <v>904</v>
      </c>
      <c r="B97" s="152">
        <v>6</v>
      </c>
      <c r="C97" s="173" t="s">
        <v>151</v>
      </c>
      <c r="D97" s="169">
        <v>0.33333333333333331</v>
      </c>
      <c r="E97" s="169">
        <v>0</v>
      </c>
      <c r="F97" s="169">
        <v>0</v>
      </c>
      <c r="G97" s="169">
        <v>0</v>
      </c>
      <c r="H97" s="169">
        <v>0.75</v>
      </c>
      <c r="I97" s="169">
        <v>0</v>
      </c>
      <c r="J97" s="169">
        <v>0</v>
      </c>
      <c r="K97" s="169">
        <v>0</v>
      </c>
      <c r="L97" s="167">
        <f t="shared" si="1"/>
        <v>0.18055555555555555</v>
      </c>
    </row>
    <row r="98" spans="1:12" x14ac:dyDescent="0.25">
      <c r="A98" s="152">
        <v>906</v>
      </c>
      <c r="B98" s="152">
        <v>6</v>
      </c>
      <c r="C98" s="173" t="s">
        <v>320</v>
      </c>
      <c r="D98" s="169">
        <v>1</v>
      </c>
      <c r="E98" s="169">
        <v>1</v>
      </c>
      <c r="F98" s="169">
        <v>0.5</v>
      </c>
      <c r="G98" s="169">
        <v>0.5</v>
      </c>
      <c r="H98" s="169">
        <v>0.5</v>
      </c>
      <c r="I98" s="169">
        <v>1</v>
      </c>
      <c r="J98" s="169">
        <v>1</v>
      </c>
      <c r="K98" s="169">
        <v>1</v>
      </c>
      <c r="L98" s="167">
        <f t="shared" si="1"/>
        <v>0.79166666666666674</v>
      </c>
    </row>
    <row r="99" spans="1:12" x14ac:dyDescent="0.25">
      <c r="A99" s="152">
        <v>917</v>
      </c>
      <c r="B99" s="152">
        <v>6</v>
      </c>
      <c r="C99" s="173" t="s">
        <v>153</v>
      </c>
      <c r="D99" s="169">
        <v>0</v>
      </c>
      <c r="E99" s="169">
        <v>0.5</v>
      </c>
      <c r="F99" s="169">
        <v>0.25</v>
      </c>
      <c r="G99" s="169">
        <v>1</v>
      </c>
      <c r="H99" s="169">
        <v>1</v>
      </c>
      <c r="I99" s="169">
        <v>0.5</v>
      </c>
      <c r="J99" s="169">
        <v>0</v>
      </c>
      <c r="K99" s="169">
        <v>1</v>
      </c>
      <c r="L99" s="167">
        <f t="shared" si="1"/>
        <v>0.5625</v>
      </c>
    </row>
    <row r="100" spans="1:12" x14ac:dyDescent="0.25">
      <c r="A100" s="152">
        <v>957</v>
      </c>
      <c r="B100" s="152">
        <v>6</v>
      </c>
      <c r="C100" s="173" t="s">
        <v>154</v>
      </c>
      <c r="D100" s="169">
        <v>0</v>
      </c>
      <c r="E100" s="169">
        <v>0</v>
      </c>
      <c r="F100" s="169">
        <v>0</v>
      </c>
      <c r="G100" s="169">
        <v>1</v>
      </c>
      <c r="H100" s="169">
        <v>1</v>
      </c>
      <c r="I100" s="169">
        <v>0</v>
      </c>
      <c r="J100" s="169">
        <v>0.66666666666666663</v>
      </c>
      <c r="K100" s="169">
        <v>0.5</v>
      </c>
      <c r="L100" s="167">
        <f t="shared" si="1"/>
        <v>0.46296296296296291</v>
      </c>
    </row>
    <row r="101" spans="1:12" x14ac:dyDescent="0.25">
      <c r="A101" s="152">
        <v>959</v>
      </c>
      <c r="B101" s="152">
        <v>6</v>
      </c>
      <c r="C101" s="173" t="s">
        <v>155</v>
      </c>
      <c r="D101" s="169">
        <v>1</v>
      </c>
      <c r="E101" s="169">
        <v>1</v>
      </c>
      <c r="F101" s="169">
        <v>0.5</v>
      </c>
      <c r="G101" s="169">
        <v>0.75</v>
      </c>
      <c r="H101" s="169">
        <v>1</v>
      </c>
      <c r="I101" s="169">
        <v>0</v>
      </c>
      <c r="J101" s="169">
        <v>0.66666666666666663</v>
      </c>
      <c r="K101" s="169">
        <v>1</v>
      </c>
      <c r="L101" s="167">
        <f t="shared" si="1"/>
        <v>0.7685185185185186</v>
      </c>
    </row>
    <row r="102" spans="1:12" x14ac:dyDescent="0.25">
      <c r="A102" s="152">
        <v>969</v>
      </c>
      <c r="B102" s="152">
        <v>6</v>
      </c>
      <c r="C102" s="173" t="s">
        <v>156</v>
      </c>
      <c r="D102" s="169">
        <v>0</v>
      </c>
      <c r="E102" s="169">
        <v>0</v>
      </c>
      <c r="F102" s="169">
        <v>0.625</v>
      </c>
      <c r="G102" s="169">
        <v>0.5</v>
      </c>
      <c r="H102" s="169">
        <v>0</v>
      </c>
      <c r="I102" s="169">
        <v>1</v>
      </c>
      <c r="J102" s="169">
        <v>0</v>
      </c>
      <c r="K102" s="169">
        <v>1</v>
      </c>
      <c r="L102" s="167">
        <f t="shared" si="1"/>
        <v>0.35763888888888884</v>
      </c>
    </row>
    <row r="103" spans="1:12" x14ac:dyDescent="0.25">
      <c r="A103" s="152">
        <v>970</v>
      </c>
      <c r="B103" s="152">
        <v>6</v>
      </c>
      <c r="C103" s="173" t="s">
        <v>157</v>
      </c>
      <c r="D103" s="169">
        <v>0.5</v>
      </c>
      <c r="E103" s="169">
        <v>0</v>
      </c>
      <c r="F103" s="169">
        <v>0</v>
      </c>
      <c r="G103" s="169">
        <v>0.25</v>
      </c>
      <c r="H103" s="169">
        <v>1</v>
      </c>
      <c r="I103" s="169">
        <v>0</v>
      </c>
      <c r="J103" s="169">
        <v>0</v>
      </c>
      <c r="K103" s="169">
        <v>1</v>
      </c>
      <c r="L103" s="167">
        <f t="shared" si="1"/>
        <v>0.40277777777777773</v>
      </c>
    </row>
    <row r="104" spans="1:12" x14ac:dyDescent="0.25">
      <c r="A104" s="152">
        <v>978</v>
      </c>
      <c r="B104" s="152">
        <v>6</v>
      </c>
      <c r="C104" s="173" t="s">
        <v>270</v>
      </c>
      <c r="D104" s="169">
        <v>0.83333333333333337</v>
      </c>
      <c r="E104" s="169">
        <v>0.5</v>
      </c>
      <c r="F104" s="169">
        <v>0.5</v>
      </c>
      <c r="G104" s="169">
        <v>0</v>
      </c>
      <c r="H104" s="169">
        <v>0.25</v>
      </c>
      <c r="I104" s="169">
        <v>0</v>
      </c>
      <c r="J104" s="169">
        <v>0.16666666666666666</v>
      </c>
      <c r="K104" s="169">
        <v>1</v>
      </c>
      <c r="L104" s="167">
        <f t="shared" si="1"/>
        <v>0.39351851851851855</v>
      </c>
    </row>
    <row r="105" spans="1:12" x14ac:dyDescent="0.25">
      <c r="A105" s="152">
        <v>986</v>
      </c>
      <c r="B105" s="152">
        <v>6</v>
      </c>
      <c r="C105" s="172" t="s">
        <v>159</v>
      </c>
      <c r="D105" s="169">
        <v>0</v>
      </c>
      <c r="E105" s="169">
        <v>0</v>
      </c>
      <c r="F105" s="169">
        <v>0.25</v>
      </c>
      <c r="G105" s="169">
        <v>0</v>
      </c>
      <c r="H105" s="169">
        <v>0</v>
      </c>
      <c r="I105" s="169">
        <v>0</v>
      </c>
      <c r="J105" s="169">
        <v>0.83333333333333337</v>
      </c>
      <c r="K105" s="169">
        <v>1</v>
      </c>
      <c r="L105" s="167">
        <f t="shared" si="1"/>
        <v>0.22453703703703703</v>
      </c>
    </row>
    <row r="106" spans="1:12" x14ac:dyDescent="0.25">
      <c r="A106" s="152">
        <v>988</v>
      </c>
      <c r="B106" s="152">
        <v>6</v>
      </c>
      <c r="C106" s="173" t="s">
        <v>160</v>
      </c>
      <c r="D106" s="169">
        <v>0.66666666666666663</v>
      </c>
      <c r="E106" s="169">
        <v>1</v>
      </c>
      <c r="F106" s="169">
        <v>0.25</v>
      </c>
      <c r="G106" s="169">
        <v>0.5</v>
      </c>
      <c r="H106" s="169">
        <v>0.25</v>
      </c>
      <c r="I106" s="169">
        <v>1</v>
      </c>
      <c r="J106" s="169">
        <v>1</v>
      </c>
      <c r="K106" s="169">
        <v>1</v>
      </c>
      <c r="L106" s="167">
        <f t="shared" si="1"/>
        <v>0.67361111111111116</v>
      </c>
    </row>
    <row r="107" spans="1:12" x14ac:dyDescent="0.25">
      <c r="A107" s="152">
        <v>989</v>
      </c>
      <c r="B107" s="152">
        <v>6</v>
      </c>
      <c r="C107" s="173" t="s">
        <v>161</v>
      </c>
      <c r="D107" s="169">
        <v>0</v>
      </c>
      <c r="E107" s="169">
        <v>1</v>
      </c>
      <c r="F107" s="169">
        <v>0.5</v>
      </c>
      <c r="G107" s="169">
        <v>0.75</v>
      </c>
      <c r="H107" s="169">
        <v>0.5</v>
      </c>
      <c r="I107" s="169">
        <v>0.5</v>
      </c>
      <c r="J107" s="169">
        <v>0.83333333333333337</v>
      </c>
      <c r="K107" s="169">
        <v>0.5</v>
      </c>
      <c r="L107" s="167">
        <f t="shared" si="1"/>
        <v>0.53703703703703698</v>
      </c>
    </row>
    <row r="108" spans="1:12" x14ac:dyDescent="0.25">
      <c r="A108" s="152">
        <v>39</v>
      </c>
      <c r="B108" s="152">
        <v>7</v>
      </c>
      <c r="C108" s="173" t="s">
        <v>162</v>
      </c>
      <c r="D108" s="169">
        <v>0.33333333333333331</v>
      </c>
      <c r="E108" s="169">
        <v>1</v>
      </c>
      <c r="F108" s="169">
        <v>0.5</v>
      </c>
      <c r="G108" s="169">
        <v>0.75</v>
      </c>
      <c r="H108" s="169">
        <v>1</v>
      </c>
      <c r="I108" s="169">
        <v>0</v>
      </c>
      <c r="J108" s="169">
        <v>0.66666666666666663</v>
      </c>
      <c r="K108" s="169">
        <v>0.5</v>
      </c>
      <c r="L108" s="167">
        <f t="shared" si="1"/>
        <v>0.60185185185185186</v>
      </c>
    </row>
    <row r="109" spans="1:12" x14ac:dyDescent="0.25">
      <c r="A109" s="152">
        <v>59</v>
      </c>
      <c r="B109" s="152">
        <v>7</v>
      </c>
      <c r="C109" s="173" t="s">
        <v>163</v>
      </c>
      <c r="D109" s="169">
        <v>0.5</v>
      </c>
      <c r="E109" s="169">
        <v>0</v>
      </c>
      <c r="F109" s="169">
        <v>0</v>
      </c>
      <c r="G109" s="169">
        <v>0.25</v>
      </c>
      <c r="H109" s="169">
        <v>0.25</v>
      </c>
      <c r="I109" s="169">
        <v>0</v>
      </c>
      <c r="J109" s="169">
        <v>0</v>
      </c>
      <c r="K109" s="169">
        <v>0.5</v>
      </c>
      <c r="L109" s="167">
        <f t="shared" si="1"/>
        <v>0.22222222222222221</v>
      </c>
    </row>
    <row r="110" spans="1:12" x14ac:dyDescent="0.25">
      <c r="A110" s="152">
        <v>100</v>
      </c>
      <c r="B110" s="152">
        <v>7</v>
      </c>
      <c r="C110" s="173" t="s">
        <v>272</v>
      </c>
      <c r="D110" s="169">
        <v>0</v>
      </c>
      <c r="E110" s="169">
        <v>0</v>
      </c>
      <c r="F110" s="169">
        <v>0</v>
      </c>
      <c r="G110" s="169">
        <v>0</v>
      </c>
      <c r="H110" s="169">
        <v>0.25</v>
      </c>
      <c r="I110" s="169">
        <v>0</v>
      </c>
      <c r="J110" s="169">
        <v>0.16666666666666666</v>
      </c>
      <c r="K110" s="169">
        <v>0</v>
      </c>
      <c r="L110" s="167">
        <f t="shared" si="1"/>
        <v>6.0185185185185182E-2</v>
      </c>
    </row>
    <row r="111" spans="1:12" x14ac:dyDescent="0.25">
      <c r="A111" s="152">
        <v>128</v>
      </c>
      <c r="B111" s="152">
        <v>7</v>
      </c>
      <c r="C111" s="173" t="s">
        <v>164</v>
      </c>
      <c r="D111" s="169">
        <v>0</v>
      </c>
      <c r="E111" s="169">
        <v>0</v>
      </c>
      <c r="F111" s="169">
        <v>0</v>
      </c>
      <c r="G111" s="169">
        <v>0</v>
      </c>
      <c r="H111" s="169">
        <v>0.25</v>
      </c>
      <c r="I111" s="169">
        <v>0</v>
      </c>
      <c r="J111" s="169">
        <v>0</v>
      </c>
      <c r="K111" s="169">
        <v>0.5</v>
      </c>
      <c r="L111" s="167">
        <f t="shared" si="1"/>
        <v>9.722222222222221E-2</v>
      </c>
    </row>
    <row r="112" spans="1:12" x14ac:dyDescent="0.25">
      <c r="A112" s="152">
        <v>152</v>
      </c>
      <c r="B112" s="152">
        <v>7</v>
      </c>
      <c r="C112" s="173" t="s">
        <v>165</v>
      </c>
      <c r="D112" s="169">
        <v>0.83333333333333337</v>
      </c>
      <c r="E112" s="169">
        <v>0.16666666666666666</v>
      </c>
      <c r="F112" s="169">
        <v>0</v>
      </c>
      <c r="G112" s="169">
        <v>1</v>
      </c>
      <c r="H112" s="169">
        <v>0.75</v>
      </c>
      <c r="I112" s="169">
        <v>0.25</v>
      </c>
      <c r="J112" s="169">
        <v>0.83333333333333337</v>
      </c>
      <c r="K112" s="169">
        <v>0.5</v>
      </c>
      <c r="L112" s="167">
        <f t="shared" si="1"/>
        <v>0.62037037037037035</v>
      </c>
    </row>
    <row r="113" spans="1:12" x14ac:dyDescent="0.25">
      <c r="A113" s="152">
        <v>162</v>
      </c>
      <c r="B113" s="152">
        <v>7</v>
      </c>
      <c r="C113" s="173" t="s">
        <v>166</v>
      </c>
      <c r="D113" s="169">
        <v>1</v>
      </c>
      <c r="E113" s="169">
        <v>1</v>
      </c>
      <c r="F113" s="169">
        <v>0.5</v>
      </c>
      <c r="G113" s="169">
        <v>1</v>
      </c>
      <c r="H113" s="169">
        <v>0.75</v>
      </c>
      <c r="I113" s="169">
        <v>0.5</v>
      </c>
      <c r="J113" s="169">
        <v>1</v>
      </c>
      <c r="K113" s="169">
        <v>1</v>
      </c>
      <c r="L113" s="167">
        <f t="shared" si="1"/>
        <v>0.86111111111111116</v>
      </c>
    </row>
    <row r="114" spans="1:12" x14ac:dyDescent="0.25">
      <c r="A114" s="152">
        <v>166</v>
      </c>
      <c r="B114" s="152">
        <v>7</v>
      </c>
      <c r="C114" s="173" t="s">
        <v>167</v>
      </c>
      <c r="D114" s="169">
        <v>1</v>
      </c>
      <c r="E114" s="169">
        <v>1</v>
      </c>
      <c r="F114" s="169">
        <v>1</v>
      </c>
      <c r="G114" s="169">
        <v>0.5</v>
      </c>
      <c r="H114" s="169">
        <v>0.75</v>
      </c>
      <c r="I114" s="169">
        <v>1</v>
      </c>
      <c r="J114" s="169">
        <v>0.66666666666666663</v>
      </c>
      <c r="K114" s="169">
        <v>1</v>
      </c>
      <c r="L114" s="167">
        <f t="shared" si="1"/>
        <v>0.8379629629629628</v>
      </c>
    </row>
    <row r="115" spans="1:12" x14ac:dyDescent="0.25">
      <c r="A115" s="152">
        <v>192</v>
      </c>
      <c r="B115" s="152">
        <v>7</v>
      </c>
      <c r="C115" s="173" t="s">
        <v>168</v>
      </c>
      <c r="D115" s="169">
        <v>1</v>
      </c>
      <c r="E115" s="169">
        <v>1</v>
      </c>
      <c r="F115" s="169">
        <v>1</v>
      </c>
      <c r="G115" s="169">
        <v>0</v>
      </c>
      <c r="H115" s="169">
        <v>0.25</v>
      </c>
      <c r="I115" s="169">
        <v>1</v>
      </c>
      <c r="J115" s="169">
        <v>0.83333333333333337</v>
      </c>
      <c r="K115" s="169">
        <v>1</v>
      </c>
      <c r="L115" s="167">
        <f t="shared" si="1"/>
        <v>0.68981481481481488</v>
      </c>
    </row>
    <row r="116" spans="1:12" x14ac:dyDescent="0.25">
      <c r="A116" s="152">
        <v>205</v>
      </c>
      <c r="B116" s="152">
        <v>7</v>
      </c>
      <c r="C116" s="173" t="s">
        <v>169</v>
      </c>
      <c r="D116" s="169">
        <v>0.5</v>
      </c>
      <c r="E116" s="169">
        <v>0.33333333333333331</v>
      </c>
      <c r="F116" s="169">
        <v>0.5</v>
      </c>
      <c r="G116" s="169">
        <v>0.75</v>
      </c>
      <c r="H116" s="169">
        <v>0.25</v>
      </c>
      <c r="I116" s="169">
        <v>1</v>
      </c>
      <c r="J116" s="169">
        <v>0.66666666666666663</v>
      </c>
      <c r="K116" s="169">
        <v>0.5</v>
      </c>
      <c r="L116" s="167">
        <f t="shared" si="1"/>
        <v>0.56018518518518523</v>
      </c>
    </row>
    <row r="117" spans="1:12" x14ac:dyDescent="0.25">
      <c r="A117" s="152">
        <v>212</v>
      </c>
      <c r="B117" s="152">
        <v>7</v>
      </c>
      <c r="C117" s="173" t="s">
        <v>170</v>
      </c>
      <c r="D117" s="169">
        <v>0.33333333333333331</v>
      </c>
      <c r="E117" s="169">
        <v>0</v>
      </c>
      <c r="F117" s="169">
        <v>0</v>
      </c>
      <c r="G117" s="169">
        <v>0</v>
      </c>
      <c r="H117" s="169">
        <v>0.5</v>
      </c>
      <c r="I117" s="169">
        <v>0</v>
      </c>
      <c r="J117" s="169">
        <v>0.66666666666666663</v>
      </c>
      <c r="K117" s="169">
        <v>0.5</v>
      </c>
      <c r="L117" s="167">
        <f t="shared" si="1"/>
        <v>0.26851851851851849</v>
      </c>
    </row>
    <row r="118" spans="1:12" x14ac:dyDescent="0.25">
      <c r="A118" s="152">
        <v>216</v>
      </c>
      <c r="B118" s="152">
        <v>7</v>
      </c>
      <c r="C118" s="173" t="s">
        <v>171</v>
      </c>
      <c r="D118" s="169">
        <v>0.16666666666666666</v>
      </c>
      <c r="E118" s="169">
        <v>1</v>
      </c>
      <c r="F118" s="169">
        <v>0.5</v>
      </c>
      <c r="G118" s="169">
        <v>0.75</v>
      </c>
      <c r="H118" s="169">
        <v>0.75</v>
      </c>
      <c r="I118" s="169">
        <v>0</v>
      </c>
      <c r="J118" s="169">
        <v>0.83333333333333337</v>
      </c>
      <c r="K118" s="169">
        <v>1</v>
      </c>
      <c r="L118" s="167">
        <f t="shared" si="1"/>
        <v>0.6064814814814814</v>
      </c>
    </row>
    <row r="119" spans="1:12" x14ac:dyDescent="0.25">
      <c r="A119" s="152">
        <v>218</v>
      </c>
      <c r="B119" s="152">
        <v>7</v>
      </c>
      <c r="C119" s="173" t="s">
        <v>276</v>
      </c>
      <c r="D119" s="169">
        <v>0.33333333333333331</v>
      </c>
      <c r="E119" s="169">
        <v>1</v>
      </c>
      <c r="F119" s="169">
        <v>0.25</v>
      </c>
      <c r="G119" s="169">
        <v>0</v>
      </c>
      <c r="H119" s="169">
        <v>0.25</v>
      </c>
      <c r="I119" s="169">
        <v>0</v>
      </c>
      <c r="J119" s="169">
        <v>1</v>
      </c>
      <c r="K119" s="169">
        <v>1</v>
      </c>
      <c r="L119" s="167">
        <f t="shared" si="1"/>
        <v>0.4236111111111111</v>
      </c>
    </row>
    <row r="120" spans="1:12" x14ac:dyDescent="0.25">
      <c r="A120" s="152">
        <v>229</v>
      </c>
      <c r="B120" s="152">
        <v>7</v>
      </c>
      <c r="C120" s="173" t="s">
        <v>172</v>
      </c>
      <c r="D120" s="169">
        <v>0.83333333333333337</v>
      </c>
      <c r="E120" s="169">
        <v>1</v>
      </c>
      <c r="F120" s="169">
        <v>0.875</v>
      </c>
      <c r="G120" s="169">
        <v>0.5</v>
      </c>
      <c r="H120" s="169">
        <v>0.75</v>
      </c>
      <c r="I120" s="169">
        <v>1</v>
      </c>
      <c r="J120" s="169">
        <v>0.66666666666666663</v>
      </c>
      <c r="K120" s="169">
        <v>1</v>
      </c>
      <c r="L120" s="167">
        <f t="shared" si="1"/>
        <v>0.79976851851851838</v>
      </c>
    </row>
    <row r="121" spans="1:12" x14ac:dyDescent="0.25">
      <c r="A121" s="152">
        <v>236</v>
      </c>
      <c r="B121" s="152">
        <v>7</v>
      </c>
      <c r="C121" s="173" t="s">
        <v>173</v>
      </c>
      <c r="D121" s="169">
        <v>1</v>
      </c>
      <c r="E121" s="169">
        <v>1</v>
      </c>
      <c r="F121" s="169">
        <v>1</v>
      </c>
      <c r="G121" s="169">
        <v>0.75</v>
      </c>
      <c r="H121" s="169">
        <v>0.75</v>
      </c>
      <c r="I121" s="169">
        <v>0.33333333333333331</v>
      </c>
      <c r="J121" s="169">
        <v>1</v>
      </c>
      <c r="K121" s="169">
        <v>0.5</v>
      </c>
      <c r="L121" s="167">
        <f t="shared" si="1"/>
        <v>0.78703703703703698</v>
      </c>
    </row>
    <row r="122" spans="1:12" x14ac:dyDescent="0.25">
      <c r="A122" s="152">
        <v>238</v>
      </c>
      <c r="B122" s="152">
        <v>7</v>
      </c>
      <c r="C122" s="173" t="s">
        <v>311</v>
      </c>
      <c r="D122" s="169">
        <v>0.83333333333333337</v>
      </c>
      <c r="E122" s="169">
        <v>0</v>
      </c>
      <c r="F122" s="169">
        <v>0.5</v>
      </c>
      <c r="G122" s="169">
        <v>1</v>
      </c>
      <c r="H122" s="169">
        <v>0.5</v>
      </c>
      <c r="I122" s="169">
        <v>1</v>
      </c>
      <c r="J122" s="169">
        <v>0.5</v>
      </c>
      <c r="K122" s="169">
        <v>0.5</v>
      </c>
      <c r="L122" s="167">
        <f t="shared" si="1"/>
        <v>0.65277777777777779</v>
      </c>
    </row>
    <row r="123" spans="1:12" x14ac:dyDescent="0.25">
      <c r="A123" s="152">
        <v>239</v>
      </c>
      <c r="B123" s="152">
        <v>7</v>
      </c>
      <c r="C123" s="173" t="s">
        <v>174</v>
      </c>
      <c r="D123" s="169">
        <v>1</v>
      </c>
      <c r="E123" s="169">
        <v>1</v>
      </c>
      <c r="F123" s="169">
        <v>1</v>
      </c>
      <c r="G123" s="169">
        <v>1</v>
      </c>
      <c r="H123" s="169">
        <v>0.5</v>
      </c>
      <c r="I123" s="169">
        <v>1</v>
      </c>
      <c r="J123" s="169">
        <v>1</v>
      </c>
      <c r="K123" s="169">
        <v>0.5</v>
      </c>
      <c r="L123" s="167">
        <f t="shared" si="1"/>
        <v>0.86111111111111116</v>
      </c>
    </row>
    <row r="124" spans="1:12" x14ac:dyDescent="0.25">
      <c r="A124" s="152">
        <v>249</v>
      </c>
      <c r="B124" s="152">
        <v>7</v>
      </c>
      <c r="C124" s="173" t="s">
        <v>175</v>
      </c>
      <c r="D124" s="169">
        <v>1</v>
      </c>
      <c r="E124" s="169">
        <v>1</v>
      </c>
      <c r="F124" s="169">
        <v>1</v>
      </c>
      <c r="G124" s="169">
        <v>0.25</v>
      </c>
      <c r="H124" s="169">
        <v>0.25</v>
      </c>
      <c r="I124" s="169">
        <v>0.33333333333333331</v>
      </c>
      <c r="J124" s="169">
        <v>1</v>
      </c>
      <c r="K124" s="169">
        <v>1</v>
      </c>
      <c r="L124" s="167">
        <f t="shared" si="1"/>
        <v>0.67592592592592604</v>
      </c>
    </row>
    <row r="125" spans="1:12" x14ac:dyDescent="0.25">
      <c r="A125" s="152">
        <v>271</v>
      </c>
      <c r="B125" s="152">
        <v>7</v>
      </c>
      <c r="C125" s="173" t="s">
        <v>176</v>
      </c>
      <c r="D125" s="169">
        <v>0.66666666666666663</v>
      </c>
      <c r="E125" s="169">
        <v>0.66666666666666663</v>
      </c>
      <c r="F125" s="169">
        <v>0.75</v>
      </c>
      <c r="G125" s="169">
        <v>1</v>
      </c>
      <c r="H125" s="169">
        <v>0</v>
      </c>
      <c r="I125" s="169">
        <v>0.66666666666666663</v>
      </c>
      <c r="J125" s="169">
        <v>0.66666666666666663</v>
      </c>
      <c r="K125" s="169">
        <v>1</v>
      </c>
      <c r="L125" s="167">
        <f t="shared" si="1"/>
        <v>0.65509259259259256</v>
      </c>
    </row>
    <row r="126" spans="1:12" x14ac:dyDescent="0.25">
      <c r="A126" s="152">
        <v>275</v>
      </c>
      <c r="B126" s="152">
        <v>7</v>
      </c>
      <c r="C126" s="173" t="s">
        <v>177</v>
      </c>
      <c r="D126" s="169">
        <v>0.66666666666666663</v>
      </c>
      <c r="E126" s="169">
        <v>1</v>
      </c>
      <c r="F126" s="169">
        <v>0</v>
      </c>
      <c r="G126" s="169">
        <v>0.25</v>
      </c>
      <c r="H126" s="169">
        <v>0.75</v>
      </c>
      <c r="I126" s="169">
        <v>0</v>
      </c>
      <c r="J126" s="169">
        <v>0.66666666666666663</v>
      </c>
      <c r="K126" s="169">
        <v>1</v>
      </c>
      <c r="L126" s="167">
        <f t="shared" si="1"/>
        <v>0.54629629629629628</v>
      </c>
    </row>
    <row r="127" spans="1:12" x14ac:dyDescent="0.25">
      <c r="A127" s="152">
        <v>282</v>
      </c>
      <c r="B127" s="152">
        <v>7</v>
      </c>
      <c r="C127" s="173" t="s">
        <v>178</v>
      </c>
      <c r="D127" s="169">
        <v>0</v>
      </c>
      <c r="E127" s="169">
        <v>0</v>
      </c>
      <c r="F127" s="169">
        <v>0</v>
      </c>
      <c r="G127" s="169">
        <v>0</v>
      </c>
      <c r="H127" s="169">
        <v>0.75</v>
      </c>
      <c r="I127" s="169">
        <v>0</v>
      </c>
      <c r="J127" s="169">
        <v>0</v>
      </c>
      <c r="K127" s="169">
        <v>1</v>
      </c>
      <c r="L127" s="167">
        <f t="shared" si="1"/>
        <v>0.2361111111111111</v>
      </c>
    </row>
    <row r="128" spans="1:12" x14ac:dyDescent="0.25">
      <c r="A128" s="152">
        <v>287</v>
      </c>
      <c r="B128" s="152">
        <v>7</v>
      </c>
      <c r="C128" s="173" t="s">
        <v>179</v>
      </c>
      <c r="D128" s="169">
        <v>0</v>
      </c>
      <c r="E128" s="169">
        <v>0.33333333333333331</v>
      </c>
      <c r="F128" s="169">
        <v>0</v>
      </c>
      <c r="G128" s="169">
        <v>0.5</v>
      </c>
      <c r="H128" s="169">
        <v>0.25</v>
      </c>
      <c r="I128" s="169">
        <v>0</v>
      </c>
      <c r="J128" s="169">
        <v>0.5</v>
      </c>
      <c r="K128" s="169">
        <v>0.5</v>
      </c>
      <c r="L128" s="167">
        <f t="shared" si="1"/>
        <v>0.26388888888888884</v>
      </c>
    </row>
    <row r="129" spans="1:12" x14ac:dyDescent="0.25">
      <c r="A129" s="152">
        <v>290</v>
      </c>
      <c r="B129" s="152">
        <v>7</v>
      </c>
      <c r="C129" s="173" t="s">
        <v>180</v>
      </c>
      <c r="D129" s="169">
        <v>0.83333333333333337</v>
      </c>
      <c r="E129" s="169">
        <v>0.66666666666666663</v>
      </c>
      <c r="F129" s="169">
        <v>0.5</v>
      </c>
      <c r="G129" s="169">
        <v>0</v>
      </c>
      <c r="H129" s="169">
        <v>0.75</v>
      </c>
      <c r="I129" s="169">
        <v>0</v>
      </c>
      <c r="J129" s="169">
        <v>1</v>
      </c>
      <c r="K129" s="169">
        <v>1</v>
      </c>
      <c r="L129" s="167">
        <f t="shared" si="1"/>
        <v>0.58333333333333326</v>
      </c>
    </row>
    <row r="130" spans="1:12" x14ac:dyDescent="0.25">
      <c r="A130" s="152">
        <v>294</v>
      </c>
      <c r="B130" s="152">
        <v>7</v>
      </c>
      <c r="C130" s="173" t="s">
        <v>181</v>
      </c>
      <c r="D130" s="169">
        <v>1</v>
      </c>
      <c r="E130" s="169">
        <v>1</v>
      </c>
      <c r="F130" s="169">
        <v>1</v>
      </c>
      <c r="G130" s="169">
        <v>0.75</v>
      </c>
      <c r="H130" s="169">
        <v>0.5</v>
      </c>
      <c r="I130" s="169">
        <v>1</v>
      </c>
      <c r="J130" s="169">
        <v>1</v>
      </c>
      <c r="K130" s="169">
        <v>1</v>
      </c>
      <c r="L130" s="167">
        <f t="shared" si="1"/>
        <v>0.875</v>
      </c>
    </row>
    <row r="131" spans="1:12" x14ac:dyDescent="0.25">
      <c r="A131" s="152">
        <v>296</v>
      </c>
      <c r="B131" s="152">
        <v>7</v>
      </c>
      <c r="C131" s="173" t="s">
        <v>182</v>
      </c>
      <c r="D131" s="169">
        <v>0.83333333333333337</v>
      </c>
      <c r="E131" s="169">
        <v>1</v>
      </c>
      <c r="F131" s="169">
        <v>1</v>
      </c>
      <c r="G131" s="169">
        <v>0</v>
      </c>
      <c r="H131" s="169">
        <v>0</v>
      </c>
      <c r="I131" s="169">
        <v>0.66666666666666663</v>
      </c>
      <c r="J131" s="169">
        <v>0.83333333333333337</v>
      </c>
      <c r="K131" s="169">
        <v>0.5</v>
      </c>
      <c r="L131" s="167">
        <f t="shared" si="1"/>
        <v>0.52777777777777779</v>
      </c>
    </row>
    <row r="132" spans="1:12" x14ac:dyDescent="0.25">
      <c r="A132" s="152">
        <v>301</v>
      </c>
      <c r="B132" s="152">
        <v>7</v>
      </c>
      <c r="C132" s="173" t="s">
        <v>183</v>
      </c>
      <c r="D132" s="169">
        <v>1</v>
      </c>
      <c r="E132" s="169">
        <v>0</v>
      </c>
      <c r="F132" s="169">
        <v>0.75</v>
      </c>
      <c r="G132" s="169">
        <v>0.25</v>
      </c>
      <c r="H132" s="169">
        <v>0.75</v>
      </c>
      <c r="I132" s="169">
        <v>0.66666666666666663</v>
      </c>
      <c r="J132" s="169">
        <v>0.83333333333333337</v>
      </c>
      <c r="K132" s="169">
        <v>1</v>
      </c>
      <c r="L132" s="167">
        <f t="shared" si="1"/>
        <v>0.67361111111111116</v>
      </c>
    </row>
    <row r="133" spans="1:12" x14ac:dyDescent="0.25">
      <c r="A133" s="152">
        <v>321</v>
      </c>
      <c r="B133" s="152">
        <v>7</v>
      </c>
      <c r="C133" s="173" t="s">
        <v>184</v>
      </c>
      <c r="D133" s="169">
        <v>0.66666666666666663</v>
      </c>
      <c r="E133" s="169">
        <v>1</v>
      </c>
      <c r="F133" s="169">
        <v>1</v>
      </c>
      <c r="G133" s="169">
        <v>0</v>
      </c>
      <c r="H133" s="169">
        <v>0</v>
      </c>
      <c r="I133" s="169">
        <v>0.33333333333333331</v>
      </c>
      <c r="J133" s="169">
        <v>0.66666666666666663</v>
      </c>
      <c r="K133" s="169">
        <v>1</v>
      </c>
      <c r="L133" s="167">
        <f t="shared" ref="L133:L196" si="2">SUMPRODUCT($D$2:$K$2,D133:K133)</f>
        <v>0.49999999999999994</v>
      </c>
    </row>
    <row r="134" spans="1:12" x14ac:dyDescent="0.25">
      <c r="A134" s="152">
        <v>325</v>
      </c>
      <c r="B134" s="152">
        <v>7</v>
      </c>
      <c r="C134" s="173" t="s">
        <v>185</v>
      </c>
      <c r="D134" s="169">
        <v>0</v>
      </c>
      <c r="E134" s="169">
        <v>0</v>
      </c>
      <c r="F134" s="169">
        <v>0.25</v>
      </c>
      <c r="G134" s="169">
        <v>0.25</v>
      </c>
      <c r="H134" s="169">
        <v>0.75</v>
      </c>
      <c r="I134" s="169">
        <v>0</v>
      </c>
      <c r="J134" s="169">
        <v>0</v>
      </c>
      <c r="K134" s="169">
        <v>0.5</v>
      </c>
      <c r="L134" s="167">
        <f t="shared" si="2"/>
        <v>0.24305555555555555</v>
      </c>
    </row>
    <row r="135" spans="1:12" x14ac:dyDescent="0.25">
      <c r="A135" s="152">
        <v>346</v>
      </c>
      <c r="B135" s="152">
        <v>7</v>
      </c>
      <c r="C135" s="173" t="s">
        <v>186</v>
      </c>
      <c r="D135" s="169">
        <v>1</v>
      </c>
      <c r="E135" s="169">
        <v>0</v>
      </c>
      <c r="F135" s="169">
        <v>0.25</v>
      </c>
      <c r="G135" s="169">
        <v>0.25</v>
      </c>
      <c r="H135" s="169">
        <v>0.5</v>
      </c>
      <c r="I135" s="169">
        <v>1</v>
      </c>
      <c r="J135" s="169">
        <v>0.66666666666666663</v>
      </c>
      <c r="K135" s="169">
        <v>0.5</v>
      </c>
      <c r="L135" s="167">
        <f t="shared" si="2"/>
        <v>0.5532407407407407</v>
      </c>
    </row>
    <row r="136" spans="1:12" x14ac:dyDescent="0.25">
      <c r="A136" s="152">
        <v>358</v>
      </c>
      <c r="B136" s="152">
        <v>7</v>
      </c>
      <c r="C136" s="173" t="s">
        <v>187</v>
      </c>
      <c r="D136" s="169">
        <v>1</v>
      </c>
      <c r="E136" s="169">
        <v>1</v>
      </c>
      <c r="F136" s="169">
        <v>1</v>
      </c>
      <c r="G136" s="169">
        <v>0.5</v>
      </c>
      <c r="H136" s="169">
        <v>0.5</v>
      </c>
      <c r="I136" s="169">
        <v>0.75</v>
      </c>
      <c r="J136" s="169">
        <v>0.83333333333333337</v>
      </c>
      <c r="K136" s="169">
        <v>1</v>
      </c>
      <c r="L136" s="167">
        <f t="shared" si="2"/>
        <v>0.78703703703703698</v>
      </c>
    </row>
    <row r="137" spans="1:12" x14ac:dyDescent="0.25">
      <c r="A137" s="152">
        <v>361</v>
      </c>
      <c r="B137" s="152">
        <v>7</v>
      </c>
      <c r="C137" s="173" t="s">
        <v>188</v>
      </c>
      <c r="D137" s="169">
        <v>0.5</v>
      </c>
      <c r="E137" s="169">
        <v>0</v>
      </c>
      <c r="F137" s="169">
        <v>0</v>
      </c>
      <c r="G137" s="169">
        <v>0.5</v>
      </c>
      <c r="H137" s="169">
        <v>0.5</v>
      </c>
      <c r="I137" s="169">
        <v>0</v>
      </c>
      <c r="J137" s="169">
        <v>0</v>
      </c>
      <c r="K137" s="169">
        <v>1</v>
      </c>
      <c r="L137" s="167">
        <f t="shared" si="2"/>
        <v>0.3611111111111111</v>
      </c>
    </row>
    <row r="138" spans="1:12" x14ac:dyDescent="0.25">
      <c r="A138" s="152">
        <v>376</v>
      </c>
      <c r="B138" s="152">
        <v>7</v>
      </c>
      <c r="C138" s="173" t="s">
        <v>189</v>
      </c>
      <c r="D138" s="169">
        <v>0.66666666666666663</v>
      </c>
      <c r="E138" s="169">
        <v>1</v>
      </c>
      <c r="F138" s="169">
        <v>1</v>
      </c>
      <c r="G138" s="169">
        <v>0.25</v>
      </c>
      <c r="H138" s="169">
        <v>0.75</v>
      </c>
      <c r="I138" s="169">
        <v>0.33333333333333331</v>
      </c>
      <c r="J138" s="169">
        <v>0.5</v>
      </c>
      <c r="K138" s="169">
        <v>1</v>
      </c>
      <c r="L138" s="167">
        <f t="shared" si="2"/>
        <v>0.64814814814814814</v>
      </c>
    </row>
    <row r="139" spans="1:12" x14ac:dyDescent="0.25">
      <c r="A139" s="152">
        <v>382</v>
      </c>
      <c r="B139" s="152">
        <v>7</v>
      </c>
      <c r="C139" s="173" t="s">
        <v>190</v>
      </c>
      <c r="D139" s="169">
        <v>1</v>
      </c>
      <c r="E139" s="169">
        <v>0.66666666666666663</v>
      </c>
      <c r="F139" s="169">
        <v>0.75</v>
      </c>
      <c r="G139" s="169">
        <v>0</v>
      </c>
      <c r="H139" s="169">
        <v>0.75</v>
      </c>
      <c r="I139" s="169">
        <v>0.5</v>
      </c>
      <c r="J139" s="169">
        <v>0.66666666666666663</v>
      </c>
      <c r="K139" s="169">
        <v>1</v>
      </c>
      <c r="L139" s="167">
        <f t="shared" si="2"/>
        <v>0.65046296296296302</v>
      </c>
    </row>
    <row r="140" spans="1:12" x14ac:dyDescent="0.25">
      <c r="A140" s="152">
        <v>389</v>
      </c>
      <c r="B140" s="152">
        <v>7</v>
      </c>
      <c r="C140" s="173" t="s">
        <v>191</v>
      </c>
      <c r="D140" s="169">
        <v>0.5</v>
      </c>
      <c r="E140" s="169">
        <v>0</v>
      </c>
      <c r="F140" s="169">
        <v>0.75</v>
      </c>
      <c r="G140" s="169">
        <v>0.5</v>
      </c>
      <c r="H140" s="169">
        <v>1</v>
      </c>
      <c r="I140" s="169">
        <v>0</v>
      </c>
      <c r="J140" s="169">
        <v>0.66666666666666663</v>
      </c>
      <c r="K140" s="169">
        <v>0.5</v>
      </c>
      <c r="L140" s="167">
        <f t="shared" si="2"/>
        <v>0.52546296296296291</v>
      </c>
    </row>
    <row r="141" spans="1:12" x14ac:dyDescent="0.25">
      <c r="A141" s="152">
        <v>420</v>
      </c>
      <c r="B141" s="152">
        <v>7</v>
      </c>
      <c r="C141" s="173" t="s">
        <v>283</v>
      </c>
      <c r="D141" s="169">
        <v>0.66666666666666663</v>
      </c>
      <c r="E141" s="169">
        <v>0.5</v>
      </c>
      <c r="F141" s="169">
        <v>0</v>
      </c>
      <c r="G141" s="169">
        <v>0.75</v>
      </c>
      <c r="H141" s="169">
        <v>0.75</v>
      </c>
      <c r="I141" s="169">
        <v>0</v>
      </c>
      <c r="J141" s="169">
        <v>0</v>
      </c>
      <c r="K141" s="169">
        <v>1</v>
      </c>
      <c r="L141" s="167">
        <f t="shared" si="2"/>
        <v>0.51388888888888884</v>
      </c>
    </row>
    <row r="142" spans="1:12" x14ac:dyDescent="0.25">
      <c r="A142" s="152">
        <v>434</v>
      </c>
      <c r="B142" s="152">
        <v>7</v>
      </c>
      <c r="C142" s="173" t="s">
        <v>192</v>
      </c>
      <c r="D142" s="169">
        <v>0.16666666666666666</v>
      </c>
      <c r="E142" s="169">
        <v>1</v>
      </c>
      <c r="F142" s="169">
        <v>0.25</v>
      </c>
      <c r="G142" s="169">
        <v>0</v>
      </c>
      <c r="H142" s="169">
        <v>0.75</v>
      </c>
      <c r="I142" s="169">
        <v>0</v>
      </c>
      <c r="J142" s="169">
        <v>0.33333333333333331</v>
      </c>
      <c r="K142" s="169">
        <v>1</v>
      </c>
      <c r="L142" s="167">
        <f t="shared" si="2"/>
        <v>0.40509259259259256</v>
      </c>
    </row>
    <row r="143" spans="1:12" x14ac:dyDescent="0.25">
      <c r="A143" s="152">
        <v>437</v>
      </c>
      <c r="B143" s="152">
        <v>7</v>
      </c>
      <c r="C143" s="173" t="s">
        <v>193</v>
      </c>
      <c r="D143" s="169">
        <v>0.5</v>
      </c>
      <c r="E143" s="169">
        <v>0</v>
      </c>
      <c r="F143" s="169">
        <v>0.625</v>
      </c>
      <c r="G143" s="169">
        <v>0</v>
      </c>
      <c r="H143" s="169">
        <v>0.25</v>
      </c>
      <c r="I143" s="169">
        <v>0.5</v>
      </c>
      <c r="J143" s="169">
        <v>0.66666666666666663</v>
      </c>
      <c r="K143" s="169">
        <v>1</v>
      </c>
      <c r="L143" s="167">
        <f t="shared" si="2"/>
        <v>0.41782407407407401</v>
      </c>
    </row>
    <row r="144" spans="1:12" x14ac:dyDescent="0.25">
      <c r="A144" s="152">
        <v>502</v>
      </c>
      <c r="B144" s="152">
        <v>7</v>
      </c>
      <c r="C144" s="173" t="s">
        <v>194</v>
      </c>
      <c r="D144" s="169">
        <v>0</v>
      </c>
      <c r="E144" s="169">
        <v>0</v>
      </c>
      <c r="F144" s="169">
        <v>0.5</v>
      </c>
      <c r="G144" s="169">
        <v>0</v>
      </c>
      <c r="H144" s="169">
        <v>0.5</v>
      </c>
      <c r="I144" s="169">
        <v>0.66666666666666663</v>
      </c>
      <c r="J144" s="169">
        <v>0</v>
      </c>
      <c r="K144" s="169">
        <v>1</v>
      </c>
      <c r="L144" s="167">
        <f t="shared" si="2"/>
        <v>0.31018518518518517</v>
      </c>
    </row>
    <row r="145" spans="1:12" x14ac:dyDescent="0.25">
      <c r="A145" s="152">
        <v>503</v>
      </c>
      <c r="B145" s="152">
        <v>7</v>
      </c>
      <c r="C145" s="173" t="s">
        <v>195</v>
      </c>
      <c r="D145" s="169">
        <v>1</v>
      </c>
      <c r="E145" s="169">
        <v>1</v>
      </c>
      <c r="F145" s="169">
        <v>1</v>
      </c>
      <c r="G145" s="169">
        <v>0</v>
      </c>
      <c r="H145" s="169">
        <v>0.75</v>
      </c>
      <c r="I145" s="169">
        <v>0.5</v>
      </c>
      <c r="J145" s="169">
        <v>1</v>
      </c>
      <c r="K145" s="169">
        <v>1</v>
      </c>
      <c r="L145" s="167">
        <f t="shared" si="2"/>
        <v>0.73611111111111116</v>
      </c>
    </row>
    <row r="146" spans="1:12" x14ac:dyDescent="0.25">
      <c r="A146" s="152">
        <v>510</v>
      </c>
      <c r="B146" s="152">
        <v>7</v>
      </c>
      <c r="C146" s="173" t="s">
        <v>196</v>
      </c>
      <c r="D146" s="169">
        <v>0</v>
      </c>
      <c r="E146" s="169">
        <v>0</v>
      </c>
      <c r="F146" s="169">
        <v>0.75</v>
      </c>
      <c r="G146" s="169">
        <v>0.25</v>
      </c>
      <c r="H146" s="169">
        <v>0.75</v>
      </c>
      <c r="I146" s="169">
        <v>0.33333333333333331</v>
      </c>
      <c r="J146" s="169">
        <v>0.5</v>
      </c>
      <c r="K146" s="169">
        <v>0.5</v>
      </c>
      <c r="L146" s="167">
        <f t="shared" si="2"/>
        <v>0.37731481481481488</v>
      </c>
    </row>
    <row r="147" spans="1:12" x14ac:dyDescent="0.25">
      <c r="A147" s="152">
        <v>531</v>
      </c>
      <c r="B147" s="152">
        <v>7</v>
      </c>
      <c r="C147" s="173" t="s">
        <v>197</v>
      </c>
      <c r="D147" s="169">
        <v>1</v>
      </c>
      <c r="E147" s="169">
        <v>1</v>
      </c>
      <c r="F147" s="169">
        <v>0.5</v>
      </c>
      <c r="G147" s="169">
        <v>0.75</v>
      </c>
      <c r="H147" s="169">
        <v>1</v>
      </c>
      <c r="I147" s="169">
        <v>1</v>
      </c>
      <c r="J147" s="169">
        <v>0.83333333333333337</v>
      </c>
      <c r="K147" s="169">
        <v>1</v>
      </c>
      <c r="L147" s="167">
        <f t="shared" si="2"/>
        <v>0.89814814814814814</v>
      </c>
    </row>
    <row r="148" spans="1:12" x14ac:dyDescent="0.25">
      <c r="A148" s="152">
        <v>551</v>
      </c>
      <c r="B148" s="152">
        <v>7</v>
      </c>
      <c r="C148" s="173" t="s">
        <v>199</v>
      </c>
      <c r="D148" s="169">
        <v>0</v>
      </c>
      <c r="E148" s="169">
        <v>0.66666666666666663</v>
      </c>
      <c r="F148" s="169">
        <v>1</v>
      </c>
      <c r="G148" s="169">
        <v>0.75</v>
      </c>
      <c r="H148" s="169">
        <v>0.25</v>
      </c>
      <c r="I148" s="169">
        <v>0</v>
      </c>
      <c r="J148" s="169">
        <v>0.66666666666666663</v>
      </c>
      <c r="K148" s="169">
        <v>1</v>
      </c>
      <c r="L148" s="167">
        <f t="shared" si="2"/>
        <v>0.49074074074074076</v>
      </c>
    </row>
    <row r="149" spans="1:12" x14ac:dyDescent="0.25">
      <c r="A149" s="152">
        <v>555</v>
      </c>
      <c r="B149" s="152">
        <v>7</v>
      </c>
      <c r="C149" s="173" t="s">
        <v>200</v>
      </c>
      <c r="D149" s="169">
        <v>0.5</v>
      </c>
      <c r="E149" s="169">
        <v>1</v>
      </c>
      <c r="F149" s="169">
        <v>0.875</v>
      </c>
      <c r="G149" s="169">
        <v>0.5</v>
      </c>
      <c r="H149" s="169">
        <v>0</v>
      </c>
      <c r="I149" s="169">
        <v>1</v>
      </c>
      <c r="J149" s="169">
        <v>1</v>
      </c>
      <c r="K149" s="169">
        <v>1</v>
      </c>
      <c r="L149" s="167">
        <f t="shared" si="2"/>
        <v>0.65625</v>
      </c>
    </row>
    <row r="150" spans="1:12" x14ac:dyDescent="0.25">
      <c r="A150" s="152">
        <v>556</v>
      </c>
      <c r="B150" s="152">
        <v>7</v>
      </c>
      <c r="C150" s="173" t="s">
        <v>201</v>
      </c>
      <c r="D150" s="169">
        <v>0.83333333333333337</v>
      </c>
      <c r="E150" s="169">
        <v>0.83333333333333337</v>
      </c>
      <c r="F150" s="169">
        <v>1</v>
      </c>
      <c r="G150" s="169">
        <v>0.75</v>
      </c>
      <c r="H150" s="169">
        <v>1</v>
      </c>
      <c r="I150" s="169">
        <v>0.5</v>
      </c>
      <c r="J150" s="169">
        <v>0.83333333333333337</v>
      </c>
      <c r="K150" s="169">
        <v>1</v>
      </c>
      <c r="L150" s="167">
        <f t="shared" si="2"/>
        <v>0.84259259259259256</v>
      </c>
    </row>
    <row r="151" spans="1:12" x14ac:dyDescent="0.25">
      <c r="A151" s="152">
        <v>558</v>
      </c>
      <c r="B151" s="152">
        <v>7</v>
      </c>
      <c r="C151" s="173" t="s">
        <v>202</v>
      </c>
      <c r="D151" s="169">
        <v>0.16666666666666666</v>
      </c>
      <c r="E151" s="169">
        <v>0</v>
      </c>
      <c r="F151" s="169">
        <v>0</v>
      </c>
      <c r="G151" s="169">
        <v>0.75</v>
      </c>
      <c r="H151" s="169">
        <v>0.5</v>
      </c>
      <c r="I151" s="169">
        <v>0</v>
      </c>
      <c r="J151" s="169">
        <v>0</v>
      </c>
      <c r="K151" s="169">
        <v>1</v>
      </c>
      <c r="L151" s="167">
        <f t="shared" si="2"/>
        <v>0.34722222222222221</v>
      </c>
    </row>
    <row r="152" spans="1:12" x14ac:dyDescent="0.25">
      <c r="A152" s="152">
        <v>600</v>
      </c>
      <c r="B152" s="152">
        <v>7</v>
      </c>
      <c r="C152" s="173" t="s">
        <v>203</v>
      </c>
      <c r="D152" s="169">
        <v>1</v>
      </c>
      <c r="E152" s="169">
        <v>1</v>
      </c>
      <c r="F152" s="169">
        <v>0.25</v>
      </c>
      <c r="G152" s="169">
        <v>1</v>
      </c>
      <c r="H152" s="169">
        <v>1</v>
      </c>
      <c r="I152" s="169">
        <v>1</v>
      </c>
      <c r="J152" s="169">
        <v>0.66666666666666663</v>
      </c>
      <c r="K152" s="169">
        <v>1</v>
      </c>
      <c r="L152" s="167">
        <f t="shared" si="2"/>
        <v>0.9004629629629628</v>
      </c>
    </row>
    <row r="153" spans="1:12" x14ac:dyDescent="0.25">
      <c r="A153" s="152">
        <v>604</v>
      </c>
      <c r="B153" s="152">
        <v>7</v>
      </c>
      <c r="C153" s="173" t="s">
        <v>204</v>
      </c>
      <c r="D153" s="169">
        <v>0.33333333333333331</v>
      </c>
      <c r="E153" s="169">
        <v>1</v>
      </c>
      <c r="F153" s="169">
        <v>1</v>
      </c>
      <c r="G153" s="169">
        <v>0</v>
      </c>
      <c r="H153" s="169">
        <v>0.75</v>
      </c>
      <c r="I153" s="169">
        <v>0.33333333333333331</v>
      </c>
      <c r="J153" s="169">
        <v>1</v>
      </c>
      <c r="K153" s="169">
        <v>0.5</v>
      </c>
      <c r="L153" s="167">
        <f t="shared" si="2"/>
        <v>0.55092592592592593</v>
      </c>
    </row>
    <row r="154" spans="1:12" x14ac:dyDescent="0.25">
      <c r="A154" s="152">
        <v>612</v>
      </c>
      <c r="B154" s="152">
        <v>7</v>
      </c>
      <c r="C154" s="173" t="s">
        <v>205</v>
      </c>
      <c r="D154" s="169">
        <v>0.83333333333333337</v>
      </c>
      <c r="E154" s="169">
        <v>0.83333333333333337</v>
      </c>
      <c r="F154" s="169">
        <v>1</v>
      </c>
      <c r="G154" s="169">
        <v>0.75</v>
      </c>
      <c r="H154" s="169">
        <v>0.25</v>
      </c>
      <c r="I154" s="169">
        <v>1</v>
      </c>
      <c r="J154" s="169">
        <v>1</v>
      </c>
      <c r="K154" s="169">
        <v>1</v>
      </c>
      <c r="L154" s="167">
        <f t="shared" si="2"/>
        <v>0.79166666666666674</v>
      </c>
    </row>
    <row r="155" spans="1:12" x14ac:dyDescent="0.25">
      <c r="A155" s="152">
        <v>635</v>
      </c>
      <c r="B155" s="152">
        <v>7</v>
      </c>
      <c r="C155" s="173" t="s">
        <v>312</v>
      </c>
      <c r="D155" s="169">
        <v>0</v>
      </c>
      <c r="E155" s="169">
        <v>0</v>
      </c>
      <c r="F155" s="169">
        <v>0.75</v>
      </c>
      <c r="G155" s="169">
        <v>0.75</v>
      </c>
      <c r="H155" s="169">
        <v>0.25</v>
      </c>
      <c r="I155" s="169">
        <v>0</v>
      </c>
      <c r="J155" s="169">
        <v>0.66666666666666663</v>
      </c>
      <c r="K155" s="169">
        <v>1</v>
      </c>
      <c r="L155" s="167">
        <f t="shared" si="2"/>
        <v>0.4143518518518518</v>
      </c>
    </row>
    <row r="156" spans="1:12" x14ac:dyDescent="0.25">
      <c r="A156" s="152">
        <v>642</v>
      </c>
      <c r="B156" s="152">
        <v>7</v>
      </c>
      <c r="C156" s="173" t="s">
        <v>336</v>
      </c>
      <c r="D156" s="169">
        <v>0</v>
      </c>
      <c r="E156" s="169">
        <v>0</v>
      </c>
      <c r="F156" s="169">
        <v>0</v>
      </c>
      <c r="G156" s="169">
        <v>0.5</v>
      </c>
      <c r="H156" s="169">
        <v>0.75</v>
      </c>
      <c r="I156" s="169">
        <v>0</v>
      </c>
      <c r="J156" s="169">
        <v>0</v>
      </c>
      <c r="K156" s="169">
        <v>1</v>
      </c>
      <c r="L156" s="167">
        <f t="shared" si="2"/>
        <v>0.31944444444444442</v>
      </c>
    </row>
    <row r="157" spans="1:12" x14ac:dyDescent="0.25">
      <c r="A157" s="152">
        <v>643</v>
      </c>
      <c r="B157" s="152">
        <v>7</v>
      </c>
      <c r="C157" s="173" t="s">
        <v>337</v>
      </c>
      <c r="D157" s="169">
        <v>0.83333333333333337</v>
      </c>
      <c r="E157" s="169">
        <v>0.66666666666666663</v>
      </c>
      <c r="F157" s="169">
        <v>0.75</v>
      </c>
      <c r="G157" s="169">
        <v>0.25</v>
      </c>
      <c r="H157" s="169">
        <v>0</v>
      </c>
      <c r="I157" s="169">
        <v>1</v>
      </c>
      <c r="J157" s="169">
        <v>0.83333333333333337</v>
      </c>
      <c r="K157" s="169">
        <v>1</v>
      </c>
      <c r="L157" s="167">
        <f t="shared" si="2"/>
        <v>0.61342592592592582</v>
      </c>
    </row>
    <row r="158" spans="1:12" x14ac:dyDescent="0.25">
      <c r="A158" s="152">
        <v>711</v>
      </c>
      <c r="B158" s="152">
        <v>7</v>
      </c>
      <c r="C158" s="173" t="s">
        <v>206</v>
      </c>
      <c r="D158" s="169">
        <v>1</v>
      </c>
      <c r="E158" s="169">
        <v>1</v>
      </c>
      <c r="F158" s="169">
        <v>1</v>
      </c>
      <c r="G158" s="169">
        <v>1</v>
      </c>
      <c r="H158" s="169">
        <v>0.75</v>
      </c>
      <c r="I158" s="169">
        <v>0</v>
      </c>
      <c r="J158" s="169">
        <v>0.66666666666666663</v>
      </c>
      <c r="K158" s="169">
        <v>0.5</v>
      </c>
      <c r="L158" s="167">
        <f t="shared" si="2"/>
        <v>0.75462962962962965</v>
      </c>
    </row>
    <row r="159" spans="1:12" x14ac:dyDescent="0.25">
      <c r="A159" s="152">
        <v>712</v>
      </c>
      <c r="B159" s="152">
        <v>7</v>
      </c>
      <c r="C159" s="173" t="s">
        <v>207</v>
      </c>
      <c r="D159" s="169">
        <v>1</v>
      </c>
      <c r="E159" s="169">
        <v>0.66666666666666663</v>
      </c>
      <c r="F159" s="169">
        <v>0.75</v>
      </c>
      <c r="G159" s="169">
        <v>1</v>
      </c>
      <c r="H159" s="169">
        <v>1</v>
      </c>
      <c r="I159" s="169">
        <v>0</v>
      </c>
      <c r="J159" s="169">
        <v>1</v>
      </c>
      <c r="K159" s="169">
        <v>1</v>
      </c>
      <c r="L159" s="167">
        <f t="shared" si="2"/>
        <v>0.84027777777777768</v>
      </c>
    </row>
    <row r="160" spans="1:12" x14ac:dyDescent="0.25">
      <c r="A160" s="152">
        <v>718</v>
      </c>
      <c r="B160" s="152">
        <v>7</v>
      </c>
      <c r="C160" s="173" t="s">
        <v>208</v>
      </c>
      <c r="D160" s="169">
        <v>0.16666666666666666</v>
      </c>
      <c r="E160" s="169">
        <v>0.33333333333333331</v>
      </c>
      <c r="F160" s="169">
        <v>0</v>
      </c>
      <c r="G160" s="169">
        <v>0</v>
      </c>
      <c r="H160" s="169">
        <v>0.25</v>
      </c>
      <c r="I160" s="169">
        <v>0</v>
      </c>
      <c r="J160" s="169">
        <v>0</v>
      </c>
      <c r="K160" s="169">
        <v>1</v>
      </c>
      <c r="L160" s="167">
        <f t="shared" si="2"/>
        <v>0.20833333333333331</v>
      </c>
    </row>
    <row r="161" spans="1:12" x14ac:dyDescent="0.25">
      <c r="A161" s="152">
        <v>736</v>
      </c>
      <c r="B161" s="152">
        <v>7</v>
      </c>
      <c r="C161" s="173" t="s">
        <v>209</v>
      </c>
      <c r="D161" s="169">
        <v>0</v>
      </c>
      <c r="E161" s="169">
        <v>0.33333333333333331</v>
      </c>
      <c r="F161" s="169">
        <v>0</v>
      </c>
      <c r="G161" s="169">
        <v>0</v>
      </c>
      <c r="H161" s="169">
        <v>0</v>
      </c>
      <c r="I161" s="169">
        <v>0</v>
      </c>
      <c r="J161" s="169">
        <v>0.33333333333333331</v>
      </c>
      <c r="K161" s="169">
        <v>1</v>
      </c>
      <c r="L161" s="167">
        <f t="shared" si="2"/>
        <v>0.17592592592592593</v>
      </c>
    </row>
    <row r="162" spans="1:12" x14ac:dyDescent="0.25">
      <c r="A162" s="152">
        <v>757</v>
      </c>
      <c r="B162" s="152">
        <v>7</v>
      </c>
      <c r="C162" s="173" t="s">
        <v>210</v>
      </c>
      <c r="D162" s="169">
        <v>1</v>
      </c>
      <c r="E162" s="169">
        <v>1</v>
      </c>
      <c r="F162" s="169">
        <v>1</v>
      </c>
      <c r="G162" s="169">
        <v>0.75</v>
      </c>
      <c r="H162" s="169">
        <v>0.75</v>
      </c>
      <c r="I162" s="169">
        <v>1</v>
      </c>
      <c r="J162" s="169">
        <v>1</v>
      </c>
      <c r="K162" s="169">
        <v>1</v>
      </c>
      <c r="L162" s="167">
        <f t="shared" si="2"/>
        <v>0.91666666666666674</v>
      </c>
    </row>
    <row r="163" spans="1:12" x14ac:dyDescent="0.25">
      <c r="A163" s="152">
        <v>786</v>
      </c>
      <c r="B163" s="152">
        <v>7</v>
      </c>
      <c r="C163" s="173" t="s">
        <v>211</v>
      </c>
      <c r="D163" s="169">
        <v>1</v>
      </c>
      <c r="E163" s="169">
        <v>1</v>
      </c>
      <c r="F163" s="169">
        <v>1</v>
      </c>
      <c r="G163" s="169">
        <v>0.75</v>
      </c>
      <c r="H163" s="169">
        <v>0.75</v>
      </c>
      <c r="I163" s="169">
        <v>1</v>
      </c>
      <c r="J163" s="169">
        <v>1</v>
      </c>
      <c r="K163" s="169">
        <v>1</v>
      </c>
      <c r="L163" s="167">
        <f t="shared" si="2"/>
        <v>0.91666666666666674</v>
      </c>
    </row>
    <row r="164" spans="1:12" x14ac:dyDescent="0.25">
      <c r="A164" s="152">
        <v>854</v>
      </c>
      <c r="B164" s="152">
        <v>7</v>
      </c>
      <c r="C164" s="173" t="s">
        <v>212</v>
      </c>
      <c r="D164" s="169">
        <v>1</v>
      </c>
      <c r="E164" s="169">
        <v>1</v>
      </c>
      <c r="F164" s="169">
        <v>1</v>
      </c>
      <c r="G164" s="169">
        <v>0.75</v>
      </c>
      <c r="H164" s="169">
        <v>0.75</v>
      </c>
      <c r="I164" s="169">
        <v>0.83333333333333337</v>
      </c>
      <c r="J164" s="169">
        <v>0.83333333333333337</v>
      </c>
      <c r="K164" s="169">
        <v>1</v>
      </c>
      <c r="L164" s="167">
        <f t="shared" si="2"/>
        <v>0.87962962962962954</v>
      </c>
    </row>
    <row r="165" spans="1:12" x14ac:dyDescent="0.25">
      <c r="A165" s="152">
        <v>855</v>
      </c>
      <c r="B165" s="152">
        <v>7</v>
      </c>
      <c r="C165" s="173" t="s">
        <v>213</v>
      </c>
      <c r="D165" s="169">
        <v>0</v>
      </c>
      <c r="E165" s="169">
        <v>0</v>
      </c>
      <c r="F165" s="169">
        <v>1</v>
      </c>
      <c r="G165" s="169">
        <v>0</v>
      </c>
      <c r="H165" s="169">
        <v>0.25</v>
      </c>
      <c r="I165" s="169">
        <v>0.5</v>
      </c>
      <c r="J165" s="169">
        <v>0.83333333333333337</v>
      </c>
      <c r="K165" s="169">
        <v>1</v>
      </c>
      <c r="L165" s="167">
        <f t="shared" si="2"/>
        <v>0.38425925925925924</v>
      </c>
    </row>
    <row r="166" spans="1:12" x14ac:dyDescent="0.25">
      <c r="A166" s="152">
        <v>862</v>
      </c>
      <c r="B166" s="152">
        <v>7</v>
      </c>
      <c r="C166" s="173" t="s">
        <v>214</v>
      </c>
      <c r="D166" s="169">
        <v>0.66666666666666663</v>
      </c>
      <c r="E166" s="169">
        <v>0</v>
      </c>
      <c r="F166" s="169">
        <v>0</v>
      </c>
      <c r="G166" s="169">
        <v>0</v>
      </c>
      <c r="H166" s="169">
        <v>1</v>
      </c>
      <c r="I166" s="169">
        <v>0</v>
      </c>
      <c r="J166" s="169">
        <v>0</v>
      </c>
      <c r="K166" s="169">
        <v>0.5</v>
      </c>
      <c r="L166" s="167">
        <f t="shared" si="2"/>
        <v>0.33333333333333337</v>
      </c>
    </row>
    <row r="167" spans="1:12" x14ac:dyDescent="0.25">
      <c r="A167" s="152">
        <v>958</v>
      </c>
      <c r="B167" s="152">
        <v>7</v>
      </c>
      <c r="C167" s="173" t="s">
        <v>215</v>
      </c>
      <c r="D167" s="169">
        <v>0.83333333333333337</v>
      </c>
      <c r="E167" s="169">
        <v>1</v>
      </c>
      <c r="F167" s="169">
        <v>0</v>
      </c>
      <c r="G167" s="169">
        <v>1</v>
      </c>
      <c r="H167" s="169">
        <v>1</v>
      </c>
      <c r="I167" s="169">
        <v>1</v>
      </c>
      <c r="J167" s="169">
        <v>0.66666666666666663</v>
      </c>
      <c r="K167" s="169">
        <v>1</v>
      </c>
      <c r="L167" s="167">
        <f t="shared" si="2"/>
        <v>0.85185185185185164</v>
      </c>
    </row>
    <row r="168" spans="1:12" x14ac:dyDescent="0.25">
      <c r="A168" s="152">
        <v>967</v>
      </c>
      <c r="B168" s="152">
        <v>7</v>
      </c>
      <c r="C168" s="173" t="s">
        <v>216</v>
      </c>
      <c r="D168" s="169">
        <v>0</v>
      </c>
      <c r="E168" s="169">
        <v>0</v>
      </c>
      <c r="F168" s="169">
        <v>0.5</v>
      </c>
      <c r="G168" s="169">
        <v>0.75</v>
      </c>
      <c r="H168" s="169">
        <v>0.75</v>
      </c>
      <c r="I168" s="169">
        <v>0</v>
      </c>
      <c r="J168" s="169">
        <v>0</v>
      </c>
      <c r="K168" s="169">
        <v>0.5</v>
      </c>
      <c r="L168" s="167">
        <f t="shared" si="2"/>
        <v>0.34722222222222221</v>
      </c>
    </row>
    <row r="169" spans="1:12" x14ac:dyDescent="0.25">
      <c r="A169" s="152">
        <v>971</v>
      </c>
      <c r="B169" s="152">
        <v>7</v>
      </c>
      <c r="C169" s="173" t="s">
        <v>217</v>
      </c>
      <c r="D169" s="169">
        <v>1</v>
      </c>
      <c r="E169" s="169">
        <v>0.33333333333333331</v>
      </c>
      <c r="F169" s="169">
        <v>0.25</v>
      </c>
      <c r="G169" s="169">
        <v>0.25</v>
      </c>
      <c r="H169" s="169">
        <v>0.5</v>
      </c>
      <c r="I169" s="169">
        <v>0</v>
      </c>
      <c r="J169" s="169">
        <v>1</v>
      </c>
      <c r="K169" s="169">
        <v>1</v>
      </c>
      <c r="L169" s="167">
        <f t="shared" si="2"/>
        <v>0.5625</v>
      </c>
    </row>
    <row r="170" spans="1:12" x14ac:dyDescent="0.25">
      <c r="A170" s="152">
        <v>975</v>
      </c>
      <c r="B170" s="152">
        <v>7</v>
      </c>
      <c r="C170" s="173" t="s">
        <v>218</v>
      </c>
      <c r="D170" s="169">
        <v>0</v>
      </c>
      <c r="E170" s="169">
        <v>0</v>
      </c>
      <c r="F170" s="169">
        <v>0</v>
      </c>
      <c r="G170" s="169">
        <v>0.75</v>
      </c>
      <c r="H170" s="169">
        <v>0</v>
      </c>
      <c r="I170" s="169">
        <v>0</v>
      </c>
      <c r="J170" s="169">
        <v>0</v>
      </c>
      <c r="K170" s="169">
        <v>1</v>
      </c>
      <c r="L170" s="167">
        <f t="shared" si="2"/>
        <v>0.2361111111111111</v>
      </c>
    </row>
    <row r="171" spans="1:12" x14ac:dyDescent="0.25">
      <c r="A171" s="152">
        <v>976</v>
      </c>
      <c r="B171" s="152">
        <v>7</v>
      </c>
      <c r="C171" s="173" t="s">
        <v>219</v>
      </c>
      <c r="D171" s="169">
        <v>0</v>
      </c>
      <c r="E171" s="169">
        <v>0.66666666666666663</v>
      </c>
      <c r="F171" s="169">
        <v>0.25</v>
      </c>
      <c r="G171" s="169">
        <v>0</v>
      </c>
      <c r="H171" s="169">
        <v>0</v>
      </c>
      <c r="I171" s="169">
        <v>0.06</v>
      </c>
      <c r="J171" s="169">
        <v>0.83333333333333337</v>
      </c>
      <c r="K171" s="169">
        <v>1</v>
      </c>
      <c r="L171" s="167">
        <f t="shared" si="2"/>
        <v>0.28675925925925927</v>
      </c>
    </row>
    <row r="172" spans="1:12" x14ac:dyDescent="0.25">
      <c r="A172" s="152">
        <v>977</v>
      </c>
      <c r="B172" s="152">
        <v>7</v>
      </c>
      <c r="C172" s="173" t="s">
        <v>220</v>
      </c>
      <c r="D172" s="169">
        <v>0.33333333333333331</v>
      </c>
      <c r="E172" s="169">
        <v>0</v>
      </c>
      <c r="F172" s="169">
        <v>0</v>
      </c>
      <c r="G172" s="169">
        <v>1</v>
      </c>
      <c r="H172" s="169">
        <v>0</v>
      </c>
      <c r="I172" s="169">
        <v>0</v>
      </c>
      <c r="J172" s="169">
        <v>0</v>
      </c>
      <c r="K172" s="169">
        <v>0.5</v>
      </c>
      <c r="L172" s="167">
        <f t="shared" si="2"/>
        <v>0.27777777777777779</v>
      </c>
    </row>
    <row r="173" spans="1:12" x14ac:dyDescent="0.25">
      <c r="A173" s="152">
        <v>979</v>
      </c>
      <c r="B173" s="152">
        <v>7</v>
      </c>
      <c r="C173" s="173" t="s">
        <v>305</v>
      </c>
      <c r="D173" s="169">
        <v>0.66666666666666663</v>
      </c>
      <c r="E173" s="169">
        <v>1</v>
      </c>
      <c r="F173" s="169">
        <v>1</v>
      </c>
      <c r="G173" s="169">
        <v>1</v>
      </c>
      <c r="H173" s="169">
        <v>1</v>
      </c>
      <c r="I173" s="169">
        <v>1</v>
      </c>
      <c r="J173" s="169">
        <v>1</v>
      </c>
      <c r="K173" s="169">
        <v>1</v>
      </c>
      <c r="L173" s="167">
        <f t="shared" si="2"/>
        <v>0.94444444444444442</v>
      </c>
    </row>
    <row r="174" spans="1:12" x14ac:dyDescent="0.25">
      <c r="A174" s="152">
        <v>981</v>
      </c>
      <c r="B174" s="152">
        <v>7</v>
      </c>
      <c r="C174" s="173" t="s">
        <v>221</v>
      </c>
      <c r="D174" s="169">
        <v>0.16666666666666666</v>
      </c>
      <c r="E174" s="169">
        <v>0.33333333333333331</v>
      </c>
      <c r="F174" s="169">
        <v>0.375</v>
      </c>
      <c r="G174" s="169">
        <v>1</v>
      </c>
      <c r="H174" s="169">
        <v>0.75</v>
      </c>
      <c r="I174" s="169">
        <v>0</v>
      </c>
      <c r="J174" s="169">
        <v>0</v>
      </c>
      <c r="K174" s="169">
        <v>1</v>
      </c>
      <c r="L174" s="167">
        <f t="shared" si="2"/>
        <v>0.48958333333333331</v>
      </c>
    </row>
    <row r="175" spans="1:12" x14ac:dyDescent="0.25">
      <c r="A175" s="152">
        <v>983</v>
      </c>
      <c r="B175" s="152">
        <v>7</v>
      </c>
      <c r="C175" s="173" t="s">
        <v>222</v>
      </c>
      <c r="D175" s="169">
        <v>0.66666666666666663</v>
      </c>
      <c r="E175" s="169">
        <v>0.66666666666666663</v>
      </c>
      <c r="F175" s="169">
        <v>0.375</v>
      </c>
      <c r="G175" s="169">
        <v>0.25</v>
      </c>
      <c r="H175" s="169">
        <v>1</v>
      </c>
      <c r="I175" s="169">
        <v>0</v>
      </c>
      <c r="J175" s="169">
        <v>0</v>
      </c>
      <c r="K175" s="169">
        <v>1</v>
      </c>
      <c r="L175" s="167">
        <f t="shared" si="2"/>
        <v>0.51736111111111116</v>
      </c>
    </row>
    <row r="176" spans="1:12" x14ac:dyDescent="0.25">
      <c r="A176" s="152">
        <v>984</v>
      </c>
      <c r="B176" s="152">
        <v>7</v>
      </c>
      <c r="C176" s="173" t="s">
        <v>338</v>
      </c>
      <c r="D176" s="169">
        <v>1</v>
      </c>
      <c r="E176" s="169">
        <v>1</v>
      </c>
      <c r="F176" s="169">
        <v>0.5</v>
      </c>
      <c r="G176" s="169">
        <v>0.75</v>
      </c>
      <c r="H176" s="169">
        <v>1</v>
      </c>
      <c r="I176" s="169">
        <v>0</v>
      </c>
      <c r="J176" s="169">
        <v>0.66666666666666663</v>
      </c>
      <c r="K176" s="169">
        <v>1</v>
      </c>
      <c r="L176" s="167">
        <f t="shared" si="2"/>
        <v>0.7685185185185186</v>
      </c>
    </row>
    <row r="177" spans="1:12" x14ac:dyDescent="0.25">
      <c r="A177" s="152">
        <v>188</v>
      </c>
      <c r="B177" s="152">
        <v>8</v>
      </c>
      <c r="C177" s="173" t="s">
        <v>223</v>
      </c>
      <c r="D177" s="169">
        <v>1</v>
      </c>
      <c r="E177" s="169">
        <v>1</v>
      </c>
      <c r="F177" s="169">
        <v>0.75</v>
      </c>
      <c r="G177" s="169">
        <v>0.75</v>
      </c>
      <c r="H177" s="169">
        <v>0.5</v>
      </c>
      <c r="I177" s="169">
        <v>0.75</v>
      </c>
      <c r="J177" s="169">
        <v>0</v>
      </c>
      <c r="K177" s="169">
        <v>1</v>
      </c>
      <c r="L177" s="167">
        <f t="shared" si="2"/>
        <v>0.7152777777777779</v>
      </c>
    </row>
    <row r="178" spans="1:12" x14ac:dyDescent="0.25">
      <c r="A178" s="152">
        <v>232</v>
      </c>
      <c r="B178" s="152">
        <v>8</v>
      </c>
      <c r="C178" s="173" t="s">
        <v>224</v>
      </c>
      <c r="D178" s="169">
        <v>0</v>
      </c>
      <c r="E178" s="169">
        <v>0</v>
      </c>
      <c r="F178" s="169">
        <v>0</v>
      </c>
      <c r="G178" s="169">
        <v>1</v>
      </c>
      <c r="H178" s="169">
        <v>0</v>
      </c>
      <c r="I178" s="169">
        <v>0</v>
      </c>
      <c r="J178" s="169">
        <v>0</v>
      </c>
      <c r="K178" s="169">
        <v>1</v>
      </c>
      <c r="L178" s="167">
        <f t="shared" si="2"/>
        <v>0.27777777777777779</v>
      </c>
    </row>
    <row r="179" spans="1:12" x14ac:dyDescent="0.25">
      <c r="A179" s="152">
        <v>245</v>
      </c>
      <c r="B179" s="152">
        <v>8</v>
      </c>
      <c r="C179" s="173" t="s">
        <v>225</v>
      </c>
      <c r="D179" s="169">
        <v>0.83333333333333337</v>
      </c>
      <c r="E179" s="169">
        <v>0</v>
      </c>
      <c r="F179" s="169">
        <v>0.5</v>
      </c>
      <c r="G179" s="169">
        <v>1</v>
      </c>
      <c r="H179" s="169">
        <v>0</v>
      </c>
      <c r="I179" s="169">
        <v>1</v>
      </c>
      <c r="J179" s="169">
        <v>0.66666666666666663</v>
      </c>
      <c r="K179" s="169">
        <v>1</v>
      </c>
      <c r="L179" s="167">
        <f t="shared" si="2"/>
        <v>0.6435185185185186</v>
      </c>
    </row>
    <row r="180" spans="1:12" x14ac:dyDescent="0.25">
      <c r="A180" s="152">
        <v>372</v>
      </c>
      <c r="B180" s="152">
        <v>8</v>
      </c>
      <c r="C180" s="173" t="s">
        <v>226</v>
      </c>
      <c r="D180" s="169">
        <v>0.5</v>
      </c>
      <c r="E180" s="169">
        <v>0</v>
      </c>
      <c r="F180" s="169">
        <v>0.5</v>
      </c>
      <c r="G180" s="169">
        <v>1</v>
      </c>
      <c r="H180" s="169">
        <v>0.75</v>
      </c>
      <c r="I180" s="169">
        <v>0</v>
      </c>
      <c r="J180" s="169">
        <v>0</v>
      </c>
      <c r="K180" s="169">
        <v>0.5</v>
      </c>
      <c r="L180" s="167">
        <f t="shared" si="2"/>
        <v>0.47222222222222221</v>
      </c>
    </row>
    <row r="181" spans="1:12" x14ac:dyDescent="0.25">
      <c r="A181" s="152">
        <v>375</v>
      </c>
      <c r="B181" s="152">
        <v>8</v>
      </c>
      <c r="C181" s="172" t="s">
        <v>227</v>
      </c>
      <c r="D181" s="169">
        <v>0.33333333333333331</v>
      </c>
      <c r="E181" s="169">
        <v>0.16666666666666666</v>
      </c>
      <c r="F181" s="169">
        <v>0</v>
      </c>
      <c r="G181" s="169">
        <v>0.75</v>
      </c>
      <c r="H181" s="169">
        <v>0</v>
      </c>
      <c r="I181" s="169">
        <v>1</v>
      </c>
      <c r="J181" s="169">
        <v>0</v>
      </c>
      <c r="K181" s="169">
        <v>0.5</v>
      </c>
      <c r="L181" s="167">
        <f t="shared" si="2"/>
        <v>0.36111111111111116</v>
      </c>
    </row>
    <row r="182" spans="1:12" x14ac:dyDescent="0.25">
      <c r="A182" s="152">
        <v>404</v>
      </c>
      <c r="B182" s="152">
        <v>8</v>
      </c>
      <c r="C182" s="173" t="s">
        <v>228</v>
      </c>
      <c r="D182" s="169">
        <v>0</v>
      </c>
      <c r="E182" s="169">
        <v>0</v>
      </c>
      <c r="F182" s="169">
        <v>0.75</v>
      </c>
      <c r="G182" s="169">
        <v>1</v>
      </c>
      <c r="H182" s="169">
        <v>0.75</v>
      </c>
      <c r="I182" s="169">
        <v>0</v>
      </c>
      <c r="J182" s="169">
        <v>0</v>
      </c>
      <c r="K182" s="169">
        <v>0</v>
      </c>
      <c r="L182" s="167">
        <f t="shared" si="2"/>
        <v>0.35416666666666663</v>
      </c>
    </row>
    <row r="183" spans="1:12" x14ac:dyDescent="0.25">
      <c r="A183" s="152">
        <v>413</v>
      </c>
      <c r="B183" s="152">
        <v>8</v>
      </c>
      <c r="C183" s="173" t="s">
        <v>229</v>
      </c>
      <c r="D183" s="169">
        <v>0.66666666666666663</v>
      </c>
      <c r="E183" s="169">
        <v>0</v>
      </c>
      <c r="F183" s="169">
        <v>0</v>
      </c>
      <c r="G183" s="169">
        <v>0.75</v>
      </c>
      <c r="H183" s="169">
        <v>0</v>
      </c>
      <c r="I183" s="169">
        <v>0</v>
      </c>
      <c r="J183" s="169">
        <v>0.33333333333333331</v>
      </c>
      <c r="K183" s="169">
        <v>1</v>
      </c>
      <c r="L183" s="167">
        <f t="shared" si="2"/>
        <v>0.38425925925925924</v>
      </c>
    </row>
    <row r="184" spans="1:12" x14ac:dyDescent="0.25">
      <c r="A184" s="152">
        <v>537</v>
      </c>
      <c r="B184" s="152">
        <v>8</v>
      </c>
      <c r="C184" s="173" t="s">
        <v>230</v>
      </c>
      <c r="D184" s="169">
        <v>0.5</v>
      </c>
      <c r="E184" s="169">
        <v>0</v>
      </c>
      <c r="F184" s="169">
        <v>0</v>
      </c>
      <c r="G184" s="169">
        <v>0</v>
      </c>
      <c r="H184" s="169">
        <v>0.5</v>
      </c>
      <c r="I184" s="169">
        <v>0</v>
      </c>
      <c r="J184" s="169">
        <v>0</v>
      </c>
      <c r="K184" s="169">
        <v>0.5</v>
      </c>
      <c r="L184" s="167">
        <f t="shared" si="2"/>
        <v>0.22222222222222221</v>
      </c>
    </row>
    <row r="185" spans="1:12" x14ac:dyDescent="0.25">
      <c r="A185" s="152">
        <v>545</v>
      </c>
      <c r="B185" s="152">
        <v>8</v>
      </c>
      <c r="C185" s="173" t="s">
        <v>231</v>
      </c>
      <c r="D185" s="169">
        <v>0.83333333333333337</v>
      </c>
      <c r="E185" s="169">
        <v>0.83333333333333337</v>
      </c>
      <c r="F185" s="169">
        <v>0.25</v>
      </c>
      <c r="G185" s="169">
        <v>0.25</v>
      </c>
      <c r="H185" s="169">
        <v>1</v>
      </c>
      <c r="I185" s="169">
        <v>0</v>
      </c>
      <c r="J185" s="169">
        <v>0.66666666666666663</v>
      </c>
      <c r="K185" s="169">
        <v>0.5</v>
      </c>
      <c r="L185" s="167">
        <f t="shared" si="2"/>
        <v>0.56712962962962965</v>
      </c>
    </row>
    <row r="186" spans="1:12" x14ac:dyDescent="0.25">
      <c r="A186" s="152">
        <v>602</v>
      </c>
      <c r="B186" s="152">
        <v>8</v>
      </c>
      <c r="C186" s="173" t="s">
        <v>232</v>
      </c>
      <c r="D186" s="169">
        <v>0.83333333333333337</v>
      </c>
      <c r="E186" s="169">
        <v>0</v>
      </c>
      <c r="F186" s="169">
        <v>0.25</v>
      </c>
      <c r="G186" s="169">
        <v>0</v>
      </c>
      <c r="H186" s="169">
        <v>0</v>
      </c>
      <c r="I186" s="169">
        <v>0</v>
      </c>
      <c r="J186" s="169">
        <v>1</v>
      </c>
      <c r="K186" s="169">
        <v>1</v>
      </c>
      <c r="L186" s="167">
        <f t="shared" si="2"/>
        <v>0.38194444444444448</v>
      </c>
    </row>
    <row r="187" spans="1:12" x14ac:dyDescent="0.25">
      <c r="A187" s="152">
        <v>605</v>
      </c>
      <c r="B187" s="152">
        <v>8</v>
      </c>
      <c r="C187" s="173" t="s">
        <v>233</v>
      </c>
      <c r="D187" s="169">
        <v>0.5</v>
      </c>
      <c r="E187" s="169">
        <v>0</v>
      </c>
      <c r="F187" s="169">
        <v>0</v>
      </c>
      <c r="G187" s="169">
        <v>0.25</v>
      </c>
      <c r="H187" s="169">
        <v>0.75</v>
      </c>
      <c r="I187" s="169">
        <v>0</v>
      </c>
      <c r="J187" s="169">
        <v>0</v>
      </c>
      <c r="K187" s="169">
        <v>0.5</v>
      </c>
      <c r="L187" s="167">
        <f t="shared" si="2"/>
        <v>0.30555555555555558</v>
      </c>
    </row>
    <row r="188" spans="1:12" x14ac:dyDescent="0.25">
      <c r="A188" s="152">
        <v>607</v>
      </c>
      <c r="B188" s="152">
        <v>8</v>
      </c>
      <c r="C188" s="173" t="s">
        <v>234</v>
      </c>
      <c r="D188" s="169">
        <v>0.66666666666666663</v>
      </c>
      <c r="E188" s="169">
        <v>0</v>
      </c>
      <c r="F188" s="169">
        <v>0</v>
      </c>
      <c r="G188" s="169">
        <v>0.25</v>
      </c>
      <c r="H188" s="169">
        <v>0.75</v>
      </c>
      <c r="I188" s="169">
        <v>0</v>
      </c>
      <c r="J188" s="169">
        <v>0</v>
      </c>
      <c r="K188" s="169">
        <v>0.5</v>
      </c>
      <c r="L188" s="167">
        <f t="shared" si="2"/>
        <v>0.33333333333333337</v>
      </c>
    </row>
    <row r="189" spans="1:12" x14ac:dyDescent="0.25">
      <c r="A189" s="152">
        <v>610</v>
      </c>
      <c r="B189" s="152">
        <v>8</v>
      </c>
      <c r="C189" s="173" t="s">
        <v>235</v>
      </c>
      <c r="D189" s="169">
        <v>0.33333333333333331</v>
      </c>
      <c r="E189" s="169">
        <v>0.16666666666666666</v>
      </c>
      <c r="F189" s="169">
        <v>0</v>
      </c>
      <c r="G189" s="169">
        <v>0.25</v>
      </c>
      <c r="H189" s="169">
        <v>1</v>
      </c>
      <c r="I189" s="169">
        <v>0</v>
      </c>
      <c r="J189" s="169">
        <v>0</v>
      </c>
      <c r="K189" s="169">
        <v>0.5</v>
      </c>
      <c r="L189" s="167">
        <f t="shared" si="2"/>
        <v>0.33333333333333337</v>
      </c>
    </row>
    <row r="190" spans="1:12" x14ac:dyDescent="0.25">
      <c r="A190" s="152">
        <v>611</v>
      </c>
      <c r="B190" s="152">
        <v>8</v>
      </c>
      <c r="C190" s="173" t="s">
        <v>236</v>
      </c>
      <c r="D190" s="169">
        <v>0.66666666666666663</v>
      </c>
      <c r="E190" s="169">
        <v>0.5</v>
      </c>
      <c r="F190" s="169">
        <v>0.75</v>
      </c>
      <c r="G190" s="169">
        <v>0.25</v>
      </c>
      <c r="H190" s="169">
        <v>0</v>
      </c>
      <c r="I190" s="169">
        <v>0</v>
      </c>
      <c r="J190" s="169">
        <v>0.66666666666666663</v>
      </c>
      <c r="K190" s="169">
        <v>1</v>
      </c>
      <c r="L190" s="167">
        <f t="shared" si="2"/>
        <v>0.44212962962962959</v>
      </c>
    </row>
    <row r="191" spans="1:12" x14ac:dyDescent="0.25">
      <c r="A191" s="152">
        <v>616</v>
      </c>
      <c r="B191" s="152">
        <v>8</v>
      </c>
      <c r="C191" s="173" t="s">
        <v>237</v>
      </c>
      <c r="D191" s="169">
        <v>1</v>
      </c>
      <c r="E191" s="169">
        <v>0.83333333333333337</v>
      </c>
      <c r="F191" s="169">
        <v>0.25</v>
      </c>
      <c r="G191" s="169">
        <v>0.75</v>
      </c>
      <c r="H191" s="169">
        <v>0</v>
      </c>
      <c r="I191" s="169">
        <v>0.5</v>
      </c>
      <c r="J191" s="169">
        <v>0</v>
      </c>
      <c r="K191" s="169">
        <v>0.5</v>
      </c>
      <c r="L191" s="167">
        <f t="shared" si="2"/>
        <v>0.49305555555555558</v>
      </c>
    </row>
    <row r="192" spans="1:12" x14ac:dyDescent="0.25">
      <c r="A192" s="152">
        <v>637</v>
      </c>
      <c r="B192" s="152">
        <v>8</v>
      </c>
      <c r="C192" s="173" t="s">
        <v>314</v>
      </c>
      <c r="D192" s="169">
        <v>0.5</v>
      </c>
      <c r="E192" s="169">
        <v>0</v>
      </c>
      <c r="F192" s="169">
        <v>0</v>
      </c>
      <c r="G192" s="169">
        <v>1</v>
      </c>
      <c r="H192" s="169">
        <v>0</v>
      </c>
      <c r="I192" s="169">
        <v>0</v>
      </c>
      <c r="J192" s="169">
        <v>0</v>
      </c>
      <c r="K192" s="169">
        <v>1</v>
      </c>
      <c r="L192" s="167">
        <f t="shared" si="2"/>
        <v>0.3611111111111111</v>
      </c>
    </row>
    <row r="193" spans="1:12" x14ac:dyDescent="0.25">
      <c r="A193" s="152">
        <v>638</v>
      </c>
      <c r="B193" s="152">
        <v>8</v>
      </c>
      <c r="C193" s="173" t="s">
        <v>315</v>
      </c>
      <c r="D193" s="169">
        <v>1</v>
      </c>
      <c r="E193" s="169">
        <v>0</v>
      </c>
      <c r="F193" s="169">
        <v>0.5</v>
      </c>
      <c r="G193" s="169">
        <v>0.5</v>
      </c>
      <c r="H193" s="169">
        <v>0</v>
      </c>
      <c r="I193" s="169">
        <v>0.5</v>
      </c>
      <c r="J193" s="169">
        <v>0.66666666666666663</v>
      </c>
      <c r="K193" s="169">
        <v>1</v>
      </c>
      <c r="L193" s="167">
        <f t="shared" si="2"/>
        <v>0.53240740740740744</v>
      </c>
    </row>
    <row r="194" spans="1:12" x14ac:dyDescent="0.25">
      <c r="A194" s="152">
        <v>639</v>
      </c>
      <c r="B194" s="152">
        <v>8</v>
      </c>
      <c r="C194" s="173" t="s">
        <v>316</v>
      </c>
      <c r="D194" s="169">
        <v>0.66666666666666663</v>
      </c>
      <c r="E194" s="169">
        <v>1</v>
      </c>
      <c r="F194" s="169">
        <v>0</v>
      </c>
      <c r="G194" s="169">
        <v>1</v>
      </c>
      <c r="H194" s="169">
        <v>0.75</v>
      </c>
      <c r="I194" s="169">
        <v>1</v>
      </c>
      <c r="J194" s="169">
        <v>0.66666666666666663</v>
      </c>
      <c r="K194" s="169">
        <v>0.5</v>
      </c>
      <c r="L194" s="167">
        <f t="shared" si="2"/>
        <v>0.72685185185185175</v>
      </c>
    </row>
    <row r="195" spans="1:12" x14ac:dyDescent="0.25">
      <c r="A195" s="152">
        <v>645</v>
      </c>
      <c r="B195" s="152">
        <v>8</v>
      </c>
      <c r="C195" s="173" t="s">
        <v>339</v>
      </c>
      <c r="D195" s="169">
        <v>0.5</v>
      </c>
      <c r="E195" s="169">
        <v>0</v>
      </c>
      <c r="F195" s="169">
        <v>0</v>
      </c>
      <c r="G195" s="169">
        <v>0</v>
      </c>
      <c r="H195" s="169">
        <v>0</v>
      </c>
      <c r="I195" s="169">
        <v>0</v>
      </c>
      <c r="J195" s="169">
        <v>0.66666666666666663</v>
      </c>
      <c r="K195" s="169">
        <v>1</v>
      </c>
      <c r="L195" s="167">
        <f t="shared" si="2"/>
        <v>0.26851851851851849</v>
      </c>
    </row>
    <row r="196" spans="1:12" x14ac:dyDescent="0.25">
      <c r="A196" s="152">
        <v>709</v>
      </c>
      <c r="B196" s="152">
        <v>8</v>
      </c>
      <c r="C196" s="173" t="s">
        <v>240</v>
      </c>
      <c r="D196" s="169">
        <v>0.66666666666666663</v>
      </c>
      <c r="E196" s="169">
        <v>0</v>
      </c>
      <c r="F196" s="169">
        <v>0</v>
      </c>
      <c r="G196" s="169">
        <v>0.75</v>
      </c>
      <c r="H196" s="169">
        <v>0.75</v>
      </c>
      <c r="I196" s="169">
        <v>0</v>
      </c>
      <c r="J196" s="169">
        <v>0</v>
      </c>
      <c r="K196" s="169">
        <v>1</v>
      </c>
      <c r="L196" s="167">
        <f t="shared" si="2"/>
        <v>0.47222222222222221</v>
      </c>
    </row>
    <row r="197" spans="1:12" x14ac:dyDescent="0.25">
      <c r="A197" s="152">
        <v>714</v>
      </c>
      <c r="B197" s="152">
        <v>8</v>
      </c>
      <c r="C197" s="173" t="s">
        <v>241</v>
      </c>
      <c r="D197" s="169">
        <v>0.16666666666666666</v>
      </c>
      <c r="E197" s="169">
        <v>0</v>
      </c>
      <c r="F197" s="169">
        <v>0</v>
      </c>
      <c r="G197" s="169">
        <v>1</v>
      </c>
      <c r="H197" s="169">
        <v>0.25</v>
      </c>
      <c r="I197" s="169">
        <v>0</v>
      </c>
      <c r="J197" s="169">
        <v>0</v>
      </c>
      <c r="K197" s="169">
        <v>1</v>
      </c>
      <c r="L197" s="167">
        <f t="shared" ref="L197:L252" si="3">SUMPRODUCT($D$2:$K$2,D197:K197)</f>
        <v>0.34722222222222221</v>
      </c>
    </row>
    <row r="198" spans="1:12" x14ac:dyDescent="0.25">
      <c r="A198" s="152">
        <v>749</v>
      </c>
      <c r="B198" s="152">
        <v>8</v>
      </c>
      <c r="C198" s="173" t="s">
        <v>242</v>
      </c>
      <c r="D198" s="169">
        <v>0.5</v>
      </c>
      <c r="E198" s="169">
        <v>0</v>
      </c>
      <c r="F198" s="169">
        <v>0</v>
      </c>
      <c r="G198" s="169">
        <v>0.5</v>
      </c>
      <c r="H198" s="169">
        <v>1</v>
      </c>
      <c r="I198" s="169">
        <v>0</v>
      </c>
      <c r="J198" s="169">
        <v>0</v>
      </c>
      <c r="K198" s="169">
        <v>0</v>
      </c>
      <c r="L198" s="167">
        <f t="shared" si="3"/>
        <v>0.33333333333333331</v>
      </c>
    </row>
    <row r="199" spans="1:12" x14ac:dyDescent="0.25">
      <c r="A199" s="152">
        <v>764</v>
      </c>
      <c r="B199" s="152">
        <v>8</v>
      </c>
      <c r="C199" s="173" t="s">
        <v>243</v>
      </c>
      <c r="D199" s="169">
        <v>0</v>
      </c>
      <c r="E199" s="169">
        <v>0</v>
      </c>
      <c r="F199" s="169">
        <v>0</v>
      </c>
      <c r="G199" s="169">
        <v>0</v>
      </c>
      <c r="H199" s="169">
        <v>0.5</v>
      </c>
      <c r="I199" s="169">
        <v>0</v>
      </c>
      <c r="J199" s="169">
        <v>0</v>
      </c>
      <c r="K199" s="169">
        <v>0.5</v>
      </c>
      <c r="L199" s="167">
        <f t="shared" si="3"/>
        <v>0.1388888888888889</v>
      </c>
    </row>
    <row r="200" spans="1:12" x14ac:dyDescent="0.25">
      <c r="A200" s="152">
        <v>775</v>
      </c>
      <c r="B200" s="152">
        <v>8</v>
      </c>
      <c r="C200" s="173" t="s">
        <v>244</v>
      </c>
      <c r="D200" s="169">
        <v>1</v>
      </c>
      <c r="E200" s="169">
        <v>1</v>
      </c>
      <c r="F200" s="169">
        <v>1</v>
      </c>
      <c r="G200" s="169">
        <v>0.25</v>
      </c>
      <c r="H200" s="169">
        <v>0.75</v>
      </c>
      <c r="I200" s="169">
        <v>1</v>
      </c>
      <c r="J200" s="169">
        <v>0.83333333333333337</v>
      </c>
      <c r="K200" s="169">
        <v>0.5</v>
      </c>
      <c r="L200" s="167">
        <f t="shared" si="3"/>
        <v>0.7592592592592593</v>
      </c>
    </row>
    <row r="201" spans="1:12" x14ac:dyDescent="0.25">
      <c r="A201" s="152">
        <v>790</v>
      </c>
      <c r="B201" s="152">
        <v>8</v>
      </c>
      <c r="C201" s="173" t="s">
        <v>245</v>
      </c>
      <c r="D201" s="169">
        <v>0.66666666666666663</v>
      </c>
      <c r="E201" s="169">
        <v>0</v>
      </c>
      <c r="F201" s="169">
        <v>0</v>
      </c>
      <c r="G201" s="169">
        <v>0</v>
      </c>
      <c r="H201" s="169">
        <v>0.5</v>
      </c>
      <c r="I201" s="169">
        <v>0</v>
      </c>
      <c r="J201" s="169">
        <v>0</v>
      </c>
      <c r="K201" s="169">
        <v>0.5</v>
      </c>
      <c r="L201" s="167">
        <f t="shared" si="3"/>
        <v>0.24999999999999997</v>
      </c>
    </row>
    <row r="202" spans="1:12" x14ac:dyDescent="0.25">
      <c r="A202" s="152">
        <v>795</v>
      </c>
      <c r="B202" s="152">
        <v>8</v>
      </c>
      <c r="C202" s="173" t="s">
        <v>317</v>
      </c>
      <c r="D202" s="169">
        <v>0.5</v>
      </c>
      <c r="E202" s="169">
        <v>1</v>
      </c>
      <c r="F202" s="169">
        <v>0.5</v>
      </c>
      <c r="G202" s="169">
        <v>0.5</v>
      </c>
      <c r="H202" s="169">
        <v>0.25</v>
      </c>
      <c r="I202" s="169">
        <v>0.625</v>
      </c>
      <c r="J202" s="169">
        <v>0.83333333333333337</v>
      </c>
      <c r="K202" s="169">
        <v>1</v>
      </c>
      <c r="L202" s="167">
        <f t="shared" si="3"/>
        <v>0.6064814814814814</v>
      </c>
    </row>
    <row r="203" spans="1:12" x14ac:dyDescent="0.25">
      <c r="A203" s="152">
        <v>796</v>
      </c>
      <c r="B203" s="152">
        <v>8</v>
      </c>
      <c r="C203" s="173" t="s">
        <v>246</v>
      </c>
      <c r="D203" s="169">
        <v>0.66666666666666663</v>
      </c>
      <c r="E203" s="169">
        <v>0</v>
      </c>
      <c r="F203" s="169">
        <v>0</v>
      </c>
      <c r="G203" s="169">
        <v>1</v>
      </c>
      <c r="H203" s="169">
        <v>0.75</v>
      </c>
      <c r="I203" s="169">
        <v>0</v>
      </c>
      <c r="J203" s="169">
        <v>0</v>
      </c>
      <c r="K203" s="169">
        <v>0.5</v>
      </c>
      <c r="L203" s="167">
        <f t="shared" si="3"/>
        <v>0.45833333333333337</v>
      </c>
    </row>
    <row r="204" spans="1:12" x14ac:dyDescent="0.25">
      <c r="A204" s="152">
        <v>797</v>
      </c>
      <c r="B204" s="152">
        <v>8</v>
      </c>
      <c r="C204" s="173" t="s">
        <v>247</v>
      </c>
      <c r="D204" s="169">
        <v>0</v>
      </c>
      <c r="E204" s="169">
        <v>0</v>
      </c>
      <c r="F204" s="169">
        <v>0</v>
      </c>
      <c r="G204" s="169">
        <v>0.5</v>
      </c>
      <c r="H204" s="169">
        <v>0</v>
      </c>
      <c r="I204" s="169">
        <v>0</v>
      </c>
      <c r="J204" s="169">
        <v>0</v>
      </c>
      <c r="K204" s="169">
        <v>0.5</v>
      </c>
      <c r="L204" s="167">
        <f t="shared" si="3"/>
        <v>0.1388888888888889</v>
      </c>
    </row>
    <row r="205" spans="1:12" x14ac:dyDescent="0.25">
      <c r="A205" s="152">
        <v>801</v>
      </c>
      <c r="B205" s="152">
        <v>8</v>
      </c>
      <c r="C205" s="173" t="s">
        <v>248</v>
      </c>
      <c r="D205" s="169">
        <v>0.16666666666666666</v>
      </c>
      <c r="E205" s="169">
        <v>0.83333333333333337</v>
      </c>
      <c r="F205" s="169">
        <v>0.25</v>
      </c>
      <c r="G205" s="169">
        <v>1</v>
      </c>
      <c r="H205" s="169">
        <v>0.75</v>
      </c>
      <c r="I205" s="169">
        <v>0.5</v>
      </c>
      <c r="J205" s="169">
        <v>0.83333333333333337</v>
      </c>
      <c r="K205" s="169">
        <v>0.5</v>
      </c>
      <c r="L205" s="167">
        <f t="shared" si="3"/>
        <v>0.61342592592592593</v>
      </c>
    </row>
    <row r="206" spans="1:12" x14ac:dyDescent="0.25">
      <c r="A206" s="152">
        <v>810</v>
      </c>
      <c r="B206" s="152">
        <v>8</v>
      </c>
      <c r="C206" s="173" t="s">
        <v>249</v>
      </c>
      <c r="D206" s="169">
        <v>1</v>
      </c>
      <c r="E206" s="169">
        <v>1</v>
      </c>
      <c r="F206" s="169">
        <v>0.75</v>
      </c>
      <c r="G206" s="169">
        <v>1</v>
      </c>
      <c r="H206" s="169">
        <v>0.25</v>
      </c>
      <c r="I206" s="169">
        <v>0</v>
      </c>
      <c r="J206" s="169">
        <v>0.83333333333333337</v>
      </c>
      <c r="K206" s="169">
        <v>0.5</v>
      </c>
      <c r="L206" s="167">
        <f t="shared" si="3"/>
        <v>0.6689814814814814</v>
      </c>
    </row>
    <row r="207" spans="1:12" x14ac:dyDescent="0.25">
      <c r="A207" s="152">
        <v>812</v>
      </c>
      <c r="B207" s="152">
        <v>8</v>
      </c>
      <c r="C207" s="173" t="s">
        <v>250</v>
      </c>
      <c r="D207" s="169">
        <v>0.83333333333333337</v>
      </c>
      <c r="E207" s="169">
        <v>0.33333333333333331</v>
      </c>
      <c r="F207" s="169">
        <v>0.5</v>
      </c>
      <c r="G207" s="169">
        <v>1</v>
      </c>
      <c r="H207" s="169">
        <v>0</v>
      </c>
      <c r="I207" s="169">
        <v>0</v>
      </c>
      <c r="J207" s="169">
        <v>0.83333333333333337</v>
      </c>
      <c r="K207" s="169">
        <v>0.5</v>
      </c>
      <c r="L207" s="167">
        <f t="shared" si="3"/>
        <v>0.52314814814814814</v>
      </c>
    </row>
    <row r="208" spans="1:12" x14ac:dyDescent="0.25">
      <c r="A208" s="152">
        <v>818</v>
      </c>
      <c r="B208" s="152">
        <v>8</v>
      </c>
      <c r="C208" s="173" t="s">
        <v>251</v>
      </c>
      <c r="D208" s="169">
        <v>0.16666666666666666</v>
      </c>
      <c r="E208" s="169">
        <v>0</v>
      </c>
      <c r="F208" s="169">
        <v>0</v>
      </c>
      <c r="G208" s="169">
        <v>0.25</v>
      </c>
      <c r="H208" s="169">
        <v>1</v>
      </c>
      <c r="I208" s="169">
        <v>0</v>
      </c>
      <c r="J208" s="169">
        <v>0</v>
      </c>
      <c r="K208" s="169">
        <v>0.5</v>
      </c>
      <c r="L208" s="167">
        <f t="shared" si="3"/>
        <v>0.29166666666666663</v>
      </c>
    </row>
    <row r="209" spans="1:12" x14ac:dyDescent="0.25">
      <c r="A209" s="152">
        <v>833</v>
      </c>
      <c r="B209" s="152">
        <v>8</v>
      </c>
      <c r="C209" s="173" t="s">
        <v>252</v>
      </c>
      <c r="D209" s="169">
        <v>0.33333333333333331</v>
      </c>
      <c r="E209" s="169">
        <v>0</v>
      </c>
      <c r="F209" s="169">
        <v>0</v>
      </c>
      <c r="G209" s="169">
        <v>0.25</v>
      </c>
      <c r="H209" s="169">
        <v>1</v>
      </c>
      <c r="I209" s="169">
        <v>0</v>
      </c>
      <c r="J209" s="169">
        <v>0</v>
      </c>
      <c r="K209" s="169">
        <v>0.5</v>
      </c>
      <c r="L209" s="167">
        <f t="shared" si="3"/>
        <v>0.31944444444444442</v>
      </c>
    </row>
    <row r="210" spans="1:12" x14ac:dyDescent="0.25">
      <c r="A210" s="152">
        <v>834</v>
      </c>
      <c r="B210" s="152">
        <v>8</v>
      </c>
      <c r="C210" s="173" t="s">
        <v>253</v>
      </c>
      <c r="D210" s="169">
        <v>1</v>
      </c>
      <c r="E210" s="169">
        <v>1</v>
      </c>
      <c r="F210" s="169">
        <v>0.25</v>
      </c>
      <c r="G210" s="169">
        <v>1</v>
      </c>
      <c r="H210" s="169">
        <v>0.75</v>
      </c>
      <c r="I210" s="169">
        <v>0</v>
      </c>
      <c r="J210" s="169">
        <v>0.83333333333333337</v>
      </c>
      <c r="K210" s="169">
        <v>0.5</v>
      </c>
      <c r="L210" s="167">
        <f t="shared" si="3"/>
        <v>0.71064814814814814</v>
      </c>
    </row>
    <row r="211" spans="1:12" x14ac:dyDescent="0.25">
      <c r="A211" s="152">
        <v>837</v>
      </c>
      <c r="B211" s="152">
        <v>8</v>
      </c>
      <c r="C211" s="173" t="s">
        <v>254</v>
      </c>
      <c r="D211" s="169">
        <v>1</v>
      </c>
      <c r="E211" s="169">
        <v>0</v>
      </c>
      <c r="F211" s="169">
        <v>0.25</v>
      </c>
      <c r="G211" s="169">
        <v>1</v>
      </c>
      <c r="H211" s="169">
        <v>0.5</v>
      </c>
      <c r="I211" s="169">
        <v>0</v>
      </c>
      <c r="J211" s="169">
        <v>0.66666666666666663</v>
      </c>
      <c r="K211" s="169">
        <v>0.5</v>
      </c>
      <c r="L211" s="167">
        <f t="shared" si="3"/>
        <v>0.56712962962962954</v>
      </c>
    </row>
    <row r="212" spans="1:12" x14ac:dyDescent="0.25">
      <c r="A212" s="152">
        <v>845</v>
      </c>
      <c r="B212" s="152">
        <v>8</v>
      </c>
      <c r="C212" s="173" t="s">
        <v>319</v>
      </c>
      <c r="D212" s="169">
        <v>0.66666666666666663</v>
      </c>
      <c r="E212" s="169">
        <v>1</v>
      </c>
      <c r="F212" s="169">
        <v>0</v>
      </c>
      <c r="G212" s="169">
        <v>0</v>
      </c>
      <c r="H212" s="169">
        <v>0</v>
      </c>
      <c r="I212" s="169">
        <v>1</v>
      </c>
      <c r="J212" s="169">
        <v>0</v>
      </c>
      <c r="K212" s="169">
        <v>0</v>
      </c>
      <c r="L212" s="167">
        <f t="shared" si="3"/>
        <v>0.30555555555555552</v>
      </c>
    </row>
    <row r="213" spans="1:12" x14ac:dyDescent="0.25">
      <c r="A213" s="152">
        <v>847</v>
      </c>
      <c r="B213" s="152">
        <v>8</v>
      </c>
      <c r="C213" s="173" t="s">
        <v>255</v>
      </c>
      <c r="D213" s="169">
        <v>0</v>
      </c>
      <c r="E213" s="169">
        <v>0</v>
      </c>
      <c r="F213" s="169">
        <v>0.25</v>
      </c>
      <c r="G213" s="169">
        <v>1</v>
      </c>
      <c r="H213" s="169">
        <v>0</v>
      </c>
      <c r="I213" s="169">
        <v>0</v>
      </c>
      <c r="J213" s="169">
        <v>0</v>
      </c>
      <c r="K213" s="169">
        <v>0.5</v>
      </c>
      <c r="L213" s="167">
        <f t="shared" si="3"/>
        <v>0.24305555555555555</v>
      </c>
    </row>
    <row r="214" spans="1:12" x14ac:dyDescent="0.25">
      <c r="A214" s="152">
        <v>866</v>
      </c>
      <c r="B214" s="152">
        <v>8</v>
      </c>
      <c r="C214" s="173" t="s">
        <v>256</v>
      </c>
      <c r="D214" s="169">
        <v>1</v>
      </c>
      <c r="E214" s="169">
        <v>1</v>
      </c>
      <c r="F214" s="169">
        <v>0.75</v>
      </c>
      <c r="G214" s="169">
        <v>1</v>
      </c>
      <c r="H214" s="169">
        <v>1</v>
      </c>
      <c r="I214" s="169">
        <v>0</v>
      </c>
      <c r="J214" s="169">
        <v>1</v>
      </c>
      <c r="K214" s="169">
        <v>0.5</v>
      </c>
      <c r="L214" s="167">
        <f t="shared" si="3"/>
        <v>0.8125</v>
      </c>
    </row>
    <row r="215" spans="1:12" x14ac:dyDescent="0.25">
      <c r="A215" s="152">
        <v>871</v>
      </c>
      <c r="B215" s="152">
        <v>8</v>
      </c>
      <c r="C215" s="173" t="s">
        <v>257</v>
      </c>
      <c r="D215" s="169">
        <v>0</v>
      </c>
      <c r="E215" s="169">
        <v>0.33333333333333331</v>
      </c>
      <c r="F215" s="169">
        <v>0</v>
      </c>
      <c r="G215" s="169">
        <v>0</v>
      </c>
      <c r="H215" s="169">
        <v>0.25</v>
      </c>
      <c r="I215" s="169">
        <v>0</v>
      </c>
      <c r="J215" s="169">
        <v>0</v>
      </c>
      <c r="K215" s="169">
        <v>0.5</v>
      </c>
      <c r="L215" s="167">
        <f t="shared" si="3"/>
        <v>0.125</v>
      </c>
    </row>
    <row r="216" spans="1:12" x14ac:dyDescent="0.25">
      <c r="A216" s="152">
        <v>873</v>
      </c>
      <c r="B216" s="152">
        <v>8</v>
      </c>
      <c r="C216" s="173" t="s">
        <v>258</v>
      </c>
      <c r="D216" s="169">
        <v>0.83333333333333337</v>
      </c>
      <c r="E216" s="169">
        <v>0</v>
      </c>
      <c r="F216" s="169">
        <v>0.5</v>
      </c>
      <c r="G216" s="169">
        <v>0.25</v>
      </c>
      <c r="H216" s="169">
        <v>1</v>
      </c>
      <c r="I216" s="169">
        <v>0.16500000000000001</v>
      </c>
      <c r="J216" s="169">
        <v>0.66666666666666663</v>
      </c>
      <c r="K216" s="169">
        <v>0.5</v>
      </c>
      <c r="L216" s="167">
        <f t="shared" si="3"/>
        <v>0.5368518518518518</v>
      </c>
    </row>
    <row r="217" spans="1:12" x14ac:dyDescent="0.25">
      <c r="A217" s="152">
        <v>905</v>
      </c>
      <c r="B217" s="152">
        <v>8</v>
      </c>
      <c r="C217" s="173" t="s">
        <v>261</v>
      </c>
      <c r="D217" s="169">
        <v>0</v>
      </c>
      <c r="E217" s="169">
        <v>0</v>
      </c>
      <c r="F217" s="169">
        <v>0</v>
      </c>
      <c r="G217" s="169">
        <v>0.25</v>
      </c>
      <c r="H217" s="169">
        <v>0.75</v>
      </c>
      <c r="I217" s="169">
        <v>0</v>
      </c>
      <c r="J217" s="169">
        <v>0</v>
      </c>
      <c r="K217" s="169">
        <v>1</v>
      </c>
      <c r="L217" s="167">
        <f t="shared" si="3"/>
        <v>0.27777777777777779</v>
      </c>
    </row>
    <row r="218" spans="1:12" x14ac:dyDescent="0.25">
      <c r="A218" s="152">
        <v>907</v>
      </c>
      <c r="B218" s="152">
        <v>8</v>
      </c>
      <c r="C218" s="173" t="s">
        <v>262</v>
      </c>
      <c r="D218" s="169">
        <v>0</v>
      </c>
      <c r="E218" s="169">
        <v>0</v>
      </c>
      <c r="F218" s="169">
        <v>0</v>
      </c>
      <c r="G218" s="169">
        <v>0.25</v>
      </c>
      <c r="H218" s="169">
        <v>0.25</v>
      </c>
      <c r="I218" s="169">
        <v>1</v>
      </c>
      <c r="J218" s="169">
        <v>0</v>
      </c>
      <c r="K218" s="169">
        <v>0.5</v>
      </c>
      <c r="L218" s="167">
        <f t="shared" si="3"/>
        <v>0.24999999999999997</v>
      </c>
    </row>
    <row r="219" spans="1:12" x14ac:dyDescent="0.25">
      <c r="A219" s="152">
        <v>918</v>
      </c>
      <c r="B219" s="152">
        <v>8</v>
      </c>
      <c r="C219" s="173" t="s">
        <v>263</v>
      </c>
      <c r="D219" s="169">
        <v>0.66666666666666663</v>
      </c>
      <c r="E219" s="169">
        <v>0</v>
      </c>
      <c r="F219" s="169">
        <v>0</v>
      </c>
      <c r="G219" s="169">
        <v>0.5</v>
      </c>
      <c r="H219" s="169">
        <v>0</v>
      </c>
      <c r="I219" s="169">
        <v>0.5</v>
      </c>
      <c r="J219" s="169">
        <v>0.66666666666666663</v>
      </c>
      <c r="K219" s="169">
        <v>0.5</v>
      </c>
      <c r="L219" s="167">
        <f t="shared" si="3"/>
        <v>0.37962962962962965</v>
      </c>
    </row>
    <row r="220" spans="1:12" x14ac:dyDescent="0.25">
      <c r="A220" s="152">
        <v>922</v>
      </c>
      <c r="B220" s="152">
        <v>8</v>
      </c>
      <c r="C220" s="173" t="s">
        <v>264</v>
      </c>
      <c r="D220" s="169">
        <v>0</v>
      </c>
      <c r="E220" s="169">
        <v>0.33333333333333331</v>
      </c>
      <c r="F220" s="169">
        <v>0</v>
      </c>
      <c r="G220" s="169">
        <v>0.25</v>
      </c>
      <c r="H220" s="169">
        <v>0</v>
      </c>
      <c r="I220" s="169">
        <v>1</v>
      </c>
      <c r="J220" s="169">
        <v>0.16666666666666666</v>
      </c>
      <c r="K220" s="169">
        <v>0</v>
      </c>
      <c r="L220" s="167">
        <f t="shared" si="3"/>
        <v>0.19907407407407407</v>
      </c>
    </row>
    <row r="221" spans="1:12" x14ac:dyDescent="0.25">
      <c r="A221" s="152">
        <v>924</v>
      </c>
      <c r="B221" s="152">
        <v>8</v>
      </c>
      <c r="C221" s="173" t="s">
        <v>265</v>
      </c>
      <c r="D221" s="169">
        <v>0</v>
      </c>
      <c r="E221" s="169">
        <v>0.5</v>
      </c>
      <c r="F221" s="169">
        <v>0.5</v>
      </c>
      <c r="G221" s="169">
        <v>0.5</v>
      </c>
      <c r="H221" s="169">
        <v>0.75</v>
      </c>
      <c r="I221" s="169">
        <v>0</v>
      </c>
      <c r="J221" s="169">
        <v>0.33333333333333331</v>
      </c>
      <c r="K221" s="169">
        <v>0.5</v>
      </c>
      <c r="L221" s="167">
        <f t="shared" si="3"/>
        <v>0.38425925925925919</v>
      </c>
    </row>
    <row r="222" spans="1:12" x14ac:dyDescent="0.25">
      <c r="A222" s="152">
        <v>929</v>
      </c>
      <c r="B222" s="152">
        <v>8</v>
      </c>
      <c r="C222" s="173" t="s">
        <v>266</v>
      </c>
      <c r="D222" s="169">
        <v>0.83333333333333337</v>
      </c>
      <c r="E222" s="169">
        <v>0</v>
      </c>
      <c r="F222" s="169">
        <v>0.5</v>
      </c>
      <c r="G222" s="169">
        <v>0.25</v>
      </c>
      <c r="H222" s="169">
        <v>0.5</v>
      </c>
      <c r="I222" s="169">
        <v>0</v>
      </c>
      <c r="J222" s="169">
        <v>0.33333333333333331</v>
      </c>
      <c r="K222" s="169">
        <v>0.5</v>
      </c>
      <c r="L222" s="167">
        <f t="shared" si="3"/>
        <v>0.39814814814814814</v>
      </c>
    </row>
    <row r="223" spans="1:12" x14ac:dyDescent="0.25">
      <c r="A223" s="152">
        <v>955</v>
      </c>
      <c r="B223" s="152">
        <v>8</v>
      </c>
      <c r="C223" s="173" t="s">
        <v>267</v>
      </c>
      <c r="D223" s="169">
        <v>0</v>
      </c>
      <c r="E223" s="169">
        <v>0</v>
      </c>
      <c r="F223" s="169">
        <v>0</v>
      </c>
      <c r="G223" s="169">
        <v>0</v>
      </c>
      <c r="H223" s="169">
        <v>1</v>
      </c>
      <c r="I223" s="169">
        <v>0</v>
      </c>
      <c r="J223" s="169">
        <v>0</v>
      </c>
      <c r="K223" s="169">
        <v>0</v>
      </c>
      <c r="L223" s="167">
        <f t="shared" si="3"/>
        <v>0.16666666666666666</v>
      </c>
    </row>
    <row r="224" spans="1:12" x14ac:dyDescent="0.25">
      <c r="A224" s="152">
        <v>973</v>
      </c>
      <c r="B224" s="152">
        <v>8</v>
      </c>
      <c r="C224" s="173" t="s">
        <v>268</v>
      </c>
      <c r="D224" s="169">
        <v>0</v>
      </c>
      <c r="E224" s="169">
        <v>0.33333333333333331</v>
      </c>
      <c r="F224" s="169">
        <v>0.75</v>
      </c>
      <c r="G224" s="169">
        <v>0</v>
      </c>
      <c r="H224" s="169">
        <v>0.25</v>
      </c>
      <c r="I224" s="169">
        <v>0</v>
      </c>
      <c r="J224" s="169">
        <v>0</v>
      </c>
      <c r="K224" s="169">
        <v>0.5</v>
      </c>
      <c r="L224" s="167">
        <f t="shared" si="3"/>
        <v>0.1875</v>
      </c>
    </row>
    <row r="225" spans="1:12" x14ac:dyDescent="0.25">
      <c r="A225" s="152">
        <v>974</v>
      </c>
      <c r="B225" s="152">
        <v>8</v>
      </c>
      <c r="C225" s="173" t="s">
        <v>269</v>
      </c>
      <c r="D225" s="169">
        <v>0.5</v>
      </c>
      <c r="E225" s="169">
        <v>0</v>
      </c>
      <c r="F225" s="169">
        <v>0.25</v>
      </c>
      <c r="G225" s="169">
        <v>0.25</v>
      </c>
      <c r="H225" s="169">
        <v>0.25</v>
      </c>
      <c r="I225" s="169">
        <v>0.5</v>
      </c>
      <c r="J225" s="169">
        <v>0.83333333333333337</v>
      </c>
      <c r="K225" s="169">
        <v>0</v>
      </c>
      <c r="L225" s="167">
        <f t="shared" si="3"/>
        <v>0.33564814814814814</v>
      </c>
    </row>
    <row r="226" spans="1:12" x14ac:dyDescent="0.25">
      <c r="A226" s="152">
        <v>985</v>
      </c>
      <c r="B226" s="152">
        <v>8</v>
      </c>
      <c r="C226" s="173" t="s">
        <v>271</v>
      </c>
      <c r="D226" s="169">
        <v>0.66666666666666663</v>
      </c>
      <c r="E226" s="169">
        <v>0.33333333333333331</v>
      </c>
      <c r="F226" s="169">
        <v>0</v>
      </c>
      <c r="G226" s="169">
        <v>0</v>
      </c>
      <c r="H226" s="169">
        <v>0</v>
      </c>
      <c r="I226" s="169">
        <v>0.75</v>
      </c>
      <c r="J226" s="169">
        <v>0.16666666666666666</v>
      </c>
      <c r="K226" s="169">
        <v>1</v>
      </c>
      <c r="L226" s="167">
        <f t="shared" si="3"/>
        <v>0.35185185185185186</v>
      </c>
    </row>
    <row r="227" spans="1:12" x14ac:dyDescent="0.25">
      <c r="A227" s="152">
        <v>159</v>
      </c>
      <c r="B227" s="152">
        <v>9</v>
      </c>
      <c r="C227" s="173" t="s">
        <v>273</v>
      </c>
      <c r="D227" s="169">
        <v>1</v>
      </c>
      <c r="E227" s="169">
        <v>0.66666666666666663</v>
      </c>
      <c r="F227" s="169">
        <v>1</v>
      </c>
      <c r="G227" s="169">
        <v>1</v>
      </c>
      <c r="H227" s="169">
        <v>1</v>
      </c>
      <c r="I227" s="169">
        <v>1</v>
      </c>
      <c r="J227" s="169">
        <v>1</v>
      </c>
      <c r="K227" s="169">
        <v>0.5</v>
      </c>
      <c r="L227" s="167">
        <f t="shared" si="3"/>
        <v>0.91666666666666674</v>
      </c>
    </row>
    <row r="228" spans="1:12" x14ac:dyDescent="0.25">
      <c r="A228" s="152">
        <v>173</v>
      </c>
      <c r="B228" s="152">
        <v>9</v>
      </c>
      <c r="C228" s="173" t="s">
        <v>274</v>
      </c>
      <c r="D228" s="169">
        <v>1</v>
      </c>
      <c r="E228" s="169">
        <v>1</v>
      </c>
      <c r="F228" s="169">
        <v>1</v>
      </c>
      <c r="G228" s="169">
        <v>1</v>
      </c>
      <c r="H228" s="169">
        <v>0.75</v>
      </c>
      <c r="I228" s="169">
        <v>1</v>
      </c>
      <c r="J228" s="169">
        <v>0.66666666666666663</v>
      </c>
      <c r="K228" s="169">
        <v>0.5</v>
      </c>
      <c r="L228" s="167">
        <f t="shared" si="3"/>
        <v>0.86574074074074081</v>
      </c>
    </row>
    <row r="229" spans="1:12" x14ac:dyDescent="0.25">
      <c r="A229" s="152">
        <v>204</v>
      </c>
      <c r="B229" s="152">
        <v>9</v>
      </c>
      <c r="C229" s="173" t="s">
        <v>275</v>
      </c>
      <c r="D229" s="169">
        <v>0.33333333333333331</v>
      </c>
      <c r="E229" s="169">
        <v>0</v>
      </c>
      <c r="F229" s="169">
        <v>0</v>
      </c>
      <c r="G229" s="169">
        <v>0.5</v>
      </c>
      <c r="H229" s="169">
        <v>0.25</v>
      </c>
      <c r="I229" s="169">
        <v>0</v>
      </c>
      <c r="J229" s="169">
        <v>0</v>
      </c>
      <c r="K229" s="169">
        <v>0.5</v>
      </c>
      <c r="L229" s="167">
        <f t="shared" si="3"/>
        <v>0.2361111111111111</v>
      </c>
    </row>
    <row r="230" spans="1:12" x14ac:dyDescent="0.25">
      <c r="A230" s="152">
        <v>230</v>
      </c>
      <c r="B230" s="152">
        <v>9</v>
      </c>
      <c r="C230" s="173" t="s">
        <v>277</v>
      </c>
      <c r="D230" s="169">
        <v>0</v>
      </c>
      <c r="E230" s="169">
        <v>0</v>
      </c>
      <c r="F230" s="169">
        <v>0</v>
      </c>
      <c r="G230" s="169">
        <v>0.5</v>
      </c>
      <c r="H230" s="169">
        <v>0.5</v>
      </c>
      <c r="I230" s="169">
        <v>0</v>
      </c>
      <c r="J230" s="169">
        <v>0.5</v>
      </c>
      <c r="K230" s="169">
        <v>0.5</v>
      </c>
      <c r="L230" s="167">
        <f t="shared" si="3"/>
        <v>0.27777777777777779</v>
      </c>
    </row>
    <row r="231" spans="1:12" x14ac:dyDescent="0.25">
      <c r="A231" s="152">
        <v>277</v>
      </c>
      <c r="B231" s="152">
        <v>9</v>
      </c>
      <c r="C231" s="173" t="s">
        <v>278</v>
      </c>
      <c r="D231" s="169">
        <v>0</v>
      </c>
      <c r="E231" s="169">
        <v>0.33333333333333331</v>
      </c>
      <c r="F231" s="169">
        <v>0.75</v>
      </c>
      <c r="G231" s="169">
        <v>0</v>
      </c>
      <c r="H231" s="169">
        <v>0</v>
      </c>
      <c r="I231" s="169">
        <v>1</v>
      </c>
      <c r="J231" s="169">
        <v>0</v>
      </c>
      <c r="K231" s="169">
        <v>0.5</v>
      </c>
      <c r="L231" s="167">
        <f t="shared" si="3"/>
        <v>0.25694444444444442</v>
      </c>
    </row>
    <row r="232" spans="1:12" x14ac:dyDescent="0.25">
      <c r="A232" s="152">
        <v>279</v>
      </c>
      <c r="B232" s="152">
        <v>9</v>
      </c>
      <c r="C232" s="173" t="s">
        <v>279</v>
      </c>
      <c r="D232" s="169">
        <v>0</v>
      </c>
      <c r="E232" s="169">
        <v>0</v>
      </c>
      <c r="F232" s="169">
        <v>0.25</v>
      </c>
      <c r="G232" s="169">
        <v>0.5</v>
      </c>
      <c r="H232" s="169">
        <v>0.5</v>
      </c>
      <c r="I232" s="169">
        <v>0</v>
      </c>
      <c r="J232" s="169">
        <v>0</v>
      </c>
      <c r="K232" s="169">
        <v>0.5</v>
      </c>
      <c r="L232" s="167">
        <f t="shared" si="3"/>
        <v>0.24305555555555555</v>
      </c>
    </row>
    <row r="233" spans="1:12" x14ac:dyDescent="0.25">
      <c r="A233" s="152">
        <v>331</v>
      </c>
      <c r="B233" s="152">
        <v>9</v>
      </c>
      <c r="C233" s="173" t="s">
        <v>280</v>
      </c>
      <c r="D233" s="169">
        <v>0</v>
      </c>
      <c r="E233" s="169">
        <v>0.83333333333333337</v>
      </c>
      <c r="F233" s="169">
        <v>0.5</v>
      </c>
      <c r="G233" s="169">
        <v>0.75</v>
      </c>
      <c r="H233" s="169">
        <v>1</v>
      </c>
      <c r="I233" s="169">
        <v>0</v>
      </c>
      <c r="J233" s="169">
        <v>0.83333333333333337</v>
      </c>
      <c r="K233" s="169">
        <v>0.5</v>
      </c>
      <c r="L233" s="167">
        <f t="shared" si="3"/>
        <v>0.55092592592592593</v>
      </c>
    </row>
    <row r="234" spans="1:12" x14ac:dyDescent="0.25">
      <c r="A234" s="152">
        <v>369</v>
      </c>
      <c r="B234" s="152">
        <v>9</v>
      </c>
      <c r="C234" s="173" t="s">
        <v>281</v>
      </c>
      <c r="D234" s="169">
        <v>0.5</v>
      </c>
      <c r="E234" s="169">
        <v>1</v>
      </c>
      <c r="F234" s="169">
        <v>0.75</v>
      </c>
      <c r="G234" s="169">
        <v>1</v>
      </c>
      <c r="H234" s="169">
        <v>0.25</v>
      </c>
      <c r="I234" s="169">
        <v>0.66500000000000004</v>
      </c>
      <c r="J234" s="169">
        <v>0.83333333333333337</v>
      </c>
      <c r="K234" s="169">
        <v>0.5</v>
      </c>
      <c r="L234" s="167">
        <f t="shared" si="3"/>
        <v>0.65953703703703703</v>
      </c>
    </row>
    <row r="235" spans="1:12" x14ac:dyDescent="0.25">
      <c r="A235" s="152">
        <v>416</v>
      </c>
      <c r="B235" s="152">
        <v>9</v>
      </c>
      <c r="C235" s="173" t="s">
        <v>282</v>
      </c>
      <c r="D235" s="169">
        <v>0.83333333333333337</v>
      </c>
      <c r="E235" s="169">
        <v>1</v>
      </c>
      <c r="F235" s="169">
        <v>1</v>
      </c>
      <c r="G235" s="169">
        <v>0.5</v>
      </c>
      <c r="H235" s="169">
        <v>0.25</v>
      </c>
      <c r="I235" s="169">
        <v>0.5</v>
      </c>
      <c r="J235" s="169">
        <v>0.83333333333333337</v>
      </c>
      <c r="K235" s="169">
        <v>0.5</v>
      </c>
      <c r="L235" s="167">
        <f t="shared" si="3"/>
        <v>0.63425925925925919</v>
      </c>
    </row>
    <row r="236" spans="1:12" x14ac:dyDescent="0.25">
      <c r="A236" s="152">
        <v>508</v>
      </c>
      <c r="B236" s="152">
        <v>9</v>
      </c>
      <c r="C236" s="173" t="s">
        <v>284</v>
      </c>
      <c r="D236" s="169">
        <v>0.33333333333333331</v>
      </c>
      <c r="E236" s="169">
        <v>0.66666666666666663</v>
      </c>
      <c r="F236" s="169">
        <v>0.375</v>
      </c>
      <c r="G236" s="169">
        <v>1</v>
      </c>
      <c r="H236" s="169">
        <v>0.25</v>
      </c>
      <c r="I236" s="169">
        <v>0</v>
      </c>
      <c r="J236" s="169">
        <v>0.66666666666666663</v>
      </c>
      <c r="K236" s="169">
        <v>1</v>
      </c>
      <c r="L236" s="167">
        <f t="shared" si="3"/>
        <v>0.53587962962962965</v>
      </c>
    </row>
    <row r="237" spans="1:12" x14ac:dyDescent="0.25">
      <c r="A237" s="152">
        <v>512</v>
      </c>
      <c r="B237" s="152">
        <v>9</v>
      </c>
      <c r="C237" s="173" t="s">
        <v>285</v>
      </c>
      <c r="D237" s="169">
        <v>1</v>
      </c>
      <c r="E237" s="169">
        <v>0.33333333333333331</v>
      </c>
      <c r="F237" s="169">
        <v>0.75</v>
      </c>
      <c r="G237" s="169">
        <v>0.25</v>
      </c>
      <c r="H237" s="169">
        <v>0.25</v>
      </c>
      <c r="I237" s="169">
        <v>1</v>
      </c>
      <c r="J237" s="169">
        <v>1</v>
      </c>
      <c r="K237" s="169">
        <v>0.5</v>
      </c>
      <c r="L237" s="167">
        <f t="shared" si="3"/>
        <v>0.61805555555555558</v>
      </c>
    </row>
    <row r="238" spans="1:12" x14ac:dyDescent="0.25">
      <c r="A238" s="152">
        <v>516</v>
      </c>
      <c r="B238" s="152">
        <v>9</v>
      </c>
      <c r="C238" s="173" t="s">
        <v>286</v>
      </c>
      <c r="D238" s="169">
        <v>0.33333333333333331</v>
      </c>
      <c r="E238" s="169">
        <v>0.5</v>
      </c>
      <c r="F238" s="169">
        <v>0.25</v>
      </c>
      <c r="G238" s="169">
        <v>0.5</v>
      </c>
      <c r="H238" s="169">
        <v>0.75</v>
      </c>
      <c r="I238" s="169">
        <v>1</v>
      </c>
      <c r="J238" s="169">
        <v>0.33333333333333331</v>
      </c>
      <c r="K238" s="169">
        <v>0.5</v>
      </c>
      <c r="L238" s="167">
        <f t="shared" si="3"/>
        <v>0.53009259259259256</v>
      </c>
    </row>
    <row r="239" spans="1:12" x14ac:dyDescent="0.25">
      <c r="A239" s="152">
        <v>521</v>
      </c>
      <c r="B239" s="152">
        <v>9</v>
      </c>
      <c r="C239" s="173" t="s">
        <v>287</v>
      </c>
      <c r="D239" s="169">
        <v>0</v>
      </c>
      <c r="E239" s="169">
        <v>1</v>
      </c>
      <c r="F239" s="169">
        <v>0.5</v>
      </c>
      <c r="G239" s="169">
        <v>0.75</v>
      </c>
      <c r="H239" s="169">
        <v>0</v>
      </c>
      <c r="I239" s="169">
        <v>1</v>
      </c>
      <c r="J239" s="169">
        <v>0.83333333333333337</v>
      </c>
      <c r="K239" s="169">
        <v>0.5</v>
      </c>
      <c r="L239" s="167">
        <f t="shared" si="3"/>
        <v>0.5092592592592593</v>
      </c>
    </row>
    <row r="240" spans="1:12" x14ac:dyDescent="0.25">
      <c r="A240" s="152">
        <v>522</v>
      </c>
      <c r="B240" s="152">
        <v>9</v>
      </c>
      <c r="C240" s="173" t="s">
        <v>288</v>
      </c>
      <c r="D240" s="169">
        <v>0.66666666666666663</v>
      </c>
      <c r="E240" s="169">
        <v>0.83333333333333337</v>
      </c>
      <c r="F240" s="169">
        <v>0.75</v>
      </c>
      <c r="G240" s="169">
        <v>0</v>
      </c>
      <c r="H240" s="169">
        <v>0</v>
      </c>
      <c r="I240" s="169">
        <v>0.75</v>
      </c>
      <c r="J240" s="169">
        <v>0.83333333333333337</v>
      </c>
      <c r="K240" s="169">
        <v>1</v>
      </c>
      <c r="L240" s="167">
        <f t="shared" si="3"/>
        <v>0.53009259259259256</v>
      </c>
    </row>
    <row r="241" spans="1:12" x14ac:dyDescent="0.25">
      <c r="A241" s="152">
        <v>523</v>
      </c>
      <c r="B241" s="152">
        <v>9</v>
      </c>
      <c r="C241" s="173" t="s">
        <v>289</v>
      </c>
      <c r="D241" s="169">
        <v>0.83333333333333337</v>
      </c>
      <c r="E241" s="169">
        <v>0.33333333333333331</v>
      </c>
      <c r="F241" s="169">
        <v>0.75</v>
      </c>
      <c r="G241" s="169">
        <v>1</v>
      </c>
      <c r="H241" s="169">
        <v>1</v>
      </c>
      <c r="I241" s="169">
        <v>0</v>
      </c>
      <c r="J241" s="169">
        <v>0.5</v>
      </c>
      <c r="K241" s="169">
        <v>0.5</v>
      </c>
      <c r="L241" s="167">
        <f t="shared" si="3"/>
        <v>0.67361111111111116</v>
      </c>
    </row>
    <row r="242" spans="1:12" x14ac:dyDescent="0.25">
      <c r="A242" s="152">
        <v>527</v>
      </c>
      <c r="B242" s="152">
        <v>9</v>
      </c>
      <c r="C242" s="173" t="s">
        <v>290</v>
      </c>
      <c r="D242" s="169">
        <v>0.66666666666666663</v>
      </c>
      <c r="E242" s="169">
        <v>1</v>
      </c>
      <c r="F242" s="169">
        <v>0.75</v>
      </c>
      <c r="G242" s="169">
        <v>0.75</v>
      </c>
      <c r="H242" s="169">
        <v>0.25</v>
      </c>
      <c r="I242" s="169">
        <v>1</v>
      </c>
      <c r="J242" s="169">
        <v>0</v>
      </c>
      <c r="K242" s="169">
        <v>1</v>
      </c>
      <c r="L242" s="167">
        <f t="shared" si="3"/>
        <v>0.64583333333333326</v>
      </c>
    </row>
    <row r="243" spans="1:12" x14ac:dyDescent="0.25">
      <c r="A243" s="152">
        <v>543</v>
      </c>
      <c r="B243" s="152">
        <v>9</v>
      </c>
      <c r="C243" s="173" t="s">
        <v>291</v>
      </c>
      <c r="D243" s="169">
        <v>0</v>
      </c>
      <c r="E243" s="169">
        <v>0.33333333333333331</v>
      </c>
      <c r="F243" s="169">
        <v>0</v>
      </c>
      <c r="G243" s="169">
        <v>0</v>
      </c>
      <c r="H243" s="169">
        <v>0.75</v>
      </c>
      <c r="I243" s="169">
        <v>0</v>
      </c>
      <c r="J243" s="169">
        <v>0</v>
      </c>
      <c r="K243" s="169">
        <v>0.5</v>
      </c>
      <c r="L243" s="167">
        <f t="shared" si="3"/>
        <v>0.20833333333333334</v>
      </c>
    </row>
    <row r="244" spans="1:12" x14ac:dyDescent="0.25">
      <c r="A244" s="152">
        <v>547</v>
      </c>
      <c r="B244" s="152">
        <v>9</v>
      </c>
      <c r="C244" s="173" t="s">
        <v>292</v>
      </c>
      <c r="D244" s="169">
        <v>0.83333333333333337</v>
      </c>
      <c r="E244" s="169">
        <v>1</v>
      </c>
      <c r="F244" s="169">
        <v>1</v>
      </c>
      <c r="G244" s="169">
        <v>0.75</v>
      </c>
      <c r="H244" s="169">
        <v>0.75</v>
      </c>
      <c r="I244" s="169">
        <v>1</v>
      </c>
      <c r="J244" s="169">
        <v>1</v>
      </c>
      <c r="K244" s="169">
        <v>0.5</v>
      </c>
      <c r="L244" s="167">
        <f t="shared" si="3"/>
        <v>0.83333333333333348</v>
      </c>
    </row>
    <row r="245" spans="1:12" x14ac:dyDescent="0.25">
      <c r="A245" s="152">
        <v>550</v>
      </c>
      <c r="B245" s="152">
        <v>9</v>
      </c>
      <c r="C245" s="173" t="s">
        <v>198</v>
      </c>
      <c r="D245" s="169">
        <v>1</v>
      </c>
      <c r="E245" s="169">
        <v>1</v>
      </c>
      <c r="F245" s="169">
        <v>1</v>
      </c>
      <c r="G245" s="169">
        <v>0.75</v>
      </c>
      <c r="H245" s="169">
        <v>0</v>
      </c>
      <c r="I245" s="169">
        <v>0.5</v>
      </c>
      <c r="J245" s="169">
        <v>0.66666666666666663</v>
      </c>
      <c r="K245" s="169">
        <v>1</v>
      </c>
      <c r="L245" s="167">
        <f t="shared" si="3"/>
        <v>0.69907407407407396</v>
      </c>
    </row>
    <row r="246" spans="1:12" x14ac:dyDescent="0.25">
      <c r="A246" s="152">
        <v>552</v>
      </c>
      <c r="B246" s="152">
        <v>9</v>
      </c>
      <c r="C246" s="173" t="s">
        <v>293</v>
      </c>
      <c r="D246" s="169">
        <v>1</v>
      </c>
      <c r="E246" s="169">
        <v>1</v>
      </c>
      <c r="F246" s="169">
        <v>0.125</v>
      </c>
      <c r="G246" s="169">
        <v>0.5</v>
      </c>
      <c r="H246" s="169">
        <v>0.25</v>
      </c>
      <c r="I246" s="169">
        <v>0</v>
      </c>
      <c r="J246" s="169">
        <v>0.5</v>
      </c>
      <c r="K246" s="169">
        <v>1</v>
      </c>
      <c r="L246" s="167">
        <f t="shared" si="3"/>
        <v>0.55208333333333326</v>
      </c>
    </row>
    <row r="247" spans="1:12" x14ac:dyDescent="0.25">
      <c r="A247" s="152">
        <v>567</v>
      </c>
      <c r="B247" s="152">
        <v>9</v>
      </c>
      <c r="C247" s="173" t="s">
        <v>294</v>
      </c>
      <c r="D247" s="169">
        <v>0.83333333333333337</v>
      </c>
      <c r="E247" s="169">
        <v>1</v>
      </c>
      <c r="F247" s="169">
        <v>0.75</v>
      </c>
      <c r="G247" s="169">
        <v>0.75</v>
      </c>
      <c r="H247" s="169">
        <v>0.75</v>
      </c>
      <c r="I247" s="169">
        <v>0.5</v>
      </c>
      <c r="J247" s="169">
        <v>0.33333333333333331</v>
      </c>
      <c r="K247" s="169">
        <v>0.5</v>
      </c>
      <c r="L247" s="167">
        <f t="shared" si="3"/>
        <v>0.68287037037037046</v>
      </c>
    </row>
    <row r="248" spans="1:12" x14ac:dyDescent="0.25">
      <c r="A248" s="152">
        <v>629</v>
      </c>
      <c r="B248" s="152">
        <v>9</v>
      </c>
      <c r="C248" s="173" t="s">
        <v>295</v>
      </c>
      <c r="D248" s="169">
        <v>0</v>
      </c>
      <c r="E248" s="169">
        <v>0.66666666666666663</v>
      </c>
      <c r="F248" s="169">
        <v>0.75</v>
      </c>
      <c r="G248" s="169">
        <v>0.75</v>
      </c>
      <c r="H248" s="169">
        <v>0.5</v>
      </c>
      <c r="I248" s="169">
        <v>0.25</v>
      </c>
      <c r="J248" s="169">
        <v>1</v>
      </c>
      <c r="K248" s="169">
        <v>1</v>
      </c>
      <c r="L248" s="167">
        <f t="shared" si="3"/>
        <v>0.57638888888888884</v>
      </c>
    </row>
    <row r="249" spans="1:12" x14ac:dyDescent="0.25">
      <c r="A249" s="152">
        <v>630</v>
      </c>
      <c r="B249" s="152">
        <v>9</v>
      </c>
      <c r="C249" s="173" t="s">
        <v>296</v>
      </c>
      <c r="D249" s="169">
        <v>0.16666666666666666</v>
      </c>
      <c r="E249" s="169">
        <v>1</v>
      </c>
      <c r="F249" s="169">
        <v>1</v>
      </c>
      <c r="G249" s="169">
        <v>1</v>
      </c>
      <c r="H249" s="169">
        <v>0</v>
      </c>
      <c r="I249" s="169">
        <v>1</v>
      </c>
      <c r="J249" s="169">
        <v>1</v>
      </c>
      <c r="K249" s="169">
        <v>1</v>
      </c>
      <c r="L249" s="167">
        <f t="shared" si="3"/>
        <v>0.69444444444444442</v>
      </c>
    </row>
    <row r="250" spans="1:12" x14ac:dyDescent="0.25">
      <c r="A250" s="152">
        <v>771</v>
      </c>
      <c r="B250" s="152">
        <v>9</v>
      </c>
      <c r="C250" s="173" t="s">
        <v>298</v>
      </c>
      <c r="D250" s="169">
        <v>0</v>
      </c>
      <c r="E250" s="169">
        <v>0.5</v>
      </c>
      <c r="F250" s="169">
        <v>0.25</v>
      </c>
      <c r="G250" s="169">
        <v>1</v>
      </c>
      <c r="H250" s="169">
        <v>0.75</v>
      </c>
      <c r="I250" s="169">
        <v>0</v>
      </c>
      <c r="J250" s="169">
        <v>0</v>
      </c>
      <c r="K250" s="169">
        <v>0.5</v>
      </c>
      <c r="L250" s="167">
        <f t="shared" si="3"/>
        <v>0.40972222222222221</v>
      </c>
    </row>
    <row r="251" spans="1:12" x14ac:dyDescent="0.25">
      <c r="A251" s="152">
        <v>830</v>
      </c>
      <c r="B251" s="152">
        <v>9</v>
      </c>
      <c r="C251" s="173" t="s">
        <v>299</v>
      </c>
      <c r="D251" s="169">
        <v>0.83333333333333337</v>
      </c>
      <c r="E251" s="169">
        <v>0.16666666666666666</v>
      </c>
      <c r="F251" s="169">
        <v>0.25</v>
      </c>
      <c r="G251" s="169">
        <v>0.5</v>
      </c>
      <c r="H251" s="169">
        <v>0</v>
      </c>
      <c r="I251" s="169">
        <v>0</v>
      </c>
      <c r="J251" s="169">
        <v>0</v>
      </c>
      <c r="K251" s="169">
        <v>0.5</v>
      </c>
      <c r="L251" s="167">
        <f t="shared" si="3"/>
        <v>0.3125</v>
      </c>
    </row>
    <row r="252" spans="1:12" x14ac:dyDescent="0.25">
      <c r="A252" s="152">
        <v>936</v>
      </c>
      <c r="B252" s="152">
        <v>9</v>
      </c>
      <c r="C252" s="173" t="s">
        <v>300</v>
      </c>
      <c r="D252" s="169">
        <v>0</v>
      </c>
      <c r="E252" s="169">
        <v>0</v>
      </c>
      <c r="F252" s="169">
        <v>0.25</v>
      </c>
      <c r="G252" s="169">
        <v>0.75</v>
      </c>
      <c r="H252" s="169">
        <v>0</v>
      </c>
      <c r="I252" s="169">
        <v>1</v>
      </c>
      <c r="J252" s="169">
        <v>0.33333333333333331</v>
      </c>
      <c r="K252" s="169">
        <v>1</v>
      </c>
      <c r="L252" s="167">
        <f t="shared" si="3"/>
        <v>0.40509259259259256</v>
      </c>
    </row>
    <row r="253" spans="1:12" x14ac:dyDescent="0.25">
      <c r="A253" s="152">
        <v>952</v>
      </c>
      <c r="B253" s="152">
        <v>9</v>
      </c>
      <c r="C253" s="173" t="s">
        <v>301</v>
      </c>
      <c r="D253" s="169">
        <v>1</v>
      </c>
      <c r="E253" s="169">
        <v>0.33333333333333331</v>
      </c>
      <c r="F253" s="169">
        <v>0.5</v>
      </c>
      <c r="G253" s="169">
        <v>0.75</v>
      </c>
      <c r="H253" s="169">
        <v>0.25</v>
      </c>
      <c r="I253" s="169">
        <v>0</v>
      </c>
      <c r="J253" s="169">
        <v>0</v>
      </c>
      <c r="K253" s="169">
        <v>1</v>
      </c>
      <c r="L253" s="167">
        <f>SUMPRODUCT($D$2:$K$2,D253:K253)</f>
        <v>0.51388888888888884</v>
      </c>
    </row>
    <row r="254" spans="1:12" x14ac:dyDescent="0.25">
      <c r="A254" s="152">
        <v>982</v>
      </c>
      <c r="B254" s="152">
        <v>9</v>
      </c>
      <c r="C254" s="173" t="s">
        <v>302</v>
      </c>
      <c r="D254" s="169">
        <v>0</v>
      </c>
      <c r="E254" s="169">
        <v>0</v>
      </c>
      <c r="F254" s="169">
        <v>0</v>
      </c>
      <c r="G254" s="169">
        <v>0.25</v>
      </c>
      <c r="H254" s="169">
        <v>0.25</v>
      </c>
      <c r="I254" s="169">
        <v>0</v>
      </c>
      <c r="J254" s="169">
        <v>0</v>
      </c>
      <c r="K254" s="169">
        <v>0</v>
      </c>
      <c r="L254" s="167">
        <f>SUMPRODUCT($D$2:$K$2,D254:K254)</f>
        <v>8.3333333333333329E-2</v>
      </c>
    </row>
    <row r="255" spans="1:12" x14ac:dyDescent="0.25">
      <c r="A255" s="152">
        <v>987</v>
      </c>
      <c r="B255" s="152">
        <v>9</v>
      </c>
      <c r="C255" s="173" t="s">
        <v>303</v>
      </c>
      <c r="D255" s="169">
        <v>1</v>
      </c>
      <c r="E255" s="169">
        <v>0.66666666666666663</v>
      </c>
      <c r="F255" s="169">
        <v>0</v>
      </c>
      <c r="G255" s="169">
        <v>0</v>
      </c>
      <c r="H255" s="169">
        <v>1</v>
      </c>
      <c r="I255" s="169">
        <v>0</v>
      </c>
      <c r="J255" s="169">
        <v>0.33333333333333331</v>
      </c>
      <c r="K255" s="169">
        <v>1</v>
      </c>
      <c r="L255" s="167">
        <f>SUMPRODUCT($D$2:$K$2,D255:K255)</f>
        <v>0.53703703703703698</v>
      </c>
    </row>
    <row r="256" spans="1:12" x14ac:dyDescent="0.25">
      <c r="A256" s="152">
        <v>998</v>
      </c>
      <c r="B256" s="152">
        <v>9</v>
      </c>
      <c r="C256" s="173" t="s">
        <v>304</v>
      </c>
      <c r="D256" s="169">
        <v>0.66666666666666663</v>
      </c>
      <c r="E256" s="169">
        <v>0.83333333333333337</v>
      </c>
      <c r="F256" s="169">
        <v>0.875</v>
      </c>
      <c r="G256" s="169">
        <v>0.5</v>
      </c>
      <c r="H256" s="169">
        <v>0</v>
      </c>
      <c r="I256" s="169">
        <v>1</v>
      </c>
      <c r="J256" s="169">
        <v>0.5</v>
      </c>
      <c r="K256" s="169">
        <v>0.5</v>
      </c>
      <c r="L256" s="167">
        <f>SUMPRODUCT($D$2:$K$2,D256:K256)</f>
        <v>0.55902777777777779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FBEA-ACAB-4312-B805-486515686B68}">
  <sheetPr codeName="Sheet7">
    <tabColor rgb="FFFFCCFF"/>
  </sheetPr>
  <dimension ref="B1:AG274"/>
  <sheetViews>
    <sheetView workbookViewId="0"/>
  </sheetViews>
  <sheetFormatPr defaultRowHeight="14.3" x14ac:dyDescent="0.25"/>
  <cols>
    <col min="1" max="1" width="5.75" customWidth="1"/>
    <col min="2" max="2" width="11.5" style="1" customWidth="1"/>
    <col min="3" max="3" width="13.875" style="1" customWidth="1"/>
    <col min="4" max="4" width="47.125" customWidth="1"/>
    <col min="5" max="7" width="16.25" customWidth="1"/>
    <col min="8" max="24" width="14.75" customWidth="1"/>
    <col min="25" max="25" width="17.5" customWidth="1"/>
    <col min="26" max="26" width="20.75" customWidth="1"/>
    <col min="27" max="27" width="22.875" customWidth="1"/>
    <col min="28" max="28" width="5.75" style="29" customWidth="1"/>
    <col min="29" max="30" width="19.5" style="18" customWidth="1"/>
    <col min="31" max="31" width="12.75" customWidth="1"/>
    <col min="32" max="32" width="15.25" customWidth="1"/>
    <col min="33" max="33" width="7.875" customWidth="1"/>
    <col min="34" max="36" width="12.75" customWidth="1"/>
  </cols>
  <sheetData>
    <row r="1" spans="2:30" ht="58.6" customHeight="1" thickBot="1" x14ac:dyDescent="0.3">
      <c r="D1" s="43"/>
      <c r="M1" s="18"/>
      <c r="Y1" s="29"/>
      <c r="Z1" s="18"/>
      <c r="AA1" s="18"/>
      <c r="AB1"/>
      <c r="AC1"/>
      <c r="AD1"/>
    </row>
    <row r="2" spans="2:30" ht="43.5" thickBot="1" x14ac:dyDescent="0.3">
      <c r="B2" s="212" t="s">
        <v>348</v>
      </c>
      <c r="C2" s="213"/>
      <c r="D2" s="213"/>
      <c r="E2" s="213"/>
      <c r="F2" s="213"/>
      <c r="G2" s="213"/>
      <c r="H2" s="213"/>
      <c r="I2" s="213"/>
      <c r="J2" s="213"/>
      <c r="K2" s="214"/>
      <c r="L2" s="141"/>
      <c r="M2" s="141"/>
      <c r="N2" s="45"/>
      <c r="O2" s="45"/>
      <c r="P2" s="45"/>
      <c r="R2" s="46" t="s">
        <v>22</v>
      </c>
      <c r="S2" s="15">
        <v>0.9</v>
      </c>
      <c r="T2" s="118" t="s">
        <v>23</v>
      </c>
      <c r="U2" s="118" t="s">
        <v>24</v>
      </c>
      <c r="V2" s="118" t="s">
        <v>25</v>
      </c>
      <c r="W2" s="44"/>
      <c r="Y2" s="29"/>
      <c r="Z2" s="18"/>
      <c r="AA2" s="18"/>
      <c r="AB2"/>
      <c r="AC2"/>
      <c r="AD2"/>
    </row>
    <row r="3" spans="2:30" ht="14.95" thickBot="1" x14ac:dyDescent="0.3">
      <c r="B3" s="23"/>
      <c r="N3" s="45"/>
      <c r="O3" s="45"/>
      <c r="P3" s="45"/>
      <c r="S3" s="47">
        <v>1</v>
      </c>
      <c r="T3" s="162" cm="1">
        <f t="array" ref="T3">SUMPRODUCT(--($C$26:$C$300=$S3),$F$26:$F$300)</f>
        <v>337633.368840279</v>
      </c>
      <c r="U3" s="48">
        <f>INDEX('Revised 2020 MFAM Cost Bands'!M$6:M$300,MATCH(S3,'Revised 2020 MFAM Cost Bands'!C$6:C$300,0))</f>
        <v>427.24889241691227</v>
      </c>
      <c r="V3" s="101">
        <f>INDEX('Revised 2020 MFAM Cost Bands'!R$6:R$300,MATCH(S3,'Revised 2020 MFAM Cost Bands'!C$6:C$300,0))</f>
        <v>627.65447367725108</v>
      </c>
      <c r="W3" s="136"/>
      <c r="Y3" s="29"/>
      <c r="Z3" s="18"/>
      <c r="AA3" s="18"/>
      <c r="AB3"/>
      <c r="AC3"/>
      <c r="AD3"/>
    </row>
    <row r="4" spans="2:30" x14ac:dyDescent="0.25">
      <c r="D4" s="225" t="s">
        <v>308</v>
      </c>
      <c r="E4" s="226"/>
      <c r="F4" s="226"/>
      <c r="G4" s="226"/>
      <c r="H4" s="226"/>
      <c r="I4" s="226"/>
      <c r="J4" s="226"/>
      <c r="K4" s="227"/>
      <c r="L4" s="108"/>
      <c r="M4" s="108"/>
      <c r="N4" s="45"/>
      <c r="O4" s="45"/>
      <c r="P4" s="45"/>
      <c r="S4" s="54">
        <v>2</v>
      </c>
      <c r="T4" s="154" cm="1">
        <f t="array" ref="T4">SUMPRODUCT(--($C$26:$C$300=$S4),$F$26:$F$300)</f>
        <v>219900.90000000002</v>
      </c>
      <c r="U4" s="55">
        <f>INDEX('Revised 2020 MFAM Cost Bands'!M$6:M$300,MATCH(S4,'Revised 2020 MFAM Cost Bands'!C$6:C$300,0))</f>
        <v>243.92516529036484</v>
      </c>
      <c r="V4" s="119">
        <f>INDEX('Revised 2020 MFAM Cost Bands'!R$6:R$300,MATCH(S4,'Revised 2020 MFAM Cost Bands'!C$6:C$300,0))</f>
        <v>320.70169543853194</v>
      </c>
      <c r="W4" s="136"/>
      <c r="Y4" s="29"/>
      <c r="Z4" s="18"/>
      <c r="AA4" s="18"/>
      <c r="AB4"/>
      <c r="AC4"/>
      <c r="AD4"/>
    </row>
    <row r="5" spans="2:30" x14ac:dyDescent="0.25">
      <c r="D5" s="56"/>
      <c r="E5" s="57"/>
      <c r="F5" s="57"/>
      <c r="G5" s="57"/>
      <c r="H5" s="57"/>
      <c r="I5" s="57"/>
      <c r="J5" s="57"/>
      <c r="K5" s="58"/>
      <c r="L5" s="57"/>
      <c r="M5" s="57"/>
      <c r="N5" s="59"/>
      <c r="O5" s="59"/>
      <c r="P5" s="59"/>
      <c r="Q5" s="60"/>
      <c r="S5" s="54">
        <v>3</v>
      </c>
      <c r="T5" s="154" cm="1">
        <f t="array" ref="T5">SUMPRODUCT(--($C$26:$C$300=$S5),$F$26:$F$300)</f>
        <v>47719.140484742427</v>
      </c>
      <c r="U5" s="55">
        <f>INDEX('Revised 2020 MFAM Cost Bands'!M$6:M$300,MATCH(S5,'Revised 2020 MFAM Cost Bands'!C$6:C$300,0))</f>
        <v>302.46285941832605</v>
      </c>
      <c r="V5" s="119">
        <f>INDEX('Revised 2020 MFAM Cost Bands'!R$6:R$300,MATCH(S5,'Revised 2020 MFAM Cost Bands'!C$6:C$300,0))</f>
        <v>538.88377581097382</v>
      </c>
      <c r="W5" s="136"/>
      <c r="Y5" s="29"/>
      <c r="Z5" s="18"/>
      <c r="AA5" s="18"/>
      <c r="AB5"/>
      <c r="AC5"/>
      <c r="AD5"/>
    </row>
    <row r="6" spans="2:30" x14ac:dyDescent="0.25">
      <c r="D6" s="62" t="s">
        <v>29</v>
      </c>
      <c r="E6" s="164">
        <v>130723482.62521513</v>
      </c>
      <c r="F6" s="164"/>
      <c r="G6" s="164"/>
      <c r="H6" s="44"/>
      <c r="I6" s="44"/>
      <c r="J6" s="44"/>
      <c r="K6" s="50"/>
      <c r="L6" s="44"/>
      <c r="M6" s="44"/>
      <c r="N6" s="59"/>
      <c r="O6" s="59"/>
      <c r="P6" s="59"/>
      <c r="Q6" s="60"/>
      <c r="S6" s="54">
        <v>4</v>
      </c>
      <c r="T6" s="154" cm="1">
        <f t="array" ref="T6">SUMPRODUCT(--($C$26:$C$300=$S6),$F$26:$F$300)</f>
        <v>96470.661000000007</v>
      </c>
      <c r="U6" s="55">
        <f>INDEX('Revised 2020 MFAM Cost Bands'!M$6:M$300,MATCH(S6,'Revised 2020 MFAM Cost Bands'!C$6:C$300,0))</f>
        <v>415.71897076562993</v>
      </c>
      <c r="V6" s="119">
        <f>INDEX('Revised 2020 MFAM Cost Bands'!R$6:R$300,MATCH(S6,'Revised 2020 MFAM Cost Bands'!C$6:C$300,0))</f>
        <v>584.956821769302</v>
      </c>
      <c r="W6" s="136"/>
      <c r="Y6" s="29"/>
      <c r="Z6" s="18"/>
      <c r="AA6" s="18"/>
      <c r="AB6"/>
      <c r="AC6"/>
      <c r="AD6"/>
    </row>
    <row r="7" spans="2:30" x14ac:dyDescent="0.25">
      <c r="D7" s="62"/>
      <c r="E7" s="44"/>
      <c r="F7" s="44"/>
      <c r="G7" s="44"/>
      <c r="H7" s="44"/>
      <c r="I7" s="44"/>
      <c r="J7" s="44"/>
      <c r="K7" s="50"/>
      <c r="L7" s="44"/>
      <c r="M7" s="44"/>
      <c r="N7" s="59"/>
      <c r="O7" s="59"/>
      <c r="P7" s="59"/>
      <c r="Q7" s="60"/>
      <c r="S7" s="54">
        <v>5</v>
      </c>
      <c r="T7" s="154" cm="1">
        <f t="array" ref="T7">SUMPRODUCT(--($C$26:$C$300=$S7),$F$26:$F$300)</f>
        <v>18564.134774544935</v>
      </c>
      <c r="U7" s="55">
        <f>INDEX('Revised 2020 MFAM Cost Bands'!M$6:M$300,MATCH(S7,'Revised 2020 MFAM Cost Bands'!C$6:C$300,0))</f>
        <v>287.03377317139848</v>
      </c>
      <c r="V7" s="119">
        <f>INDEX('Revised 2020 MFAM Cost Bands'!R$6:R$300,MATCH(S7,'Revised 2020 MFAM Cost Bands'!C$6:C$300,0))</f>
        <v>448.19409495037212</v>
      </c>
      <c r="W7" s="136"/>
      <c r="Y7" s="29"/>
      <c r="Z7" s="18"/>
      <c r="AA7" s="18"/>
      <c r="AB7"/>
      <c r="AC7"/>
      <c r="AD7"/>
    </row>
    <row r="8" spans="2:30" x14ac:dyDescent="0.25">
      <c r="D8" s="62" t="s">
        <v>32</v>
      </c>
      <c r="E8" s="206">
        <v>-4692120.47</v>
      </c>
      <c r="F8" s="165"/>
      <c r="G8" s="165"/>
      <c r="H8" s="63"/>
      <c r="I8" s="63"/>
      <c r="J8" s="63"/>
      <c r="K8" s="50"/>
      <c r="L8" s="44"/>
      <c r="M8" s="44"/>
      <c r="N8" s="59"/>
      <c r="O8" s="59"/>
      <c r="P8" s="59"/>
      <c r="Q8" s="60"/>
      <c r="S8" s="54">
        <v>6</v>
      </c>
      <c r="T8" s="154" cm="1">
        <f t="array" ref="T8">SUMPRODUCT(--($C$26:$C$300=$S8),$F$26:$F$300)</f>
        <v>10653.622655484518</v>
      </c>
      <c r="U8" s="55">
        <f>INDEX('Revised 2020 MFAM Cost Bands'!M$6:M$300,MATCH(S8,'Revised 2020 MFAM Cost Bands'!C$6:C$300,0))</f>
        <v>702.65297849110493</v>
      </c>
      <c r="V8" s="119">
        <f>INDEX('Revised 2020 MFAM Cost Bands'!R$6:R$300,MATCH(S8,'Revised 2020 MFAM Cost Bands'!C$6:C$300,0))</f>
        <v>1288.4693619331024</v>
      </c>
      <c r="W8" s="136"/>
      <c r="Y8" s="29"/>
      <c r="Z8" s="18"/>
      <c r="AA8" s="18"/>
      <c r="AB8"/>
      <c r="AC8"/>
      <c r="AD8"/>
    </row>
    <row r="9" spans="2:30" x14ac:dyDescent="0.25">
      <c r="D9" s="65" t="s">
        <v>34</v>
      </c>
      <c r="E9" s="63">
        <v>0</v>
      </c>
      <c r="F9" s="63"/>
      <c r="G9" s="63"/>
      <c r="H9" s="20"/>
      <c r="I9" s="20"/>
      <c r="J9" s="20"/>
      <c r="K9" s="66"/>
      <c r="L9" s="19"/>
      <c r="M9" s="19"/>
      <c r="N9" s="59"/>
      <c r="O9" s="59"/>
      <c r="P9" s="59"/>
      <c r="Q9" s="60"/>
      <c r="S9" s="54">
        <v>7</v>
      </c>
      <c r="T9" s="154" cm="1">
        <f t="array" ref="T9">SUMPRODUCT(--($C$26:$C$300=$S9),$F$26:$F$300)</f>
        <v>38042.833531240962</v>
      </c>
      <c r="U9" s="55">
        <f>INDEX('Revised 2020 MFAM Cost Bands'!M$6:M$300,MATCH(S9,'Revised 2020 MFAM Cost Bands'!C$6:C$300,0))</f>
        <v>477.46219284858569</v>
      </c>
      <c r="V9" s="119">
        <f>INDEX('Revised 2020 MFAM Cost Bands'!R$6:R$300,MATCH(S9,'Revised 2020 MFAM Cost Bands'!C$6:C$300,0))</f>
        <v>724.30462453114228</v>
      </c>
      <c r="W9" s="136"/>
      <c r="Y9" s="29"/>
      <c r="Z9" s="18"/>
      <c r="AA9" s="18"/>
      <c r="AB9"/>
      <c r="AC9"/>
      <c r="AD9"/>
    </row>
    <row r="10" spans="2:30" ht="14.95" thickBot="1" x14ac:dyDescent="0.3">
      <c r="D10" s="62" t="s">
        <v>58</v>
      </c>
      <c r="E10" s="147">
        <f>E6+E8+E9</f>
        <v>126031362.15521513</v>
      </c>
      <c r="F10" s="44"/>
      <c r="G10" s="44"/>
      <c r="H10" s="44"/>
      <c r="I10" s="44"/>
      <c r="J10" s="44"/>
      <c r="K10" s="50"/>
      <c r="L10" s="44"/>
      <c r="M10" s="44"/>
      <c r="N10" s="59"/>
      <c r="O10" s="59"/>
      <c r="P10" s="59"/>
      <c r="Q10" s="60"/>
      <c r="S10" s="54">
        <v>8</v>
      </c>
      <c r="T10" s="154" cm="1">
        <f t="array" ref="T10">SUMPRODUCT(--($C$26:$C$300=$S10),$F$26:$F$300)</f>
        <v>4138.0454049591017</v>
      </c>
      <c r="U10" s="55">
        <f>INDEX('Revised 2020 MFAM Cost Bands'!M$6:M$300,MATCH(S10,'Revised 2020 MFAM Cost Bands'!C$6:C$300,0))</f>
        <v>884.5316790418774</v>
      </c>
      <c r="V10" s="119">
        <f>INDEX('Revised 2020 MFAM Cost Bands'!R$6:R$300,MATCH(S10,'Revised 2020 MFAM Cost Bands'!C$6:C$300,0))</f>
        <v>1731.1011367314745</v>
      </c>
      <c r="W10" s="137"/>
      <c r="Y10" s="29"/>
      <c r="Z10" s="18"/>
      <c r="AA10" s="18"/>
      <c r="AB10"/>
      <c r="AC10"/>
      <c r="AD10"/>
    </row>
    <row r="11" spans="2:30" ht="15.65" thickTop="1" thickBot="1" x14ac:dyDescent="0.3">
      <c r="D11" s="62" t="s">
        <v>36</v>
      </c>
      <c r="E11" s="44">
        <f>E10-E9</f>
        <v>126031362.15521513</v>
      </c>
      <c r="F11" s="44"/>
      <c r="G11" s="44"/>
      <c r="H11" s="71"/>
      <c r="I11" s="71"/>
      <c r="J11" s="71"/>
      <c r="K11" s="50"/>
      <c r="L11" s="44"/>
      <c r="M11" s="44"/>
      <c r="N11" s="59"/>
      <c r="O11" s="59"/>
      <c r="P11" s="59"/>
      <c r="Q11" s="60"/>
      <c r="S11" s="72">
        <v>9</v>
      </c>
      <c r="T11" s="163" cm="1">
        <f t="array" ref="T11">SUMPRODUCT(--($C$26:$C$300=$S11),$F$26:$F$300)</f>
        <v>7223.4269374606674</v>
      </c>
      <c r="U11" s="74">
        <f>INDEX('Revised 2020 MFAM Cost Bands'!M$6:M$300,MATCH(S11,'Revised 2020 MFAM Cost Bands'!C$6:C$300,0))</f>
        <v>654.06771202989376</v>
      </c>
      <c r="V11" s="120">
        <f>INDEX('Revised 2020 MFAM Cost Bands'!R$6:R$300,MATCH(S11,'Revised 2020 MFAM Cost Bands'!C$6:C$300,0))</f>
        <v>1358.81013164245</v>
      </c>
      <c r="W11" s="137"/>
      <c r="Y11" s="29"/>
      <c r="Z11" s="18"/>
      <c r="AA11" s="18"/>
      <c r="AB11"/>
      <c r="AC11"/>
      <c r="AD11"/>
    </row>
    <row r="12" spans="2:30" x14ac:dyDescent="0.25">
      <c r="D12" s="49"/>
      <c r="E12" s="44"/>
      <c r="F12" s="44"/>
      <c r="G12" s="44"/>
      <c r="H12" s="20"/>
      <c r="I12" s="20"/>
      <c r="J12" s="20"/>
      <c r="K12" s="66"/>
      <c r="L12" s="19"/>
      <c r="M12" s="19"/>
      <c r="N12" s="60"/>
      <c r="O12" s="60"/>
      <c r="P12" s="60"/>
      <c r="Q12" s="60"/>
      <c r="R12" s="60"/>
      <c r="S12" s="45"/>
      <c r="T12" s="45"/>
      <c r="W12" s="70"/>
      <c r="X12" s="70"/>
      <c r="Y12" s="75"/>
      <c r="Z12" s="70"/>
    </row>
    <row r="13" spans="2:30" x14ac:dyDescent="0.25">
      <c r="D13" s="222" t="s">
        <v>309</v>
      </c>
      <c r="E13" s="223"/>
      <c r="F13" s="223"/>
      <c r="G13" s="223"/>
      <c r="H13" s="223"/>
      <c r="I13" s="223"/>
      <c r="J13" s="223"/>
      <c r="K13" s="224"/>
      <c r="L13" s="57"/>
      <c r="M13" s="57"/>
      <c r="N13" s="59"/>
      <c r="O13" s="59"/>
      <c r="P13" s="59"/>
      <c r="Q13" s="60"/>
      <c r="R13" s="76"/>
      <c r="S13" s="45"/>
      <c r="T13" s="102"/>
      <c r="U13" s="45"/>
      <c r="W13" s="70"/>
      <c r="X13" s="70"/>
      <c r="Y13" s="70"/>
      <c r="Z13" s="70"/>
    </row>
    <row r="14" spans="2:30" x14ac:dyDescent="0.25">
      <c r="D14" s="62" t="s">
        <v>50</v>
      </c>
      <c r="E14" s="44">
        <f>$E$11*K14</f>
        <v>63015681.077607565</v>
      </c>
      <c r="F14" s="44"/>
      <c r="G14" s="44"/>
      <c r="H14" s="17"/>
      <c r="I14" s="17"/>
      <c r="J14" s="17"/>
      <c r="K14" s="77">
        <v>0.5</v>
      </c>
      <c r="L14" s="110"/>
      <c r="M14" s="110"/>
      <c r="N14" s="45"/>
      <c r="O14" s="45"/>
      <c r="P14" s="45"/>
      <c r="Q14" s="45"/>
      <c r="R14" s="45"/>
      <c r="S14" s="45"/>
      <c r="W14" s="70"/>
      <c r="X14" s="70"/>
      <c r="Y14" s="70"/>
      <c r="Z14" s="70"/>
    </row>
    <row r="15" spans="2:30" x14ac:dyDescent="0.25">
      <c r="D15" s="62" t="s">
        <v>49</v>
      </c>
      <c r="E15" s="44">
        <f>$E$11*K15</f>
        <v>44110976.754325293</v>
      </c>
      <c r="F15" s="44"/>
      <c r="G15" s="44"/>
      <c r="H15" s="78">
        <f>E15/E19</f>
        <v>56.527449619316371</v>
      </c>
      <c r="I15" s="78"/>
      <c r="J15" s="78"/>
      <c r="K15" s="77">
        <v>0.35</v>
      </c>
      <c r="L15" s="110"/>
      <c r="M15" s="110"/>
      <c r="N15" s="45"/>
      <c r="O15" s="45"/>
      <c r="P15" s="45"/>
      <c r="Q15" s="45"/>
      <c r="R15" s="45"/>
      <c r="S15" s="45"/>
      <c r="T15" s="144" t="s">
        <v>61</v>
      </c>
    </row>
    <row r="16" spans="2:30" x14ac:dyDescent="0.25">
      <c r="D16" s="62" t="s">
        <v>48</v>
      </c>
      <c r="E16" s="149">
        <f>$E$11*K16</f>
        <v>18904704.323282268</v>
      </c>
      <c r="F16" s="44"/>
      <c r="G16" s="44"/>
      <c r="H16" s="17"/>
      <c r="I16" s="17"/>
      <c r="J16" s="17"/>
      <c r="K16" s="77">
        <v>0.15</v>
      </c>
      <c r="L16" s="110"/>
      <c r="M16" s="110"/>
      <c r="N16" s="45"/>
      <c r="O16" s="45"/>
      <c r="P16" s="45"/>
      <c r="Q16" s="45"/>
      <c r="R16" s="45"/>
      <c r="S16" s="45"/>
      <c r="T16" s="80"/>
    </row>
    <row r="17" spans="2:33" ht="14.95" thickBot="1" x14ac:dyDescent="0.3">
      <c r="D17" s="62" t="s">
        <v>59</v>
      </c>
      <c r="E17" s="150">
        <f>E14+E15+E16</f>
        <v>126031362.15521513</v>
      </c>
      <c r="F17" s="44"/>
      <c r="G17" s="44"/>
      <c r="H17" s="17"/>
      <c r="I17" s="17"/>
      <c r="J17" s="17"/>
      <c r="K17" s="82"/>
      <c r="L17" s="17"/>
      <c r="M17" s="17"/>
      <c r="N17" s="45"/>
      <c r="O17" s="45"/>
      <c r="P17" s="45"/>
      <c r="Q17" s="45"/>
      <c r="R17" s="45"/>
      <c r="S17" s="45"/>
      <c r="U17" s="15">
        <v>0.5</v>
      </c>
      <c r="V17" s="15">
        <v>0.35</v>
      </c>
      <c r="W17" s="15">
        <v>0.15</v>
      </c>
      <c r="X17" s="15"/>
    </row>
    <row r="18" spans="2:33" ht="15.65" thickTop="1" thickBot="1" x14ac:dyDescent="0.3">
      <c r="D18" s="49"/>
      <c r="E18" s="17"/>
      <c r="F18" s="17"/>
      <c r="G18" s="17"/>
      <c r="H18" s="17"/>
      <c r="I18" s="17"/>
      <c r="J18" s="17"/>
      <c r="K18" s="82"/>
      <c r="L18" s="17"/>
      <c r="M18" s="17"/>
      <c r="N18" s="44"/>
      <c r="O18" s="44"/>
      <c r="P18" s="44"/>
      <c r="T18" s="45"/>
      <c r="U18" s="219" t="str">
        <f>"Model Funding Distribution Basis:   "&amp;TEXT(U17,"#,##0%")&amp;" Adjusted Net Costs, "&amp;TEXT(V17,"#,##0%")&amp;" Recovered Tonnage, "&amp;TEXT(W17,"#,##0%")&amp;" BP"</f>
        <v>Model Funding Distribution Basis:   50% Adjusted Net Costs, 35% Recovered Tonnage, 15% BP</v>
      </c>
      <c r="V18" s="220"/>
      <c r="W18" s="220"/>
      <c r="X18" s="220"/>
      <c r="Y18" s="220"/>
      <c r="Z18" s="220"/>
      <c r="AA18" s="221"/>
      <c r="AB18" s="83"/>
    </row>
    <row r="19" spans="2:33" ht="14.95" thickBot="1" x14ac:dyDescent="0.3">
      <c r="D19" s="84" t="s">
        <v>37</v>
      </c>
      <c r="E19" s="163">
        <f>F24</f>
        <v>780346.13362871122</v>
      </c>
      <c r="F19" s="73"/>
      <c r="G19" s="73"/>
      <c r="H19" s="73"/>
      <c r="I19" s="73"/>
      <c r="J19" s="73"/>
      <c r="K19" s="85"/>
      <c r="L19" s="20"/>
      <c r="M19" s="20"/>
      <c r="N19" s="44"/>
      <c r="O19" s="44"/>
      <c r="P19" s="44"/>
      <c r="T19" s="45"/>
      <c r="U19" s="124"/>
      <c r="V19" s="125"/>
      <c r="W19" s="125"/>
      <c r="X19" s="125"/>
      <c r="Y19" s="125"/>
      <c r="Z19" s="126">
        <f>75%</f>
        <v>0.75</v>
      </c>
      <c r="AA19" s="131" cm="1">
        <f t="array" ref="AA19">SUMPRODUCT(--(Z$26:Z$300&lt;Z$19-0.5%),Y$26:Y$300)</f>
        <v>126031362.15521519</v>
      </c>
      <c r="AB19" s="86"/>
    </row>
    <row r="20" spans="2:33" x14ac:dyDescent="0.25">
      <c r="N20" s="44"/>
      <c r="O20" s="44"/>
      <c r="P20" s="44"/>
      <c r="U20" s="128"/>
      <c r="V20" s="127"/>
      <c r="W20" s="127"/>
      <c r="X20" s="127"/>
      <c r="Y20" s="127"/>
      <c r="Z20" s="129"/>
      <c r="AA20" s="131"/>
      <c r="AB20" s="87"/>
    </row>
    <row r="21" spans="2:33" x14ac:dyDescent="0.25">
      <c r="N21" s="44"/>
      <c r="O21" s="44"/>
      <c r="P21" s="44"/>
      <c r="U21" s="128"/>
      <c r="V21" s="127"/>
      <c r="W21" s="127"/>
      <c r="X21" s="127"/>
      <c r="Y21" s="127"/>
      <c r="Z21" s="127"/>
      <c r="AA21" s="131"/>
      <c r="AB21" s="86"/>
    </row>
    <row r="22" spans="2:33" x14ac:dyDescent="0.25">
      <c r="N22" s="44"/>
      <c r="O22" s="44"/>
      <c r="P22" s="44"/>
      <c r="Q22" s="89">
        <f>SMALL(Q26:Q266,5)</f>
        <v>173.00897984309142</v>
      </c>
      <c r="U22" s="128"/>
      <c r="V22" s="127"/>
      <c r="W22" s="130"/>
      <c r="X22" s="130"/>
      <c r="Y22" s="130"/>
      <c r="Z22" s="127" cm="1">
        <f t="array" ref="Z22">SUMPRODUCT(--($Z$26:$Z$300&lt;Z19),Y26:Y300)</f>
        <v>126031362.15521519</v>
      </c>
      <c r="AA22" s="131" cm="1">
        <f t="array" ref="AA22">SUMPRODUCT(--(Z$26:Z$300&gt;Z$19),Y$26:Y$300)-SUMPRODUCT(--(Z$26:Z$300&gt;Z$19),$S$26:$S$300)*Z$19</f>
        <v>0</v>
      </c>
      <c r="AB22" s="86"/>
      <c r="AC22" s="187"/>
    </row>
    <row r="23" spans="2:33" ht="14.95" thickBot="1" x14ac:dyDescent="0.3">
      <c r="D23" s="19"/>
      <c r="E23" s="20"/>
      <c r="F23" s="20"/>
      <c r="G23" s="20"/>
      <c r="H23" s="20"/>
      <c r="I23" s="20"/>
      <c r="J23" s="20"/>
      <c r="K23" s="20"/>
      <c r="L23" s="20"/>
      <c r="M23" s="20"/>
      <c r="N23" s="17"/>
      <c r="O23" s="17"/>
      <c r="P23" s="17"/>
      <c r="Q23" s="89">
        <f>LARGE(Q26:Q266,5)</f>
        <v>3149.6066118090275</v>
      </c>
      <c r="S23" s="88">
        <v>244990724.68231803</v>
      </c>
      <c r="U23" s="128"/>
      <c r="V23" s="127"/>
      <c r="W23" s="127">
        <f>E16-W24</f>
        <v>3588109.2373191714</v>
      </c>
      <c r="X23" s="130"/>
      <c r="Y23" s="130"/>
      <c r="Z23" s="127" cm="1">
        <f t="array" ref="Z23">SUMPRODUCT(--($Z$26:$Z$300&gt;$Z$19),$Y$26:$Y$300)-$Z$19*SUMPRODUCT(--($Z$26:$Z$300&gt;$Z$19),$S$26:$S$300)</f>
        <v>0</v>
      </c>
      <c r="AA23" s="131">
        <f>SUM(AA26:AA300)</f>
        <v>126031362.15521519</v>
      </c>
      <c r="AB23" s="86"/>
      <c r="AC23" s="96"/>
    </row>
    <row r="24" spans="2:33" ht="14.95" thickBot="1" x14ac:dyDescent="0.3">
      <c r="E24" s="154">
        <f t="shared" ref="E24:P24" si="0">SUM(E26:E300)</f>
        <v>780555.21799223369</v>
      </c>
      <c r="F24" s="154">
        <f t="shared" si="0"/>
        <v>780346.13362871122</v>
      </c>
      <c r="G24" s="154">
        <f t="shared" si="0"/>
        <v>209.08436352240602</v>
      </c>
      <c r="H24" s="17">
        <f t="shared" si="0"/>
        <v>366648957.74999952</v>
      </c>
      <c r="I24" s="17">
        <f t="shared" si="0"/>
        <v>366925765.61999971</v>
      </c>
      <c r="J24" s="17">
        <f t="shared" si="0"/>
        <v>-276807.87000000186</v>
      </c>
      <c r="K24" s="17">
        <f t="shared" si="0"/>
        <v>75098964.159999996</v>
      </c>
      <c r="L24" s="17">
        <f t="shared" si="0"/>
        <v>75152503.179999992</v>
      </c>
      <c r="M24" s="17">
        <f t="shared" si="0"/>
        <v>-53539.020000000615</v>
      </c>
      <c r="N24" s="17">
        <f t="shared" si="0"/>
        <v>291549993.58999985</v>
      </c>
      <c r="O24" s="17">
        <f t="shared" si="0"/>
        <v>291773262.43999994</v>
      </c>
      <c r="P24" s="17">
        <f t="shared" si="0"/>
        <v>-223268.85000000225</v>
      </c>
      <c r="Q24" s="17"/>
      <c r="R24" t="s">
        <v>12</v>
      </c>
      <c r="S24" s="17">
        <f>SUM(S26:S300)</f>
        <v>286168640.33642614</v>
      </c>
      <c r="T24" s="90"/>
      <c r="U24" s="91">
        <f>SUM(U26:U300)</f>
        <v>63015681.077607557</v>
      </c>
      <c r="V24" s="92">
        <f>SUM(V26:V300)</f>
        <v>44110976.754325293</v>
      </c>
      <c r="W24" s="92">
        <f>IFERROR(SUM(W26:W300),0)</f>
        <v>15316595.085963096</v>
      </c>
      <c r="X24" s="92">
        <f>SUM(X26:X300)</f>
        <v>3588109.2373191719</v>
      </c>
      <c r="Y24" s="92">
        <f>SUM(Y26:Y300)</f>
        <v>126031362.15521519</v>
      </c>
      <c r="Z24" s="217" t="str">
        <f xml:space="preserve"> "Limit: "&amp;TEXT(Z19,"#,##0.0%")&amp;" of Filtered Net Cost"</f>
        <v>Limit: 75.0% of Filtered Net Cost</v>
      </c>
      <c r="AA24" s="218"/>
      <c r="AB24" s="83"/>
      <c r="AC24" s="166">
        <f>SUM(AC26:AC300)</f>
        <v>126031362.15521517</v>
      </c>
      <c r="AD24" s="166"/>
    </row>
    <row r="25" spans="2:33" s="153" customFormat="1" ht="43.5" thickBot="1" x14ac:dyDescent="0.3">
      <c r="B25" s="105" t="s">
        <v>11</v>
      </c>
      <c r="C25" s="105" t="s">
        <v>10</v>
      </c>
      <c r="D25" s="105" t="s">
        <v>9</v>
      </c>
      <c r="E25" s="134" t="s">
        <v>349</v>
      </c>
      <c r="F25" s="111" t="s">
        <v>344</v>
      </c>
      <c r="G25" s="112" t="s">
        <v>54</v>
      </c>
      <c r="H25" s="134" t="s">
        <v>322</v>
      </c>
      <c r="I25" s="111" t="s">
        <v>345</v>
      </c>
      <c r="J25" s="112" t="s">
        <v>54</v>
      </c>
      <c r="K25" s="134" t="s">
        <v>323</v>
      </c>
      <c r="L25" s="111" t="s">
        <v>346</v>
      </c>
      <c r="M25" s="112" t="s">
        <v>54</v>
      </c>
      <c r="N25" s="106" t="s">
        <v>324</v>
      </c>
      <c r="O25" s="111" t="s">
        <v>347</v>
      </c>
      <c r="P25" s="112" t="s">
        <v>54</v>
      </c>
      <c r="Q25" s="106" t="s">
        <v>8</v>
      </c>
      <c r="R25" s="106" t="s">
        <v>1</v>
      </c>
      <c r="S25" s="106" t="str">
        <f>"Adjusted Net Cost"&amp;CHAR(10)&amp;TEXT(SUM(S26:S299),"$#,##0")</f>
        <v>Adjusted Net Cost
$286,168,640</v>
      </c>
      <c r="T25" s="134" t="s">
        <v>38</v>
      </c>
      <c r="U25" s="106" t="s">
        <v>39</v>
      </c>
      <c r="V25" s="106" t="s">
        <v>40</v>
      </c>
      <c r="W25" s="151" t="s">
        <v>41</v>
      </c>
      <c r="X25" s="106" t="s">
        <v>42</v>
      </c>
      <c r="Y25" s="106" t="str">
        <f>"Subtotal Funding Net of CIF"&amp;CHAR(10)&amp;TEXT(SUM(Y26:Y299),"$#,##0")</f>
        <v>Subtotal Funding Net of CIF
$126,031,362</v>
      </c>
      <c r="Z25" s="151" t="s">
        <v>43</v>
      </c>
      <c r="AA25" s="106" t="str">
        <f>"Total 2018 Adjusted Payment"&amp;CHAR(10)&amp;TEXT(SUM($AA$26:$AA$299),"$#,##0;(-$#,##0)")</f>
        <v>Total 2018 Adjusted Payment
$126,031,362</v>
      </c>
      <c r="AB25" s="94"/>
      <c r="AC25" s="113" t="s">
        <v>306</v>
      </c>
      <c r="AD25" s="113" t="s">
        <v>333</v>
      </c>
    </row>
    <row r="26" spans="2:33" x14ac:dyDescent="0.25">
      <c r="B26">
        <v>1</v>
      </c>
      <c r="C26" s="28">
        <v>1</v>
      </c>
      <c r="D26" s="35" t="s">
        <v>62</v>
      </c>
      <c r="E26" s="154">
        <v>38779.589531164704</v>
      </c>
      <c r="F26" s="154">
        <f>INDEX('Revised 2018 Lockdown'!H$5:H$253,MATCH(B26,'Revised 2018 Lockdown'!B$5:B$253,0))</f>
        <v>38728.502695461008</v>
      </c>
      <c r="G26" s="154">
        <f>E26-F26</f>
        <v>51.086835703696124</v>
      </c>
      <c r="H26" s="5">
        <v>9766397.1899999995</v>
      </c>
      <c r="I26" s="5">
        <f>INDEX('Revised 2018 Lockdown'!E$5:E$253,MATCH(B26,'Revised 2018 Lockdown'!B$5:B$253,0))</f>
        <v>9766397.1899999995</v>
      </c>
      <c r="J26" s="5">
        <f>H26-I26</f>
        <v>0</v>
      </c>
      <c r="K26" s="5">
        <v>568925.55000000005</v>
      </c>
      <c r="L26" s="5">
        <f>INDEX('Revised 2018 Lockdown'!F$5:F$253,MATCH(B26,'Revised 2018 Lockdown'!B$5:B$253,0))</f>
        <v>568925.55000000005</v>
      </c>
      <c r="M26" s="5">
        <f>K26-L26</f>
        <v>0</v>
      </c>
      <c r="N26" s="5">
        <v>9197471.6399999987</v>
      </c>
      <c r="O26" s="97">
        <f>I26-L26</f>
        <v>9197471.6399999987</v>
      </c>
      <c r="P26" s="97">
        <f>N26-O26</f>
        <v>0</v>
      </c>
      <c r="Q26" s="95">
        <f>IFERROR(O26/F26,"n.a.")</f>
        <v>237.48585666540487</v>
      </c>
      <c r="R26" s="6">
        <f t="shared" ref="R26:R89" si="1">MIN(Q26,INDEX($V$3:$V$11,MATCH(C26,$S$3:$S$11,0)))</f>
        <v>237.48585666540487</v>
      </c>
      <c r="S26" s="5">
        <f>F26*R26</f>
        <v>9197471.6399999987</v>
      </c>
      <c r="T26" s="135">
        <v>1</v>
      </c>
      <c r="U26" s="97">
        <f>$E$14*(S26/$S$24)</f>
        <v>2025326.5309057184</v>
      </c>
      <c r="V26" s="97">
        <f>$E$15*(F26/$F$24)</f>
        <v>2189223.4849492302</v>
      </c>
      <c r="W26" s="97">
        <f>IFERROR(T26*$E$16*(S26/$S$24),0)</f>
        <v>607597.95927171549</v>
      </c>
      <c r="X26" s="97">
        <f>($W$23+$E$9)*(S26/$S$24)</f>
        <v>115321.97557589742</v>
      </c>
      <c r="Y26" s="97">
        <f>U26+V26+W26+X26</f>
        <v>4937469.9507025629</v>
      </c>
      <c r="Z26" s="104">
        <f>IFERROR((Y26/S26),0)</f>
        <v>0.53682904867348558</v>
      </c>
      <c r="AA26" s="96">
        <f>IF(Z26&gt;$Z$19,$Z$19*S26,Y26+($Z$23*Y26/$Z$22))</f>
        <v>4937469.9507025629</v>
      </c>
      <c r="AB26" s="97"/>
      <c r="AC26" s="96">
        <f>INDEX('[2]2020 Funding'!$S$26:$S$274,MATCH(B26,'[2]2020 Funding'!$B$26:$B$274,0))</f>
        <v>4941681.0543130776</v>
      </c>
      <c r="AD26" s="5">
        <f>AA26-AC26</f>
        <v>-4211.1036105146632</v>
      </c>
      <c r="AG26" s="96"/>
    </row>
    <row r="27" spans="2:33" x14ac:dyDescent="0.25">
      <c r="B27">
        <v>20</v>
      </c>
      <c r="C27" s="28">
        <v>1</v>
      </c>
      <c r="D27" s="35" t="s">
        <v>63</v>
      </c>
      <c r="E27" s="154">
        <v>95138.34</v>
      </c>
      <c r="F27" s="154">
        <f>INDEX('Revised 2018 Lockdown'!H$5:H$253,MATCH(B27,'Revised 2018 Lockdown'!B$5:B$253,0))</f>
        <v>95138.34</v>
      </c>
      <c r="G27" s="154">
        <f t="shared" ref="G27:G90" si="2">E27-F27</f>
        <v>0</v>
      </c>
      <c r="H27" s="5">
        <v>71739245.819999993</v>
      </c>
      <c r="I27" s="5">
        <f>INDEX('Revised 2018 Lockdown'!E$5:E$253,MATCH(B27,'Revised 2018 Lockdown'!B$5:B$253,0))</f>
        <v>72113420.859999999</v>
      </c>
      <c r="J27" s="5">
        <f t="shared" ref="J27:J90" si="3">H27-I27</f>
        <v>-374175.04000000656</v>
      </c>
      <c r="K27" s="5">
        <v>10663964.02</v>
      </c>
      <c r="L27" s="5">
        <f>INDEX('Revised 2018 Lockdown'!F$5:F$253,MATCH(B27,'Revised 2018 Lockdown'!B$5:B$253,0))</f>
        <v>10663964.02</v>
      </c>
      <c r="M27" s="5">
        <f t="shared" ref="M27:M90" si="4">K27-L27</f>
        <v>0</v>
      </c>
      <c r="N27" s="5">
        <v>61075281.799999997</v>
      </c>
      <c r="O27" s="97">
        <f t="shared" ref="O27:O90" si="5">I27-L27</f>
        <v>61449456.840000004</v>
      </c>
      <c r="P27" s="97">
        <f t="shared" ref="P27:P90" si="6">N27-O27</f>
        <v>-374175.04000000656</v>
      </c>
      <c r="Q27" s="95">
        <f>IFERROR(O27/F27,"n.a.")</f>
        <v>645.89582748658438</v>
      </c>
      <c r="R27" s="6">
        <f>MIN(Q27,INDEX($V$3:$V$11,MATCH(C27,$S$3:$S$11,0)))</f>
        <v>627.65447367725108</v>
      </c>
      <c r="S27" s="5">
        <f>F27*R27</f>
        <v>59714004.719227359</v>
      </c>
      <c r="T27" s="135">
        <v>0.83378571428571413</v>
      </c>
      <c r="U27" s="97">
        <f t="shared" ref="U27:U89" si="7">$E$14*(S27/$S$24)</f>
        <v>13149304.80443215</v>
      </c>
      <c r="V27" s="97">
        <f>$E$15*(F27/$F$24)</f>
        <v>5377927.7212153915</v>
      </c>
      <c r="W27" s="97">
        <f t="shared" ref="W27:W89" si="8">IFERROR(T27*$E$16*(S27/$S$24),0)</f>
        <v>3289110.7496172097</v>
      </c>
      <c r="X27" s="97">
        <f t="shared" ref="X27:X89" si="9">($W$23+$E$9)*(S27/$S$24)</f>
        <v>748720.65533977118</v>
      </c>
      <c r="Y27" s="97">
        <f t="shared" ref="Y27:Y89" si="10">U27+V27+W27+X27</f>
        <v>22565063.930604525</v>
      </c>
      <c r="Z27" s="104">
        <f t="shared" ref="Z27:Z89" si="11">IFERROR((Y27/S27),0)</f>
        <v>0.37788562392866581</v>
      </c>
      <c r="AA27" s="96">
        <f t="shared" ref="AA27:AA89" si="12">IF(Z27&gt;$Z$19,$Z$19*S27,Y27+($Z$23*Y27/$Z$22))</f>
        <v>22565063.930604525</v>
      </c>
      <c r="AB27" s="97"/>
      <c r="AC27" s="96">
        <f>INDEX('[2]2020 Funding'!$S$26:$S$274,MATCH(B27,'[2]2020 Funding'!$B$26:$B$274,0))</f>
        <v>22480314.530982662</v>
      </c>
      <c r="AD27" s="5">
        <f t="shared" ref="AD27:AD90" si="13">AA27-AC27</f>
        <v>84749.399621862918</v>
      </c>
      <c r="AF27" s="18"/>
      <c r="AG27" s="96"/>
    </row>
    <row r="28" spans="2:33" x14ac:dyDescent="0.25">
      <c r="B28">
        <v>50</v>
      </c>
      <c r="C28" s="28">
        <v>1</v>
      </c>
      <c r="D28" s="35" t="s">
        <v>64</v>
      </c>
      <c r="E28" s="154">
        <v>21832.32</v>
      </c>
      <c r="F28" s="154">
        <f>INDEX('Revised 2018 Lockdown'!H$5:H$253,MATCH(B28,'Revised 2018 Lockdown'!B$5:B$253,0))</f>
        <v>21832.32</v>
      </c>
      <c r="G28" s="154">
        <f t="shared" si="2"/>
        <v>0</v>
      </c>
      <c r="H28" s="5">
        <v>10267643.390000001</v>
      </c>
      <c r="I28" s="5">
        <f>INDEX('Revised 2018 Lockdown'!E$5:E$253,MATCH(B28,'Revised 2018 Lockdown'!B$5:B$253,0))</f>
        <v>10267643.390000001</v>
      </c>
      <c r="J28" s="5">
        <f t="shared" si="3"/>
        <v>0</v>
      </c>
      <c r="K28" s="5">
        <v>3253400.57</v>
      </c>
      <c r="L28" s="5">
        <f>INDEX('Revised 2018 Lockdown'!F$5:F$253,MATCH(B28,'Revised 2018 Lockdown'!B$5:B$253,0))</f>
        <v>3253400.57</v>
      </c>
      <c r="M28" s="5">
        <f t="shared" si="4"/>
        <v>0</v>
      </c>
      <c r="N28" s="5">
        <v>7014242.8200000003</v>
      </c>
      <c r="O28" s="97">
        <f t="shared" si="5"/>
        <v>7014242.8200000003</v>
      </c>
      <c r="P28" s="97">
        <f t="shared" si="6"/>
        <v>0</v>
      </c>
      <c r="Q28" s="95">
        <f t="shared" ref="Q28:Q90" si="14">IFERROR(O28/F28,"n.a.")</f>
        <v>321.27794114413859</v>
      </c>
      <c r="R28" s="6">
        <f t="shared" si="1"/>
        <v>321.27794114413859</v>
      </c>
      <c r="S28" s="5">
        <f t="shared" ref="S28:S90" si="15">F28*R28</f>
        <v>7014242.8199999994</v>
      </c>
      <c r="T28" s="135">
        <v>0.87535714285714272</v>
      </c>
      <c r="U28" s="97">
        <f>$E$14*(S28/$S$24)</f>
        <v>1544569.2722528407</v>
      </c>
      <c r="V28" s="97">
        <f>$E$15*(F28/$F$24)</f>
        <v>1234125.3688727932</v>
      </c>
      <c r="W28" s="97">
        <f>IFERROR(T28*$E$16*(S28/$S$24),0)</f>
        <v>405614.92353125481</v>
      </c>
      <c r="X28" s="97">
        <f>($W$23+$E$9)*(S28/$S$24)</f>
        <v>87947.685063093464</v>
      </c>
      <c r="Y28" s="97">
        <f>U28+V28+W28+X28</f>
        <v>3272257.249719982</v>
      </c>
      <c r="Z28" s="104">
        <f>IFERROR((Y28/S28),0)</f>
        <v>0.46651610639849256</v>
      </c>
      <c r="AA28" s="96">
        <f>IF(Z28&gt;$Z$19,$Z$19*S28,Y28+($Z$23*Y28/$Z$22))</f>
        <v>3272257.249719982</v>
      </c>
      <c r="AB28" s="97"/>
      <c r="AC28" s="96">
        <f>INDEX('[2]2020 Funding'!$S$26:$S$274,MATCH(B28,'[2]2020 Funding'!$B$26:$B$274,0))</f>
        <v>3273346.3131831107</v>
      </c>
      <c r="AD28" s="5">
        <f t="shared" si="13"/>
        <v>-1089.0634631286375</v>
      </c>
      <c r="AF28" s="18"/>
      <c r="AG28" s="96"/>
    </row>
    <row r="29" spans="2:33" x14ac:dyDescent="0.25">
      <c r="B29">
        <v>97</v>
      </c>
      <c r="C29" s="28">
        <v>1</v>
      </c>
      <c r="D29" s="35" t="s">
        <v>65</v>
      </c>
      <c r="E29" s="154">
        <v>65811.663101711354</v>
      </c>
      <c r="F29" s="154">
        <f>INDEX('Revised 2018 Lockdown'!H$5:H$253,MATCH(B29,'Revised 2018 Lockdown'!B$5:B$253,0))</f>
        <v>65818.306144817994</v>
      </c>
      <c r="G29" s="154">
        <f t="shared" si="2"/>
        <v>-6.643043106640107</v>
      </c>
      <c r="H29" s="5">
        <v>29671076.98</v>
      </c>
      <c r="I29" s="5">
        <f>INDEX('Revised 2018 Lockdown'!E$5:E$253,MATCH(B29,'Revised 2018 Lockdown'!B$5:B$253,0))</f>
        <v>29681294.399999999</v>
      </c>
      <c r="J29" s="5">
        <f t="shared" si="3"/>
        <v>-10217.419999998063</v>
      </c>
      <c r="K29" s="5">
        <v>5189475.3699999992</v>
      </c>
      <c r="L29" s="5">
        <f>INDEX('Revised 2018 Lockdown'!F$5:F$253,MATCH(B29,'Revised 2018 Lockdown'!B$5:B$253,0))</f>
        <v>5193562.6999999993</v>
      </c>
      <c r="M29" s="5">
        <f t="shared" si="4"/>
        <v>-4087.3300000000745</v>
      </c>
      <c r="N29" s="5">
        <v>24481601.609999999</v>
      </c>
      <c r="O29" s="97">
        <f t="shared" si="5"/>
        <v>24487731.699999999</v>
      </c>
      <c r="P29" s="97">
        <f t="shared" si="6"/>
        <v>-6130.089999999851</v>
      </c>
      <c r="Q29" s="95">
        <f t="shared" si="14"/>
        <v>372.05046945633023</v>
      </c>
      <c r="R29" s="6">
        <f t="shared" si="1"/>
        <v>372.05046945633023</v>
      </c>
      <c r="S29" s="5">
        <f t="shared" si="15"/>
        <v>24487731.699999999</v>
      </c>
      <c r="T29" s="135">
        <v>0.87535714285714272</v>
      </c>
      <c r="U29" s="97">
        <f t="shared" si="7"/>
        <v>5392313.7395736491</v>
      </c>
      <c r="V29" s="97">
        <f t="shared" ref="V29:V89" si="16">$E$15*(F29/$F$24)</f>
        <v>3720540.9846299407</v>
      </c>
      <c r="W29" s="97">
        <f t="shared" si="8"/>
        <v>1416060.1045387513</v>
      </c>
      <c r="X29" s="97">
        <f t="shared" si="9"/>
        <v>307038.03257571434</v>
      </c>
      <c r="Y29" s="97">
        <f t="shared" si="10"/>
        <v>10835952.861318056</v>
      </c>
      <c r="Z29" s="104">
        <f t="shared" si="11"/>
        <v>0.44250537346903618</v>
      </c>
      <c r="AA29" s="96">
        <f t="shared" si="12"/>
        <v>10835952.861318056</v>
      </c>
      <c r="AB29" s="97"/>
      <c r="AC29" s="96">
        <f>INDEX('[2]2020 Funding'!$S$26:$S$274,MATCH(B29,'[2]2020 Funding'!$B$26:$B$274,0))</f>
        <v>10837754.557979662</v>
      </c>
      <c r="AD29" s="5">
        <f t="shared" si="13"/>
        <v>-1801.696661606431</v>
      </c>
      <c r="AF29" s="18"/>
      <c r="AG29" s="96"/>
    </row>
    <row r="30" spans="2:33" x14ac:dyDescent="0.25">
      <c r="B30">
        <v>172</v>
      </c>
      <c r="C30" s="28">
        <v>1</v>
      </c>
      <c r="D30" s="35" t="s">
        <v>66</v>
      </c>
      <c r="E30" s="154">
        <v>34341.100000000006</v>
      </c>
      <c r="F30" s="154">
        <f>INDEX('Revised 2018 Lockdown'!H$5:H$253,MATCH(B30,'Revised 2018 Lockdown'!B$5:B$253,0))</f>
        <v>34341.100000000006</v>
      </c>
      <c r="G30" s="154">
        <f t="shared" si="2"/>
        <v>0</v>
      </c>
      <c r="H30" s="5">
        <v>15497137.449999999</v>
      </c>
      <c r="I30" s="5">
        <f>INDEX('Revised 2018 Lockdown'!E$5:E$253,MATCH(B30,'Revised 2018 Lockdown'!B$5:B$253,0))</f>
        <v>15497137.449999999</v>
      </c>
      <c r="J30" s="5">
        <f t="shared" si="3"/>
        <v>0</v>
      </c>
      <c r="K30" s="5">
        <v>3445193.7500000005</v>
      </c>
      <c r="L30" s="5">
        <f>INDEX('Revised 2018 Lockdown'!F$5:F$253,MATCH(B30,'Revised 2018 Lockdown'!B$5:B$253,0))</f>
        <v>3445193.7500000005</v>
      </c>
      <c r="M30" s="5">
        <f t="shared" si="4"/>
        <v>0</v>
      </c>
      <c r="N30" s="5">
        <v>12051943.699999999</v>
      </c>
      <c r="O30" s="97">
        <f t="shared" si="5"/>
        <v>12051943.699999999</v>
      </c>
      <c r="P30" s="97">
        <f t="shared" si="6"/>
        <v>0</v>
      </c>
      <c r="Q30" s="95">
        <f t="shared" si="14"/>
        <v>350.94809717801695</v>
      </c>
      <c r="R30" s="6">
        <f t="shared" si="1"/>
        <v>350.94809717801695</v>
      </c>
      <c r="S30" s="5">
        <f t="shared" si="15"/>
        <v>12051943.699999999</v>
      </c>
      <c r="T30" s="135">
        <v>0.87535714285714272</v>
      </c>
      <c r="U30" s="97">
        <f t="shared" si="7"/>
        <v>2653894.7093281853</v>
      </c>
      <c r="V30" s="97">
        <f t="shared" si="16"/>
        <v>1941214.8001219057</v>
      </c>
      <c r="W30" s="97">
        <f t="shared" si="8"/>
        <v>696931.70706036221</v>
      </c>
      <c r="X30" s="97">
        <f t="shared" si="9"/>
        <v>151112.61131472114</v>
      </c>
      <c r="Y30" s="97">
        <f t="shared" si="10"/>
        <v>5443153.8278251747</v>
      </c>
      <c r="Z30" s="104">
        <f t="shared" si="11"/>
        <v>0.45164115957703777</v>
      </c>
      <c r="AA30" s="96">
        <f t="shared" si="12"/>
        <v>5443153.8278251747</v>
      </c>
      <c r="AB30" s="97"/>
      <c r="AC30" s="96">
        <f>INDEX('[2]2020 Funding'!$S$26:$S$274,MATCH(B30,'[2]2020 Funding'!$B$26:$B$274,0))</f>
        <v>5445073.0887139011</v>
      </c>
      <c r="AD30" s="5">
        <f t="shared" si="13"/>
        <v>-1919.2608887264505</v>
      </c>
      <c r="AF30" s="18"/>
      <c r="AG30" s="96"/>
    </row>
    <row r="31" spans="2:33" x14ac:dyDescent="0.25">
      <c r="B31">
        <v>270</v>
      </c>
      <c r="C31" s="28">
        <v>1</v>
      </c>
      <c r="D31" s="35" t="s">
        <v>67</v>
      </c>
      <c r="E31" s="154">
        <v>81774.8</v>
      </c>
      <c r="F31" s="154">
        <f>INDEX('Revised 2018 Lockdown'!H$5:H$253,MATCH(B31,'Revised 2018 Lockdown'!B$5:B$253,0))</f>
        <v>81774.8</v>
      </c>
      <c r="G31" s="154">
        <f t="shared" si="2"/>
        <v>0</v>
      </c>
      <c r="H31" s="5">
        <v>36853205.850000001</v>
      </c>
      <c r="I31" s="5">
        <f>INDEX('Revised 2018 Lockdown'!E$5:E$253,MATCH(B31,'Revised 2018 Lockdown'!B$5:B$253,0))</f>
        <v>36853205.850000001</v>
      </c>
      <c r="J31" s="5">
        <f t="shared" si="3"/>
        <v>0</v>
      </c>
      <c r="K31" s="5">
        <v>6800569.6699999999</v>
      </c>
      <c r="L31" s="5">
        <f>INDEX('Revised 2018 Lockdown'!F$5:F$253,MATCH(B31,'Revised 2018 Lockdown'!B$5:B$253,0))</f>
        <v>6800569.6699999999</v>
      </c>
      <c r="M31" s="5">
        <f t="shared" si="4"/>
        <v>0</v>
      </c>
      <c r="N31" s="5">
        <v>30052636.18</v>
      </c>
      <c r="O31" s="97">
        <f t="shared" si="5"/>
        <v>30052636.18</v>
      </c>
      <c r="P31" s="97">
        <f t="shared" si="6"/>
        <v>0</v>
      </c>
      <c r="Q31" s="95">
        <f t="shared" si="14"/>
        <v>367.50485699751022</v>
      </c>
      <c r="R31" s="6">
        <f t="shared" si="1"/>
        <v>367.50485699751022</v>
      </c>
      <c r="S31" s="5">
        <f t="shared" si="15"/>
        <v>30052636.18</v>
      </c>
      <c r="T31" s="135">
        <v>0.87535714285714272</v>
      </c>
      <c r="U31" s="97">
        <f t="shared" si="7"/>
        <v>6617731.8899578666</v>
      </c>
      <c r="V31" s="97">
        <f t="shared" si="16"/>
        <v>4622520.8871296728</v>
      </c>
      <c r="W31" s="97">
        <f t="shared" si="8"/>
        <v>1737863.663816435</v>
      </c>
      <c r="X31" s="97">
        <f t="shared" si="9"/>
        <v>376813.27121127071</v>
      </c>
      <c r="Y31" s="97">
        <f t="shared" si="10"/>
        <v>13354929.712115245</v>
      </c>
      <c r="Z31" s="104">
        <f t="shared" si="11"/>
        <v>0.44438463341871282</v>
      </c>
      <c r="AA31" s="96">
        <f t="shared" si="12"/>
        <v>13354929.712115245</v>
      </c>
      <c r="AB31" s="97"/>
      <c r="AC31" s="96">
        <f>INDEX('[2]2020 Funding'!$S$26:$S$274,MATCH(B31,'[2]2020 Funding'!$B$26:$B$274,0))</f>
        <v>13359773.982291199</v>
      </c>
      <c r="AD31" s="5">
        <f t="shared" si="13"/>
        <v>-4844.270175954327</v>
      </c>
      <c r="AF31" s="18"/>
      <c r="AG31" s="96"/>
    </row>
    <row r="32" spans="2:33" x14ac:dyDescent="0.25">
      <c r="B32">
        <v>6</v>
      </c>
      <c r="C32" s="28">
        <v>2</v>
      </c>
      <c r="D32" s="35" t="s">
        <v>68</v>
      </c>
      <c r="E32" s="154">
        <v>43278</v>
      </c>
      <c r="F32" s="154">
        <f>INDEX('Revised 2018 Lockdown'!H$5:H$253,MATCH(B32,'Revised 2018 Lockdown'!B$5:B$253,0))</f>
        <v>43278</v>
      </c>
      <c r="G32" s="154">
        <f t="shared" si="2"/>
        <v>0</v>
      </c>
      <c r="H32" s="5">
        <v>19454497.760000002</v>
      </c>
      <c r="I32" s="5">
        <f>INDEX('Revised 2018 Lockdown'!E$5:E$253,MATCH(B32,'Revised 2018 Lockdown'!B$5:B$253,0))</f>
        <v>19454497.760000002</v>
      </c>
      <c r="J32" s="5">
        <f t="shared" si="3"/>
        <v>0</v>
      </c>
      <c r="K32" s="5">
        <v>4664058.9000000004</v>
      </c>
      <c r="L32" s="5">
        <f>INDEX('Revised 2018 Lockdown'!F$5:F$253,MATCH(B32,'Revised 2018 Lockdown'!B$5:B$253,0))</f>
        <v>4664058.9000000004</v>
      </c>
      <c r="M32" s="5">
        <f t="shared" si="4"/>
        <v>0</v>
      </c>
      <c r="N32" s="5">
        <v>14790438.860000001</v>
      </c>
      <c r="O32" s="97">
        <f t="shared" si="5"/>
        <v>14790438.860000001</v>
      </c>
      <c r="P32" s="97">
        <f t="shared" si="6"/>
        <v>0</v>
      </c>
      <c r="Q32" s="95">
        <f t="shared" si="14"/>
        <v>341.75421368824811</v>
      </c>
      <c r="R32" s="6">
        <f t="shared" si="1"/>
        <v>320.70169543853194</v>
      </c>
      <c r="S32" s="5">
        <f t="shared" si="15"/>
        <v>13879327.975188786</v>
      </c>
      <c r="T32" s="135">
        <v>0.79221428571428565</v>
      </c>
      <c r="U32" s="97">
        <f t="shared" si="7"/>
        <v>3056293.3249002979</v>
      </c>
      <c r="V32" s="97">
        <f t="shared" si="16"/>
        <v>2446394.9646247737</v>
      </c>
      <c r="W32" s="97">
        <f t="shared" si="8"/>
        <v>726371.76999576855</v>
      </c>
      <c r="X32" s="97">
        <f t="shared" si="9"/>
        <v>174025.1652207966</v>
      </c>
      <c r="Y32" s="97">
        <f t="shared" si="10"/>
        <v>6403085.2247416358</v>
      </c>
      <c r="Z32" s="104">
        <f t="shared" si="11"/>
        <v>0.46133971588451789</v>
      </c>
      <c r="AA32" s="96">
        <f t="shared" si="12"/>
        <v>6403085.2247416358</v>
      </c>
      <c r="AB32" s="97"/>
      <c r="AC32" s="96">
        <f>INDEX('[2]2020 Funding'!$S$26:$S$274,MATCH(B32,'[2]2020 Funding'!$B$26:$B$274,0))</f>
        <v>6405076.3357704822</v>
      </c>
      <c r="AD32" s="5">
        <f t="shared" si="13"/>
        <v>-1991.1110288463533</v>
      </c>
      <c r="AF32" s="18"/>
      <c r="AG32" s="96"/>
    </row>
    <row r="33" spans="2:33" x14ac:dyDescent="0.25">
      <c r="B33">
        <v>18</v>
      </c>
      <c r="C33" s="28">
        <v>2</v>
      </c>
      <c r="D33" s="35" t="s">
        <v>69</v>
      </c>
      <c r="E33" s="154">
        <v>23157.74</v>
      </c>
      <c r="F33" s="154">
        <f>INDEX('Revised 2018 Lockdown'!H$5:H$253,MATCH(B33,'Revised 2018 Lockdown'!B$5:B$253,0))</f>
        <v>23157.74</v>
      </c>
      <c r="G33" s="154">
        <f t="shared" si="2"/>
        <v>0</v>
      </c>
      <c r="H33" s="5">
        <v>8155555.9199999999</v>
      </c>
      <c r="I33" s="5">
        <f>INDEX('Revised 2018 Lockdown'!E$5:E$253,MATCH(B33,'Revised 2018 Lockdown'!B$5:B$253,0))</f>
        <v>8164283.8399999999</v>
      </c>
      <c r="J33" s="5">
        <f t="shared" si="3"/>
        <v>-8727.9199999999255</v>
      </c>
      <c r="K33" s="5">
        <v>3204604.9</v>
      </c>
      <c r="L33" s="5">
        <f>INDEX('Revised 2018 Lockdown'!F$5:F$253,MATCH(B33,'Revised 2018 Lockdown'!B$5:B$253,0))</f>
        <v>3204604.9</v>
      </c>
      <c r="M33" s="5">
        <f t="shared" si="4"/>
        <v>0</v>
      </c>
      <c r="N33" s="5">
        <v>4950951.0199999996</v>
      </c>
      <c r="O33" s="97">
        <f t="shared" si="5"/>
        <v>4959678.9399999995</v>
      </c>
      <c r="P33" s="97">
        <f t="shared" si="6"/>
        <v>-8727.9199999999255</v>
      </c>
      <c r="Q33" s="95">
        <f t="shared" si="14"/>
        <v>214.16938526816517</v>
      </c>
      <c r="R33" s="6">
        <f t="shared" si="1"/>
        <v>214.16938526816517</v>
      </c>
      <c r="S33" s="5">
        <f t="shared" si="15"/>
        <v>4959678.9399999995</v>
      </c>
      <c r="T33" s="135">
        <v>0.78458128571428565</v>
      </c>
      <c r="U33" s="97">
        <f t="shared" si="7"/>
        <v>1092144.6387799191</v>
      </c>
      <c r="V33" s="97">
        <f t="shared" si="16"/>
        <v>1309047.9811472276</v>
      </c>
      <c r="W33" s="97">
        <f t="shared" si="8"/>
        <v>257062.8734639739</v>
      </c>
      <c r="X33" s="97">
        <f t="shared" si="9"/>
        <v>62186.652589990787</v>
      </c>
      <c r="Y33" s="97">
        <f t="shared" si="10"/>
        <v>2720442.1459811111</v>
      </c>
      <c r="Z33" s="104">
        <f t="shared" si="11"/>
        <v>0.5485117441858266</v>
      </c>
      <c r="AA33" s="96">
        <f t="shared" si="12"/>
        <v>2720442.1459811111</v>
      </c>
      <c r="AB33" s="97"/>
      <c r="AC33" s="96">
        <f>INDEX('[2]2020 Funding'!$S$26:$S$274,MATCH(B33,'[2]2020 Funding'!$B$26:$B$274,0))</f>
        <v>2718590.6069434336</v>
      </c>
      <c r="AD33" s="5">
        <f t="shared" si="13"/>
        <v>1851.5390376774594</v>
      </c>
      <c r="AF33" s="18"/>
      <c r="AG33" s="96"/>
    </row>
    <row r="34" spans="2:33" x14ac:dyDescent="0.25">
      <c r="B34">
        <v>53</v>
      </c>
      <c r="C34" s="28">
        <v>2</v>
      </c>
      <c r="D34" s="35" t="s">
        <v>70</v>
      </c>
      <c r="E34" s="154">
        <v>36449.64</v>
      </c>
      <c r="F34" s="154">
        <f>INDEX('Revised 2018 Lockdown'!H$5:H$253,MATCH(B34,'Revised 2018 Lockdown'!B$5:B$253,0))</f>
        <v>36449.64</v>
      </c>
      <c r="G34" s="154">
        <f t="shared" si="2"/>
        <v>0</v>
      </c>
      <c r="H34" s="5">
        <v>11201363.85</v>
      </c>
      <c r="I34" s="5">
        <f>INDEX('Revised 2018 Lockdown'!E$5:E$253,MATCH(B34,'Revised 2018 Lockdown'!B$5:B$253,0))</f>
        <v>11201363.85</v>
      </c>
      <c r="J34" s="5">
        <f t="shared" si="3"/>
        <v>0</v>
      </c>
      <c r="K34" s="5">
        <v>3914991.95</v>
      </c>
      <c r="L34" s="5">
        <f>INDEX('Revised 2018 Lockdown'!F$5:F$253,MATCH(B34,'Revised 2018 Lockdown'!B$5:B$253,0))</f>
        <v>3914991.95</v>
      </c>
      <c r="M34" s="5">
        <f t="shared" si="4"/>
        <v>0</v>
      </c>
      <c r="N34" s="5">
        <v>7286371.8999999994</v>
      </c>
      <c r="O34" s="97">
        <f t="shared" si="5"/>
        <v>7286371.8999999994</v>
      </c>
      <c r="P34" s="97">
        <f t="shared" si="6"/>
        <v>0</v>
      </c>
      <c r="Q34" s="95">
        <f t="shared" si="14"/>
        <v>199.90243799390061</v>
      </c>
      <c r="R34" s="6">
        <f t="shared" si="1"/>
        <v>199.90243799390061</v>
      </c>
      <c r="S34" s="5">
        <f t="shared" si="15"/>
        <v>7286371.8999999994</v>
      </c>
      <c r="T34" s="135">
        <v>0.87535714285714272</v>
      </c>
      <c r="U34" s="97">
        <f t="shared" si="7"/>
        <v>1604493.3760856811</v>
      </c>
      <c r="V34" s="97">
        <f t="shared" si="16"/>
        <v>2060405.1887422188</v>
      </c>
      <c r="W34" s="97">
        <f t="shared" si="8"/>
        <v>421351.42122707178</v>
      </c>
      <c r="X34" s="97">
        <f t="shared" si="9"/>
        <v>91359.760070834556</v>
      </c>
      <c r="Y34" s="97">
        <f t="shared" si="10"/>
        <v>4177609.7461258066</v>
      </c>
      <c r="Z34" s="104">
        <f t="shared" si="11"/>
        <v>0.57334566550546329</v>
      </c>
      <c r="AA34" s="96">
        <f t="shared" si="12"/>
        <v>4177609.7461258066</v>
      </c>
      <c r="AB34" s="97"/>
      <c r="AC34" s="96">
        <f>INDEX('[2]2020 Funding'!$S$26:$S$274,MATCH(B34,'[2]2020 Funding'!$B$26:$B$274,0))</f>
        <v>4178532.5545701347</v>
      </c>
      <c r="AD34" s="5">
        <f t="shared" si="13"/>
        <v>-922.80844432814047</v>
      </c>
      <c r="AF34" s="18"/>
      <c r="AG34" s="96"/>
    </row>
    <row r="35" spans="2:33" x14ac:dyDescent="0.25">
      <c r="B35">
        <v>335</v>
      </c>
      <c r="C35" s="28">
        <v>2</v>
      </c>
      <c r="D35" s="35" t="s">
        <v>71</v>
      </c>
      <c r="E35" s="154">
        <v>24830.720000000001</v>
      </c>
      <c r="F35" s="154">
        <f>INDEX('Revised 2018 Lockdown'!H$5:H$253,MATCH(B35,'Revised 2018 Lockdown'!B$5:B$253,0))</f>
        <v>24830.720000000001</v>
      </c>
      <c r="G35" s="154">
        <f t="shared" si="2"/>
        <v>0</v>
      </c>
      <c r="H35" s="5">
        <v>10253567.189999999</v>
      </c>
      <c r="I35" s="5">
        <f>INDEX('Revised 2018 Lockdown'!E$5:E$253,MATCH(B35,'Revised 2018 Lockdown'!B$5:B$253,0))</f>
        <v>10253567.189999999</v>
      </c>
      <c r="J35" s="5">
        <f t="shared" si="3"/>
        <v>0</v>
      </c>
      <c r="K35" s="5">
        <v>3115651.2</v>
      </c>
      <c r="L35" s="5">
        <f>INDEX('Revised 2018 Lockdown'!F$5:F$253,MATCH(B35,'Revised 2018 Lockdown'!B$5:B$253,0))</f>
        <v>3115651.2</v>
      </c>
      <c r="M35" s="5">
        <f t="shared" si="4"/>
        <v>0</v>
      </c>
      <c r="N35" s="5">
        <v>7137915.9899999993</v>
      </c>
      <c r="O35" s="97">
        <f t="shared" si="5"/>
        <v>7137915.9899999993</v>
      </c>
      <c r="P35" s="97">
        <f t="shared" si="6"/>
        <v>0</v>
      </c>
      <c r="Q35" s="95">
        <f t="shared" si="14"/>
        <v>287.46310980913961</v>
      </c>
      <c r="R35" s="6">
        <f t="shared" si="1"/>
        <v>287.46310980913961</v>
      </c>
      <c r="S35" s="5">
        <f t="shared" si="15"/>
        <v>7137915.9899999993</v>
      </c>
      <c r="T35" s="135">
        <v>0.87535714285714272</v>
      </c>
      <c r="U35" s="97">
        <f t="shared" si="7"/>
        <v>1571802.6861916103</v>
      </c>
      <c r="V35" s="97">
        <f t="shared" si="16"/>
        <v>1403617.2738113515</v>
      </c>
      <c r="W35" s="97">
        <f t="shared" si="8"/>
        <v>412766.61255596101</v>
      </c>
      <c r="X35" s="97">
        <f t="shared" si="9"/>
        <v>89498.35407827227</v>
      </c>
      <c r="Y35" s="97">
        <f t="shared" si="10"/>
        <v>3477684.9266371951</v>
      </c>
      <c r="Z35" s="104">
        <f t="shared" si="11"/>
        <v>0.48721292482418183</v>
      </c>
      <c r="AA35" s="96">
        <f t="shared" si="12"/>
        <v>3477684.9266371951</v>
      </c>
      <c r="AB35" s="97"/>
      <c r="AC35" s="96">
        <f>INDEX('[2]2020 Funding'!$S$26:$S$274,MATCH(B35,'[2]2020 Funding'!$B$26:$B$274,0))</f>
        <v>3478753.6197124831</v>
      </c>
      <c r="AD35" s="5">
        <f t="shared" si="13"/>
        <v>-1068.6930752880871</v>
      </c>
      <c r="AF35" s="18"/>
      <c r="AG35" s="96"/>
    </row>
    <row r="36" spans="2:33" x14ac:dyDescent="0.25">
      <c r="B36">
        <v>357</v>
      </c>
      <c r="C36" s="28">
        <v>2</v>
      </c>
      <c r="D36" s="35" t="s">
        <v>72</v>
      </c>
      <c r="E36" s="154">
        <v>35854.92</v>
      </c>
      <c r="F36" s="154">
        <f>INDEX('Revised 2018 Lockdown'!H$5:H$253,MATCH(B36,'Revised 2018 Lockdown'!B$5:B$253,0))</f>
        <v>35854.92</v>
      </c>
      <c r="G36" s="154">
        <f t="shared" si="2"/>
        <v>0</v>
      </c>
      <c r="H36" s="5">
        <v>12842982.59</v>
      </c>
      <c r="I36" s="5">
        <f>INDEX('Revised 2018 Lockdown'!E$5:E$253,MATCH(B36,'Revised 2018 Lockdown'!B$5:B$253,0))</f>
        <v>12842982.59</v>
      </c>
      <c r="J36" s="5">
        <f t="shared" si="3"/>
        <v>0</v>
      </c>
      <c r="K36" s="5">
        <v>4901152.2100000009</v>
      </c>
      <c r="L36" s="5">
        <f>INDEX('Revised 2018 Lockdown'!F$5:F$253,MATCH(B36,'Revised 2018 Lockdown'!B$5:B$253,0))</f>
        <v>4901152.2100000009</v>
      </c>
      <c r="M36" s="5">
        <f t="shared" si="4"/>
        <v>0</v>
      </c>
      <c r="N36" s="5">
        <v>7941830.379999999</v>
      </c>
      <c r="O36" s="97">
        <f t="shared" si="5"/>
        <v>7941830.379999999</v>
      </c>
      <c r="P36" s="97">
        <f t="shared" si="6"/>
        <v>0</v>
      </c>
      <c r="Q36" s="95">
        <f t="shared" si="14"/>
        <v>221.49904057797366</v>
      </c>
      <c r="R36" s="6">
        <f t="shared" si="1"/>
        <v>221.49904057797366</v>
      </c>
      <c r="S36" s="5">
        <f t="shared" si="15"/>
        <v>7941830.379999999</v>
      </c>
      <c r="T36" s="135">
        <v>0.91692857142857132</v>
      </c>
      <c r="U36" s="97">
        <f t="shared" si="7"/>
        <v>1748828.4174331024</v>
      </c>
      <c r="V36" s="97">
        <f t="shared" si="16"/>
        <v>2026787.1839046187</v>
      </c>
      <c r="W36" s="97">
        <f t="shared" si="8"/>
        <v>481065.22274118714</v>
      </c>
      <c r="X36" s="97">
        <f t="shared" si="9"/>
        <v>99578.188980453328</v>
      </c>
      <c r="Y36" s="97">
        <f t="shared" si="10"/>
        <v>4356259.0130593618</v>
      </c>
      <c r="Z36" s="104">
        <f t="shared" si="11"/>
        <v>0.54852078231609913</v>
      </c>
      <c r="AA36" s="96">
        <f t="shared" si="12"/>
        <v>4356259.0130593618</v>
      </c>
      <c r="AB36" s="97"/>
      <c r="AC36" s="96">
        <f>INDEX('[2]2020 Funding'!$S$26:$S$274,MATCH(B36,'[2]2020 Funding'!$B$26:$B$274,0))</f>
        <v>4357337.5908135688</v>
      </c>
      <c r="AD36" s="5">
        <f t="shared" si="13"/>
        <v>-1078.5777542069554</v>
      </c>
      <c r="AF36" s="18"/>
      <c r="AG36" s="96"/>
    </row>
    <row r="37" spans="2:33" x14ac:dyDescent="0.25">
      <c r="B37">
        <v>441</v>
      </c>
      <c r="C37" s="28">
        <v>2</v>
      </c>
      <c r="D37" s="35" t="s">
        <v>73</v>
      </c>
      <c r="E37" s="154">
        <v>56329.880000000012</v>
      </c>
      <c r="F37" s="154">
        <f>INDEX('Revised 2018 Lockdown'!H$5:H$253,MATCH(B37,'Revised 2018 Lockdown'!B$5:B$253,0))</f>
        <v>56329.880000000012</v>
      </c>
      <c r="G37" s="154">
        <f t="shared" si="2"/>
        <v>0</v>
      </c>
      <c r="H37" s="5">
        <v>19699264.510000002</v>
      </c>
      <c r="I37" s="5">
        <f>INDEX('Revised 2018 Lockdown'!E$5:E$253,MATCH(B37,'Revised 2018 Lockdown'!B$5:B$253,0))</f>
        <v>19699847.25</v>
      </c>
      <c r="J37" s="5">
        <f t="shared" si="3"/>
        <v>-582.73999999836087</v>
      </c>
      <c r="K37" s="5">
        <v>8176719.169999999</v>
      </c>
      <c r="L37" s="5">
        <f>INDEX('Revised 2018 Lockdown'!F$5:F$253,MATCH(B37,'Revised 2018 Lockdown'!B$5:B$253,0))</f>
        <v>8176719.9399999995</v>
      </c>
      <c r="M37" s="5">
        <f t="shared" si="4"/>
        <v>-0.77000000048428774</v>
      </c>
      <c r="N37" s="5">
        <v>11522545.340000004</v>
      </c>
      <c r="O37" s="97">
        <f t="shared" si="5"/>
        <v>11523127.310000001</v>
      </c>
      <c r="P37" s="97">
        <f t="shared" si="6"/>
        <v>-581.96999999694526</v>
      </c>
      <c r="Q37" s="95">
        <f t="shared" si="14"/>
        <v>204.5650960023348</v>
      </c>
      <c r="R37" s="6">
        <f t="shared" si="1"/>
        <v>204.5650960023348</v>
      </c>
      <c r="S37" s="5">
        <f t="shared" si="15"/>
        <v>11523127.310000001</v>
      </c>
      <c r="T37" s="135">
        <v>0.83378571428571424</v>
      </c>
      <c r="U37" s="97">
        <f t="shared" si="7"/>
        <v>2537446.8520728424</v>
      </c>
      <c r="V37" s="97">
        <f t="shared" si="16"/>
        <v>3184184.4537621373</v>
      </c>
      <c r="W37" s="97">
        <f t="shared" si="8"/>
        <v>634706.08080527757</v>
      </c>
      <c r="X37" s="97">
        <f t="shared" si="9"/>
        <v>144482.07705501298</v>
      </c>
      <c r="Y37" s="97">
        <f t="shared" si="10"/>
        <v>6500819.46369527</v>
      </c>
      <c r="Z37" s="104">
        <f t="shared" si="11"/>
        <v>0.56415409539506944</v>
      </c>
      <c r="AA37" s="96">
        <f t="shared" si="12"/>
        <v>6500819.46369527</v>
      </c>
      <c r="AB37" s="97"/>
      <c r="AC37" s="96">
        <f>INDEX('[2]2020 Funding'!$S$26:$S$274,MATCH(B37,'[2]2020 Funding'!$B$26:$B$274,0))</f>
        <v>6502110.6610608073</v>
      </c>
      <c r="AD37" s="5">
        <f t="shared" si="13"/>
        <v>-1291.1973655372858</v>
      </c>
      <c r="AF37" s="18"/>
      <c r="AG37" s="96"/>
    </row>
    <row r="38" spans="2:33" x14ac:dyDescent="0.25">
      <c r="B38">
        <v>14</v>
      </c>
      <c r="C38" s="28">
        <v>3</v>
      </c>
      <c r="D38" s="35" t="s">
        <v>74</v>
      </c>
      <c r="E38" s="154">
        <v>11367.08</v>
      </c>
      <c r="F38" s="154">
        <f>INDEX('Revised 2018 Lockdown'!H$5:H$253,MATCH(B38,'Revised 2018 Lockdown'!B$5:B$253,0))</f>
        <v>11321.630000000001</v>
      </c>
      <c r="G38" s="154">
        <f t="shared" si="2"/>
        <v>45.449999999998909</v>
      </c>
      <c r="H38" s="5">
        <v>2606685.4500000002</v>
      </c>
      <c r="I38" s="5">
        <f>INDEX('Revised 2018 Lockdown'!E$5:E$253,MATCH(B38,'Revised 2018 Lockdown'!B$5:B$253,0))</f>
        <v>2597615.2599999998</v>
      </c>
      <c r="J38" s="5">
        <f t="shared" si="3"/>
        <v>9070.1900000004098</v>
      </c>
      <c r="K38" s="5">
        <v>263239.97000000003</v>
      </c>
      <c r="L38" s="5">
        <f>INDEX('Revised 2018 Lockdown'!F$5:F$253,MATCH(B38,'Revised 2018 Lockdown'!B$5:B$253,0))</f>
        <v>261823.18</v>
      </c>
      <c r="M38" s="5">
        <f t="shared" si="4"/>
        <v>1416.7900000000373</v>
      </c>
      <c r="N38" s="5">
        <v>2343445.48</v>
      </c>
      <c r="O38" s="97">
        <f t="shared" si="5"/>
        <v>2335792.0799999996</v>
      </c>
      <c r="P38" s="97">
        <f t="shared" si="6"/>
        <v>7653.4000000003725</v>
      </c>
      <c r="Q38" s="95">
        <f t="shared" si="14"/>
        <v>206.3123490168818</v>
      </c>
      <c r="R38" s="6">
        <f t="shared" si="1"/>
        <v>206.3123490168818</v>
      </c>
      <c r="S38" s="5">
        <f t="shared" si="15"/>
        <v>2335792.0799999996</v>
      </c>
      <c r="T38" s="135">
        <v>0.85479464285714279</v>
      </c>
      <c r="U38" s="97">
        <f t="shared" si="7"/>
        <v>514352.40634277748</v>
      </c>
      <c r="V38" s="97">
        <f t="shared" si="16"/>
        <v>639982.86943354085</v>
      </c>
      <c r="W38" s="97">
        <f t="shared" si="8"/>
        <v>131899.70444474593</v>
      </c>
      <c r="X38" s="97">
        <f t="shared" si="9"/>
        <v>29287.196279969678</v>
      </c>
      <c r="Y38" s="97">
        <f t="shared" si="10"/>
        <v>1315522.1765010341</v>
      </c>
      <c r="Z38" s="104">
        <f t="shared" si="11"/>
        <v>0.56320174546573265</v>
      </c>
      <c r="AA38" s="96">
        <f t="shared" si="12"/>
        <v>1315522.1765010341</v>
      </c>
      <c r="AB38" s="97"/>
      <c r="AC38" s="96">
        <f>INDEX('[2]2020 Funding'!$S$26:$S$274,MATCH(B38,'[2]2020 Funding'!$B$26:$B$274,0))</f>
        <v>1320604.928925063</v>
      </c>
      <c r="AD38" s="5">
        <f t="shared" si="13"/>
        <v>-5082.7524240289349</v>
      </c>
      <c r="AF38" s="18"/>
      <c r="AG38" s="96"/>
    </row>
    <row r="39" spans="2:33" x14ac:dyDescent="0.25">
      <c r="B39">
        <v>36</v>
      </c>
      <c r="C39" s="28">
        <v>3</v>
      </c>
      <c r="D39" s="35" t="s">
        <v>75</v>
      </c>
      <c r="E39" s="154">
        <v>8138.780484742425</v>
      </c>
      <c r="F39" s="154">
        <f>INDEX('Revised 2018 Lockdown'!H$5:H$253,MATCH(B39,'Revised 2018 Lockdown'!B$5:B$253,0))</f>
        <v>8138.780484742425</v>
      </c>
      <c r="G39" s="154">
        <f t="shared" si="2"/>
        <v>0</v>
      </c>
      <c r="H39" s="5">
        <v>6197835.3200000003</v>
      </c>
      <c r="I39" s="5">
        <f>INDEX('Revised 2018 Lockdown'!E$5:E$253,MATCH(B39,'Revised 2018 Lockdown'!B$5:B$253,0))</f>
        <v>6197835.3200000003</v>
      </c>
      <c r="J39" s="5">
        <f t="shared" si="3"/>
        <v>0</v>
      </c>
      <c r="K39" s="5">
        <v>874483.81000000017</v>
      </c>
      <c r="L39" s="5">
        <f>INDEX('Revised 2018 Lockdown'!F$5:F$253,MATCH(B39,'Revised 2018 Lockdown'!B$5:B$253,0))</f>
        <v>874483.81000000017</v>
      </c>
      <c r="M39" s="5">
        <f t="shared" si="4"/>
        <v>0</v>
      </c>
      <c r="N39" s="5">
        <v>5323351.51</v>
      </c>
      <c r="O39" s="97">
        <f t="shared" si="5"/>
        <v>5323351.51</v>
      </c>
      <c r="P39" s="97">
        <f t="shared" si="6"/>
        <v>0</v>
      </c>
      <c r="Q39" s="95">
        <f t="shared" si="14"/>
        <v>654.07237853134859</v>
      </c>
      <c r="R39" s="6">
        <f t="shared" si="1"/>
        <v>538.88377581097382</v>
      </c>
      <c r="S39" s="5">
        <f t="shared" si="15"/>
        <v>4385856.7581146657</v>
      </c>
      <c r="T39" s="135">
        <v>0.69209077380952377</v>
      </c>
      <c r="U39" s="97">
        <f t="shared" si="7"/>
        <v>965786.29439098516</v>
      </c>
      <c r="V39" s="97">
        <f t="shared" si="16"/>
        <v>460064.50381395267</v>
      </c>
      <c r="W39" s="97">
        <f t="shared" si="8"/>
        <v>200523.53514590679</v>
      </c>
      <c r="X39" s="97">
        <f t="shared" si="9"/>
        <v>54991.815765868902</v>
      </c>
      <c r="Y39" s="97">
        <f t="shared" si="10"/>
        <v>1681366.1491167136</v>
      </c>
      <c r="Z39" s="104">
        <f t="shared" si="11"/>
        <v>0.38336093535336457</v>
      </c>
      <c r="AA39" s="96">
        <f t="shared" si="12"/>
        <v>1681366.1491167136</v>
      </c>
      <c r="AB39" s="97"/>
      <c r="AC39" s="96">
        <f>INDEX('[2]2020 Funding'!$S$26:$S$274,MATCH(B39,'[2]2020 Funding'!$B$26:$B$274,0))</f>
        <v>1682478.3161635017</v>
      </c>
      <c r="AD39" s="5">
        <f t="shared" si="13"/>
        <v>-1112.1670467881486</v>
      </c>
      <c r="AF39" s="18"/>
      <c r="AG39" s="96"/>
    </row>
    <row r="40" spans="2:33" x14ac:dyDescent="0.25">
      <c r="B40">
        <v>55</v>
      </c>
      <c r="C40" s="28">
        <v>3</v>
      </c>
      <c r="D40" s="35" t="s">
        <v>76</v>
      </c>
      <c r="E40" s="154">
        <v>3445.1599999999994</v>
      </c>
      <c r="F40" s="154">
        <f>INDEX('Revised 2018 Lockdown'!H$5:H$253,MATCH(B40,'Revised 2018 Lockdown'!B$5:B$253,0))</f>
        <v>3445.1599999999994</v>
      </c>
      <c r="G40" s="154">
        <f t="shared" si="2"/>
        <v>0</v>
      </c>
      <c r="H40" s="5">
        <v>1492885.07</v>
      </c>
      <c r="I40" s="5">
        <f>INDEX('Revised 2018 Lockdown'!E$5:E$253,MATCH(B40,'Revised 2018 Lockdown'!B$5:B$253,0))</f>
        <v>1492885.07</v>
      </c>
      <c r="J40" s="5">
        <f t="shared" si="3"/>
        <v>0</v>
      </c>
      <c r="K40" s="5">
        <v>67559.319999999992</v>
      </c>
      <c r="L40" s="5">
        <f>INDEX('Revised 2018 Lockdown'!F$5:F$253,MATCH(B40,'Revised 2018 Lockdown'!B$5:B$253,0))</f>
        <v>67559.319999999992</v>
      </c>
      <c r="M40" s="5">
        <f t="shared" si="4"/>
        <v>0</v>
      </c>
      <c r="N40" s="5">
        <v>1425325.75</v>
      </c>
      <c r="O40" s="97">
        <f t="shared" si="5"/>
        <v>1425325.75</v>
      </c>
      <c r="P40" s="97">
        <f t="shared" si="6"/>
        <v>0</v>
      </c>
      <c r="Q40" s="95">
        <f t="shared" si="14"/>
        <v>413.71830335891519</v>
      </c>
      <c r="R40" s="6">
        <f t="shared" si="1"/>
        <v>413.71830335891519</v>
      </c>
      <c r="S40" s="5">
        <f t="shared" si="15"/>
        <v>1425325.75</v>
      </c>
      <c r="T40" s="135">
        <v>0.49330952380952381</v>
      </c>
      <c r="U40" s="97">
        <f t="shared" si="7"/>
        <v>313863.43656701845</v>
      </c>
      <c r="V40" s="97">
        <f t="shared" si="16"/>
        <v>194746.10833048393</v>
      </c>
      <c r="W40" s="97">
        <f t="shared" si="8"/>
        <v>46449.546730228962</v>
      </c>
      <c r="X40" s="97">
        <f t="shared" si="9"/>
        <v>17871.365932170211</v>
      </c>
      <c r="Y40" s="97">
        <f t="shared" si="10"/>
        <v>572930.45755990152</v>
      </c>
      <c r="Z40" s="104">
        <f t="shared" si="11"/>
        <v>0.40196457375438671</v>
      </c>
      <c r="AA40" s="96">
        <f t="shared" si="12"/>
        <v>572930.45755990152</v>
      </c>
      <c r="AB40" s="97"/>
      <c r="AC40" s="96">
        <f>INDEX('[2]2020 Funding'!$S$26:$S$274,MATCH(B40,'[2]2020 Funding'!$B$26:$B$274,0))</f>
        <v>573143.50872795307</v>
      </c>
      <c r="AD40" s="5">
        <f t="shared" si="13"/>
        <v>-213.0511680515483</v>
      </c>
      <c r="AF40" s="18"/>
      <c r="AG40" s="96"/>
    </row>
    <row r="41" spans="2:33" x14ac:dyDescent="0.25">
      <c r="B41">
        <v>103</v>
      </c>
      <c r="C41" s="28">
        <v>3</v>
      </c>
      <c r="D41" s="35" t="s">
        <v>77</v>
      </c>
      <c r="E41" s="154">
        <v>4118.84</v>
      </c>
      <c r="F41" s="154">
        <f>INDEX('Revised 2018 Lockdown'!H$5:H$253,MATCH(B41,'Revised 2018 Lockdown'!B$5:B$253,0))</f>
        <v>4118.84</v>
      </c>
      <c r="G41" s="154">
        <f t="shared" si="2"/>
        <v>0</v>
      </c>
      <c r="H41" s="5">
        <v>1518639.38</v>
      </c>
      <c r="I41" s="5">
        <f>INDEX('Revised 2018 Lockdown'!E$5:E$253,MATCH(B41,'Revised 2018 Lockdown'!B$5:B$253,0))</f>
        <v>1485991.22</v>
      </c>
      <c r="J41" s="5">
        <f t="shared" si="3"/>
        <v>32648.159999999916</v>
      </c>
      <c r="K41" s="5">
        <v>554001.79</v>
      </c>
      <c r="L41" s="5">
        <f>INDEX('Revised 2018 Lockdown'!F$5:F$253,MATCH(B41,'Revised 2018 Lockdown'!B$5:B$253,0))</f>
        <v>554001.79</v>
      </c>
      <c r="M41" s="5">
        <f t="shared" si="4"/>
        <v>0</v>
      </c>
      <c r="N41" s="5">
        <v>964637.58999999985</v>
      </c>
      <c r="O41" s="97">
        <f t="shared" si="5"/>
        <v>931989.42999999993</v>
      </c>
      <c r="P41" s="97">
        <f t="shared" si="6"/>
        <v>32648.159999999916</v>
      </c>
      <c r="Q41" s="95">
        <f t="shared" si="14"/>
        <v>226.27473511959676</v>
      </c>
      <c r="R41" s="6">
        <f t="shared" si="1"/>
        <v>226.27473511959676</v>
      </c>
      <c r="S41" s="5">
        <f t="shared" si="15"/>
        <v>931989.42999999993</v>
      </c>
      <c r="T41" s="135">
        <v>0.41583928571428569</v>
      </c>
      <c r="U41" s="97">
        <f t="shared" si="7"/>
        <v>205228.45766586109</v>
      </c>
      <c r="V41" s="97">
        <f t="shared" si="16"/>
        <v>232827.52059002503</v>
      </c>
      <c r="W41" s="97">
        <f t="shared" si="8"/>
        <v>25602.616573204854</v>
      </c>
      <c r="X41" s="97">
        <f t="shared" si="9"/>
        <v>11685.696514249274</v>
      </c>
      <c r="Y41" s="97">
        <f t="shared" si="10"/>
        <v>475344.29134334024</v>
      </c>
      <c r="Z41" s="104">
        <f t="shared" si="11"/>
        <v>0.5100318480471826</v>
      </c>
      <c r="AA41" s="96">
        <f t="shared" si="12"/>
        <v>475344.29134334024</v>
      </c>
      <c r="AB41" s="97"/>
      <c r="AC41" s="96">
        <f>INDEX('[2]2020 Funding'!$S$26:$S$274,MATCH(B41,'[2]2020 Funding'!$B$26:$B$274,0))</f>
        <v>483953.7380064021</v>
      </c>
      <c r="AD41" s="5">
        <f t="shared" si="13"/>
        <v>-8609.4466630618554</v>
      </c>
      <c r="AF41" s="18"/>
      <c r="AG41" s="96"/>
    </row>
    <row r="42" spans="2:33" x14ac:dyDescent="0.25">
      <c r="B42">
        <v>123</v>
      </c>
      <c r="C42" s="28">
        <v>3</v>
      </c>
      <c r="D42" s="35" t="s">
        <v>78</v>
      </c>
      <c r="E42" s="154">
        <v>6660.5800000000008</v>
      </c>
      <c r="F42" s="154">
        <f>INDEX('Revised 2018 Lockdown'!H$5:H$253,MATCH(B42,'Revised 2018 Lockdown'!B$5:B$253,0))</f>
        <v>6660.5800000000008</v>
      </c>
      <c r="G42" s="154">
        <f t="shared" si="2"/>
        <v>0</v>
      </c>
      <c r="H42" s="5">
        <v>1284089.29</v>
      </c>
      <c r="I42" s="5">
        <f>INDEX('Revised 2018 Lockdown'!E$5:E$253,MATCH(B42,'Revised 2018 Lockdown'!B$5:B$253,0))</f>
        <v>1284089.29</v>
      </c>
      <c r="J42" s="5">
        <f t="shared" si="3"/>
        <v>0</v>
      </c>
      <c r="K42" s="5">
        <v>0</v>
      </c>
      <c r="L42" s="5">
        <f>INDEX('Revised 2018 Lockdown'!F$5:F$253,MATCH(B42,'Revised 2018 Lockdown'!B$5:B$253,0))</f>
        <v>0</v>
      </c>
      <c r="M42" s="5">
        <f t="shared" si="4"/>
        <v>0</v>
      </c>
      <c r="N42" s="5">
        <v>1284089.29</v>
      </c>
      <c r="O42" s="97">
        <f t="shared" si="5"/>
        <v>1284089.29</v>
      </c>
      <c r="P42" s="97">
        <f t="shared" si="6"/>
        <v>0</v>
      </c>
      <c r="Q42" s="95">
        <f t="shared" si="14"/>
        <v>192.78941023154138</v>
      </c>
      <c r="R42" s="6">
        <f t="shared" si="1"/>
        <v>192.78941023154138</v>
      </c>
      <c r="S42" s="5">
        <f t="shared" si="15"/>
        <v>1284089.29</v>
      </c>
      <c r="T42" s="135">
        <v>0.76084821428571414</v>
      </c>
      <c r="U42" s="97">
        <f t="shared" si="7"/>
        <v>282762.50353177357</v>
      </c>
      <c r="V42" s="97">
        <f t="shared" si="16"/>
        <v>376505.60038542625</v>
      </c>
      <c r="W42" s="97">
        <f t="shared" si="8"/>
        <v>64541.803763732358</v>
      </c>
      <c r="X42" s="97">
        <f t="shared" si="9"/>
        <v>16100.480603237986</v>
      </c>
      <c r="Y42" s="97">
        <f t="shared" si="10"/>
        <v>739910.38828417019</v>
      </c>
      <c r="Z42" s="104">
        <f t="shared" si="11"/>
        <v>0.57621412626544855</v>
      </c>
      <c r="AA42" s="96">
        <f t="shared" si="12"/>
        <v>739910.38828417019</v>
      </c>
      <c r="AB42" s="97"/>
      <c r="AC42" s="96">
        <f>INDEX('[2]2020 Funding'!$S$26:$S$274,MATCH(B42,'[2]2020 Funding'!$B$26:$B$274,0))</f>
        <v>740063.14669575333</v>
      </c>
      <c r="AD42" s="5">
        <f t="shared" si="13"/>
        <v>-152.75841158314142</v>
      </c>
      <c r="AF42" s="18"/>
      <c r="AG42" s="96"/>
    </row>
    <row r="43" spans="2:33" x14ac:dyDescent="0.25">
      <c r="B43">
        <v>179</v>
      </c>
      <c r="C43" s="28">
        <v>3</v>
      </c>
      <c r="D43" s="35" t="s">
        <v>79</v>
      </c>
      <c r="E43" s="154">
        <v>6074.0999999999995</v>
      </c>
      <c r="F43" s="154">
        <f>INDEX('Revised 2018 Lockdown'!H$5:H$253,MATCH(B43,'Revised 2018 Lockdown'!B$5:B$253,0))</f>
        <v>6074.0999999999995</v>
      </c>
      <c r="G43" s="154">
        <f t="shared" si="2"/>
        <v>0</v>
      </c>
      <c r="H43" s="5">
        <v>2468879.0699999998</v>
      </c>
      <c r="I43" s="5">
        <f>INDEX('Revised 2018 Lockdown'!E$5:E$253,MATCH(B43,'Revised 2018 Lockdown'!B$5:B$253,0))</f>
        <v>2468879.0699999998</v>
      </c>
      <c r="J43" s="5">
        <f t="shared" si="3"/>
        <v>0</v>
      </c>
      <c r="K43" s="5">
        <v>713319.58000000007</v>
      </c>
      <c r="L43" s="5">
        <f>INDEX('Revised 2018 Lockdown'!F$5:F$253,MATCH(B43,'Revised 2018 Lockdown'!B$5:B$253,0))</f>
        <v>713319.58000000007</v>
      </c>
      <c r="M43" s="5">
        <f t="shared" si="4"/>
        <v>0</v>
      </c>
      <c r="N43" s="5">
        <v>1755559.4899999998</v>
      </c>
      <c r="O43" s="97">
        <f t="shared" si="5"/>
        <v>1755559.4899999998</v>
      </c>
      <c r="P43" s="97">
        <f t="shared" si="6"/>
        <v>0</v>
      </c>
      <c r="Q43" s="95">
        <f t="shared" si="14"/>
        <v>289.02380434961555</v>
      </c>
      <c r="R43" s="6">
        <f t="shared" si="1"/>
        <v>289.02380434961555</v>
      </c>
      <c r="S43" s="5">
        <f t="shared" si="15"/>
        <v>1755559.4899999995</v>
      </c>
      <c r="T43" s="135">
        <v>0.83378571428571413</v>
      </c>
      <c r="U43" s="97">
        <f t="shared" si="7"/>
        <v>386582.45992485725</v>
      </c>
      <c r="V43" s="97">
        <f t="shared" si="16"/>
        <v>343353.38173268951</v>
      </c>
      <c r="W43" s="97">
        <f t="shared" si="8"/>
        <v>96698.079743632668</v>
      </c>
      <c r="X43" s="97">
        <f t="shared" si="9"/>
        <v>22011.982917928832</v>
      </c>
      <c r="Y43" s="97">
        <f t="shared" si="10"/>
        <v>848645.90431910835</v>
      </c>
      <c r="Z43" s="104">
        <f t="shared" si="11"/>
        <v>0.48340481148782294</v>
      </c>
      <c r="AA43" s="96">
        <f t="shared" si="12"/>
        <v>848645.90431910835</v>
      </c>
      <c r="AB43" s="97"/>
      <c r="AC43" s="96">
        <f>INDEX('[2]2020 Funding'!$S$26:$S$274,MATCH(B43,'[2]2020 Funding'!$B$26:$B$274,0))</f>
        <v>848906.12957771111</v>
      </c>
      <c r="AD43" s="5">
        <f t="shared" si="13"/>
        <v>-260.22525860276073</v>
      </c>
      <c r="AF43" s="18"/>
      <c r="AG43" s="96"/>
    </row>
    <row r="44" spans="2:33" x14ac:dyDescent="0.25">
      <c r="B44">
        <v>293</v>
      </c>
      <c r="C44" s="28">
        <v>3</v>
      </c>
      <c r="D44" s="35" t="s">
        <v>80</v>
      </c>
      <c r="E44" s="154">
        <v>7938.2</v>
      </c>
      <c r="F44" s="154">
        <f>INDEX('Revised 2018 Lockdown'!H$5:H$253,MATCH(B44,'Revised 2018 Lockdown'!B$5:B$253,0))</f>
        <v>7960.05</v>
      </c>
      <c r="G44" s="154">
        <f t="shared" si="2"/>
        <v>-21.850000000000364</v>
      </c>
      <c r="H44" s="5">
        <v>2337931.94</v>
      </c>
      <c r="I44" s="5">
        <f>INDEX('Revised 2018 Lockdown'!E$5:E$253,MATCH(B44,'Revised 2018 Lockdown'!B$5:B$253,0))</f>
        <v>2370064.7599999998</v>
      </c>
      <c r="J44" s="5">
        <f t="shared" si="3"/>
        <v>-32132.819999999832</v>
      </c>
      <c r="K44" s="5">
        <v>945985.67999999993</v>
      </c>
      <c r="L44" s="5">
        <f>INDEX('Revised 2018 Lockdown'!F$5:F$253,MATCH(B44,'Revised 2018 Lockdown'!B$5:B$253,0))</f>
        <v>992904.63</v>
      </c>
      <c r="M44" s="5">
        <f t="shared" si="4"/>
        <v>-46918.95000000007</v>
      </c>
      <c r="N44" s="5">
        <v>1391946.26</v>
      </c>
      <c r="O44" s="97">
        <f t="shared" si="5"/>
        <v>1377160.13</v>
      </c>
      <c r="P44" s="97">
        <f t="shared" si="6"/>
        <v>14786.130000000121</v>
      </c>
      <c r="Q44" s="95">
        <f t="shared" si="14"/>
        <v>173.00897984309142</v>
      </c>
      <c r="R44" s="6">
        <f t="shared" si="1"/>
        <v>173.00897984309142</v>
      </c>
      <c r="S44" s="5">
        <f t="shared" si="15"/>
        <v>1377160.13</v>
      </c>
      <c r="T44" s="135">
        <v>0.92089624999999997</v>
      </c>
      <c r="U44" s="97">
        <f t="shared" si="7"/>
        <v>303257.14041501173</v>
      </c>
      <c r="V44" s="97">
        <f t="shared" si="16"/>
        <v>449961.32534223929</v>
      </c>
      <c r="W44" s="97">
        <f t="shared" si="8"/>
        <v>83780.509018172321</v>
      </c>
      <c r="X44" s="97">
        <f t="shared" si="9"/>
        <v>17267.444042475974</v>
      </c>
      <c r="Y44" s="97">
        <f t="shared" si="10"/>
        <v>854266.41881789931</v>
      </c>
      <c r="Z44" s="104">
        <f t="shared" si="11"/>
        <v>0.62031015871618311</v>
      </c>
      <c r="AA44" s="96">
        <f t="shared" si="12"/>
        <v>854266.41881789931</v>
      </c>
      <c r="AB44" s="97"/>
      <c r="AC44" s="96">
        <f>INDEX('[2]2020 Funding'!$S$26:$S$274,MATCH(B44,'[2]2020 Funding'!$B$26:$B$274,0))</f>
        <v>857536.42050748761</v>
      </c>
      <c r="AD44" s="5">
        <f t="shared" si="13"/>
        <v>-3270.0016895883018</v>
      </c>
      <c r="AF44" s="18"/>
      <c r="AG44" s="96"/>
    </row>
    <row r="45" spans="2:33" x14ac:dyDescent="0.25">
      <c r="B45">
        <v>12</v>
      </c>
      <c r="C45" s="28">
        <v>4</v>
      </c>
      <c r="D45" s="35" t="s">
        <v>81</v>
      </c>
      <c r="E45" s="154">
        <v>5092.2999999999993</v>
      </c>
      <c r="F45" s="154">
        <f>INDEX('Revised 2018 Lockdown'!H$5:H$253,MATCH(B45,'Revised 2018 Lockdown'!B$5:B$253,0))</f>
        <v>5092.2999999999993</v>
      </c>
      <c r="G45" s="154">
        <f t="shared" si="2"/>
        <v>0</v>
      </c>
      <c r="H45" s="5">
        <v>2922626.6</v>
      </c>
      <c r="I45" s="5">
        <f>INDEX('Revised 2018 Lockdown'!E$5:E$253,MATCH(B45,'Revised 2018 Lockdown'!B$5:B$253,0))</f>
        <v>2922626.6</v>
      </c>
      <c r="J45" s="5">
        <f t="shared" si="3"/>
        <v>0</v>
      </c>
      <c r="K45" s="5">
        <v>693708.37</v>
      </c>
      <c r="L45" s="5">
        <f>INDEX('Revised 2018 Lockdown'!F$5:F$253,MATCH(B45,'Revised 2018 Lockdown'!B$5:B$253,0))</f>
        <v>693708.37</v>
      </c>
      <c r="M45" s="5">
        <f t="shared" si="4"/>
        <v>0</v>
      </c>
      <c r="N45" s="5">
        <v>2228918.23</v>
      </c>
      <c r="O45" s="97">
        <f t="shared" si="5"/>
        <v>2228918.23</v>
      </c>
      <c r="P45" s="97">
        <f t="shared" si="6"/>
        <v>0</v>
      </c>
      <c r="Q45" s="95">
        <f t="shared" si="14"/>
        <v>437.70363686349987</v>
      </c>
      <c r="R45" s="6">
        <f t="shared" si="1"/>
        <v>437.70363686349987</v>
      </c>
      <c r="S45" s="5">
        <f t="shared" si="15"/>
        <v>2228918.23</v>
      </c>
      <c r="T45" s="135">
        <v>0.77850595238095233</v>
      </c>
      <c r="U45" s="97">
        <f t="shared" si="7"/>
        <v>490818.28171186562</v>
      </c>
      <c r="V45" s="97">
        <f t="shared" si="16"/>
        <v>287854.73169644474</v>
      </c>
      <c r="W45" s="97">
        <f t="shared" si="8"/>
        <v>114631.48615502354</v>
      </c>
      <c r="X45" s="97">
        <f t="shared" si="9"/>
        <v>27947.164584106566</v>
      </c>
      <c r="Y45" s="97">
        <f t="shared" si="10"/>
        <v>921251.66414744046</v>
      </c>
      <c r="Z45" s="104">
        <f t="shared" si="11"/>
        <v>0.41331783810994288</v>
      </c>
      <c r="AA45" s="96">
        <f t="shared" si="12"/>
        <v>921251.66414744046</v>
      </c>
      <c r="AB45" s="97"/>
      <c r="AC45" s="96">
        <f>INDEX('[2]2020 Funding'!$S$26:$S$274,MATCH(B45,'[2]2020 Funding'!$B$26:$B$274,0))</f>
        <v>921616.45694195793</v>
      </c>
      <c r="AD45" s="5">
        <f t="shared" si="13"/>
        <v>-364.79279451747425</v>
      </c>
      <c r="AF45" s="18"/>
      <c r="AG45" s="96"/>
    </row>
    <row r="46" spans="2:33" x14ac:dyDescent="0.25">
      <c r="B46">
        <v>21</v>
      </c>
      <c r="C46" s="28">
        <v>4</v>
      </c>
      <c r="D46" s="35" t="s">
        <v>82</v>
      </c>
      <c r="E46" s="154">
        <v>5179.17</v>
      </c>
      <c r="F46" s="154">
        <f>INDEX('Revised 2018 Lockdown'!H$5:H$253,MATCH(B46,'Revised 2018 Lockdown'!B$5:B$253,0))</f>
        <v>5179.17</v>
      </c>
      <c r="G46" s="154">
        <f t="shared" si="2"/>
        <v>0</v>
      </c>
      <c r="H46" s="5">
        <v>3018158.71</v>
      </c>
      <c r="I46" s="5">
        <f>INDEX('Revised 2018 Lockdown'!E$5:E$253,MATCH(B46,'Revised 2018 Lockdown'!B$5:B$253,0))</f>
        <v>3018158.71</v>
      </c>
      <c r="J46" s="5">
        <f t="shared" si="3"/>
        <v>0</v>
      </c>
      <c r="K46" s="5">
        <v>630793.78</v>
      </c>
      <c r="L46" s="5">
        <f>INDEX('Revised 2018 Lockdown'!F$5:F$253,MATCH(B46,'Revised 2018 Lockdown'!B$5:B$253,0))</f>
        <v>630793.78</v>
      </c>
      <c r="M46" s="5">
        <f t="shared" si="4"/>
        <v>0</v>
      </c>
      <c r="N46" s="5">
        <v>2387364.9299999997</v>
      </c>
      <c r="O46" s="97">
        <f t="shared" si="5"/>
        <v>2387364.9299999997</v>
      </c>
      <c r="P46" s="97">
        <f t="shared" si="6"/>
        <v>0</v>
      </c>
      <c r="Q46" s="95">
        <f t="shared" si="14"/>
        <v>460.95512022196601</v>
      </c>
      <c r="R46" s="6">
        <f t="shared" si="1"/>
        <v>460.95512022196601</v>
      </c>
      <c r="S46" s="5">
        <f t="shared" si="15"/>
        <v>2387364.9299999997</v>
      </c>
      <c r="T46" s="135">
        <v>0.75064285714285706</v>
      </c>
      <c r="U46" s="97">
        <f t="shared" si="7"/>
        <v>525708.99057242135</v>
      </c>
      <c r="V46" s="97">
        <f t="shared" si="16"/>
        <v>292765.27124487475</v>
      </c>
      <c r="W46" s="97">
        <f t="shared" si="8"/>
        <v>118385.90961269088</v>
      </c>
      <c r="X46" s="97">
        <f t="shared" si="9"/>
        <v>29933.839529426808</v>
      </c>
      <c r="Y46" s="97">
        <f t="shared" si="10"/>
        <v>966794.01095941372</v>
      </c>
      <c r="Z46" s="104">
        <f t="shared" si="11"/>
        <v>0.40496281017222358</v>
      </c>
      <c r="AA46" s="96">
        <f t="shared" si="12"/>
        <v>966794.01095941372</v>
      </c>
      <c r="AB46" s="97"/>
      <c r="AC46" s="96">
        <f>INDEX('[2]2020 Funding'!$S$26:$S$274,MATCH(B46,'[2]2020 Funding'!$B$26:$B$274,0))</f>
        <v>967186.06012469775</v>
      </c>
      <c r="AD46" s="5">
        <f t="shared" si="13"/>
        <v>-392.04916528402828</v>
      </c>
      <c r="AF46" s="18"/>
      <c r="AG46" s="96"/>
    </row>
    <row r="47" spans="2:33" x14ac:dyDescent="0.25">
      <c r="B47">
        <v>34</v>
      </c>
      <c r="C47" s="28">
        <v>4</v>
      </c>
      <c r="D47" s="35" t="s">
        <v>83</v>
      </c>
      <c r="E47" s="154">
        <v>4762.82</v>
      </c>
      <c r="F47" s="154">
        <f>INDEX('Revised 2018 Lockdown'!H$5:H$253,MATCH(B47,'Revised 2018 Lockdown'!B$5:B$253,0))</f>
        <v>4762.82</v>
      </c>
      <c r="G47" s="154">
        <f t="shared" si="2"/>
        <v>0</v>
      </c>
      <c r="H47" s="5">
        <v>2143525.2799999998</v>
      </c>
      <c r="I47" s="5">
        <f>INDEX('Revised 2018 Lockdown'!E$5:E$253,MATCH(B47,'Revised 2018 Lockdown'!B$5:B$253,0))</f>
        <v>2143525.2799999998</v>
      </c>
      <c r="J47" s="5">
        <f t="shared" si="3"/>
        <v>0</v>
      </c>
      <c r="K47" s="5">
        <v>564954.64</v>
      </c>
      <c r="L47" s="5">
        <f>INDEX('Revised 2018 Lockdown'!F$5:F$253,MATCH(B47,'Revised 2018 Lockdown'!B$5:B$253,0))</f>
        <v>564954.64</v>
      </c>
      <c r="M47" s="5">
        <f t="shared" si="4"/>
        <v>0</v>
      </c>
      <c r="N47" s="5">
        <v>1578570.6399999997</v>
      </c>
      <c r="O47" s="97">
        <f t="shared" si="5"/>
        <v>1578570.6399999997</v>
      </c>
      <c r="P47" s="97">
        <f t="shared" si="6"/>
        <v>0</v>
      </c>
      <c r="Q47" s="95">
        <f t="shared" si="14"/>
        <v>331.43613237535743</v>
      </c>
      <c r="R47" s="6">
        <f t="shared" si="1"/>
        <v>331.43613237535743</v>
      </c>
      <c r="S47" s="5">
        <f t="shared" si="15"/>
        <v>1578570.64</v>
      </c>
      <c r="T47" s="135">
        <v>0.87237648809523805</v>
      </c>
      <c r="U47" s="97">
        <f t="shared" si="7"/>
        <v>347608.68239011167</v>
      </c>
      <c r="V47" s="97">
        <f t="shared" si="16"/>
        <v>269230.06759587239</v>
      </c>
      <c r="W47" s="97">
        <f t="shared" si="8"/>
        <v>90973.692472469585</v>
      </c>
      <c r="X47" s="97">
        <f t="shared" si="9"/>
        <v>19792.818278362069</v>
      </c>
      <c r="Y47" s="97">
        <f t="shared" si="10"/>
        <v>727605.26073681563</v>
      </c>
      <c r="Z47" s="104">
        <f t="shared" si="11"/>
        <v>0.46092663977129061</v>
      </c>
      <c r="AA47" s="96">
        <f t="shared" si="12"/>
        <v>727605.26073681563</v>
      </c>
      <c r="AB47" s="97"/>
      <c r="AC47" s="96">
        <f>INDEX('[2]2020 Funding'!$S$26:$S$274,MATCH(B47,'[2]2020 Funding'!$B$26:$B$274,0))</f>
        <v>727852.43607593118</v>
      </c>
      <c r="AD47" s="5">
        <f t="shared" si="13"/>
        <v>-247.17533911555074</v>
      </c>
      <c r="AF47" s="18"/>
      <c r="AG47" s="96"/>
    </row>
    <row r="48" spans="2:33" x14ac:dyDescent="0.25">
      <c r="B48">
        <v>87</v>
      </c>
      <c r="C48" s="28">
        <v>4</v>
      </c>
      <c r="D48" s="35" t="s">
        <v>84</v>
      </c>
      <c r="E48" s="154">
        <v>10810.4</v>
      </c>
      <c r="F48" s="154">
        <f>INDEX('Revised 2018 Lockdown'!H$5:H$253,MATCH(B48,'Revised 2018 Lockdown'!B$5:B$253,0))</f>
        <v>10810.4</v>
      </c>
      <c r="G48" s="154">
        <f t="shared" si="2"/>
        <v>0</v>
      </c>
      <c r="H48" s="5">
        <v>5182853.97</v>
      </c>
      <c r="I48" s="5">
        <f>INDEX('Revised 2018 Lockdown'!E$5:E$253,MATCH(B48,'Revised 2018 Lockdown'!B$5:B$253,0))</f>
        <v>5182853.97</v>
      </c>
      <c r="J48" s="5">
        <f t="shared" si="3"/>
        <v>0</v>
      </c>
      <c r="K48" s="5">
        <v>1110329.5500000003</v>
      </c>
      <c r="L48" s="5">
        <f>INDEX('Revised 2018 Lockdown'!F$5:F$253,MATCH(B48,'Revised 2018 Lockdown'!B$5:B$253,0))</f>
        <v>1110329.5500000003</v>
      </c>
      <c r="M48" s="5">
        <f t="shared" si="4"/>
        <v>0</v>
      </c>
      <c r="N48" s="5">
        <v>4072524.4199999995</v>
      </c>
      <c r="O48" s="97">
        <f t="shared" si="5"/>
        <v>4072524.4199999995</v>
      </c>
      <c r="P48" s="97">
        <f t="shared" si="6"/>
        <v>0</v>
      </c>
      <c r="Q48" s="95">
        <f t="shared" si="14"/>
        <v>376.72282431732401</v>
      </c>
      <c r="R48" s="6">
        <f t="shared" si="1"/>
        <v>376.72282431732401</v>
      </c>
      <c r="S48" s="5">
        <f t="shared" si="15"/>
        <v>4072524.4199999995</v>
      </c>
      <c r="T48" s="135">
        <v>0.83378571428571413</v>
      </c>
      <c r="U48" s="97">
        <f t="shared" si="7"/>
        <v>896789.03925246804</v>
      </c>
      <c r="V48" s="97">
        <f t="shared" si="16"/>
        <v>611084.34136465774</v>
      </c>
      <c r="W48" s="97">
        <f t="shared" si="8"/>
        <v>224318.96689701552</v>
      </c>
      <c r="X48" s="97">
        <f t="shared" si="9"/>
        <v>51063.116047345131</v>
      </c>
      <c r="Y48" s="97">
        <f t="shared" si="10"/>
        <v>1783255.4635614865</v>
      </c>
      <c r="Z48" s="104">
        <f t="shared" si="11"/>
        <v>0.43787471348335993</v>
      </c>
      <c r="AA48" s="96">
        <f t="shared" si="12"/>
        <v>1783255.4635614865</v>
      </c>
      <c r="AB48" s="97"/>
      <c r="AC48" s="96">
        <f>INDEX('[2]2020 Funding'!$S$26:$S$274,MATCH(B48,'[2]2020 Funding'!$B$26:$B$274,0))</f>
        <v>1783908.7991875955</v>
      </c>
      <c r="AD48" s="5">
        <f t="shared" si="13"/>
        <v>-653.33562610903755</v>
      </c>
      <c r="AF48" s="18"/>
      <c r="AG48" s="96"/>
    </row>
    <row r="49" spans="2:33" x14ac:dyDescent="0.25">
      <c r="B49">
        <v>88</v>
      </c>
      <c r="C49" s="28">
        <v>4</v>
      </c>
      <c r="D49" s="35" t="s">
        <v>85</v>
      </c>
      <c r="E49" s="154">
        <v>4759.3799999999992</v>
      </c>
      <c r="F49" s="154">
        <f>INDEX('Revised 2018 Lockdown'!H$5:H$253,MATCH(B49,'Revised 2018 Lockdown'!B$5:B$253,0))</f>
        <v>4759.3799999999992</v>
      </c>
      <c r="G49" s="154">
        <f t="shared" si="2"/>
        <v>0</v>
      </c>
      <c r="H49" s="5">
        <v>2125011.54</v>
      </c>
      <c r="I49" s="5">
        <f>INDEX('Revised 2018 Lockdown'!E$5:E$253,MATCH(B49,'Revised 2018 Lockdown'!B$5:B$253,0))</f>
        <v>2125011.54</v>
      </c>
      <c r="J49" s="5">
        <f t="shared" si="3"/>
        <v>0</v>
      </c>
      <c r="K49" s="5">
        <v>560089.80000000005</v>
      </c>
      <c r="L49" s="5">
        <f>INDEX('Revised 2018 Lockdown'!F$5:F$253,MATCH(B49,'Revised 2018 Lockdown'!B$5:B$253,0))</f>
        <v>560089.80000000005</v>
      </c>
      <c r="M49" s="5">
        <f t="shared" si="4"/>
        <v>0</v>
      </c>
      <c r="N49" s="5">
        <v>1564921.74</v>
      </c>
      <c r="O49" s="97">
        <f t="shared" si="5"/>
        <v>1564921.74</v>
      </c>
      <c r="P49" s="97">
        <f t="shared" si="6"/>
        <v>0</v>
      </c>
      <c r="Q49" s="95">
        <f t="shared" si="14"/>
        <v>328.80789934823451</v>
      </c>
      <c r="R49" s="6">
        <f t="shared" si="1"/>
        <v>328.80789934823451</v>
      </c>
      <c r="S49" s="5">
        <f t="shared" si="15"/>
        <v>1564921.7400000002</v>
      </c>
      <c r="T49" s="135">
        <v>0.95849999999999991</v>
      </c>
      <c r="U49" s="97">
        <f t="shared" si="7"/>
        <v>344603.13038955361</v>
      </c>
      <c r="V49" s="97">
        <f t="shared" si="16"/>
        <v>269035.61316918186</v>
      </c>
      <c r="W49" s="97">
        <f t="shared" si="8"/>
        <v>99090.6301435161</v>
      </c>
      <c r="X49" s="97">
        <f t="shared" si="9"/>
        <v>19621.682321215718</v>
      </c>
      <c r="Y49" s="97">
        <f t="shared" si="10"/>
        <v>732351.05602346733</v>
      </c>
      <c r="Z49" s="104">
        <f t="shared" si="11"/>
        <v>0.46797934829857191</v>
      </c>
      <c r="AA49" s="96">
        <f t="shared" si="12"/>
        <v>732351.05602346733</v>
      </c>
      <c r="AB49" s="97"/>
      <c r="AC49" s="96">
        <f>INDEX('[2]2020 Funding'!$S$26:$S$274,MATCH(B49,'[2]2020 Funding'!$B$26:$B$274,0))</f>
        <v>732601.27991797519</v>
      </c>
      <c r="AD49" s="5">
        <f t="shared" si="13"/>
        <v>-250.22389450785704</v>
      </c>
      <c r="AF49" s="18"/>
      <c r="AG49" s="96"/>
    </row>
    <row r="50" spans="2:33" x14ac:dyDescent="0.25">
      <c r="B50">
        <v>89</v>
      </c>
      <c r="C50" s="28">
        <v>4</v>
      </c>
      <c r="D50" s="35" t="s">
        <v>310</v>
      </c>
      <c r="E50" s="154">
        <v>5636.98</v>
      </c>
      <c r="F50" s="154">
        <f>INDEX('Revised 2018 Lockdown'!H$5:H$253,MATCH(B50,'Revised 2018 Lockdown'!B$5:B$253,0))</f>
        <v>5636.98</v>
      </c>
      <c r="G50" s="154">
        <f t="shared" si="2"/>
        <v>0</v>
      </c>
      <c r="H50" s="5">
        <v>3750607.74</v>
      </c>
      <c r="I50" s="5">
        <f>INDEX('Revised 2018 Lockdown'!E$5:E$253,MATCH(B50,'Revised 2018 Lockdown'!B$5:B$253,0))</f>
        <v>3750607.74</v>
      </c>
      <c r="J50" s="5">
        <f t="shared" si="3"/>
        <v>0</v>
      </c>
      <c r="K50" s="5">
        <v>559601.63</v>
      </c>
      <c r="L50" s="5">
        <f>INDEX('Revised 2018 Lockdown'!F$5:F$253,MATCH(B50,'Revised 2018 Lockdown'!B$5:B$253,0))</f>
        <v>559601.63</v>
      </c>
      <c r="M50" s="5">
        <f t="shared" si="4"/>
        <v>0</v>
      </c>
      <c r="N50" s="5">
        <v>3191006.1100000003</v>
      </c>
      <c r="O50" s="97">
        <f t="shared" si="5"/>
        <v>3191006.1100000003</v>
      </c>
      <c r="P50" s="97">
        <f t="shared" si="6"/>
        <v>0</v>
      </c>
      <c r="Q50" s="95">
        <f t="shared" si="14"/>
        <v>566.0843412607461</v>
      </c>
      <c r="R50" s="6">
        <f t="shared" si="1"/>
        <v>566.0843412607461</v>
      </c>
      <c r="S50" s="5">
        <f t="shared" si="15"/>
        <v>3191006.1100000003</v>
      </c>
      <c r="T50" s="135">
        <v>0.75524404761904751</v>
      </c>
      <c r="U50" s="97">
        <f t="shared" si="7"/>
        <v>702674.55968641094</v>
      </c>
      <c r="V50" s="97">
        <f t="shared" si="16"/>
        <v>318644.10295509396</v>
      </c>
      <c r="W50" s="97">
        <f t="shared" si="8"/>
        <v>159207.23358494908</v>
      </c>
      <c r="X50" s="97">
        <f t="shared" si="9"/>
        <v>40010.248803546128</v>
      </c>
      <c r="Y50" s="97">
        <f t="shared" si="10"/>
        <v>1220536.1450300002</v>
      </c>
      <c r="Z50" s="104">
        <f t="shared" si="11"/>
        <v>0.38249257536833742</v>
      </c>
      <c r="AA50" s="96">
        <f t="shared" si="12"/>
        <v>1220536.1450300002</v>
      </c>
      <c r="AB50" s="97"/>
      <c r="AC50" s="96">
        <f>INDEX('[2]2020 Funding'!$S$26:$S$274,MATCH(B50,'[2]2020 Funding'!$B$26:$B$274,0))</f>
        <v>1221080.2605518012</v>
      </c>
      <c r="AD50" s="5">
        <f t="shared" si="13"/>
        <v>-544.11552180093713</v>
      </c>
      <c r="AF50" s="18"/>
      <c r="AG50" s="96"/>
    </row>
    <row r="51" spans="2:33" x14ac:dyDescent="0.25">
      <c r="B51">
        <v>143</v>
      </c>
      <c r="C51" s="28">
        <v>4</v>
      </c>
      <c r="D51" s="35" t="s">
        <v>87</v>
      </c>
      <c r="E51" s="154">
        <v>2834.8</v>
      </c>
      <c r="F51" s="154">
        <f>INDEX('Revised 2018 Lockdown'!H$5:H$253,MATCH(B51,'Revised 2018 Lockdown'!B$5:B$253,0))</f>
        <v>2834.8</v>
      </c>
      <c r="G51" s="154">
        <f t="shared" si="2"/>
        <v>0</v>
      </c>
      <c r="H51" s="5">
        <v>956347.7</v>
      </c>
      <c r="I51" s="5">
        <f>INDEX('Revised 2018 Lockdown'!E$5:E$253,MATCH(B51,'Revised 2018 Lockdown'!B$5:B$253,0))</f>
        <v>956347.7</v>
      </c>
      <c r="J51" s="5">
        <f t="shared" si="3"/>
        <v>0</v>
      </c>
      <c r="K51" s="5">
        <v>393346.75</v>
      </c>
      <c r="L51" s="5">
        <f>INDEX('Revised 2018 Lockdown'!F$5:F$253,MATCH(B51,'Revised 2018 Lockdown'!B$5:B$253,0))</f>
        <v>393346.75</v>
      </c>
      <c r="M51" s="5">
        <f t="shared" si="4"/>
        <v>0</v>
      </c>
      <c r="N51" s="5">
        <v>563000.94999999995</v>
      </c>
      <c r="O51" s="97">
        <f t="shared" si="5"/>
        <v>563000.94999999995</v>
      </c>
      <c r="P51" s="97">
        <f t="shared" si="6"/>
        <v>0</v>
      </c>
      <c r="Q51" s="95">
        <f t="shared" si="14"/>
        <v>198.60341117539153</v>
      </c>
      <c r="R51" s="6">
        <f t="shared" si="1"/>
        <v>198.60341117539153</v>
      </c>
      <c r="S51" s="5">
        <f t="shared" si="15"/>
        <v>563000.94999999995</v>
      </c>
      <c r="T51" s="135">
        <v>0.8132232142857142</v>
      </c>
      <c r="U51" s="97">
        <f t="shared" si="7"/>
        <v>123975.45821191832</v>
      </c>
      <c r="V51" s="97">
        <f t="shared" si="16"/>
        <v>160244.01418083804</v>
      </c>
      <c r="W51" s="97">
        <f t="shared" si="8"/>
        <v>30245.916185892132</v>
      </c>
      <c r="X51" s="97">
        <f t="shared" si="9"/>
        <v>7059.1554229687235</v>
      </c>
      <c r="Y51" s="97">
        <f t="shared" si="10"/>
        <v>321524.54400161724</v>
      </c>
      <c r="Z51" s="104">
        <f t="shared" si="11"/>
        <v>0.57109058874877083</v>
      </c>
      <c r="AA51" s="96">
        <f t="shared" si="12"/>
        <v>321524.54400161724</v>
      </c>
      <c r="AB51" s="97"/>
      <c r="AC51" s="96">
        <f>INDEX('[2]2020 Funding'!$S$26:$S$274,MATCH(B51,'[2]2020 Funding'!$B$26:$B$274,0))</f>
        <v>321594.07403544139</v>
      </c>
      <c r="AD51" s="5">
        <f t="shared" si="13"/>
        <v>-69.530033824150451</v>
      </c>
      <c r="AF51" s="18"/>
      <c r="AG51" s="96"/>
    </row>
    <row r="52" spans="2:33" x14ac:dyDescent="0.25">
      <c r="B52">
        <v>183</v>
      </c>
      <c r="C52" s="28">
        <v>4</v>
      </c>
      <c r="D52" s="35" t="s">
        <v>88</v>
      </c>
      <c r="E52" s="154">
        <v>11774.169999999998</v>
      </c>
      <c r="F52" s="154">
        <f>INDEX('Revised 2018 Lockdown'!H$5:H$253,MATCH(B52,'Revised 2018 Lockdown'!B$5:B$253,0))</f>
        <v>11774.169999999998</v>
      </c>
      <c r="G52" s="154">
        <f t="shared" si="2"/>
        <v>0</v>
      </c>
      <c r="H52" s="5">
        <v>6696146.4100000001</v>
      </c>
      <c r="I52" s="5">
        <f>INDEX('Revised 2018 Lockdown'!E$5:E$253,MATCH(B52,'Revised 2018 Lockdown'!B$5:B$253,0))</f>
        <v>6716202.5899999999</v>
      </c>
      <c r="J52" s="5">
        <f t="shared" si="3"/>
        <v>-20056.179999999702</v>
      </c>
      <c r="K52" s="5">
        <v>412366.9599999999</v>
      </c>
      <c r="L52" s="5">
        <f>INDEX('Revised 2018 Lockdown'!F$5:F$253,MATCH(B52,'Revised 2018 Lockdown'!B$5:B$253,0))</f>
        <v>412366.9599999999</v>
      </c>
      <c r="M52" s="5">
        <f t="shared" si="4"/>
        <v>0</v>
      </c>
      <c r="N52" s="5">
        <v>6283779.4500000002</v>
      </c>
      <c r="O52" s="97">
        <f t="shared" si="5"/>
        <v>6303835.6299999999</v>
      </c>
      <c r="P52" s="97">
        <f t="shared" si="6"/>
        <v>-20056.179999999702</v>
      </c>
      <c r="Q52" s="95">
        <f t="shared" si="14"/>
        <v>535.39532977696103</v>
      </c>
      <c r="R52" s="6">
        <f t="shared" si="1"/>
        <v>535.39532977696103</v>
      </c>
      <c r="S52" s="5">
        <f t="shared" si="15"/>
        <v>6303835.6300000008</v>
      </c>
      <c r="T52" s="135">
        <v>0.79221428571428565</v>
      </c>
      <c r="U52" s="97">
        <f t="shared" si="7"/>
        <v>1388134.2664197404</v>
      </c>
      <c r="V52" s="97">
        <f t="shared" si="16"/>
        <v>665563.80148426618</v>
      </c>
      <c r="W52" s="97">
        <f t="shared" si="8"/>
        <v>329909.93890417152</v>
      </c>
      <c r="X52" s="97">
        <f t="shared" si="9"/>
        <v>79040.284875217301</v>
      </c>
      <c r="Y52" s="97">
        <f t="shared" si="10"/>
        <v>2462648.2916833954</v>
      </c>
      <c r="Z52" s="104">
        <f t="shared" si="11"/>
        <v>0.39065870943138709</v>
      </c>
      <c r="AA52" s="96">
        <f t="shared" si="12"/>
        <v>2462648.2916833954</v>
      </c>
      <c r="AB52" s="97"/>
      <c r="AC52" s="96">
        <f>INDEX('[2]2020 Funding'!$S$26:$S$274,MATCH(B52,'[2]2020 Funding'!$B$26:$B$274,0))</f>
        <v>2458001.9199764691</v>
      </c>
      <c r="AD52" s="5">
        <f t="shared" si="13"/>
        <v>4646.3717069262639</v>
      </c>
      <c r="AF52" s="18"/>
      <c r="AG52" s="96"/>
    </row>
    <row r="53" spans="2:33" x14ac:dyDescent="0.25">
      <c r="B53">
        <v>186</v>
      </c>
      <c r="C53" s="28">
        <v>4</v>
      </c>
      <c r="D53" s="35" t="s">
        <v>89</v>
      </c>
      <c r="E53" s="154">
        <v>11101.34</v>
      </c>
      <c r="F53" s="154">
        <f>INDEX('Revised 2018 Lockdown'!H$5:H$253,MATCH(B53,'Revised 2018 Lockdown'!B$5:B$253,0))</f>
        <v>11101.34</v>
      </c>
      <c r="G53" s="154">
        <f t="shared" si="2"/>
        <v>0</v>
      </c>
      <c r="H53" s="5">
        <v>8005773.7000000002</v>
      </c>
      <c r="I53" s="5">
        <f>INDEX('Revised 2018 Lockdown'!E$5:E$253,MATCH(B53,'Revised 2018 Lockdown'!B$5:B$253,0))</f>
        <v>8005773.7000000002</v>
      </c>
      <c r="J53" s="5">
        <f t="shared" si="3"/>
        <v>0</v>
      </c>
      <c r="K53" s="5">
        <v>1431664.65</v>
      </c>
      <c r="L53" s="5">
        <f>INDEX('Revised 2018 Lockdown'!F$5:F$253,MATCH(B53,'Revised 2018 Lockdown'!B$5:B$253,0))</f>
        <v>1431664.65</v>
      </c>
      <c r="M53" s="5">
        <f t="shared" si="4"/>
        <v>0</v>
      </c>
      <c r="N53" s="5">
        <v>6574109.0500000007</v>
      </c>
      <c r="O53" s="97">
        <f t="shared" si="5"/>
        <v>6574109.0500000007</v>
      </c>
      <c r="P53" s="97">
        <f t="shared" si="6"/>
        <v>0</v>
      </c>
      <c r="Q53" s="95">
        <f t="shared" si="14"/>
        <v>592.19058690212182</v>
      </c>
      <c r="R53" s="6">
        <f t="shared" si="1"/>
        <v>584.956821769302</v>
      </c>
      <c r="S53" s="5">
        <f t="shared" si="15"/>
        <v>6493804.5637804233</v>
      </c>
      <c r="T53" s="135">
        <v>0.77341241071428568</v>
      </c>
      <c r="U53" s="97">
        <f t="shared" si="7"/>
        <v>1429966.3194765914</v>
      </c>
      <c r="V53" s="97">
        <f t="shared" si="16"/>
        <v>627530.4375569016</v>
      </c>
      <c r="W53" s="97">
        <f t="shared" si="8"/>
        <v>331786.10951598745</v>
      </c>
      <c r="X53" s="97">
        <f t="shared" si="9"/>
        <v>81422.199557762069</v>
      </c>
      <c r="Y53" s="97">
        <f t="shared" si="10"/>
        <v>2470705.0661072424</v>
      </c>
      <c r="Z53" s="104">
        <f t="shared" si="11"/>
        <v>0.38047111548255474</v>
      </c>
      <c r="AA53" s="96">
        <f t="shared" si="12"/>
        <v>2470705.0661072424</v>
      </c>
      <c r="AB53" s="97"/>
      <c r="AC53" s="96">
        <f>INDEX('[2]2020 Funding'!$S$26:$S$274,MATCH(B53,'[2]2020 Funding'!$B$26:$B$274,0))</f>
        <v>2470139.8791398383</v>
      </c>
      <c r="AD53" s="5">
        <f t="shared" si="13"/>
        <v>565.18696740409359</v>
      </c>
      <c r="AF53" s="18"/>
      <c r="AG53" s="96"/>
    </row>
    <row r="54" spans="2:33" x14ac:dyDescent="0.25">
      <c r="B54">
        <v>190</v>
      </c>
      <c r="C54" s="28">
        <v>4</v>
      </c>
      <c r="D54" s="35" t="s">
        <v>90</v>
      </c>
      <c r="E54" s="154">
        <v>3309.0599999999995</v>
      </c>
      <c r="F54" s="154">
        <f>INDEX('Revised 2018 Lockdown'!H$5:H$253,MATCH(B54,'Revised 2018 Lockdown'!B$5:B$253,0))</f>
        <v>3309.0599999999995</v>
      </c>
      <c r="G54" s="154">
        <f t="shared" si="2"/>
        <v>0</v>
      </c>
      <c r="H54" s="5">
        <v>2284236.41</v>
      </c>
      <c r="I54" s="5">
        <f>INDEX('Revised 2018 Lockdown'!E$5:E$253,MATCH(B54,'Revised 2018 Lockdown'!B$5:B$253,0))</f>
        <v>2284236.41</v>
      </c>
      <c r="J54" s="5">
        <f t="shared" si="3"/>
        <v>0</v>
      </c>
      <c r="K54" s="5">
        <v>599429.44999999995</v>
      </c>
      <c r="L54" s="5">
        <f>INDEX('Revised 2018 Lockdown'!F$5:F$253,MATCH(B54,'Revised 2018 Lockdown'!B$5:B$253,0))</f>
        <v>599429.44999999995</v>
      </c>
      <c r="M54" s="5">
        <f t="shared" si="4"/>
        <v>0</v>
      </c>
      <c r="N54" s="5">
        <v>1684806.9600000002</v>
      </c>
      <c r="O54" s="97">
        <f t="shared" si="5"/>
        <v>1684806.9600000002</v>
      </c>
      <c r="P54" s="97">
        <f t="shared" si="6"/>
        <v>0</v>
      </c>
      <c r="Q54" s="95">
        <f t="shared" si="14"/>
        <v>509.14971623361333</v>
      </c>
      <c r="R54" s="6">
        <f t="shared" si="1"/>
        <v>509.14971623361333</v>
      </c>
      <c r="S54" s="5">
        <f t="shared" si="15"/>
        <v>1684806.9600000002</v>
      </c>
      <c r="T54" s="135">
        <v>0.45338413690476187</v>
      </c>
      <c r="U54" s="97">
        <f t="shared" si="7"/>
        <v>371002.41991532902</v>
      </c>
      <c r="V54" s="97">
        <f t="shared" si="16"/>
        <v>187052.72243729499</v>
      </c>
      <c r="W54" s="97">
        <f t="shared" si="8"/>
        <v>50461.983582866837</v>
      </c>
      <c r="X54" s="97">
        <f t="shared" si="9"/>
        <v>21124.856340543389</v>
      </c>
      <c r="Y54" s="97">
        <f t="shared" si="10"/>
        <v>629641.98227603419</v>
      </c>
      <c r="Z54" s="104">
        <f t="shared" si="11"/>
        <v>0.37371758143498773</v>
      </c>
      <c r="AA54" s="96">
        <f t="shared" si="12"/>
        <v>629641.98227603419</v>
      </c>
      <c r="AB54" s="97"/>
      <c r="AC54" s="96">
        <f>INDEX('[2]2020 Funding'!$S$26:$S$274,MATCH(B54,'[2]2020 Funding'!$B$26:$B$274,0))</f>
        <v>629902.50373498432</v>
      </c>
      <c r="AD54" s="5">
        <f t="shared" si="13"/>
        <v>-260.52145895012654</v>
      </c>
      <c r="AF54" s="18"/>
      <c r="AG54" s="96"/>
    </row>
    <row r="55" spans="2:33" x14ac:dyDescent="0.25">
      <c r="B55">
        <v>324</v>
      </c>
      <c r="C55" s="28">
        <v>4</v>
      </c>
      <c r="D55" s="35" t="s">
        <v>91</v>
      </c>
      <c r="E55" s="154">
        <v>7987.3900000000021</v>
      </c>
      <c r="F55" s="154">
        <f>INDEX('Revised 2018 Lockdown'!H$5:H$253,MATCH(B55,'Revised 2018 Lockdown'!B$5:B$253,0))</f>
        <v>7987.3900000000021</v>
      </c>
      <c r="G55" s="154">
        <f t="shared" si="2"/>
        <v>0</v>
      </c>
      <c r="H55" s="5">
        <v>4196501.4400000004</v>
      </c>
      <c r="I55" s="5">
        <f>INDEX('Revised 2018 Lockdown'!E$5:E$253,MATCH(B55,'Revised 2018 Lockdown'!B$5:B$253,0))</f>
        <v>4196501.4400000004</v>
      </c>
      <c r="J55" s="5">
        <f t="shared" si="3"/>
        <v>0</v>
      </c>
      <c r="K55" s="5">
        <v>1059029.5799999998</v>
      </c>
      <c r="L55" s="5">
        <f>INDEX('Revised 2018 Lockdown'!F$5:F$253,MATCH(B55,'Revised 2018 Lockdown'!B$5:B$253,0))</f>
        <v>1059029.5799999998</v>
      </c>
      <c r="M55" s="5">
        <f t="shared" si="4"/>
        <v>0</v>
      </c>
      <c r="N55" s="5">
        <v>3137471.8600000003</v>
      </c>
      <c r="O55" s="97">
        <f t="shared" si="5"/>
        <v>3137471.8600000003</v>
      </c>
      <c r="P55" s="97">
        <f t="shared" si="6"/>
        <v>0</v>
      </c>
      <c r="Q55" s="95">
        <f t="shared" si="14"/>
        <v>392.80313844697696</v>
      </c>
      <c r="R55" s="6">
        <f t="shared" si="1"/>
        <v>392.80313844697696</v>
      </c>
      <c r="S55" s="5">
        <f t="shared" si="15"/>
        <v>3137471.8600000003</v>
      </c>
      <c r="T55" s="135">
        <v>0.83378571428571413</v>
      </c>
      <c r="U55" s="97">
        <f t="shared" si="7"/>
        <v>690886.06594802311</v>
      </c>
      <c r="V55" s="97">
        <f t="shared" si="16"/>
        <v>451506.7858148315</v>
      </c>
      <c r="W55" s="97">
        <f t="shared" si="8"/>
        <v>172815.27959595583</v>
      </c>
      <c r="X55" s="97">
        <f t="shared" si="9"/>
        <v>39339.012651631885</v>
      </c>
      <c r="Y55" s="97">
        <f t="shared" si="10"/>
        <v>1354547.1440104421</v>
      </c>
      <c r="Z55" s="104">
        <f t="shared" si="11"/>
        <v>0.43173204556181805</v>
      </c>
      <c r="AA55" s="96">
        <f t="shared" si="12"/>
        <v>1354547.1440104421</v>
      </c>
      <c r="AB55" s="97"/>
      <c r="AC55" s="96">
        <f>INDEX('[2]2020 Funding'!$S$26:$S$274,MATCH(B55,'[2]2020 Funding'!$B$26:$B$274,0))</f>
        <v>1355055.6360613119</v>
      </c>
      <c r="AD55" s="5">
        <f t="shared" si="13"/>
        <v>-508.49205086985603</v>
      </c>
      <c r="AF55" s="18"/>
      <c r="AG55" s="96"/>
    </row>
    <row r="56" spans="2:33" x14ac:dyDescent="0.25">
      <c r="B56">
        <v>429</v>
      </c>
      <c r="C56" s="28">
        <v>4</v>
      </c>
      <c r="D56" s="35" t="s">
        <v>92</v>
      </c>
      <c r="E56" s="154">
        <v>4357.0309999999999</v>
      </c>
      <c r="F56" s="154">
        <f>INDEX('Revised 2018 Lockdown'!H$5:H$253,MATCH(B56,'Revised 2018 Lockdown'!B$5:B$253,0))</f>
        <v>4357.0309999999999</v>
      </c>
      <c r="G56" s="154">
        <f t="shared" si="2"/>
        <v>0</v>
      </c>
      <c r="H56" s="5">
        <v>1673741.25</v>
      </c>
      <c r="I56" s="5">
        <f>INDEX('Revised 2018 Lockdown'!E$5:E$253,MATCH(B56,'Revised 2018 Lockdown'!B$5:B$253,0))</f>
        <v>1673741.25</v>
      </c>
      <c r="J56" s="5">
        <f t="shared" si="3"/>
        <v>0</v>
      </c>
      <c r="K56" s="5">
        <v>427615.25</v>
      </c>
      <c r="L56" s="5">
        <f>INDEX('Revised 2018 Lockdown'!F$5:F$253,MATCH(B56,'Revised 2018 Lockdown'!B$5:B$253,0))</f>
        <v>427615.25</v>
      </c>
      <c r="M56" s="5">
        <f t="shared" si="4"/>
        <v>0</v>
      </c>
      <c r="N56" s="5">
        <v>1246126</v>
      </c>
      <c r="O56" s="97">
        <f t="shared" si="5"/>
        <v>1246126</v>
      </c>
      <c r="P56" s="97">
        <f t="shared" si="6"/>
        <v>0</v>
      </c>
      <c r="Q56" s="95">
        <f t="shared" si="14"/>
        <v>286.00347346622044</v>
      </c>
      <c r="R56" s="6">
        <f t="shared" si="1"/>
        <v>286.00347346622044</v>
      </c>
      <c r="S56" s="5">
        <f t="shared" si="15"/>
        <v>1246126</v>
      </c>
      <c r="T56" s="135">
        <v>0.7486711309523808</v>
      </c>
      <c r="U56" s="97">
        <f t="shared" si="7"/>
        <v>274402.80844958598</v>
      </c>
      <c r="V56" s="97">
        <f t="shared" si="16"/>
        <v>246291.85034229961</v>
      </c>
      <c r="W56" s="97">
        <f t="shared" si="8"/>
        <v>61631.238281538303</v>
      </c>
      <c r="X56" s="97">
        <f t="shared" si="9"/>
        <v>15624.48004857243</v>
      </c>
      <c r="Y56" s="97">
        <f t="shared" si="10"/>
        <v>597950.37712199637</v>
      </c>
      <c r="Z56" s="104">
        <f t="shared" si="11"/>
        <v>0.47984744489882752</v>
      </c>
      <c r="AA56" s="96">
        <f t="shared" si="12"/>
        <v>597950.37712199637</v>
      </c>
      <c r="AB56" s="97"/>
      <c r="AC56" s="96">
        <f>INDEX('[2]2020 Funding'!$S$26:$S$274,MATCH(B56,'[2]2020 Funding'!$B$26:$B$274,0))</f>
        <v>598129.86934252782</v>
      </c>
      <c r="AD56" s="5">
        <f t="shared" si="13"/>
        <v>-179.49222053145058</v>
      </c>
      <c r="AF56" s="18"/>
      <c r="AG56" s="96"/>
    </row>
    <row r="57" spans="2:33" x14ac:dyDescent="0.25">
      <c r="B57">
        <v>601</v>
      </c>
      <c r="C57" s="28">
        <v>4</v>
      </c>
      <c r="D57" s="35" t="s">
        <v>93</v>
      </c>
      <c r="E57" s="154">
        <v>5915.7199999999993</v>
      </c>
      <c r="F57" s="154">
        <f>INDEX('Revised 2018 Lockdown'!H$5:H$253,MATCH(B57,'Revised 2018 Lockdown'!B$5:B$253,0))</f>
        <v>5915.7199999999993</v>
      </c>
      <c r="G57" s="154">
        <f t="shared" si="2"/>
        <v>0</v>
      </c>
      <c r="H57" s="5">
        <v>3078679.08</v>
      </c>
      <c r="I57" s="5">
        <f>INDEX('Revised 2018 Lockdown'!E$5:E$253,MATCH(B57,'Revised 2018 Lockdown'!B$5:B$253,0))</f>
        <v>3078679.08</v>
      </c>
      <c r="J57" s="5">
        <f t="shared" si="3"/>
        <v>0</v>
      </c>
      <c r="K57" s="5">
        <v>303552.10000000003</v>
      </c>
      <c r="L57" s="5">
        <f>INDEX('Revised 2018 Lockdown'!F$5:F$253,MATCH(B57,'Revised 2018 Lockdown'!B$5:B$253,0))</f>
        <v>303552.10000000003</v>
      </c>
      <c r="M57" s="5">
        <f t="shared" si="4"/>
        <v>0</v>
      </c>
      <c r="N57" s="5">
        <v>2775126.98</v>
      </c>
      <c r="O57" s="97">
        <f t="shared" si="5"/>
        <v>2775126.98</v>
      </c>
      <c r="P57" s="97">
        <f t="shared" si="6"/>
        <v>0</v>
      </c>
      <c r="Q57" s="95">
        <f t="shared" si="14"/>
        <v>469.11060361207092</v>
      </c>
      <c r="R57" s="6">
        <f t="shared" si="1"/>
        <v>469.11060361207092</v>
      </c>
      <c r="S57" s="5">
        <f t="shared" si="15"/>
        <v>2775126.98</v>
      </c>
      <c r="T57" s="135">
        <v>0.79143026785714277</v>
      </c>
      <c r="U57" s="97">
        <f t="shared" si="7"/>
        <v>611096.01847342716</v>
      </c>
      <c r="V57" s="97">
        <f t="shared" si="16"/>
        <v>334400.56426198222</v>
      </c>
      <c r="W57" s="97">
        <f t="shared" si="8"/>
        <v>145091.96567605736</v>
      </c>
      <c r="X57" s="97">
        <f t="shared" si="9"/>
        <v>34795.771961475053</v>
      </c>
      <c r="Y57" s="97">
        <f t="shared" si="10"/>
        <v>1125384.3203729417</v>
      </c>
      <c r="Z57" s="104">
        <f t="shared" si="11"/>
        <v>0.40552534297833887</v>
      </c>
      <c r="AA57" s="96">
        <f t="shared" si="12"/>
        <v>1125384.3203729417</v>
      </c>
      <c r="AB57" s="97"/>
      <c r="AC57" s="96">
        <f>INDEX('[2]2020 Funding'!$S$26:$S$274,MATCH(B57,'[2]2020 Funding'!$B$26:$B$274,0))</f>
        <v>1125846.4670921497</v>
      </c>
      <c r="AD57" s="5">
        <f t="shared" si="13"/>
        <v>-462.14671920798719</v>
      </c>
      <c r="AF57" s="18"/>
      <c r="AG57" s="96"/>
    </row>
    <row r="58" spans="2:33" x14ac:dyDescent="0.25">
      <c r="B58">
        <v>760</v>
      </c>
      <c r="C58" s="28">
        <v>4</v>
      </c>
      <c r="D58" s="35" t="s">
        <v>94</v>
      </c>
      <c r="E58" s="154">
        <v>5286.9399999999987</v>
      </c>
      <c r="F58" s="154">
        <f>INDEX('Revised 2018 Lockdown'!H$5:H$253,MATCH(B58,'Revised 2018 Lockdown'!B$5:B$253,0))</f>
        <v>5286.9399999999987</v>
      </c>
      <c r="G58" s="154">
        <f t="shared" si="2"/>
        <v>0</v>
      </c>
      <c r="H58" s="5">
        <v>1441842.03</v>
      </c>
      <c r="I58" s="5">
        <f>INDEX('Revised 2018 Lockdown'!E$5:E$253,MATCH(B58,'Revised 2018 Lockdown'!B$5:B$253,0))</f>
        <v>1442808.39</v>
      </c>
      <c r="J58" s="5">
        <f t="shared" si="3"/>
        <v>-966.35999999986961</v>
      </c>
      <c r="K58" s="5">
        <v>713377.46</v>
      </c>
      <c r="L58" s="5">
        <f>INDEX('Revised 2018 Lockdown'!F$5:F$253,MATCH(B58,'Revised 2018 Lockdown'!B$5:B$253,0))</f>
        <v>717833.62</v>
      </c>
      <c r="M58" s="5">
        <f t="shared" si="4"/>
        <v>-4456.1600000000326</v>
      </c>
      <c r="N58" s="5">
        <v>728464.57000000007</v>
      </c>
      <c r="O58" s="97">
        <f t="shared" si="5"/>
        <v>724974.7699999999</v>
      </c>
      <c r="P58" s="97">
        <f t="shared" si="6"/>
        <v>3489.800000000163</v>
      </c>
      <c r="Q58" s="95">
        <f t="shared" si="14"/>
        <v>137.12559060628644</v>
      </c>
      <c r="R58" s="6">
        <f t="shared" si="1"/>
        <v>137.12559060628644</v>
      </c>
      <c r="S58" s="5">
        <f t="shared" si="15"/>
        <v>724974.76999999979</v>
      </c>
      <c r="T58" s="135">
        <v>1</v>
      </c>
      <c r="U58" s="97">
        <f t="shared" si="7"/>
        <v>159642.85549221555</v>
      </c>
      <c r="V58" s="97">
        <f t="shared" si="16"/>
        <v>298857.23449034843</v>
      </c>
      <c r="W58" s="97">
        <f t="shared" si="8"/>
        <v>47892.856647664659</v>
      </c>
      <c r="X58" s="97">
        <f t="shared" si="9"/>
        <v>9090.0549620049514</v>
      </c>
      <c r="Y58" s="97">
        <f t="shared" si="10"/>
        <v>515483.0015922336</v>
      </c>
      <c r="Z58" s="104">
        <f t="shared" si="11"/>
        <v>0.71103578072411233</v>
      </c>
      <c r="AA58" s="96">
        <f t="shared" si="12"/>
        <v>515483.0015922336</v>
      </c>
      <c r="AB58" s="97"/>
      <c r="AC58" s="96">
        <f>INDEX('[2]2020 Funding'!$S$26:$S$274,MATCH(B58,'[2]2020 Funding'!$B$26:$B$274,0))</f>
        <v>516597.03176593798</v>
      </c>
      <c r="AD58" s="5">
        <f t="shared" si="13"/>
        <v>-1114.0301737043774</v>
      </c>
      <c r="AF58" s="18"/>
      <c r="AG58" s="96"/>
    </row>
    <row r="59" spans="2:33" x14ac:dyDescent="0.25">
      <c r="B59">
        <v>878</v>
      </c>
      <c r="C59" s="28">
        <v>4</v>
      </c>
      <c r="D59" s="35" t="s">
        <v>95</v>
      </c>
      <c r="E59" s="154">
        <v>7663.1599999999989</v>
      </c>
      <c r="F59" s="154">
        <f>INDEX('Revised 2018 Lockdown'!H$5:H$253,MATCH(B59,'Revised 2018 Lockdown'!B$5:B$253,0))</f>
        <v>7663.16</v>
      </c>
      <c r="G59" s="154">
        <f t="shared" si="2"/>
        <v>0</v>
      </c>
      <c r="H59" s="5">
        <v>2910917.69</v>
      </c>
      <c r="I59" s="5">
        <f>INDEX('Revised 2018 Lockdown'!E$5:E$253,MATCH(B59,'Revised 2018 Lockdown'!B$5:B$253,0))</f>
        <v>2910917.69</v>
      </c>
      <c r="J59" s="5">
        <f t="shared" si="3"/>
        <v>0</v>
      </c>
      <c r="K59" s="5">
        <v>838992.06</v>
      </c>
      <c r="L59" s="5">
        <f>INDEX('Revised 2018 Lockdown'!F$5:F$253,MATCH(B59,'Revised 2018 Lockdown'!B$5:B$253,0))</f>
        <v>838992.06</v>
      </c>
      <c r="M59" s="5">
        <f t="shared" si="4"/>
        <v>0</v>
      </c>
      <c r="N59" s="5">
        <v>2071925.63</v>
      </c>
      <c r="O59" s="97">
        <f t="shared" si="5"/>
        <v>2071925.63</v>
      </c>
      <c r="P59" s="97">
        <f t="shared" si="6"/>
        <v>0</v>
      </c>
      <c r="Q59" s="95">
        <f t="shared" si="14"/>
        <v>270.37483622944058</v>
      </c>
      <c r="R59" s="6">
        <f t="shared" si="1"/>
        <v>270.37483622944058</v>
      </c>
      <c r="S59" s="5">
        <f t="shared" si="15"/>
        <v>2071925.63</v>
      </c>
      <c r="T59" s="135">
        <v>0.9066473214285713</v>
      </c>
      <c r="U59" s="97">
        <f t="shared" si="7"/>
        <v>456247.77251311485</v>
      </c>
      <c r="V59" s="97">
        <f t="shared" si="16"/>
        <v>433178.89082476043</v>
      </c>
      <c r="W59" s="97">
        <f t="shared" si="8"/>
        <v>124096.7462570303</v>
      </c>
      <c r="X59" s="97">
        <f t="shared" si="9"/>
        <v>25978.721789017211</v>
      </c>
      <c r="Y59" s="97">
        <f t="shared" si="10"/>
        <v>1039502.1313839228</v>
      </c>
      <c r="Z59" s="104">
        <f t="shared" si="11"/>
        <v>0.5017082255910521</v>
      </c>
      <c r="AA59" s="96">
        <f t="shared" si="12"/>
        <v>1039502.1313839228</v>
      </c>
      <c r="AB59" s="97"/>
      <c r="AC59" s="96">
        <f>INDEX('[2]2020 Funding'!$S$26:$S$274,MATCH(B59,'[2]2020 Funding'!$B$26:$B$274,0))</f>
        <v>1039808.2130378825</v>
      </c>
      <c r="AD59" s="5">
        <f t="shared" si="13"/>
        <v>-306.08165395969991</v>
      </c>
      <c r="AF59" s="18"/>
      <c r="AG59" s="96"/>
    </row>
    <row r="60" spans="2:33" x14ac:dyDescent="0.25">
      <c r="B60">
        <v>8</v>
      </c>
      <c r="C60" s="28">
        <v>5</v>
      </c>
      <c r="D60" s="35" t="s">
        <v>96</v>
      </c>
      <c r="E60" s="154">
        <v>2105.2199999999998</v>
      </c>
      <c r="F60" s="154">
        <f>INDEX('Revised 2018 Lockdown'!H$5:H$253,MATCH(B60,'Revised 2018 Lockdown'!B$5:B$253,0))</f>
        <v>2105.2199999999998</v>
      </c>
      <c r="G60" s="154">
        <f t="shared" si="2"/>
        <v>0</v>
      </c>
      <c r="H60" s="5">
        <v>627029.25</v>
      </c>
      <c r="I60" s="5">
        <f>INDEX('Revised 2018 Lockdown'!E$5:E$253,MATCH(B60,'Revised 2018 Lockdown'!B$5:B$253,0))</f>
        <v>627029.24</v>
      </c>
      <c r="J60" s="5">
        <f t="shared" si="3"/>
        <v>1.0000000009313226E-2</v>
      </c>
      <c r="K60" s="5">
        <v>25077.3</v>
      </c>
      <c r="L60" s="5">
        <f>INDEX('Revised 2018 Lockdown'!F$5:F$253,MATCH(B60,'Revised 2018 Lockdown'!B$5:B$253,0))</f>
        <v>25077.3</v>
      </c>
      <c r="M60" s="5">
        <f t="shared" si="4"/>
        <v>0</v>
      </c>
      <c r="N60" s="5">
        <v>601951.94999999995</v>
      </c>
      <c r="O60" s="97">
        <f t="shared" si="5"/>
        <v>601951.93999999994</v>
      </c>
      <c r="P60" s="97">
        <f t="shared" si="6"/>
        <v>1.0000000009313226E-2</v>
      </c>
      <c r="Q60" s="95">
        <f t="shared" si="14"/>
        <v>285.9330331271791</v>
      </c>
      <c r="R60" s="6">
        <f t="shared" si="1"/>
        <v>285.9330331271791</v>
      </c>
      <c r="S60" s="5">
        <f t="shared" si="15"/>
        <v>601951.93999999994</v>
      </c>
      <c r="T60" s="135">
        <v>0.60770238095238094</v>
      </c>
      <c r="U60" s="97">
        <f t="shared" si="7"/>
        <v>132552.64948141412</v>
      </c>
      <c r="V60" s="97">
        <f t="shared" si="16"/>
        <v>119002.71748757719</v>
      </c>
      <c r="W60" s="97">
        <f t="shared" si="8"/>
        <v>24165.768207420522</v>
      </c>
      <c r="X60" s="97">
        <f t="shared" si="9"/>
        <v>7547.5401979651078</v>
      </c>
      <c r="Y60" s="97">
        <f t="shared" si="10"/>
        <v>283268.67537437694</v>
      </c>
      <c r="Z60" s="104">
        <f t="shared" si="11"/>
        <v>0.47058354089593424</v>
      </c>
      <c r="AA60" s="96">
        <f t="shared" si="12"/>
        <v>283268.67537437694</v>
      </c>
      <c r="AB60" s="97"/>
      <c r="AC60" s="96">
        <f>INDEX('[2]2020 Funding'!$S$26:$S$274,MATCH(B60,'[2]2020 Funding'!$B$26:$B$274,0))</f>
        <v>283351.75074889354</v>
      </c>
      <c r="AD60" s="5">
        <f t="shared" si="13"/>
        <v>-83.075374516600277</v>
      </c>
      <c r="AF60" s="18"/>
      <c r="AG60" s="96"/>
    </row>
    <row r="61" spans="2:33" x14ac:dyDescent="0.25">
      <c r="B61">
        <v>41</v>
      </c>
      <c r="C61" s="36">
        <v>5</v>
      </c>
      <c r="D61" s="35" t="s">
        <v>97</v>
      </c>
      <c r="E61" s="154">
        <v>1688.06</v>
      </c>
      <c r="F61" s="154">
        <f>INDEX('Revised 2018 Lockdown'!H$5:H$253,MATCH(B61,'Revised 2018 Lockdown'!B$5:B$253,0))</f>
        <v>1688.06</v>
      </c>
      <c r="G61" s="154">
        <f t="shared" si="2"/>
        <v>0</v>
      </c>
      <c r="H61" s="5">
        <v>652189.06000000006</v>
      </c>
      <c r="I61" s="5">
        <f>INDEX('Revised 2018 Lockdown'!E$5:E$253,MATCH(B61,'Revised 2018 Lockdown'!B$5:B$253,0))</f>
        <v>652189.06000000006</v>
      </c>
      <c r="J61" s="5">
        <f t="shared" si="3"/>
        <v>0</v>
      </c>
      <c r="K61" s="5">
        <v>215017.75000000003</v>
      </c>
      <c r="L61" s="5">
        <f>INDEX('Revised 2018 Lockdown'!F$5:F$253,MATCH(B61,'Revised 2018 Lockdown'!B$5:B$253,0))</f>
        <v>215017.75000000003</v>
      </c>
      <c r="M61" s="5">
        <f t="shared" si="4"/>
        <v>0</v>
      </c>
      <c r="N61" s="5">
        <v>437171.31000000006</v>
      </c>
      <c r="O61" s="97">
        <f t="shared" si="5"/>
        <v>437171.31000000006</v>
      </c>
      <c r="P61" s="97">
        <f t="shared" si="6"/>
        <v>0</v>
      </c>
      <c r="Q61" s="95">
        <f t="shared" si="14"/>
        <v>258.97853749274321</v>
      </c>
      <c r="R61" s="6">
        <f t="shared" si="1"/>
        <v>258.97853749274321</v>
      </c>
      <c r="S61" s="5">
        <f t="shared" si="15"/>
        <v>437171.31000000011</v>
      </c>
      <c r="T61" s="135">
        <v>0.30555357142857142</v>
      </c>
      <c r="U61" s="97">
        <f t="shared" si="7"/>
        <v>96267.179432565084</v>
      </c>
      <c r="V61" s="97">
        <f t="shared" si="16"/>
        <v>95421.726604383191</v>
      </c>
      <c r="W61" s="97">
        <f t="shared" si="8"/>
        <v>8824.4341460926134</v>
      </c>
      <c r="X61" s="97">
        <f t="shared" si="9"/>
        <v>5481.447631221301</v>
      </c>
      <c r="Y61" s="97">
        <f t="shared" si="10"/>
        <v>205994.78781426218</v>
      </c>
      <c r="Z61" s="104">
        <f t="shared" si="11"/>
        <v>0.47119923723782819</v>
      </c>
      <c r="AA61" s="96">
        <f t="shared" si="12"/>
        <v>205994.78781426218</v>
      </c>
      <c r="AB61" s="97"/>
      <c r="AC61" s="96">
        <f>INDEX('[2]2020 Funding'!$S$26:$S$274,MATCH(B61,'[2]2020 Funding'!$B$26:$B$274,0))</f>
        <v>206047.0678407446</v>
      </c>
      <c r="AD61" s="5">
        <f t="shared" si="13"/>
        <v>-52.28002648241818</v>
      </c>
      <c r="AF61" s="18"/>
      <c r="AG61" s="96"/>
    </row>
    <row r="62" spans="2:33" x14ac:dyDescent="0.25">
      <c r="B62">
        <v>56</v>
      </c>
      <c r="C62" s="36">
        <v>5</v>
      </c>
      <c r="D62" s="35" t="s">
        <v>98</v>
      </c>
      <c r="E62" s="154">
        <v>3016.58</v>
      </c>
      <c r="F62" s="154">
        <f>INDEX('Revised 2018 Lockdown'!H$5:H$253,MATCH(B62,'Revised 2018 Lockdown'!B$5:B$253,0))</f>
        <v>3016.58</v>
      </c>
      <c r="G62" s="154">
        <f t="shared" si="2"/>
        <v>0</v>
      </c>
      <c r="H62" s="5">
        <v>561942.06999999995</v>
      </c>
      <c r="I62" s="5">
        <f>INDEX('Revised 2018 Lockdown'!E$5:E$253,MATCH(B62,'Revised 2018 Lockdown'!B$5:B$253,0))</f>
        <v>561942.06999999995</v>
      </c>
      <c r="J62" s="5">
        <f t="shared" si="3"/>
        <v>0</v>
      </c>
      <c r="K62" s="5">
        <v>2316.81</v>
      </c>
      <c r="L62" s="5">
        <f>INDEX('Revised 2018 Lockdown'!F$5:F$253,MATCH(B62,'Revised 2018 Lockdown'!B$5:B$253,0))</f>
        <v>2316.81</v>
      </c>
      <c r="M62" s="5">
        <f t="shared" si="4"/>
        <v>0</v>
      </c>
      <c r="N62" s="5">
        <v>559625.25999999989</v>
      </c>
      <c r="O62" s="97">
        <f t="shared" si="5"/>
        <v>559625.25999999989</v>
      </c>
      <c r="P62" s="97">
        <f t="shared" si="6"/>
        <v>0</v>
      </c>
      <c r="Q62" s="95">
        <f t="shared" si="14"/>
        <v>185.51646566641691</v>
      </c>
      <c r="R62" s="6">
        <f t="shared" si="1"/>
        <v>185.51646566641691</v>
      </c>
      <c r="S62" s="5">
        <f t="shared" si="15"/>
        <v>559625.25999999989</v>
      </c>
      <c r="T62" s="135">
        <v>0.91394791666666664</v>
      </c>
      <c r="U62" s="97">
        <f t="shared" si="7"/>
        <v>123232.11539068259</v>
      </c>
      <c r="V62" s="97">
        <f t="shared" si="16"/>
        <v>170519.57397263736</v>
      </c>
      <c r="W62" s="97">
        <f t="shared" si="8"/>
        <v>33788.320538322187</v>
      </c>
      <c r="X62" s="97">
        <f t="shared" si="9"/>
        <v>7016.829525703788</v>
      </c>
      <c r="Y62" s="97">
        <f t="shared" si="10"/>
        <v>334556.83942734596</v>
      </c>
      <c r="Z62" s="104">
        <f t="shared" si="11"/>
        <v>0.59782297787513383</v>
      </c>
      <c r="AA62" s="96">
        <f t="shared" si="12"/>
        <v>334556.83942734596</v>
      </c>
      <c r="AB62" s="97"/>
      <c r="AC62" s="96">
        <f>INDEX('[2]2020 Funding'!$S$26:$S$274,MATCH(B62,'[2]2020 Funding'!$B$26:$B$274,0))</f>
        <v>334625.35057571071</v>
      </c>
      <c r="AD62" s="5">
        <f t="shared" si="13"/>
        <v>-68.511148364748806</v>
      </c>
      <c r="AF62" s="18"/>
      <c r="AG62" s="96"/>
    </row>
    <row r="63" spans="2:33" x14ac:dyDescent="0.25">
      <c r="B63">
        <v>67</v>
      </c>
      <c r="C63" s="28">
        <v>5</v>
      </c>
      <c r="D63" s="35" t="s">
        <v>99</v>
      </c>
      <c r="E63" s="154">
        <v>1474.6758017491509</v>
      </c>
      <c r="F63" s="154">
        <f>INDEX('Revised 2018 Lockdown'!H$5:H$253,MATCH(B63,'Revised 2018 Lockdown'!B$5:B$253,0))</f>
        <v>1474.6758017491509</v>
      </c>
      <c r="G63" s="154">
        <f t="shared" si="2"/>
        <v>0</v>
      </c>
      <c r="H63" s="5">
        <v>218449.94</v>
      </c>
      <c r="I63" s="5">
        <f>INDEX('Revised 2018 Lockdown'!E$5:E$253,MATCH(B63,'Revised 2018 Lockdown'!B$5:B$253,0))</f>
        <v>218449.94</v>
      </c>
      <c r="J63" s="5">
        <f t="shared" si="3"/>
        <v>0</v>
      </c>
      <c r="K63" s="5">
        <v>0</v>
      </c>
      <c r="L63" s="5">
        <f>INDEX('Revised 2018 Lockdown'!F$5:F$253,MATCH(B63,'Revised 2018 Lockdown'!B$5:B$253,0))</f>
        <v>0</v>
      </c>
      <c r="M63" s="5">
        <f t="shared" si="4"/>
        <v>0</v>
      </c>
      <c r="N63" s="5">
        <v>218449.94</v>
      </c>
      <c r="O63" s="97">
        <f t="shared" si="5"/>
        <v>218449.94</v>
      </c>
      <c r="P63" s="97">
        <f t="shared" si="6"/>
        <v>0</v>
      </c>
      <c r="Q63" s="95">
        <f t="shared" si="14"/>
        <v>148.13421345958949</v>
      </c>
      <c r="R63" s="6">
        <f t="shared" si="1"/>
        <v>148.13421345958949</v>
      </c>
      <c r="S63" s="5">
        <f t="shared" si="15"/>
        <v>218449.93999999997</v>
      </c>
      <c r="T63" s="135">
        <v>0.72198214285714279</v>
      </c>
      <c r="U63" s="97">
        <f t="shared" si="7"/>
        <v>48103.704634718757</v>
      </c>
      <c r="V63" s="97">
        <f t="shared" si="16"/>
        <v>83359.662088200101</v>
      </c>
      <c r="W63" s="97">
        <f t="shared" si="8"/>
        <v>10419.004725462395</v>
      </c>
      <c r="X63" s="97">
        <f t="shared" si="9"/>
        <v>2739.022160794209</v>
      </c>
      <c r="Y63" s="97">
        <f t="shared" si="10"/>
        <v>144621.39360917549</v>
      </c>
      <c r="Z63" s="104">
        <f t="shared" si="11"/>
        <v>0.66203448537992504</v>
      </c>
      <c r="AA63" s="96">
        <f t="shared" si="12"/>
        <v>144621.39360917549</v>
      </c>
      <c r="AB63" s="97"/>
      <c r="AC63" s="96">
        <f>INDEX('[2]2020 Funding'!$S$26:$S$274,MATCH(B63,'[2]2020 Funding'!$B$26:$B$274,0))</f>
        <v>144641.84622393522</v>
      </c>
      <c r="AD63" s="5">
        <f t="shared" si="13"/>
        <v>-20.452614759735297</v>
      </c>
      <c r="AF63" s="18"/>
      <c r="AG63" s="96"/>
    </row>
    <row r="64" spans="2:33" x14ac:dyDescent="0.25">
      <c r="B64">
        <v>157</v>
      </c>
      <c r="C64" s="28">
        <v>5</v>
      </c>
      <c r="D64" s="35" t="s">
        <v>100</v>
      </c>
      <c r="E64" s="154">
        <v>446.65493195328992</v>
      </c>
      <c r="F64" s="154">
        <f>INDEX('Revised 2018 Lockdown'!H$5:H$253,MATCH(B64,'Revised 2018 Lockdown'!B$5:B$253,0))</f>
        <v>446.65493195328992</v>
      </c>
      <c r="G64" s="154">
        <f t="shared" si="2"/>
        <v>0</v>
      </c>
      <c r="H64" s="5">
        <v>145211.09</v>
      </c>
      <c r="I64" s="5">
        <f>INDEX('Revised 2018 Lockdown'!E$5:E$253,MATCH(B64,'Revised 2018 Lockdown'!B$5:B$253,0))</f>
        <v>145211.09</v>
      </c>
      <c r="J64" s="5">
        <f t="shared" si="3"/>
        <v>0</v>
      </c>
      <c r="K64" s="5">
        <v>320</v>
      </c>
      <c r="L64" s="5">
        <f>INDEX('Revised 2018 Lockdown'!F$5:F$253,MATCH(B64,'Revised 2018 Lockdown'!B$5:B$253,0))</f>
        <v>320</v>
      </c>
      <c r="M64" s="5">
        <f t="shared" si="4"/>
        <v>0</v>
      </c>
      <c r="N64" s="5">
        <v>144891.09</v>
      </c>
      <c r="O64" s="97">
        <f t="shared" si="5"/>
        <v>144891.09</v>
      </c>
      <c r="P64" s="97">
        <f t="shared" si="6"/>
        <v>0</v>
      </c>
      <c r="Q64" s="95">
        <f t="shared" si="14"/>
        <v>324.39155964621108</v>
      </c>
      <c r="R64" s="6">
        <f t="shared" si="1"/>
        <v>324.39155964621108</v>
      </c>
      <c r="S64" s="5">
        <f t="shared" si="15"/>
        <v>144891.09</v>
      </c>
      <c r="T64" s="135">
        <v>0.64198511904761901</v>
      </c>
      <c r="U64" s="97">
        <f t="shared" si="7"/>
        <v>31905.699756944094</v>
      </c>
      <c r="V64" s="97">
        <f t="shared" si="16"/>
        <v>25248.264163208776</v>
      </c>
      <c r="W64" s="97">
        <f t="shared" si="8"/>
        <v>6144.8953370278023</v>
      </c>
      <c r="X64" s="97">
        <f t="shared" si="9"/>
        <v>1816.7086995383388</v>
      </c>
      <c r="Y64" s="97">
        <f t="shared" si="10"/>
        <v>65115.567956719009</v>
      </c>
      <c r="Z64" s="104">
        <f t="shared" si="11"/>
        <v>0.4494104361884434</v>
      </c>
      <c r="AA64" s="96">
        <f t="shared" si="12"/>
        <v>65115.567956719009</v>
      </c>
      <c r="AB64" s="97"/>
      <c r="AC64" s="96">
        <f>INDEX('[2]2020 Funding'!$S$26:$S$274,MATCH(B64,'[2]2020 Funding'!$B$26:$B$274,0))</f>
        <v>65136.685557303601</v>
      </c>
      <c r="AD64" s="5">
        <f t="shared" si="13"/>
        <v>-21.117600584591855</v>
      </c>
      <c r="AF64" s="18"/>
      <c r="AG64" s="96"/>
    </row>
    <row r="65" spans="2:33" x14ac:dyDescent="0.25">
      <c r="B65">
        <v>214</v>
      </c>
      <c r="C65" s="28">
        <v>5</v>
      </c>
      <c r="D65" s="35" t="s">
        <v>101</v>
      </c>
      <c r="E65" s="154">
        <v>2922.96</v>
      </c>
      <c r="F65" s="154">
        <f>INDEX('Revised 2018 Lockdown'!H$5:H$253,MATCH(B65,'Revised 2018 Lockdown'!B$5:B$253,0))</f>
        <v>2922.96</v>
      </c>
      <c r="G65" s="154">
        <f t="shared" si="2"/>
        <v>0</v>
      </c>
      <c r="H65" s="5">
        <v>1677840.57</v>
      </c>
      <c r="I65" s="5">
        <f>INDEX('Revised 2018 Lockdown'!E$5:E$253,MATCH(B65,'Revised 2018 Lockdown'!B$5:B$253,0))</f>
        <v>1677840.57</v>
      </c>
      <c r="J65" s="5">
        <f t="shared" si="3"/>
        <v>0</v>
      </c>
      <c r="K65" s="5">
        <v>291173.04000000004</v>
      </c>
      <c r="L65" s="5">
        <f>INDEX('Revised 2018 Lockdown'!F$5:F$253,MATCH(B65,'Revised 2018 Lockdown'!B$5:B$253,0))</f>
        <v>291173.04000000004</v>
      </c>
      <c r="M65" s="5">
        <f t="shared" si="4"/>
        <v>0</v>
      </c>
      <c r="N65" s="5">
        <v>1386667.53</v>
      </c>
      <c r="O65" s="97">
        <f t="shared" si="5"/>
        <v>1386667.53</v>
      </c>
      <c r="P65" s="97">
        <f t="shared" si="6"/>
        <v>0</v>
      </c>
      <c r="Q65" s="95">
        <f t="shared" si="14"/>
        <v>474.40523647261682</v>
      </c>
      <c r="R65" s="6">
        <f t="shared" si="1"/>
        <v>448.19409495037212</v>
      </c>
      <c r="S65" s="5">
        <f t="shared" si="15"/>
        <v>1310053.4117761396</v>
      </c>
      <c r="T65" s="135">
        <v>0.65524702380952371</v>
      </c>
      <c r="U65" s="97">
        <f t="shared" si="7"/>
        <v>288479.92531279713</v>
      </c>
      <c r="V65" s="97">
        <f t="shared" si="16"/>
        <v>165227.47413927698</v>
      </c>
      <c r="W65" s="97">
        <f t="shared" si="8"/>
        <v>56707.683747001196</v>
      </c>
      <c r="X65" s="97">
        <f t="shared" si="9"/>
        <v>16426.030268897797</v>
      </c>
      <c r="Y65" s="97">
        <f t="shared" si="10"/>
        <v>526841.11346797307</v>
      </c>
      <c r="Z65" s="104">
        <f t="shared" si="11"/>
        <v>0.40215239220948579</v>
      </c>
      <c r="AA65" s="96">
        <f t="shared" si="12"/>
        <v>526841.11346797307</v>
      </c>
      <c r="AB65" s="97"/>
      <c r="AC65" s="96">
        <f>INDEX('[2]2020 Funding'!$S$26:$S$274,MATCH(B65,'[2]2020 Funding'!$B$26:$B$274,0))</f>
        <v>536623.55322199606</v>
      </c>
      <c r="AD65" s="5">
        <f t="shared" si="13"/>
        <v>-9782.4397540229838</v>
      </c>
      <c r="AF65" s="18"/>
      <c r="AG65" s="96"/>
    </row>
    <row r="66" spans="2:33" x14ac:dyDescent="0.25">
      <c r="B66">
        <v>223</v>
      </c>
      <c r="C66" s="28">
        <v>5</v>
      </c>
      <c r="D66" s="35" t="s">
        <v>102</v>
      </c>
      <c r="E66" s="154">
        <v>297.74</v>
      </c>
      <c r="F66" s="154">
        <f>INDEX('Revised 2018 Lockdown'!H$5:H$253,MATCH(B66,'Revised 2018 Lockdown'!B$5:B$253,0))</f>
        <v>298.2</v>
      </c>
      <c r="G66" s="154">
        <f t="shared" si="2"/>
        <v>-0.45999999999997954</v>
      </c>
      <c r="H66" s="5">
        <v>244596.98</v>
      </c>
      <c r="I66" s="5">
        <f>INDEX('Revised 2018 Lockdown'!E$5:E$253,MATCH(B66,'Revised 2018 Lockdown'!B$5:B$253,0))</f>
        <v>207354.56</v>
      </c>
      <c r="J66" s="5">
        <f t="shared" si="3"/>
        <v>37242.420000000013</v>
      </c>
      <c r="K66" s="5">
        <v>1303.98</v>
      </c>
      <c r="L66" s="5">
        <f>INDEX('Revised 2018 Lockdown'!F$5:F$253,MATCH(B66,'Revised 2018 Lockdown'!B$5:B$253,0))</f>
        <v>1303.98</v>
      </c>
      <c r="M66" s="5">
        <f t="shared" si="4"/>
        <v>0</v>
      </c>
      <c r="N66" s="5">
        <v>243293</v>
      </c>
      <c r="O66" s="97">
        <f t="shared" si="5"/>
        <v>206050.58</v>
      </c>
      <c r="P66" s="97">
        <f t="shared" si="6"/>
        <v>37242.420000000013</v>
      </c>
      <c r="Q66" s="95">
        <f t="shared" si="14"/>
        <v>690.98115358819587</v>
      </c>
      <c r="R66" s="6">
        <f t="shared" si="1"/>
        <v>448.19409495037212</v>
      </c>
      <c r="S66" s="5">
        <f t="shared" si="15"/>
        <v>133651.47911420095</v>
      </c>
      <c r="T66" s="135">
        <v>0.45243750000000005</v>
      </c>
      <c r="U66" s="97">
        <f t="shared" si="7"/>
        <v>29430.684555476673</v>
      </c>
      <c r="V66" s="97">
        <f t="shared" si="16"/>
        <v>16856.485476480138</v>
      </c>
      <c r="W66" s="97">
        <f t="shared" si="8"/>
        <v>3994.6636030705431</v>
      </c>
      <c r="X66" s="97">
        <f t="shared" si="9"/>
        <v>1675.7814770593245</v>
      </c>
      <c r="Y66" s="97">
        <f t="shared" si="10"/>
        <v>51957.615112086678</v>
      </c>
      <c r="Z66" s="104">
        <f t="shared" si="11"/>
        <v>0.3887545087899143</v>
      </c>
      <c r="AA66" s="96">
        <f t="shared" si="12"/>
        <v>51957.615112086678</v>
      </c>
      <c r="AB66" s="97"/>
      <c r="AC66" s="96">
        <f>INDEX('[2]2020 Funding'!$S$26:$S$274,MATCH(B66,'[2]2020 Funding'!$B$26:$B$274,0))</f>
        <v>52825.441028051078</v>
      </c>
      <c r="AD66" s="5">
        <f t="shared" si="13"/>
        <v>-867.82591596440034</v>
      </c>
      <c r="AF66" s="18"/>
      <c r="AG66" s="96"/>
    </row>
    <row r="67" spans="2:33" x14ac:dyDescent="0.25">
      <c r="B67">
        <v>224</v>
      </c>
      <c r="C67" s="28">
        <v>5</v>
      </c>
      <c r="D67" s="35" t="s">
        <v>103</v>
      </c>
      <c r="E67" s="154">
        <v>257.07384904737762</v>
      </c>
      <c r="F67" s="154">
        <f>INDEX('Revised 2018 Lockdown'!H$5:H$253,MATCH(B67,'Revised 2018 Lockdown'!B$5:B$253,0))</f>
        <v>257.07384904737762</v>
      </c>
      <c r="G67" s="154">
        <f t="shared" si="2"/>
        <v>0</v>
      </c>
      <c r="H67" s="5">
        <v>73965.39</v>
      </c>
      <c r="I67" s="5">
        <f>INDEX('Revised 2018 Lockdown'!E$5:E$253,MATCH(B67,'Revised 2018 Lockdown'!B$5:B$253,0))</f>
        <v>73965.39</v>
      </c>
      <c r="J67" s="5">
        <f t="shared" si="3"/>
        <v>0</v>
      </c>
      <c r="K67" s="5">
        <v>245</v>
      </c>
      <c r="L67" s="5">
        <f>INDEX('Revised 2018 Lockdown'!F$5:F$253,MATCH(B67,'Revised 2018 Lockdown'!B$5:B$253,0))</f>
        <v>245</v>
      </c>
      <c r="M67" s="5">
        <f t="shared" si="4"/>
        <v>0</v>
      </c>
      <c r="N67" s="5">
        <v>73720.39</v>
      </c>
      <c r="O67" s="97">
        <f t="shared" si="5"/>
        <v>73720.39</v>
      </c>
      <c r="P67" s="97">
        <f t="shared" si="6"/>
        <v>0</v>
      </c>
      <c r="Q67" s="95">
        <f t="shared" si="14"/>
        <v>286.76736382631299</v>
      </c>
      <c r="R67" s="6">
        <f t="shared" si="1"/>
        <v>286.76736382631299</v>
      </c>
      <c r="S67" s="5">
        <f t="shared" si="15"/>
        <v>73720.39</v>
      </c>
      <c r="T67" s="135">
        <v>0.49276488095238091</v>
      </c>
      <c r="U67" s="97">
        <f t="shared" si="7"/>
        <v>16233.576745849756</v>
      </c>
      <c r="V67" s="97">
        <f t="shared" si="16"/>
        <v>14531.729050469381</v>
      </c>
      <c r="W67" s="97">
        <f t="shared" si="8"/>
        <v>2399.8009537799981</v>
      </c>
      <c r="X67" s="97">
        <f t="shared" si="9"/>
        <v>924.33892136748489</v>
      </c>
      <c r="Y67" s="97">
        <f t="shared" si="10"/>
        <v>34089.445671466616</v>
      </c>
      <c r="Z67" s="104">
        <f t="shared" si="11"/>
        <v>0.46241542769194</v>
      </c>
      <c r="AA67" s="96">
        <f t="shared" si="12"/>
        <v>34089.445671466616</v>
      </c>
      <c r="AB67" s="97"/>
      <c r="AC67" s="96">
        <f>INDEX('[2]2020 Funding'!$S$26:$S$274,MATCH(B67,'[2]2020 Funding'!$B$26:$B$274,0))</f>
        <v>34099.268897082882</v>
      </c>
      <c r="AD67" s="5">
        <f t="shared" si="13"/>
        <v>-9.8232256162664271</v>
      </c>
      <c r="AF67" s="18"/>
      <c r="AG67" s="96"/>
    </row>
    <row r="68" spans="2:33" x14ac:dyDescent="0.25">
      <c r="B68">
        <v>233</v>
      </c>
      <c r="C68" s="36">
        <v>5</v>
      </c>
      <c r="D68" s="35" t="s">
        <v>104</v>
      </c>
      <c r="E68" s="154">
        <v>2096.4900000000002</v>
      </c>
      <c r="F68" s="154">
        <f>INDEX('Revised 2018 Lockdown'!H$5:H$253,MATCH(B68,'Revised 2018 Lockdown'!B$5:B$253,0))</f>
        <v>2096.4900000000002</v>
      </c>
      <c r="G68" s="154">
        <f t="shared" si="2"/>
        <v>0</v>
      </c>
      <c r="H68" s="5">
        <v>657892.93999999994</v>
      </c>
      <c r="I68" s="5">
        <f>INDEX('Revised 2018 Lockdown'!E$5:E$253,MATCH(B68,'Revised 2018 Lockdown'!B$5:B$253,0))</f>
        <v>657892.93999999994</v>
      </c>
      <c r="J68" s="5">
        <f t="shared" si="3"/>
        <v>0</v>
      </c>
      <c r="K68" s="5">
        <v>285320.61</v>
      </c>
      <c r="L68" s="5">
        <f>INDEX('Revised 2018 Lockdown'!F$5:F$253,MATCH(B68,'Revised 2018 Lockdown'!B$5:B$253,0))</f>
        <v>285320.61</v>
      </c>
      <c r="M68" s="5">
        <f t="shared" si="4"/>
        <v>0</v>
      </c>
      <c r="N68" s="5">
        <v>372572.32999999996</v>
      </c>
      <c r="O68" s="97">
        <f t="shared" si="5"/>
        <v>372572.32999999996</v>
      </c>
      <c r="P68" s="97">
        <f t="shared" si="6"/>
        <v>0</v>
      </c>
      <c r="Q68" s="95">
        <f t="shared" si="14"/>
        <v>177.71242886920516</v>
      </c>
      <c r="R68" s="6">
        <f t="shared" si="1"/>
        <v>177.71242886920516</v>
      </c>
      <c r="S68" s="5">
        <f t="shared" si="15"/>
        <v>372572.32999999996</v>
      </c>
      <c r="T68" s="135">
        <v>0.65013095238095242</v>
      </c>
      <c r="U68" s="97">
        <f t="shared" si="7"/>
        <v>82042.180086609151</v>
      </c>
      <c r="V68" s="97">
        <f t="shared" si="16"/>
        <v>118509.23285240059</v>
      </c>
      <c r="W68" s="97">
        <f t="shared" si="8"/>
        <v>16001.448202535044</v>
      </c>
      <c r="X68" s="97">
        <f t="shared" si="9"/>
        <v>4671.4769908782437</v>
      </c>
      <c r="Y68" s="97">
        <f t="shared" si="10"/>
        <v>221224.338132423</v>
      </c>
      <c r="Z68" s="104">
        <f t="shared" si="11"/>
        <v>0.59377554455647052</v>
      </c>
      <c r="AA68" s="96">
        <f t="shared" si="12"/>
        <v>221224.338132423</v>
      </c>
      <c r="AB68" s="97"/>
      <c r="AC68" s="96">
        <f>INDEX('[2]2020 Funding'!$S$26:$S$274,MATCH(B68,'[2]2020 Funding'!$B$26:$B$274,0))</f>
        <v>221264.41561523429</v>
      </c>
      <c r="AD68" s="5">
        <f t="shared" si="13"/>
        <v>-40.077482811291702</v>
      </c>
      <c r="AF68" s="18"/>
      <c r="AG68" s="96"/>
    </row>
    <row r="69" spans="2:33" x14ac:dyDescent="0.25">
      <c r="B69">
        <v>272</v>
      </c>
      <c r="C69" s="28">
        <v>5</v>
      </c>
      <c r="D69" s="35" t="s">
        <v>105</v>
      </c>
      <c r="E69" s="154">
        <v>365.3662530466043</v>
      </c>
      <c r="F69" s="154">
        <f>INDEX('Revised 2018 Lockdown'!H$5:H$253,MATCH(B69,'Revised 2018 Lockdown'!B$5:B$253,0))</f>
        <v>365.3662530466043</v>
      </c>
      <c r="G69" s="154">
        <f t="shared" si="2"/>
        <v>0</v>
      </c>
      <c r="H69" s="5">
        <v>79352.12</v>
      </c>
      <c r="I69" s="5">
        <f>INDEX('Revised 2018 Lockdown'!E$5:E$253,MATCH(B69,'Revised 2018 Lockdown'!B$5:B$253,0))</f>
        <v>79352.12</v>
      </c>
      <c r="J69" s="5">
        <f t="shared" si="3"/>
        <v>0</v>
      </c>
      <c r="K69" s="5">
        <v>0</v>
      </c>
      <c r="L69" s="5">
        <f>INDEX('Revised 2018 Lockdown'!F$5:F$253,MATCH(B69,'Revised 2018 Lockdown'!B$5:B$253,0))</f>
        <v>0</v>
      </c>
      <c r="M69" s="5">
        <f t="shared" si="4"/>
        <v>0</v>
      </c>
      <c r="N69" s="5">
        <v>79352.12</v>
      </c>
      <c r="O69" s="97">
        <f t="shared" si="5"/>
        <v>79352.12</v>
      </c>
      <c r="P69" s="97">
        <f t="shared" si="6"/>
        <v>0</v>
      </c>
      <c r="Q69" s="95">
        <f t="shared" si="14"/>
        <v>217.18513775786028</v>
      </c>
      <c r="R69" s="6">
        <f t="shared" si="1"/>
        <v>217.18513775786028</v>
      </c>
      <c r="S69" s="5">
        <f t="shared" si="15"/>
        <v>79352.12</v>
      </c>
      <c r="T69" s="135">
        <v>0.44478571428571423</v>
      </c>
      <c r="U69" s="97">
        <f t="shared" si="7"/>
        <v>17473.710190164205</v>
      </c>
      <c r="V69" s="97">
        <f t="shared" si="16"/>
        <v>20653.222461690319</v>
      </c>
      <c r="W69" s="97">
        <f t="shared" si="8"/>
        <v>2331.6170004461242</v>
      </c>
      <c r="X69" s="97">
        <f t="shared" si="9"/>
        <v>994.95204798866666</v>
      </c>
      <c r="Y69" s="97">
        <f t="shared" si="10"/>
        <v>41453.501700289315</v>
      </c>
      <c r="Z69" s="104">
        <f t="shared" si="11"/>
        <v>0.52239942298062503</v>
      </c>
      <c r="AA69" s="96">
        <f t="shared" si="12"/>
        <v>41453.501700289315</v>
      </c>
      <c r="AB69" s="97"/>
      <c r="AC69" s="96">
        <f>INDEX('[2]2020 Funding'!$S$26:$S$274,MATCH(B69,'[2]2020 Funding'!$B$26:$B$274,0))</f>
        <v>41462.570343591447</v>
      </c>
      <c r="AD69" s="5">
        <f t="shared" si="13"/>
        <v>-9.0686433021328412</v>
      </c>
      <c r="AF69" s="18"/>
      <c r="AG69" s="96"/>
    </row>
    <row r="70" spans="2:33" x14ac:dyDescent="0.25">
      <c r="B70">
        <v>427</v>
      </c>
      <c r="C70" s="28">
        <v>5</v>
      </c>
      <c r="D70" s="35" t="s">
        <v>106</v>
      </c>
      <c r="E70" s="154">
        <v>444.9199999999999</v>
      </c>
      <c r="F70" s="154">
        <f>INDEX('Revised 2018 Lockdown'!H$5:H$253,MATCH(B70,'Revised 2018 Lockdown'!B$5:B$253,0))</f>
        <v>444.9199999999999</v>
      </c>
      <c r="G70" s="154">
        <f t="shared" si="2"/>
        <v>0</v>
      </c>
      <c r="H70" s="5">
        <v>198493.19</v>
      </c>
      <c r="I70" s="5">
        <f>INDEX('Revised 2018 Lockdown'!E$5:E$253,MATCH(B70,'Revised 2018 Lockdown'!B$5:B$253,0))</f>
        <v>198493.19</v>
      </c>
      <c r="J70" s="5">
        <f t="shared" si="3"/>
        <v>0</v>
      </c>
      <c r="K70" s="5">
        <v>56867.6</v>
      </c>
      <c r="L70" s="5">
        <f>INDEX('Revised 2018 Lockdown'!F$5:F$253,MATCH(B70,'Revised 2018 Lockdown'!B$5:B$253,0))</f>
        <v>56867.6</v>
      </c>
      <c r="M70" s="5">
        <f t="shared" si="4"/>
        <v>0</v>
      </c>
      <c r="N70" s="5">
        <v>141625.59</v>
      </c>
      <c r="O70" s="97">
        <f t="shared" si="5"/>
        <v>141625.59</v>
      </c>
      <c r="P70" s="97">
        <f t="shared" si="6"/>
        <v>0</v>
      </c>
      <c r="Q70" s="95">
        <f t="shared" si="14"/>
        <v>318.31697833318356</v>
      </c>
      <c r="R70" s="6">
        <f t="shared" si="1"/>
        <v>318.31697833318356</v>
      </c>
      <c r="S70" s="5">
        <f t="shared" si="15"/>
        <v>141625.59</v>
      </c>
      <c r="T70" s="135">
        <v>0.68625595238095238</v>
      </c>
      <c r="U70" s="97">
        <f t="shared" si="7"/>
        <v>31186.621292172378</v>
      </c>
      <c r="V70" s="97">
        <f t="shared" si="16"/>
        <v>25150.192884626234</v>
      </c>
      <c r="W70" s="97">
        <f t="shared" si="8"/>
        <v>6420.6013489211527</v>
      </c>
      <c r="X70" s="97">
        <f t="shared" si="9"/>
        <v>1775.7644133276242</v>
      </c>
      <c r="Y70" s="97">
        <f t="shared" si="10"/>
        <v>64533.17993904739</v>
      </c>
      <c r="Z70" s="104">
        <f t="shared" si="11"/>
        <v>0.4556604490688963</v>
      </c>
      <c r="AA70" s="96">
        <f t="shared" si="12"/>
        <v>64533.17993904739</v>
      </c>
      <c r="AB70" s="97"/>
      <c r="AC70" s="96">
        <f>INDEX('[2]2020 Funding'!$S$26:$S$274,MATCH(B70,'[2]2020 Funding'!$B$26:$B$274,0))</f>
        <v>64553.96327162956</v>
      </c>
      <c r="AD70" s="5">
        <f t="shared" si="13"/>
        <v>-20.78333258217026</v>
      </c>
      <c r="AF70" s="18"/>
      <c r="AG70" s="96"/>
    </row>
    <row r="71" spans="2:33" x14ac:dyDescent="0.25">
      <c r="B71">
        <v>524</v>
      </c>
      <c r="C71" s="28">
        <v>5</v>
      </c>
      <c r="D71" s="35" t="s">
        <v>107</v>
      </c>
      <c r="E71" s="154">
        <v>503.24541510407607</v>
      </c>
      <c r="F71" s="154">
        <f>INDEX('Revised 2018 Lockdown'!H$5:H$253,MATCH(B71,'Revised 2018 Lockdown'!B$5:B$253,0))</f>
        <v>503.24541510407607</v>
      </c>
      <c r="G71" s="154">
        <f t="shared" si="2"/>
        <v>0</v>
      </c>
      <c r="H71" s="5">
        <v>234790.57</v>
      </c>
      <c r="I71" s="5">
        <f>INDEX('Revised 2018 Lockdown'!E$5:E$253,MATCH(B71,'Revised 2018 Lockdown'!B$5:B$253,0))</f>
        <v>234790.57</v>
      </c>
      <c r="J71" s="5">
        <f t="shared" si="3"/>
        <v>0</v>
      </c>
      <c r="K71" s="5">
        <v>453.75</v>
      </c>
      <c r="L71" s="5">
        <f>INDEX('Revised 2018 Lockdown'!F$5:F$253,MATCH(B71,'Revised 2018 Lockdown'!B$5:B$253,0))</f>
        <v>453.75</v>
      </c>
      <c r="M71" s="5">
        <f t="shared" si="4"/>
        <v>0</v>
      </c>
      <c r="N71" s="5">
        <v>234336.82</v>
      </c>
      <c r="O71" s="97">
        <f t="shared" si="5"/>
        <v>234336.82</v>
      </c>
      <c r="P71" s="97">
        <f t="shared" si="6"/>
        <v>0</v>
      </c>
      <c r="Q71" s="95">
        <f t="shared" si="14"/>
        <v>465.65117727210065</v>
      </c>
      <c r="R71" s="6">
        <f t="shared" si="1"/>
        <v>448.19409495037212</v>
      </c>
      <c r="S71" s="5">
        <f t="shared" si="15"/>
        <v>225551.62336049569</v>
      </c>
      <c r="T71" s="135">
        <v>0.65294642857142848</v>
      </c>
      <c r="U71" s="97">
        <f t="shared" si="7"/>
        <v>49667.528725412405</v>
      </c>
      <c r="V71" s="97">
        <f t="shared" si="16"/>
        <v>28447.179848447613</v>
      </c>
      <c r="W71" s="97">
        <f t="shared" si="8"/>
        <v>9729.0706491680576</v>
      </c>
      <c r="X71" s="97">
        <f t="shared" si="9"/>
        <v>2828.066214106108</v>
      </c>
      <c r="Y71" s="97">
        <f t="shared" si="10"/>
        <v>90671.84543713418</v>
      </c>
      <c r="Z71" s="104">
        <f t="shared" si="11"/>
        <v>0.40200041164064143</v>
      </c>
      <c r="AA71" s="96">
        <f t="shared" si="12"/>
        <v>90671.84543713418</v>
      </c>
      <c r="AB71" s="97"/>
      <c r="AC71" s="96">
        <f>INDEX('[2]2020 Funding'!$S$26:$S$274,MATCH(B71,'[2]2020 Funding'!$B$26:$B$274,0))</f>
        <v>92355.156373547303</v>
      </c>
      <c r="AD71" s="5">
        <f t="shared" si="13"/>
        <v>-1683.3109364131233</v>
      </c>
      <c r="AF71" s="18"/>
      <c r="AG71" s="96"/>
    </row>
    <row r="72" spans="2:33" x14ac:dyDescent="0.25">
      <c r="B72">
        <v>565</v>
      </c>
      <c r="C72" s="28">
        <v>5</v>
      </c>
      <c r="D72" s="35" t="s">
        <v>108</v>
      </c>
      <c r="E72" s="154">
        <v>471.64773139908056</v>
      </c>
      <c r="F72" s="154">
        <f>INDEX('Revised 2018 Lockdown'!H$5:H$253,MATCH(B72,'Revised 2018 Lockdown'!B$5:B$253,0))</f>
        <v>471.64773139908056</v>
      </c>
      <c r="G72" s="154">
        <f t="shared" si="2"/>
        <v>0</v>
      </c>
      <c r="H72" s="5">
        <v>165733.01</v>
      </c>
      <c r="I72" s="5">
        <f>INDEX('Revised 2018 Lockdown'!E$5:E$253,MATCH(B72,'Revised 2018 Lockdown'!B$5:B$253,0))</f>
        <v>165733.01</v>
      </c>
      <c r="J72" s="5">
        <f t="shared" si="3"/>
        <v>0</v>
      </c>
      <c r="K72" s="5">
        <v>710</v>
      </c>
      <c r="L72" s="5">
        <f>INDEX('Revised 2018 Lockdown'!F$5:F$253,MATCH(B72,'Revised 2018 Lockdown'!B$5:B$253,0))</f>
        <v>710</v>
      </c>
      <c r="M72" s="5">
        <f t="shared" si="4"/>
        <v>0</v>
      </c>
      <c r="N72" s="5">
        <v>165023.01</v>
      </c>
      <c r="O72" s="97">
        <f t="shared" si="5"/>
        <v>165023.01</v>
      </c>
      <c r="P72" s="97">
        <f t="shared" si="6"/>
        <v>0</v>
      </c>
      <c r="Q72" s="95">
        <f t="shared" si="14"/>
        <v>349.8861523418783</v>
      </c>
      <c r="R72" s="6">
        <f t="shared" si="1"/>
        <v>349.8861523418783</v>
      </c>
      <c r="S72" s="5">
        <f t="shared" si="15"/>
        <v>165023.01</v>
      </c>
      <c r="T72" s="135">
        <v>0.55113095238095233</v>
      </c>
      <c r="U72" s="97">
        <f t="shared" si="7"/>
        <v>36338.843265291078</v>
      </c>
      <c r="V72" s="97">
        <f t="shared" si="16"/>
        <v>26661.043374726381</v>
      </c>
      <c r="W72" s="97">
        <f t="shared" si="8"/>
        <v>6008.2383891666077</v>
      </c>
      <c r="X72" s="97">
        <f t="shared" si="9"/>
        <v>2069.1316346022541</v>
      </c>
      <c r="Y72" s="97">
        <f t="shared" si="10"/>
        <v>71077.25666378632</v>
      </c>
      <c r="Z72" s="104">
        <f t="shared" si="11"/>
        <v>0.43071118787486856</v>
      </c>
      <c r="AA72" s="96">
        <f t="shared" si="12"/>
        <v>71077.25666378632</v>
      </c>
      <c r="AB72" s="97"/>
      <c r="AC72" s="96">
        <f>INDEX('[2]2020 Funding'!$S$26:$S$274,MATCH(B72,'[2]2020 Funding'!$B$26:$B$274,0))</f>
        <v>71101.229275004967</v>
      </c>
      <c r="AD72" s="5">
        <f t="shared" si="13"/>
        <v>-23.972611218647216</v>
      </c>
      <c r="AF72" s="18"/>
      <c r="AG72" s="96"/>
    </row>
    <row r="73" spans="2:33" x14ac:dyDescent="0.25">
      <c r="B73">
        <v>696</v>
      </c>
      <c r="C73" s="28">
        <v>5</v>
      </c>
      <c r="D73" s="35" t="s">
        <v>110</v>
      </c>
      <c r="E73" s="154">
        <v>295.10104095842627</v>
      </c>
      <c r="F73" s="154">
        <f>INDEX('Revised 2018 Lockdown'!H$5:H$253,MATCH(B73,'Revised 2018 Lockdown'!B$5:B$253,0))</f>
        <v>295.10104095842627</v>
      </c>
      <c r="G73" s="154">
        <f t="shared" si="2"/>
        <v>0</v>
      </c>
      <c r="H73" s="5">
        <v>126909.24</v>
      </c>
      <c r="I73" s="5">
        <f>INDEX('Revised 2018 Lockdown'!E$5:E$253,MATCH(B73,'Revised 2018 Lockdown'!B$5:B$253,0))</f>
        <v>126909.24</v>
      </c>
      <c r="J73" s="5">
        <f t="shared" si="3"/>
        <v>0</v>
      </c>
      <c r="K73" s="5">
        <v>38.94</v>
      </c>
      <c r="L73" s="5">
        <f>INDEX('Revised 2018 Lockdown'!F$5:F$253,MATCH(B73,'Revised 2018 Lockdown'!B$5:B$253,0))</f>
        <v>38.94</v>
      </c>
      <c r="M73" s="5">
        <f t="shared" si="4"/>
        <v>0</v>
      </c>
      <c r="N73" s="5">
        <v>126870.3</v>
      </c>
      <c r="O73" s="97">
        <f t="shared" si="5"/>
        <v>126870.3</v>
      </c>
      <c r="P73" s="97">
        <f t="shared" si="6"/>
        <v>0</v>
      </c>
      <c r="Q73" s="95">
        <f t="shared" si="14"/>
        <v>429.92156038471393</v>
      </c>
      <c r="R73" s="6">
        <f t="shared" si="1"/>
        <v>429.92156038471393</v>
      </c>
      <c r="S73" s="5">
        <f t="shared" si="15"/>
        <v>126870.3</v>
      </c>
      <c r="T73" s="135">
        <v>0.3619047619047619</v>
      </c>
      <c r="U73" s="97">
        <f t="shared" si="7"/>
        <v>27937.437007847926</v>
      </c>
      <c r="V73" s="97">
        <f t="shared" si="16"/>
        <v>16681.309225385256</v>
      </c>
      <c r="W73" s="97">
        <f t="shared" si="8"/>
        <v>3033.2074465663463</v>
      </c>
      <c r="X73" s="97">
        <f t="shared" si="9"/>
        <v>1590.7560480291711</v>
      </c>
      <c r="Y73" s="97">
        <f t="shared" si="10"/>
        <v>49242.709727828696</v>
      </c>
      <c r="Z73" s="104">
        <f t="shared" si="11"/>
        <v>0.38813425780366795</v>
      </c>
      <c r="AA73" s="96">
        <f t="shared" si="12"/>
        <v>49242.709727828696</v>
      </c>
      <c r="AB73" s="97"/>
      <c r="AC73" s="96">
        <f>INDEX('[2]2020 Funding'!$S$26:$S$274,MATCH(B73,'[2]2020 Funding'!$B$26:$B$274,0))</f>
        <v>49261.136579212056</v>
      </c>
      <c r="AD73" s="5">
        <f t="shared" si="13"/>
        <v>-18.426851383359462</v>
      </c>
      <c r="AF73" s="18"/>
      <c r="AG73" s="96"/>
    </row>
    <row r="74" spans="2:33" x14ac:dyDescent="0.25">
      <c r="B74">
        <v>731</v>
      </c>
      <c r="C74" s="28">
        <v>5</v>
      </c>
      <c r="D74" s="35" t="s">
        <v>111</v>
      </c>
      <c r="E74" s="154">
        <v>859.8900000000001</v>
      </c>
      <c r="F74" s="154">
        <f>INDEX('Revised 2018 Lockdown'!H$5:H$253,MATCH(B74,'Revised 2018 Lockdown'!B$5:B$253,0))</f>
        <v>859.8900000000001</v>
      </c>
      <c r="G74" s="154">
        <f t="shared" si="2"/>
        <v>0</v>
      </c>
      <c r="H74" s="5">
        <v>227370.13</v>
      </c>
      <c r="I74" s="5">
        <f>INDEX('Revised 2018 Lockdown'!E$5:E$253,MATCH(B74,'Revised 2018 Lockdown'!B$5:B$253,0))</f>
        <v>225089.16</v>
      </c>
      <c r="J74" s="5">
        <f t="shared" si="3"/>
        <v>2280.9700000000012</v>
      </c>
      <c r="K74" s="5">
        <v>35311</v>
      </c>
      <c r="L74" s="5">
        <f>INDEX('Revised 2018 Lockdown'!F$5:F$253,MATCH(B74,'Revised 2018 Lockdown'!B$5:B$253,0))</f>
        <v>35311</v>
      </c>
      <c r="M74" s="5">
        <f t="shared" si="4"/>
        <v>0</v>
      </c>
      <c r="N74" s="5">
        <v>192059.13</v>
      </c>
      <c r="O74" s="97">
        <f t="shared" si="5"/>
        <v>189778.16</v>
      </c>
      <c r="P74" s="97">
        <f t="shared" si="6"/>
        <v>2280.9700000000012</v>
      </c>
      <c r="Q74" s="95">
        <f t="shared" si="14"/>
        <v>220.70050820453775</v>
      </c>
      <c r="R74" s="6">
        <f t="shared" si="1"/>
        <v>220.70050820453775</v>
      </c>
      <c r="S74" s="5">
        <f t="shared" si="15"/>
        <v>189778.16</v>
      </c>
      <c r="T74" s="135">
        <v>0.72269047619047611</v>
      </c>
      <c r="U74" s="97">
        <f t="shared" si="7"/>
        <v>41790.043772776495</v>
      </c>
      <c r="V74" s="97">
        <f t="shared" si="16"/>
        <v>48607.388653153961</v>
      </c>
      <c r="W74" s="97">
        <f t="shared" si="8"/>
        <v>9060.3799902506053</v>
      </c>
      <c r="X74" s="97">
        <f t="shared" si="9"/>
        <v>2379.5226763383371</v>
      </c>
      <c r="Y74" s="97">
        <f t="shared" si="10"/>
        <v>101837.3350925194</v>
      </c>
      <c r="Z74" s="104">
        <f t="shared" si="11"/>
        <v>0.53661251164264312</v>
      </c>
      <c r="AA74" s="96">
        <f t="shared" si="12"/>
        <v>101837.3350925194</v>
      </c>
      <c r="AB74" s="97"/>
      <c r="AC74" s="96">
        <f>INDEX('[2]2020 Funding'!$S$26:$S$274,MATCH(B74,'[2]2020 Funding'!$B$26:$B$274,0))</f>
        <v>102501.71212919508</v>
      </c>
      <c r="AD74" s="5">
        <f t="shared" si="13"/>
        <v>-664.37703667567985</v>
      </c>
      <c r="AF74" s="18"/>
      <c r="AG74" s="96"/>
    </row>
    <row r="75" spans="2:33" x14ac:dyDescent="0.25">
      <c r="B75">
        <v>732</v>
      </c>
      <c r="C75" s="28">
        <v>5</v>
      </c>
      <c r="D75" s="35" t="s">
        <v>112</v>
      </c>
      <c r="E75" s="154">
        <v>215.10540422039867</v>
      </c>
      <c r="F75" s="154">
        <f>INDEX('Revised 2018 Lockdown'!H$5:H$253,MATCH(B75,'Revised 2018 Lockdown'!B$5:B$253,0))</f>
        <v>215.10540422039867</v>
      </c>
      <c r="G75" s="154">
        <f t="shared" si="2"/>
        <v>0</v>
      </c>
      <c r="H75" s="5">
        <v>69856.94</v>
      </c>
      <c r="I75" s="5">
        <f>INDEX('Revised 2018 Lockdown'!E$5:E$253,MATCH(B75,'Revised 2018 Lockdown'!B$5:B$253,0))</f>
        <v>69856.94</v>
      </c>
      <c r="J75" s="5">
        <f t="shared" si="3"/>
        <v>0</v>
      </c>
      <c r="K75" s="5">
        <v>0</v>
      </c>
      <c r="L75" s="5">
        <f>INDEX('Revised 2018 Lockdown'!F$5:F$253,MATCH(B75,'Revised 2018 Lockdown'!B$5:B$253,0))</f>
        <v>0</v>
      </c>
      <c r="M75" s="5">
        <f t="shared" si="4"/>
        <v>0</v>
      </c>
      <c r="N75" s="5">
        <v>69856.94</v>
      </c>
      <c r="O75" s="97">
        <f t="shared" si="5"/>
        <v>69856.94</v>
      </c>
      <c r="P75" s="97">
        <f t="shared" si="6"/>
        <v>0</v>
      </c>
      <c r="Q75" s="95">
        <f t="shared" si="14"/>
        <v>324.75678727450304</v>
      </c>
      <c r="R75" s="6">
        <f t="shared" si="1"/>
        <v>324.75678727450304</v>
      </c>
      <c r="S75" s="5">
        <f t="shared" si="15"/>
        <v>69856.94</v>
      </c>
      <c r="T75" s="135">
        <v>0.46125595238095241</v>
      </c>
      <c r="U75" s="97">
        <f t="shared" si="7"/>
        <v>15382.82687761448</v>
      </c>
      <c r="V75" s="97">
        <f t="shared" si="16"/>
        <v>12159.359899911269</v>
      </c>
      <c r="W75" s="97">
        <f t="shared" si="8"/>
        <v>2128.6261385236139</v>
      </c>
      <c r="X75" s="97">
        <f t="shared" si="9"/>
        <v>875.89727305611268</v>
      </c>
      <c r="Y75" s="97">
        <f t="shared" si="10"/>
        <v>30546.710189105477</v>
      </c>
      <c r="Z75" s="104">
        <f t="shared" si="11"/>
        <v>0.43727523978441479</v>
      </c>
      <c r="AA75" s="96">
        <f t="shared" si="12"/>
        <v>30546.710189105477</v>
      </c>
      <c r="AB75" s="97"/>
      <c r="AC75" s="96">
        <f>INDEX('[2]2020 Funding'!$S$26:$S$274,MATCH(B75,'[2]2020 Funding'!$B$26:$B$274,0))</f>
        <v>30556.356067631656</v>
      </c>
      <c r="AD75" s="5">
        <f t="shared" si="13"/>
        <v>-9.6458785261784215</v>
      </c>
      <c r="AF75" s="18"/>
      <c r="AG75" s="96"/>
    </row>
    <row r="76" spans="2:33" x14ac:dyDescent="0.25">
      <c r="B76">
        <v>754</v>
      </c>
      <c r="C76" s="28">
        <v>5</v>
      </c>
      <c r="D76" s="35" t="s">
        <v>113</v>
      </c>
      <c r="E76" s="154">
        <v>114.00956480658041</v>
      </c>
      <c r="F76" s="154">
        <f>INDEX('Revised 2018 Lockdown'!H$5:H$253,MATCH(B76,'Revised 2018 Lockdown'!B$5:B$253,0))</f>
        <v>114.00956480658041</v>
      </c>
      <c r="G76" s="154">
        <f t="shared" si="2"/>
        <v>0</v>
      </c>
      <c r="H76" s="5">
        <v>34950.230000000003</v>
      </c>
      <c r="I76" s="5">
        <f>INDEX('Revised 2018 Lockdown'!E$5:E$253,MATCH(B76,'Revised 2018 Lockdown'!B$5:B$253,0))</f>
        <v>34950.230000000003</v>
      </c>
      <c r="J76" s="5">
        <f t="shared" si="3"/>
        <v>0</v>
      </c>
      <c r="K76" s="5">
        <v>0</v>
      </c>
      <c r="L76" s="5">
        <f>INDEX('Revised 2018 Lockdown'!F$5:F$253,MATCH(B76,'Revised 2018 Lockdown'!B$5:B$253,0))</f>
        <v>0</v>
      </c>
      <c r="M76" s="5">
        <f t="shared" si="4"/>
        <v>0</v>
      </c>
      <c r="N76" s="5">
        <v>34950.230000000003</v>
      </c>
      <c r="O76" s="97">
        <f t="shared" si="5"/>
        <v>34950.230000000003</v>
      </c>
      <c r="P76" s="97">
        <f t="shared" si="6"/>
        <v>0</v>
      </c>
      <c r="Q76" s="95">
        <f t="shared" si="14"/>
        <v>306.55524437176643</v>
      </c>
      <c r="R76" s="6">
        <f t="shared" si="1"/>
        <v>306.55524437176643</v>
      </c>
      <c r="S76" s="5">
        <f t="shared" si="15"/>
        <v>34950.230000000003</v>
      </c>
      <c r="T76" s="135">
        <v>0.22241071428571429</v>
      </c>
      <c r="U76" s="97">
        <f t="shared" si="7"/>
        <v>7696.2050931919994</v>
      </c>
      <c r="V76" s="97">
        <f t="shared" si="16"/>
        <v>6444.6699307241588</v>
      </c>
      <c r="W76" s="97">
        <f t="shared" si="8"/>
        <v>513.51554161985553</v>
      </c>
      <c r="X76" s="97">
        <f t="shared" si="9"/>
        <v>438.22147305169591</v>
      </c>
      <c r="Y76" s="97">
        <f t="shared" si="10"/>
        <v>15092.612038587709</v>
      </c>
      <c r="Z76" s="104">
        <f t="shared" si="11"/>
        <v>0.43183155128271566</v>
      </c>
      <c r="AA76" s="96">
        <f t="shared" si="12"/>
        <v>15092.612038587709</v>
      </c>
      <c r="AB76" s="97"/>
      <c r="AC76" s="96">
        <f>INDEX('[2]2020 Funding'!$S$26:$S$274,MATCH(B76,'[2]2020 Funding'!$B$26:$B$274,0))</f>
        <v>15096.984643654363</v>
      </c>
      <c r="AD76" s="5">
        <f t="shared" si="13"/>
        <v>-4.3726050666537049</v>
      </c>
      <c r="AF76" s="18"/>
      <c r="AG76" s="96"/>
    </row>
    <row r="77" spans="2:33" x14ac:dyDescent="0.25">
      <c r="B77">
        <v>885</v>
      </c>
      <c r="C77" s="28">
        <v>5</v>
      </c>
      <c r="D77" s="35" t="s">
        <v>114</v>
      </c>
      <c r="E77" s="154">
        <v>442.78000000000003</v>
      </c>
      <c r="F77" s="154">
        <f>INDEX('Revised 2018 Lockdown'!H$5:H$253,MATCH(B77,'Revised 2018 Lockdown'!B$5:B$253,0))</f>
        <v>442.95</v>
      </c>
      <c r="G77" s="154">
        <f t="shared" si="2"/>
        <v>-0.16999999999995907</v>
      </c>
      <c r="H77" s="5">
        <v>148663.73000000001</v>
      </c>
      <c r="I77" s="5">
        <f>INDEX('Revised 2018 Lockdown'!E$5:E$253,MATCH(B77,'Revised 2018 Lockdown'!B$5:B$253,0))</f>
        <v>145965.66</v>
      </c>
      <c r="J77" s="5">
        <f t="shared" si="3"/>
        <v>2698.070000000007</v>
      </c>
      <c r="K77" s="5">
        <v>61071.180000000008</v>
      </c>
      <c r="L77" s="5">
        <f>INDEX('Revised 2018 Lockdown'!F$5:F$253,MATCH(B77,'Revised 2018 Lockdown'!B$5:B$253,0))</f>
        <v>61071.180000000008</v>
      </c>
      <c r="M77" s="5">
        <f t="shared" si="4"/>
        <v>0</v>
      </c>
      <c r="N77" s="5">
        <v>87592.55</v>
      </c>
      <c r="O77" s="97">
        <f t="shared" si="5"/>
        <v>84894.48</v>
      </c>
      <c r="P77" s="97">
        <f t="shared" si="6"/>
        <v>2698.070000000007</v>
      </c>
      <c r="Q77" s="95">
        <f t="shared" si="14"/>
        <v>191.65702675245512</v>
      </c>
      <c r="R77" s="6">
        <f t="shared" si="1"/>
        <v>191.65702675245512</v>
      </c>
      <c r="S77" s="5">
        <f t="shared" si="15"/>
        <v>84894.48</v>
      </c>
      <c r="T77" s="135">
        <v>0.4960654761904762</v>
      </c>
      <c r="U77" s="97">
        <f t="shared" si="7"/>
        <v>18694.163939976541</v>
      </c>
      <c r="V77" s="97">
        <f t="shared" si="16"/>
        <v>25038.833808876185</v>
      </c>
      <c r="W77" s="97">
        <f t="shared" si="8"/>
        <v>2782.0588010601869</v>
      </c>
      <c r="X77" s="97">
        <f t="shared" si="9"/>
        <v>1064.4446139426761</v>
      </c>
      <c r="Y77" s="97">
        <f t="shared" si="10"/>
        <v>47579.501163855581</v>
      </c>
      <c r="Z77" s="104">
        <f t="shared" si="11"/>
        <v>0.56045459214610405</v>
      </c>
      <c r="AA77" s="96">
        <f t="shared" si="12"/>
        <v>47579.501163855581</v>
      </c>
      <c r="AB77" s="97"/>
      <c r="AC77" s="96">
        <f>INDEX('[2]2020 Funding'!$S$26:$S$274,MATCH(B77,'[2]2020 Funding'!$B$26:$B$274,0))</f>
        <v>48295.871263655332</v>
      </c>
      <c r="AD77" s="5">
        <f t="shared" si="13"/>
        <v>-716.37009979975119</v>
      </c>
      <c r="AF77" s="18"/>
      <c r="AG77" s="96"/>
    </row>
    <row r="78" spans="2:33" x14ac:dyDescent="0.25">
      <c r="B78">
        <v>909</v>
      </c>
      <c r="C78" s="28">
        <v>5</v>
      </c>
      <c r="D78" s="35" t="s">
        <v>115</v>
      </c>
      <c r="E78" s="154">
        <v>496.92000000000007</v>
      </c>
      <c r="F78" s="154">
        <f>INDEX('Revised 2018 Lockdown'!H$5:H$253,MATCH(B78,'Revised 2018 Lockdown'!B$5:B$253,0))</f>
        <v>496.92000000000007</v>
      </c>
      <c r="G78" s="154">
        <f t="shared" si="2"/>
        <v>0</v>
      </c>
      <c r="H78" s="5">
        <v>238013.06</v>
      </c>
      <c r="I78" s="5">
        <f>INDEX('Revised 2018 Lockdown'!E$5:E$253,MATCH(B78,'Revised 2018 Lockdown'!B$5:B$253,0))</f>
        <v>238013.06</v>
      </c>
      <c r="J78" s="5">
        <f t="shared" si="3"/>
        <v>0</v>
      </c>
      <c r="K78" s="5">
        <v>67250.02</v>
      </c>
      <c r="L78" s="5">
        <f>INDEX('Revised 2018 Lockdown'!F$5:F$253,MATCH(B78,'Revised 2018 Lockdown'!B$5:B$253,0))</f>
        <v>67250.02</v>
      </c>
      <c r="M78" s="5">
        <f t="shared" si="4"/>
        <v>0</v>
      </c>
      <c r="N78" s="5">
        <v>170763.03999999998</v>
      </c>
      <c r="O78" s="97">
        <f t="shared" si="5"/>
        <v>170763.03999999998</v>
      </c>
      <c r="P78" s="97">
        <f t="shared" si="6"/>
        <v>0</v>
      </c>
      <c r="Q78" s="95">
        <f t="shared" si="14"/>
        <v>343.64292038959985</v>
      </c>
      <c r="R78" s="6">
        <f t="shared" si="1"/>
        <v>343.64292038959985</v>
      </c>
      <c r="S78" s="5">
        <f t="shared" si="15"/>
        <v>170763.03999999998</v>
      </c>
      <c r="T78" s="135">
        <v>0.70367261904761902</v>
      </c>
      <c r="U78" s="97">
        <f t="shared" si="7"/>
        <v>37602.824879176733</v>
      </c>
      <c r="V78" s="97">
        <f t="shared" si="16"/>
        <v>28089.620264830693</v>
      </c>
      <c r="W78" s="97">
        <f t="shared" si="8"/>
        <v>7938.0234798957772</v>
      </c>
      <c r="X78" s="97">
        <f t="shared" si="9"/>
        <v>2141.1026746200432</v>
      </c>
      <c r="Y78" s="97">
        <f t="shared" si="10"/>
        <v>75771.571298523239</v>
      </c>
      <c r="Z78" s="104">
        <f t="shared" si="11"/>
        <v>0.44372348547158241</v>
      </c>
      <c r="AA78" s="96">
        <f t="shared" si="12"/>
        <v>75771.571298523239</v>
      </c>
      <c r="AB78" s="97"/>
      <c r="AC78" s="96">
        <f>INDEX('[2]2020 Funding'!$S$26:$S$274,MATCH(B78,'[2]2020 Funding'!$B$26:$B$274,0))</f>
        <v>75797.356195711924</v>
      </c>
      <c r="AD78" s="5">
        <f t="shared" si="13"/>
        <v>-25.784897188685136</v>
      </c>
      <c r="AF78" s="18"/>
      <c r="AG78" s="96"/>
    </row>
    <row r="79" spans="2:33" x14ac:dyDescent="0.25">
      <c r="B79">
        <v>923</v>
      </c>
      <c r="C79" s="28">
        <v>5</v>
      </c>
      <c r="D79" s="35" t="s">
        <v>116</v>
      </c>
      <c r="E79" s="154">
        <v>49.064782259954448</v>
      </c>
      <c r="F79" s="154">
        <f>INDEX('Revised 2018 Lockdown'!H$5:H$253,MATCH(B79,'Revised 2018 Lockdown'!B$5:B$253,0))</f>
        <v>49.064782259954448</v>
      </c>
      <c r="G79" s="154">
        <f t="shared" si="2"/>
        <v>0</v>
      </c>
      <c r="H79" s="5">
        <v>30138.59</v>
      </c>
      <c r="I79" s="5">
        <f>INDEX('Revised 2018 Lockdown'!E$5:E$253,MATCH(B79,'Revised 2018 Lockdown'!B$5:B$253,0))</f>
        <v>30138.59</v>
      </c>
      <c r="J79" s="5">
        <f t="shared" si="3"/>
        <v>0</v>
      </c>
      <c r="K79" s="5">
        <v>156</v>
      </c>
      <c r="L79" s="5">
        <f>INDEX('Revised 2018 Lockdown'!F$5:F$253,MATCH(B79,'Revised 2018 Lockdown'!B$5:B$253,0))</f>
        <v>156</v>
      </c>
      <c r="M79" s="5">
        <f t="shared" si="4"/>
        <v>0</v>
      </c>
      <c r="N79" s="5">
        <v>29982.59</v>
      </c>
      <c r="O79" s="97">
        <f t="shared" si="5"/>
        <v>29982.59</v>
      </c>
      <c r="P79" s="97">
        <f t="shared" si="6"/>
        <v>0</v>
      </c>
      <c r="Q79" s="95">
        <f t="shared" si="14"/>
        <v>611.0816887181237</v>
      </c>
      <c r="R79" s="6">
        <f t="shared" si="1"/>
        <v>448.19409495037212</v>
      </c>
      <c r="S79" s="5">
        <f t="shared" si="15"/>
        <v>21990.545678937357</v>
      </c>
      <c r="T79" s="135">
        <v>0.3797678571428571</v>
      </c>
      <c r="U79" s="97">
        <f t="shared" si="7"/>
        <v>4842.4216280210167</v>
      </c>
      <c r="V79" s="97">
        <f t="shared" si="16"/>
        <v>2773.5070072823028</v>
      </c>
      <c r="W79" s="97">
        <f t="shared" si="8"/>
        <v>551.69882551673015</v>
      </c>
      <c r="X79" s="97">
        <f t="shared" si="9"/>
        <v>275.72720753581694</v>
      </c>
      <c r="Y79" s="97">
        <f t="shared" si="10"/>
        <v>8443.354668355867</v>
      </c>
      <c r="Z79" s="104">
        <f t="shared" si="11"/>
        <v>0.38395384960560347</v>
      </c>
      <c r="AA79" s="96">
        <f t="shared" si="12"/>
        <v>8443.354668355867</v>
      </c>
      <c r="AB79" s="97"/>
      <c r="AC79" s="96">
        <f>INDEX('[2]2020 Funding'!$S$26:$S$274,MATCH(B79,'[2]2020 Funding'!$B$26:$B$274,0))</f>
        <v>8596.7090536381711</v>
      </c>
      <c r="AD79" s="5">
        <f t="shared" si="13"/>
        <v>-153.35438528230407</v>
      </c>
      <c r="AF79" s="18"/>
      <c r="AG79" s="96"/>
    </row>
    <row r="80" spans="2:33" x14ac:dyDescent="0.25">
      <c r="B80">
        <v>394</v>
      </c>
      <c r="C80" s="28">
        <v>6</v>
      </c>
      <c r="D80" s="35" t="s">
        <v>117</v>
      </c>
      <c r="E80" s="154">
        <v>634.74</v>
      </c>
      <c r="F80" s="154">
        <f>INDEX('Revised 2018 Lockdown'!H$5:H$253,MATCH(B80,'Revised 2018 Lockdown'!B$5:B$253,0))</f>
        <v>634.74</v>
      </c>
      <c r="G80" s="154">
        <f t="shared" si="2"/>
        <v>0</v>
      </c>
      <c r="H80" s="5">
        <v>378356.65</v>
      </c>
      <c r="I80" s="5">
        <f>INDEX('Revised 2018 Lockdown'!E$5:E$253,MATCH(B80,'Revised 2018 Lockdown'!B$5:B$253,0))</f>
        <v>378356.65</v>
      </c>
      <c r="J80" s="5">
        <f t="shared" si="3"/>
        <v>0</v>
      </c>
      <c r="K80" s="5">
        <v>36610</v>
      </c>
      <c r="L80" s="5">
        <f>INDEX('Revised 2018 Lockdown'!F$5:F$253,MATCH(B80,'Revised 2018 Lockdown'!B$5:B$253,0))</f>
        <v>36610</v>
      </c>
      <c r="M80" s="5">
        <f t="shared" si="4"/>
        <v>0</v>
      </c>
      <c r="N80" s="5">
        <v>341746.65</v>
      </c>
      <c r="O80" s="97">
        <f t="shared" si="5"/>
        <v>341746.65</v>
      </c>
      <c r="P80" s="97">
        <f t="shared" si="6"/>
        <v>0</v>
      </c>
      <c r="Q80" s="95">
        <f t="shared" si="14"/>
        <v>538.40414973059842</v>
      </c>
      <c r="R80" s="6">
        <f t="shared" si="1"/>
        <v>538.40414973059842</v>
      </c>
      <c r="S80" s="5">
        <f t="shared" si="15"/>
        <v>341746.65</v>
      </c>
      <c r="T80" s="135">
        <v>0.75294345238095228</v>
      </c>
      <c r="U80" s="97">
        <f t="shared" si="7"/>
        <v>75254.220310175471</v>
      </c>
      <c r="V80" s="97">
        <f t="shared" si="16"/>
        <v>35880.23337136487</v>
      </c>
      <c r="W80" s="97">
        <f t="shared" si="8"/>
        <v>16998.651733974086</v>
      </c>
      <c r="X80" s="97">
        <f t="shared" si="9"/>
        <v>4284.9709536527334</v>
      </c>
      <c r="Y80" s="97">
        <f t="shared" si="10"/>
        <v>132418.07636916716</v>
      </c>
      <c r="Z80" s="104">
        <f t="shared" si="11"/>
        <v>0.38747439475754086</v>
      </c>
      <c r="AA80" s="96">
        <f t="shared" si="12"/>
        <v>132418.07636916716</v>
      </c>
      <c r="AB80" s="97"/>
      <c r="AC80" s="96">
        <f>INDEX('[2]2020 Funding'!$S$26:$S$274,MATCH(B80,'[2]2020 Funding'!$B$26:$B$274,0))</f>
        <v>132475.84587369469</v>
      </c>
      <c r="AD80" s="5">
        <f t="shared" si="13"/>
        <v>-57.769504527532263</v>
      </c>
      <c r="AF80" s="18"/>
      <c r="AG80" s="96"/>
    </row>
    <row r="81" spans="2:33" x14ac:dyDescent="0.25">
      <c r="B81">
        <v>414</v>
      </c>
      <c r="C81" s="28">
        <v>6</v>
      </c>
      <c r="D81" s="35" t="s">
        <v>118</v>
      </c>
      <c r="E81" s="154">
        <v>248.32677336420244</v>
      </c>
      <c r="F81" s="154">
        <f>INDEX('Revised 2018 Lockdown'!H$5:H$253,MATCH(B81,'Revised 2018 Lockdown'!B$5:B$253,0))</f>
        <v>248.32677336420244</v>
      </c>
      <c r="G81" s="154">
        <f t="shared" si="2"/>
        <v>0</v>
      </c>
      <c r="H81" s="5">
        <v>283141.53000000003</v>
      </c>
      <c r="I81" s="5">
        <f>INDEX('Revised 2018 Lockdown'!E$5:E$253,MATCH(B81,'Revised 2018 Lockdown'!B$5:B$253,0))</f>
        <v>291185.07</v>
      </c>
      <c r="J81" s="5">
        <f t="shared" si="3"/>
        <v>-8043.539999999979</v>
      </c>
      <c r="K81" s="5">
        <v>10663.29</v>
      </c>
      <c r="L81" s="5">
        <f>INDEX('Revised 2018 Lockdown'!F$5:F$253,MATCH(B81,'Revised 2018 Lockdown'!B$5:B$253,0))</f>
        <v>10663.29</v>
      </c>
      <c r="M81" s="5">
        <f t="shared" si="4"/>
        <v>0</v>
      </c>
      <c r="N81" s="5">
        <v>272478.24000000005</v>
      </c>
      <c r="O81" s="97">
        <f t="shared" si="5"/>
        <v>280521.78000000003</v>
      </c>
      <c r="P81" s="97">
        <f t="shared" si="6"/>
        <v>-8043.539999999979</v>
      </c>
      <c r="Q81" s="95">
        <f t="shared" si="14"/>
        <v>1129.6477467960315</v>
      </c>
      <c r="R81" s="6">
        <f t="shared" si="1"/>
        <v>1129.6477467960315</v>
      </c>
      <c r="S81" s="5">
        <f t="shared" si="15"/>
        <v>280521.78000000003</v>
      </c>
      <c r="T81" s="135">
        <v>0.60052083333333339</v>
      </c>
      <c r="U81" s="97">
        <f t="shared" si="7"/>
        <v>61772.215862021098</v>
      </c>
      <c r="V81" s="97">
        <f t="shared" si="16"/>
        <v>14037.279170472348</v>
      </c>
      <c r="W81" s="97">
        <f t="shared" si="8"/>
        <v>11128.650763892239</v>
      </c>
      <c r="X81" s="97">
        <f t="shared" si="9"/>
        <v>3517.3063998343869</v>
      </c>
      <c r="Y81" s="97">
        <f t="shared" si="10"/>
        <v>90455.452196220067</v>
      </c>
      <c r="Z81" s="104">
        <f t="shared" si="11"/>
        <v>0.32245429284036364</v>
      </c>
      <c r="AA81" s="96">
        <f t="shared" si="12"/>
        <v>90455.452196220067</v>
      </c>
      <c r="AB81" s="97"/>
      <c r="AC81" s="96">
        <f>INDEX('[2]2020 Funding'!$S$26:$S$274,MATCH(B81,'[2]2020 Funding'!$B$26:$B$274,0))</f>
        <v>88312.465118726555</v>
      </c>
      <c r="AD81" s="5">
        <f t="shared" si="13"/>
        <v>2142.9870774935116</v>
      </c>
      <c r="AF81" s="18"/>
      <c r="AG81" s="96"/>
    </row>
    <row r="82" spans="2:33" x14ac:dyDescent="0.25">
      <c r="B82">
        <v>426</v>
      </c>
      <c r="C82" s="28">
        <v>6</v>
      </c>
      <c r="D82" s="35" t="s">
        <v>119</v>
      </c>
      <c r="E82" s="154">
        <v>398.46987658571351</v>
      </c>
      <c r="F82" s="154">
        <f>INDEX('Revised 2018 Lockdown'!H$5:H$253,MATCH(B82,'Revised 2018 Lockdown'!B$5:B$253,0))</f>
        <v>398.46987658571351</v>
      </c>
      <c r="G82" s="154">
        <f t="shared" si="2"/>
        <v>0</v>
      </c>
      <c r="H82" s="5">
        <v>106980.28</v>
      </c>
      <c r="I82" s="5">
        <f>INDEX('Revised 2018 Lockdown'!E$5:E$253,MATCH(B82,'Revised 2018 Lockdown'!B$5:B$253,0))</f>
        <v>147683.84</v>
      </c>
      <c r="J82" s="5">
        <f t="shared" si="3"/>
        <v>-40703.56</v>
      </c>
      <c r="K82" s="5">
        <v>0</v>
      </c>
      <c r="L82" s="5">
        <f>INDEX('Revised 2018 Lockdown'!F$5:F$253,MATCH(B82,'Revised 2018 Lockdown'!B$5:B$253,0))</f>
        <v>0</v>
      </c>
      <c r="M82" s="5">
        <f t="shared" si="4"/>
        <v>0</v>
      </c>
      <c r="N82" s="5">
        <v>106980.28</v>
      </c>
      <c r="O82" s="97">
        <f t="shared" si="5"/>
        <v>147683.84</v>
      </c>
      <c r="P82" s="97">
        <f t="shared" si="6"/>
        <v>-40703.56</v>
      </c>
      <c r="Q82" s="95">
        <f t="shared" si="14"/>
        <v>370.62736401915248</v>
      </c>
      <c r="R82" s="6">
        <f t="shared" si="1"/>
        <v>370.62736401915248</v>
      </c>
      <c r="S82" s="5">
        <f t="shared" si="15"/>
        <v>147683.84</v>
      </c>
      <c r="T82" s="135">
        <v>0.59630654761904767</v>
      </c>
      <c r="U82" s="97">
        <f t="shared" si="7"/>
        <v>32520.67644734104</v>
      </c>
      <c r="V82" s="97">
        <f t="shared" si="16"/>
        <v>22524.485873514128</v>
      </c>
      <c r="W82" s="97">
        <f t="shared" si="8"/>
        <v>5817.687689565003</v>
      </c>
      <c r="X82" s="97">
        <f t="shared" si="9"/>
        <v>1851.7254367347789</v>
      </c>
      <c r="Y82" s="97">
        <f t="shared" si="10"/>
        <v>62714.575447154952</v>
      </c>
      <c r="Z82" s="104">
        <f t="shared" si="11"/>
        <v>0.42465428476910511</v>
      </c>
      <c r="AA82" s="96">
        <f t="shared" si="12"/>
        <v>62714.575447154952</v>
      </c>
      <c r="AB82" s="97"/>
      <c r="AC82" s="96">
        <f>INDEX('[2]2020 Funding'!$S$26:$S$274,MATCH(B82,'[2]2020 Funding'!$B$26:$B$274,0))</f>
        <v>51652.014872251479</v>
      </c>
      <c r="AD82" s="5">
        <f t="shared" si="13"/>
        <v>11062.560574903473</v>
      </c>
      <c r="AF82" s="18"/>
      <c r="AG82" s="96"/>
    </row>
    <row r="83" spans="2:33" x14ac:dyDescent="0.25">
      <c r="B83">
        <v>430</v>
      </c>
      <c r="C83" s="28">
        <v>6</v>
      </c>
      <c r="D83" s="35" t="s">
        <v>120</v>
      </c>
      <c r="E83" s="154">
        <v>2885.2977142676095</v>
      </c>
      <c r="F83" s="154">
        <f>INDEX('Revised 2018 Lockdown'!H$5:H$253,MATCH(B83,'Revised 2018 Lockdown'!B$5:B$253,0))</f>
        <v>2885.2977142676095</v>
      </c>
      <c r="G83" s="154">
        <f t="shared" si="2"/>
        <v>0</v>
      </c>
      <c r="H83" s="5">
        <v>1674152.86</v>
      </c>
      <c r="I83" s="5">
        <f>INDEX('Revised 2018 Lockdown'!E$5:E$253,MATCH(B83,'Revised 2018 Lockdown'!B$5:B$253,0))</f>
        <v>1674152.86</v>
      </c>
      <c r="J83" s="5">
        <f t="shared" si="3"/>
        <v>0</v>
      </c>
      <c r="K83" s="5">
        <v>100</v>
      </c>
      <c r="L83" s="5">
        <f>INDEX('Revised 2018 Lockdown'!F$5:F$253,MATCH(B83,'Revised 2018 Lockdown'!B$5:B$253,0))</f>
        <v>100</v>
      </c>
      <c r="M83" s="5">
        <f t="shared" si="4"/>
        <v>0</v>
      </c>
      <c r="N83" s="5">
        <v>1674052.86</v>
      </c>
      <c r="O83" s="97">
        <f t="shared" si="5"/>
        <v>1674052.86</v>
      </c>
      <c r="P83" s="97">
        <f t="shared" si="6"/>
        <v>0</v>
      </c>
      <c r="Q83" s="95">
        <f t="shared" si="14"/>
        <v>580.20108348678116</v>
      </c>
      <c r="R83" s="6">
        <f t="shared" si="1"/>
        <v>580.20108348678116</v>
      </c>
      <c r="S83" s="5">
        <f t="shared" si="15"/>
        <v>1674052.86</v>
      </c>
      <c r="T83" s="135">
        <v>0.64927380952380953</v>
      </c>
      <c r="U83" s="97">
        <f t="shared" si="7"/>
        <v>368634.31649533164</v>
      </c>
      <c r="V83" s="97">
        <f t="shared" si="16"/>
        <v>163098.52117999096</v>
      </c>
      <c r="W83" s="97">
        <f t="shared" si="8"/>
        <v>71803.382097638896</v>
      </c>
      <c r="X83" s="97">
        <f t="shared" si="9"/>
        <v>20990.016668720193</v>
      </c>
      <c r="Y83" s="97">
        <f t="shared" si="10"/>
        <v>624526.23644168163</v>
      </c>
      <c r="Z83" s="104">
        <f t="shared" si="11"/>
        <v>0.37306243510236681</v>
      </c>
      <c r="AA83" s="96">
        <f t="shared" si="12"/>
        <v>624526.23644168163</v>
      </c>
      <c r="AB83" s="97"/>
      <c r="AC83" s="96">
        <f>INDEX('[2]2020 Funding'!$S$26:$S$274,MATCH(B83,'[2]2020 Funding'!$B$26:$B$274,0))</f>
        <v>624805.19972570334</v>
      </c>
      <c r="AD83" s="5">
        <f t="shared" si="13"/>
        <v>-278.96328402170911</v>
      </c>
      <c r="AF83" s="18"/>
      <c r="AG83" s="96"/>
    </row>
    <row r="84" spans="2:33" x14ac:dyDescent="0.25">
      <c r="B84">
        <v>443</v>
      </c>
      <c r="C84" s="28">
        <v>6</v>
      </c>
      <c r="D84" s="35" t="s">
        <v>121</v>
      </c>
      <c r="E84" s="154">
        <v>11.627319147048576</v>
      </c>
      <c r="F84" s="154">
        <f>INDEX('Revised 2018 Lockdown'!H$5:H$253,MATCH(B84,'Revised 2018 Lockdown'!B$5:B$253,0))</f>
        <v>11.627319147048576</v>
      </c>
      <c r="G84" s="154">
        <f t="shared" si="2"/>
        <v>0</v>
      </c>
      <c r="H84" s="5">
        <v>15830.2</v>
      </c>
      <c r="I84" s="5">
        <f>INDEX('Revised 2018 Lockdown'!E$5:E$253,MATCH(B84,'Revised 2018 Lockdown'!B$5:B$253,0))</f>
        <v>15830.2</v>
      </c>
      <c r="J84" s="5">
        <f t="shared" si="3"/>
        <v>0</v>
      </c>
      <c r="K84" s="5">
        <v>0</v>
      </c>
      <c r="L84" s="5">
        <f>INDEX('Revised 2018 Lockdown'!F$5:F$253,MATCH(B84,'Revised 2018 Lockdown'!B$5:B$253,0))</f>
        <v>0</v>
      </c>
      <c r="M84" s="5">
        <f t="shared" si="4"/>
        <v>0</v>
      </c>
      <c r="N84" s="5">
        <v>15830.2</v>
      </c>
      <c r="O84" s="97">
        <f t="shared" si="5"/>
        <v>15830.2</v>
      </c>
      <c r="P84" s="97">
        <f t="shared" si="6"/>
        <v>0</v>
      </c>
      <c r="Q84" s="95">
        <f t="shared" si="14"/>
        <v>1361.4660266737637</v>
      </c>
      <c r="R84" s="6">
        <f t="shared" si="1"/>
        <v>1288.4693619331024</v>
      </c>
      <c r="S84" s="5">
        <f t="shared" si="15"/>
        <v>14981.444482390223</v>
      </c>
      <c r="T84" s="135">
        <v>0.36166071428571428</v>
      </c>
      <c r="U84" s="97">
        <f t="shared" si="7"/>
        <v>3298.9845654447713</v>
      </c>
      <c r="V84" s="97">
        <f t="shared" si="16"/>
        <v>657.26269729250089</v>
      </c>
      <c r="W84" s="97">
        <f t="shared" si="8"/>
        <v>357.93393430689076</v>
      </c>
      <c r="X84" s="97">
        <f t="shared" si="9"/>
        <v>187.84399042625029</v>
      </c>
      <c r="Y84" s="97">
        <f t="shared" si="10"/>
        <v>4502.0251874704136</v>
      </c>
      <c r="Z84" s="104">
        <f t="shared" si="11"/>
        <v>0.30050674971710972</v>
      </c>
      <c r="AA84" s="96">
        <f t="shared" si="12"/>
        <v>4502.0251874704136</v>
      </c>
      <c r="AB84" s="97"/>
      <c r="AC84" s="96">
        <f>INDEX('[2]2020 Funding'!$S$26:$S$274,MATCH(B84,'[2]2020 Funding'!$B$26:$B$274,0))</f>
        <v>4502.2773812483192</v>
      </c>
      <c r="AD84" s="5">
        <f t="shared" si="13"/>
        <v>-0.25219377790563158</v>
      </c>
      <c r="AF84" s="18"/>
      <c r="AG84" s="96"/>
    </row>
    <row r="85" spans="2:33" x14ac:dyDescent="0.25">
      <c r="B85">
        <v>562</v>
      </c>
      <c r="C85" s="28">
        <v>6</v>
      </c>
      <c r="D85" s="35" t="s">
        <v>122</v>
      </c>
      <c r="E85" s="154">
        <v>55.566474597654711</v>
      </c>
      <c r="F85" s="154">
        <f>INDEX('Revised 2018 Lockdown'!H$5:H$253,MATCH(B85,'Revised 2018 Lockdown'!B$5:B$253,0))</f>
        <v>55.566474597654711</v>
      </c>
      <c r="G85" s="154">
        <f t="shared" si="2"/>
        <v>0</v>
      </c>
      <c r="H85" s="5">
        <v>47597.599999999999</v>
      </c>
      <c r="I85" s="5">
        <f>INDEX('Revised 2018 Lockdown'!E$5:E$253,MATCH(B85,'Revised 2018 Lockdown'!B$5:B$253,0))</f>
        <v>47597.599999999999</v>
      </c>
      <c r="J85" s="5">
        <f t="shared" si="3"/>
        <v>0</v>
      </c>
      <c r="K85" s="5">
        <v>0</v>
      </c>
      <c r="L85" s="5">
        <f>INDEX('Revised 2018 Lockdown'!F$5:F$253,MATCH(B85,'Revised 2018 Lockdown'!B$5:B$253,0))</f>
        <v>0</v>
      </c>
      <c r="M85" s="5">
        <f t="shared" si="4"/>
        <v>0</v>
      </c>
      <c r="N85" s="5">
        <v>47597.599999999999</v>
      </c>
      <c r="O85" s="97">
        <f t="shared" si="5"/>
        <v>47597.599999999999</v>
      </c>
      <c r="P85" s="97">
        <f t="shared" si="6"/>
        <v>0</v>
      </c>
      <c r="Q85" s="95">
        <f t="shared" si="14"/>
        <v>856.58844374497971</v>
      </c>
      <c r="R85" s="6">
        <f t="shared" si="1"/>
        <v>856.58844374497971</v>
      </c>
      <c r="S85" s="5">
        <f t="shared" si="15"/>
        <v>47597.599999999999</v>
      </c>
      <c r="T85" s="135">
        <v>0.43461011904761904</v>
      </c>
      <c r="U85" s="97">
        <f t="shared" si="7"/>
        <v>10481.215475369274</v>
      </c>
      <c r="V85" s="97">
        <f t="shared" si="16"/>
        <v>3141.0310933419496</v>
      </c>
      <c r="W85" s="97">
        <f t="shared" si="8"/>
        <v>1366.572691654196</v>
      </c>
      <c r="X85" s="97">
        <f t="shared" si="9"/>
        <v>596.79980319801609</v>
      </c>
      <c r="Y85" s="97">
        <f t="shared" si="10"/>
        <v>15585.619063563436</v>
      </c>
      <c r="Z85" s="104">
        <f t="shared" si="11"/>
        <v>0.3274454817798258</v>
      </c>
      <c r="AA85" s="96">
        <f t="shared" si="12"/>
        <v>15585.619063563436</v>
      </c>
      <c r="AB85" s="97"/>
      <c r="AC85" s="96">
        <f>INDEX('[2]2020 Funding'!$S$26:$S$274,MATCH(B85,'[2]2020 Funding'!$B$26:$B$274,0))</f>
        <v>15593.515048897016</v>
      </c>
      <c r="AD85" s="5">
        <f t="shared" si="13"/>
        <v>-7.895985333580029</v>
      </c>
      <c r="AF85" s="18"/>
      <c r="AG85" s="96"/>
    </row>
    <row r="86" spans="2:33" x14ac:dyDescent="0.25">
      <c r="B86">
        <v>603</v>
      </c>
      <c r="C86" s="28">
        <v>6</v>
      </c>
      <c r="D86" s="35" t="s">
        <v>123</v>
      </c>
      <c r="E86" s="154">
        <v>109.56634963052151</v>
      </c>
      <c r="F86" s="154">
        <f>INDEX('Revised 2018 Lockdown'!H$5:H$253,MATCH(B86,'Revised 2018 Lockdown'!B$5:B$253,0))</f>
        <v>109.56634963052151</v>
      </c>
      <c r="G86" s="154">
        <f t="shared" si="2"/>
        <v>0</v>
      </c>
      <c r="H86" s="5">
        <v>85628.45</v>
      </c>
      <c r="I86" s="5">
        <f>INDEX('Revised 2018 Lockdown'!E$5:E$253,MATCH(B86,'Revised 2018 Lockdown'!B$5:B$253,0))</f>
        <v>85628.45</v>
      </c>
      <c r="J86" s="5">
        <f t="shared" si="3"/>
        <v>0</v>
      </c>
      <c r="K86" s="5">
        <v>0</v>
      </c>
      <c r="L86" s="5">
        <f>INDEX('Revised 2018 Lockdown'!F$5:F$253,MATCH(B86,'Revised 2018 Lockdown'!B$5:B$253,0))</f>
        <v>0</v>
      </c>
      <c r="M86" s="5">
        <f t="shared" si="4"/>
        <v>0</v>
      </c>
      <c r="N86" s="5">
        <v>85628.45</v>
      </c>
      <c r="O86" s="97">
        <f t="shared" si="5"/>
        <v>85628.45</v>
      </c>
      <c r="P86" s="97">
        <f t="shared" si="6"/>
        <v>0</v>
      </c>
      <c r="Q86" s="95">
        <f t="shared" si="14"/>
        <v>781.52142778102359</v>
      </c>
      <c r="R86" s="6">
        <f t="shared" si="1"/>
        <v>781.52142778102359</v>
      </c>
      <c r="S86" s="5">
        <f t="shared" si="15"/>
        <v>85628.45</v>
      </c>
      <c r="T86" s="135">
        <v>0.31227827380952378</v>
      </c>
      <c r="U86" s="97">
        <f t="shared" si="7"/>
        <v>18855.78758743895</v>
      </c>
      <c r="V86" s="97">
        <f t="shared" si="16"/>
        <v>6193.5063087117069</v>
      </c>
      <c r="W86" s="97">
        <f t="shared" si="8"/>
        <v>1766.4758397373439</v>
      </c>
      <c r="X86" s="97">
        <f t="shared" si="9"/>
        <v>1073.6474550849446</v>
      </c>
      <c r="Y86" s="97">
        <f t="shared" si="10"/>
        <v>27889.417190972948</v>
      </c>
      <c r="Z86" s="104">
        <f t="shared" si="11"/>
        <v>0.32570269800484475</v>
      </c>
      <c r="AA86" s="96">
        <f t="shared" si="12"/>
        <v>27889.417190972948</v>
      </c>
      <c r="AB86" s="97"/>
      <c r="AC86" s="96">
        <f>INDEX('[2]2020 Funding'!$S$26:$S$274,MATCH(B86,'[2]2020 Funding'!$B$26:$B$274,0))</f>
        <v>27903.02928088827</v>
      </c>
      <c r="AD86" s="5">
        <f t="shared" si="13"/>
        <v>-13.612089915321121</v>
      </c>
      <c r="AF86" s="18"/>
      <c r="AG86" s="96"/>
    </row>
    <row r="87" spans="2:33" x14ac:dyDescent="0.25">
      <c r="B87">
        <v>618</v>
      </c>
      <c r="C87" s="28">
        <v>6</v>
      </c>
      <c r="D87" s="35" t="s">
        <v>124</v>
      </c>
      <c r="E87" s="154">
        <v>22.913731248399976</v>
      </c>
      <c r="F87" s="154">
        <f>INDEX('Revised 2018 Lockdown'!H$5:H$253,MATCH(B87,'Revised 2018 Lockdown'!B$5:B$253,0))</f>
        <v>22.913731248399976</v>
      </c>
      <c r="G87" s="154">
        <f t="shared" si="2"/>
        <v>0</v>
      </c>
      <c r="H87" s="5">
        <v>16335.8</v>
      </c>
      <c r="I87" s="5">
        <f>INDEX('Revised 2018 Lockdown'!E$5:E$253,MATCH(B87,'Revised 2018 Lockdown'!B$5:B$253,0))</f>
        <v>16335.8</v>
      </c>
      <c r="J87" s="5">
        <f t="shared" si="3"/>
        <v>0</v>
      </c>
      <c r="K87" s="5">
        <v>0</v>
      </c>
      <c r="L87" s="5">
        <f>INDEX('Revised 2018 Lockdown'!F$5:F$253,MATCH(B87,'Revised 2018 Lockdown'!B$5:B$253,0))</f>
        <v>0</v>
      </c>
      <c r="M87" s="5">
        <f t="shared" si="4"/>
        <v>0</v>
      </c>
      <c r="N87" s="5">
        <v>16335.8</v>
      </c>
      <c r="O87" s="97">
        <f t="shared" si="5"/>
        <v>16335.8</v>
      </c>
      <c r="P87" s="97">
        <f t="shared" si="6"/>
        <v>0</v>
      </c>
      <c r="Q87" s="95">
        <f t="shared" si="14"/>
        <v>712.9262285094095</v>
      </c>
      <c r="R87" s="6">
        <f t="shared" si="1"/>
        <v>712.9262285094095</v>
      </c>
      <c r="S87" s="5">
        <f t="shared" si="15"/>
        <v>16335.8</v>
      </c>
      <c r="T87" s="135">
        <v>0.26351785714285714</v>
      </c>
      <c r="U87" s="97">
        <f t="shared" si="7"/>
        <v>3597.2200229116047</v>
      </c>
      <c r="V87" s="97">
        <f t="shared" si="16"/>
        <v>1295.2547887344849</v>
      </c>
      <c r="W87" s="97">
        <f t="shared" si="8"/>
        <v>284.37951363271361</v>
      </c>
      <c r="X87" s="97">
        <f t="shared" si="9"/>
        <v>204.82550013198463</v>
      </c>
      <c r="Y87" s="97">
        <f t="shared" si="10"/>
        <v>5381.679825410788</v>
      </c>
      <c r="Z87" s="104">
        <f t="shared" si="11"/>
        <v>0.329440849264241</v>
      </c>
      <c r="AA87" s="96">
        <f t="shared" si="12"/>
        <v>5381.679825410788</v>
      </c>
      <c r="AB87" s="97"/>
      <c r="AC87" s="96">
        <f>INDEX('[2]2020 Funding'!$S$26:$S$274,MATCH(B87,'[2]2020 Funding'!$B$26:$B$274,0))</f>
        <v>5384.2121988407962</v>
      </c>
      <c r="AD87" s="5">
        <f t="shared" si="13"/>
        <v>-2.5323734300081924</v>
      </c>
      <c r="AF87" s="18"/>
      <c r="AG87" s="96"/>
    </row>
    <row r="88" spans="2:33" x14ac:dyDescent="0.25">
      <c r="B88">
        <v>620</v>
      </c>
      <c r="C88" s="28">
        <v>6</v>
      </c>
      <c r="D88" s="35" t="s">
        <v>125</v>
      </c>
      <c r="E88" s="154">
        <v>247.11841445539267</v>
      </c>
      <c r="F88" s="154">
        <f>INDEX('Revised 2018 Lockdown'!H$5:H$253,MATCH(B88,'Revised 2018 Lockdown'!B$5:B$253,0))</f>
        <v>247.11841445539267</v>
      </c>
      <c r="G88" s="154">
        <f t="shared" si="2"/>
        <v>0</v>
      </c>
      <c r="H88" s="5">
        <v>118610.13</v>
      </c>
      <c r="I88" s="5">
        <f>INDEX('Revised 2018 Lockdown'!E$5:E$253,MATCH(B88,'Revised 2018 Lockdown'!B$5:B$253,0))</f>
        <v>118610.13</v>
      </c>
      <c r="J88" s="5">
        <f t="shared" si="3"/>
        <v>0</v>
      </c>
      <c r="K88" s="5">
        <v>0</v>
      </c>
      <c r="L88" s="5">
        <f>INDEX('Revised 2018 Lockdown'!F$5:F$253,MATCH(B88,'Revised 2018 Lockdown'!B$5:B$253,0))</f>
        <v>0</v>
      </c>
      <c r="M88" s="5">
        <f t="shared" si="4"/>
        <v>0</v>
      </c>
      <c r="N88" s="5">
        <v>118610.13</v>
      </c>
      <c r="O88" s="97">
        <f t="shared" si="5"/>
        <v>118610.13</v>
      </c>
      <c r="P88" s="97">
        <f t="shared" si="6"/>
        <v>0</v>
      </c>
      <c r="Q88" s="95">
        <f t="shared" si="14"/>
        <v>479.97285132067856</v>
      </c>
      <c r="R88" s="6">
        <f t="shared" si="1"/>
        <v>479.97285132067856</v>
      </c>
      <c r="S88" s="5">
        <f t="shared" si="15"/>
        <v>118610.13</v>
      </c>
      <c r="T88" s="135">
        <v>0.51505357142857144</v>
      </c>
      <c r="U88" s="97">
        <f t="shared" si="7"/>
        <v>26118.508708244986</v>
      </c>
      <c r="V88" s="97">
        <f t="shared" si="16"/>
        <v>13968.973723132551</v>
      </c>
      <c r="W88" s="97">
        <f t="shared" si="8"/>
        <v>4035.729357170947</v>
      </c>
      <c r="X88" s="97">
        <f t="shared" si="9"/>
        <v>1487.1863758107786</v>
      </c>
      <c r="Y88" s="97">
        <f t="shared" si="10"/>
        <v>45610.398164359263</v>
      </c>
      <c r="Z88" s="104">
        <f t="shared" si="11"/>
        <v>0.3845404955239427</v>
      </c>
      <c r="AA88" s="96">
        <f t="shared" si="12"/>
        <v>45610.398164359263</v>
      </c>
      <c r="AB88" s="97"/>
      <c r="AC88" s="96">
        <f>INDEX('[2]2020 Funding'!$S$26:$S$274,MATCH(B88,'[2]2020 Funding'!$B$26:$B$274,0))</f>
        <v>45628.836862146818</v>
      </c>
      <c r="AD88" s="5">
        <f t="shared" si="13"/>
        <v>-18.438697787554702</v>
      </c>
      <c r="AF88" s="18"/>
      <c r="AG88" s="96"/>
    </row>
    <row r="89" spans="2:33" x14ac:dyDescent="0.25">
      <c r="B89">
        <v>622</v>
      </c>
      <c r="C89" s="28">
        <v>6</v>
      </c>
      <c r="D89" s="35" t="s">
        <v>126</v>
      </c>
      <c r="E89" s="154">
        <v>117.76088798616892</v>
      </c>
      <c r="F89" s="154">
        <f>INDEX('Revised 2018 Lockdown'!H$5:H$253,MATCH(B89,'Revised 2018 Lockdown'!B$5:B$253,0))</f>
        <v>117.76088798616892</v>
      </c>
      <c r="G89" s="154">
        <f t="shared" si="2"/>
        <v>0</v>
      </c>
      <c r="H89" s="5">
        <v>80933.14</v>
      </c>
      <c r="I89" s="5">
        <f>INDEX('Revised 2018 Lockdown'!E$5:E$253,MATCH(B89,'Revised 2018 Lockdown'!B$5:B$253,0))</f>
        <v>80933.14</v>
      </c>
      <c r="J89" s="5">
        <f t="shared" si="3"/>
        <v>0</v>
      </c>
      <c r="K89" s="5">
        <v>715</v>
      </c>
      <c r="L89" s="5">
        <f>INDEX('Revised 2018 Lockdown'!F$5:F$253,MATCH(B89,'Revised 2018 Lockdown'!B$5:B$253,0))</f>
        <v>715</v>
      </c>
      <c r="M89" s="5">
        <f t="shared" si="4"/>
        <v>0</v>
      </c>
      <c r="N89" s="5">
        <v>80218.14</v>
      </c>
      <c r="O89" s="97">
        <f t="shared" si="5"/>
        <v>80218.14</v>
      </c>
      <c r="P89" s="97">
        <f t="shared" si="6"/>
        <v>0</v>
      </c>
      <c r="Q89" s="95">
        <f t="shared" si="14"/>
        <v>681.19510112238333</v>
      </c>
      <c r="R89" s="6">
        <f t="shared" si="1"/>
        <v>681.19510112238333</v>
      </c>
      <c r="S89" s="5">
        <f t="shared" si="15"/>
        <v>80218.14</v>
      </c>
      <c r="T89" s="135">
        <v>0.36095238095238091</v>
      </c>
      <c r="U89" s="97">
        <f t="shared" si="7"/>
        <v>17664.411868945892</v>
      </c>
      <c r="V89" s="97">
        <f t="shared" si="16"/>
        <v>6656.7226627641221</v>
      </c>
      <c r="W89" s="97">
        <f t="shared" si="8"/>
        <v>1912.8034566658548</v>
      </c>
      <c r="X89" s="97">
        <f t="shared" si="9"/>
        <v>1005.8105905531141</v>
      </c>
      <c r="Y89" s="97">
        <f t="shared" si="10"/>
        <v>27239.748578928982</v>
      </c>
      <c r="Z89" s="104">
        <f t="shared" si="11"/>
        <v>0.33957093219724344</v>
      </c>
      <c r="AA89" s="96">
        <f t="shared" si="12"/>
        <v>27239.748578928982</v>
      </c>
      <c r="AB89" s="97"/>
      <c r="AC89" s="96">
        <f>INDEX('[2]2020 Funding'!$S$26:$S$274,MATCH(B89,'[2]2020 Funding'!$B$26:$B$274,0))</f>
        <v>27252.438493917773</v>
      </c>
      <c r="AD89" s="5">
        <f t="shared" si="13"/>
        <v>-12.689914988790406</v>
      </c>
      <c r="AF89" s="18"/>
      <c r="AG89" s="96"/>
    </row>
    <row r="90" spans="2:33" x14ac:dyDescent="0.25">
      <c r="B90">
        <v>623</v>
      </c>
      <c r="C90" s="28">
        <v>6</v>
      </c>
      <c r="D90" s="35" t="s">
        <v>127</v>
      </c>
      <c r="E90" s="154">
        <v>238.88534218865161</v>
      </c>
      <c r="F90" s="154">
        <f>INDEX('Revised 2018 Lockdown'!H$5:H$253,MATCH(B90,'Revised 2018 Lockdown'!B$5:B$253,0))</f>
        <v>238.88534218865161</v>
      </c>
      <c r="G90" s="154">
        <f t="shared" si="2"/>
        <v>0</v>
      </c>
      <c r="H90" s="5">
        <v>85871.33</v>
      </c>
      <c r="I90" s="5">
        <f>INDEX('Revised 2018 Lockdown'!E$5:E$253,MATCH(B90,'Revised 2018 Lockdown'!B$5:B$253,0))</f>
        <v>85871.33</v>
      </c>
      <c r="J90" s="5">
        <f t="shared" si="3"/>
        <v>0</v>
      </c>
      <c r="K90" s="5">
        <v>0</v>
      </c>
      <c r="L90" s="5">
        <f>INDEX('Revised 2018 Lockdown'!F$5:F$253,MATCH(B90,'Revised 2018 Lockdown'!B$5:B$253,0))</f>
        <v>0</v>
      </c>
      <c r="M90" s="5">
        <f t="shared" si="4"/>
        <v>0</v>
      </c>
      <c r="N90" s="5">
        <v>85871.33</v>
      </c>
      <c r="O90" s="97">
        <f t="shared" si="5"/>
        <v>85871.33</v>
      </c>
      <c r="P90" s="97">
        <f t="shared" si="6"/>
        <v>0</v>
      </c>
      <c r="Q90" s="95">
        <f t="shared" si="14"/>
        <v>359.4667182726767</v>
      </c>
      <c r="R90" s="6">
        <f t="shared" ref="R90:R153" si="17">MIN(Q90,INDEX($V$3:$V$11,MATCH(C90,$S$3:$S$11,0)))</f>
        <v>359.4667182726767</v>
      </c>
      <c r="S90" s="5">
        <f t="shared" si="15"/>
        <v>85871.33</v>
      </c>
      <c r="T90" s="135">
        <v>0.43836607142857142</v>
      </c>
      <c r="U90" s="97">
        <f t="shared" ref="U90:U153" si="18">$E$14*(S90/$S$24)</f>
        <v>18909.270906233549</v>
      </c>
      <c r="V90" s="97">
        <f t="shared" ref="V90:V153" si="19">$E$15*(F90/$F$24)</f>
        <v>13503.579145362155</v>
      </c>
      <c r="W90" s="97">
        <f t="shared" ref="W90:W153" si="20">IFERROR(T90*$E$16*(S90/$S$24),0)</f>
        <v>2486.7548402232546</v>
      </c>
      <c r="X90" s="97">
        <f t="shared" ref="X90:X153" si="21">($W$23+$E$9)*(S90/$S$24)</f>
        <v>1076.692792164981</v>
      </c>
      <c r="Y90" s="97">
        <f t="shared" ref="Y90:Y153" si="22">U90+V90+W90+X90</f>
        <v>35976.297683983947</v>
      </c>
      <c r="Z90" s="104">
        <f t="shared" ref="Z90:Z153" si="23">IFERROR((Y90/S90),0)</f>
        <v>0.41895586901919357</v>
      </c>
      <c r="AA90" s="96">
        <f t="shared" ref="AA90:AA153" si="24">IF(Z90&gt;$Z$19,$Z$19*S90,Y90+($Z$23*Y90/$Z$22))</f>
        <v>35976.297683983947</v>
      </c>
      <c r="AB90" s="97"/>
      <c r="AC90" s="96">
        <f>INDEX('[2]2020 Funding'!$S$26:$S$274,MATCH(B90,'[2]2020 Funding'!$B$26:$B$274,0))</f>
        <v>35988.457474283125</v>
      </c>
      <c r="AD90" s="5">
        <f t="shared" si="13"/>
        <v>-12.159790299177985</v>
      </c>
      <c r="AF90" s="18"/>
      <c r="AG90" s="96"/>
    </row>
    <row r="91" spans="2:33" x14ac:dyDescent="0.25">
      <c r="B91">
        <v>626</v>
      </c>
      <c r="C91" s="28">
        <v>6</v>
      </c>
      <c r="D91" s="35" t="s">
        <v>128</v>
      </c>
      <c r="E91" s="154">
        <v>22.444815850951411</v>
      </c>
      <c r="F91" s="154">
        <f>INDEX('Revised 2018 Lockdown'!H$5:H$253,MATCH(B91,'Revised 2018 Lockdown'!B$5:B$253,0))</f>
        <v>22.444815850951411</v>
      </c>
      <c r="G91" s="154">
        <f t="shared" ref="G91:G154" si="25">E91-F91</f>
        <v>0</v>
      </c>
      <c r="H91" s="5">
        <v>17594.09</v>
      </c>
      <c r="I91" s="5">
        <f>INDEX('Revised 2018 Lockdown'!E$5:E$253,MATCH(B91,'Revised 2018 Lockdown'!B$5:B$253,0))</f>
        <v>17594.09</v>
      </c>
      <c r="J91" s="5">
        <f t="shared" ref="J91:J154" si="26">H91-I91</f>
        <v>0</v>
      </c>
      <c r="K91" s="5">
        <v>0</v>
      </c>
      <c r="L91" s="5">
        <f>INDEX('Revised 2018 Lockdown'!F$5:F$253,MATCH(B91,'Revised 2018 Lockdown'!B$5:B$253,0))</f>
        <v>0</v>
      </c>
      <c r="M91" s="5">
        <f t="shared" ref="M91:M154" si="27">K91-L91</f>
        <v>0</v>
      </c>
      <c r="N91" s="5">
        <v>17594.09</v>
      </c>
      <c r="O91" s="97">
        <f t="shared" ref="O91:O154" si="28">I91-L91</f>
        <v>17594.09</v>
      </c>
      <c r="P91" s="97">
        <f t="shared" ref="P91:P154" si="29">N91-O91</f>
        <v>0</v>
      </c>
      <c r="Q91" s="95">
        <f t="shared" ref="Q91:Q154" si="30">IFERROR(O91/F91,"n.a.")</f>
        <v>783.88212747373495</v>
      </c>
      <c r="R91" s="6">
        <f t="shared" si="17"/>
        <v>783.88212747373495</v>
      </c>
      <c r="S91" s="5">
        <f t="shared" ref="S91:S154" si="31">F91*R91</f>
        <v>17594.09</v>
      </c>
      <c r="T91" s="135">
        <v>0.18083928571428573</v>
      </c>
      <c r="U91" s="97">
        <f t="shared" si="18"/>
        <v>3874.3014013950242</v>
      </c>
      <c r="V91" s="97">
        <f t="shared" si="19"/>
        <v>1268.7481972294893</v>
      </c>
      <c r="W91" s="97">
        <f t="shared" si="20"/>
        <v>210.18776942103969</v>
      </c>
      <c r="X91" s="97">
        <f t="shared" si="21"/>
        <v>220.60249780342252</v>
      </c>
      <c r="Y91" s="97">
        <f t="shared" si="22"/>
        <v>5573.8398658489759</v>
      </c>
      <c r="Z91" s="104">
        <f t="shared" si="23"/>
        <v>0.31680182753691588</v>
      </c>
      <c r="AA91" s="96">
        <f t="shared" si="24"/>
        <v>5573.8398658489759</v>
      </c>
      <c r="AB91" s="97"/>
      <c r="AC91" s="96">
        <f>INDEX('[2]2020 Funding'!$S$26:$S$274,MATCH(B91,'[2]2020 Funding'!$B$26:$B$274,0))</f>
        <v>5576.5389863442433</v>
      </c>
      <c r="AD91" s="5">
        <f t="shared" ref="AD91:AD154" si="32">AA91-AC91</f>
        <v>-2.6991204952673797</v>
      </c>
      <c r="AF91" s="18"/>
      <c r="AG91" s="96"/>
    </row>
    <row r="92" spans="2:33" x14ac:dyDescent="0.25">
      <c r="B92">
        <v>627</v>
      </c>
      <c r="C92" s="28">
        <v>6</v>
      </c>
      <c r="D92" s="35" t="s">
        <v>129</v>
      </c>
      <c r="E92" s="154">
        <v>172.58791907246243</v>
      </c>
      <c r="F92" s="154">
        <f>INDEX('Revised 2018 Lockdown'!H$5:H$253,MATCH(B92,'Revised 2018 Lockdown'!B$5:B$253,0))</f>
        <v>172.58791907246243</v>
      </c>
      <c r="G92" s="154">
        <f t="shared" si="25"/>
        <v>0</v>
      </c>
      <c r="H92" s="5">
        <v>78681.460000000006</v>
      </c>
      <c r="I92" s="5">
        <f>INDEX('Revised 2018 Lockdown'!E$5:E$253,MATCH(B92,'Revised 2018 Lockdown'!B$5:B$253,0))</f>
        <v>78681.460000000006</v>
      </c>
      <c r="J92" s="5">
        <f t="shared" si="26"/>
        <v>0</v>
      </c>
      <c r="K92" s="5">
        <v>0</v>
      </c>
      <c r="L92" s="5">
        <f>INDEX('Revised 2018 Lockdown'!F$5:F$253,MATCH(B92,'Revised 2018 Lockdown'!B$5:B$253,0))</f>
        <v>0</v>
      </c>
      <c r="M92" s="5">
        <f t="shared" si="27"/>
        <v>0</v>
      </c>
      <c r="N92" s="5">
        <v>78681.460000000006</v>
      </c>
      <c r="O92" s="97">
        <f t="shared" si="28"/>
        <v>78681.460000000006</v>
      </c>
      <c r="P92" s="97">
        <f t="shared" si="29"/>
        <v>0</v>
      </c>
      <c r="Q92" s="95">
        <f t="shared" si="30"/>
        <v>455.89204866051466</v>
      </c>
      <c r="R92" s="6">
        <f t="shared" si="17"/>
        <v>455.89204866051466</v>
      </c>
      <c r="S92" s="5">
        <f t="shared" si="31"/>
        <v>78681.460000000006</v>
      </c>
      <c r="T92" s="135">
        <v>0.30555357142857142</v>
      </c>
      <c r="U92" s="97">
        <f t="shared" si="18"/>
        <v>17326.027702586867</v>
      </c>
      <c r="V92" s="97">
        <f t="shared" si="19"/>
        <v>9755.9549002712702</v>
      </c>
      <c r="W92" s="97">
        <f t="shared" si="20"/>
        <v>1588.2088929587351</v>
      </c>
      <c r="X92" s="97">
        <f t="shared" si="21"/>
        <v>986.54301568424853</v>
      </c>
      <c r="Y92" s="97">
        <f t="shared" si="22"/>
        <v>29656.734511501119</v>
      </c>
      <c r="Z92" s="104">
        <f t="shared" si="23"/>
        <v>0.37692150744916425</v>
      </c>
      <c r="AA92" s="96">
        <f t="shared" si="24"/>
        <v>29656.734511501119</v>
      </c>
      <c r="AB92" s="97"/>
      <c r="AC92" s="96">
        <f>INDEX('[2]2020 Funding'!$S$26:$S$274,MATCH(B92,'[2]2020 Funding'!$B$26:$B$274,0))</f>
        <v>29668.13080228561</v>
      </c>
      <c r="AD92" s="5">
        <f t="shared" si="32"/>
        <v>-11.396290784490702</v>
      </c>
      <c r="AF92" s="18"/>
      <c r="AG92" s="96"/>
    </row>
    <row r="93" spans="2:33" x14ac:dyDescent="0.25">
      <c r="B93">
        <v>634</v>
      </c>
      <c r="C93" s="28">
        <v>6</v>
      </c>
      <c r="D93" s="35" t="s">
        <v>130</v>
      </c>
      <c r="E93" s="154">
        <v>648.63374679368712</v>
      </c>
      <c r="F93" s="154">
        <f>INDEX('Revised 2018 Lockdown'!H$5:H$253,MATCH(B93,'Revised 2018 Lockdown'!B$5:B$253,0))</f>
        <v>648.63374679368712</v>
      </c>
      <c r="G93" s="154">
        <f t="shared" si="25"/>
        <v>0</v>
      </c>
      <c r="H93" s="5">
        <v>582665.36</v>
      </c>
      <c r="I93" s="5">
        <f>INDEX('Revised 2018 Lockdown'!E$5:E$253,MATCH(B93,'Revised 2018 Lockdown'!B$5:B$253,0))</f>
        <v>582665.36</v>
      </c>
      <c r="J93" s="5">
        <f t="shared" si="26"/>
        <v>0</v>
      </c>
      <c r="K93" s="5">
        <v>0</v>
      </c>
      <c r="L93" s="5">
        <f>INDEX('Revised 2018 Lockdown'!F$5:F$253,MATCH(B93,'Revised 2018 Lockdown'!B$5:B$253,0))</f>
        <v>0</v>
      </c>
      <c r="M93" s="5">
        <f t="shared" si="27"/>
        <v>0</v>
      </c>
      <c r="N93" s="5">
        <v>582665.36</v>
      </c>
      <c r="O93" s="97">
        <f t="shared" si="28"/>
        <v>582665.36</v>
      </c>
      <c r="P93" s="97">
        <f t="shared" si="29"/>
        <v>0</v>
      </c>
      <c r="Q93" s="95">
        <f t="shared" si="30"/>
        <v>898.29640051912088</v>
      </c>
      <c r="R93" s="6">
        <f t="shared" si="17"/>
        <v>898.29640051912088</v>
      </c>
      <c r="S93" s="5">
        <f t="shared" si="31"/>
        <v>582665.36</v>
      </c>
      <c r="T93" s="135">
        <v>0.77350595238095232</v>
      </c>
      <c r="U93" s="97">
        <f t="shared" si="18"/>
        <v>128305.65381854566</v>
      </c>
      <c r="V93" s="97">
        <f t="shared" si="19"/>
        <v>36665.611443268557</v>
      </c>
      <c r="W93" s="97">
        <f t="shared" si="20"/>
        <v>29773.556085832479</v>
      </c>
      <c r="X93" s="97">
        <f t="shared" si="21"/>
        <v>7305.7165104606365</v>
      </c>
      <c r="Y93" s="97">
        <f t="shared" si="22"/>
        <v>202050.53785810733</v>
      </c>
      <c r="Z93" s="104">
        <f t="shared" si="23"/>
        <v>0.34676943530349452</v>
      </c>
      <c r="AA93" s="96">
        <f t="shared" si="24"/>
        <v>202050.53785810733</v>
      </c>
      <c r="AB93" s="97"/>
      <c r="AC93" s="96">
        <f>INDEX('[2]2020 Funding'!$S$26:$S$274,MATCH(B93,'[2]2020 Funding'!$B$26:$B$274,0))</f>
        <v>202156.10960381705</v>
      </c>
      <c r="AD93" s="5">
        <f t="shared" si="32"/>
        <v>-105.57174570971983</v>
      </c>
      <c r="AF93" s="18"/>
      <c r="AG93" s="96"/>
    </row>
    <row r="94" spans="2:33" x14ac:dyDescent="0.25">
      <c r="B94">
        <v>636</v>
      </c>
      <c r="C94" s="28">
        <v>6</v>
      </c>
      <c r="D94" s="35" t="s">
        <v>313</v>
      </c>
      <c r="E94" s="154">
        <v>72.113777565310741</v>
      </c>
      <c r="F94" s="154">
        <f>INDEX('Revised 2018 Lockdown'!H$5:H$253,MATCH(B94,'Revised 2018 Lockdown'!B$5:B$253,0))</f>
        <v>72.113777565310741</v>
      </c>
      <c r="G94" s="154">
        <f t="shared" si="25"/>
        <v>0</v>
      </c>
      <c r="H94" s="5">
        <v>74827.44</v>
      </c>
      <c r="I94" s="5">
        <f>INDEX('Revised 2018 Lockdown'!E$5:E$253,MATCH(B94,'Revised 2018 Lockdown'!B$5:B$253,0))</f>
        <v>74827.44</v>
      </c>
      <c r="J94" s="5">
        <f t="shared" si="26"/>
        <v>0</v>
      </c>
      <c r="K94" s="5">
        <v>76212</v>
      </c>
      <c r="L94" s="5">
        <f>INDEX('Revised 2018 Lockdown'!F$5:F$253,MATCH(B94,'Revised 2018 Lockdown'!B$5:B$253,0))</f>
        <v>76212</v>
      </c>
      <c r="M94" s="5">
        <f t="shared" si="27"/>
        <v>0</v>
      </c>
      <c r="N94" s="5">
        <v>-1384.5599999999977</v>
      </c>
      <c r="O94" s="97">
        <f t="shared" si="28"/>
        <v>-1384.5599999999977</v>
      </c>
      <c r="P94" s="97">
        <f t="shared" si="29"/>
        <v>0</v>
      </c>
      <c r="Q94" s="95">
        <f t="shared" si="30"/>
        <v>-19.199659853431665</v>
      </c>
      <c r="R94" s="6">
        <f t="shared" si="17"/>
        <v>-19.199659853431665</v>
      </c>
      <c r="S94" s="5">
        <f t="shared" si="31"/>
        <v>-1384.5599999999977</v>
      </c>
      <c r="T94" s="135">
        <v>0.24942857142857144</v>
      </c>
      <c r="U94" s="97">
        <f t="shared" si="18"/>
        <v>-304.88662660674612</v>
      </c>
      <c r="V94" s="97">
        <f t="shared" si="19"/>
        <v>4076.4079281816898</v>
      </c>
      <c r="W94" s="97">
        <f t="shared" si="20"/>
        <v>-22.814230716659086</v>
      </c>
      <c r="X94" s="97">
        <f t="shared" si="21"/>
        <v>-17.36022689202489</v>
      </c>
      <c r="Y94" s="97">
        <f t="shared" si="22"/>
        <v>3731.3468439662597</v>
      </c>
      <c r="Z94" s="104">
        <f t="shared" si="23"/>
        <v>-2.6949694083075242</v>
      </c>
      <c r="AA94" s="96">
        <f t="shared" si="24"/>
        <v>3731.3468439662597</v>
      </c>
      <c r="AB94" s="97"/>
      <c r="AC94" s="96">
        <f>INDEX('[2]2020 Funding'!$S$26:$S$274,MATCH(B94,'[2]2020 Funding'!$B$26:$B$274,0))</f>
        <v>3730.0117044625481</v>
      </c>
      <c r="AD94" s="5">
        <f t="shared" si="32"/>
        <v>1.3351395037116163</v>
      </c>
      <c r="AF94" s="18"/>
      <c r="AG94" s="96"/>
    </row>
    <row r="95" spans="2:33" x14ac:dyDescent="0.25">
      <c r="B95">
        <v>694</v>
      </c>
      <c r="C95" s="28">
        <v>6</v>
      </c>
      <c r="D95" s="35" t="s">
        <v>131</v>
      </c>
      <c r="E95" s="154">
        <v>10.25564638073009</v>
      </c>
      <c r="F95" s="154">
        <f>INDEX('Revised 2018 Lockdown'!H$5:H$253,MATCH(B95,'Revised 2018 Lockdown'!B$5:B$253,0))</f>
        <v>10.25564638073009</v>
      </c>
      <c r="G95" s="154">
        <f t="shared" si="25"/>
        <v>0</v>
      </c>
      <c r="H95" s="5">
        <v>60191.32</v>
      </c>
      <c r="I95" s="5">
        <f>INDEX('Revised 2018 Lockdown'!E$5:E$253,MATCH(B95,'Revised 2018 Lockdown'!B$5:B$253,0))</f>
        <v>60191.32</v>
      </c>
      <c r="J95" s="5">
        <f t="shared" si="26"/>
        <v>0</v>
      </c>
      <c r="K95" s="5">
        <v>0</v>
      </c>
      <c r="L95" s="5">
        <f>INDEX('Revised 2018 Lockdown'!F$5:F$253,MATCH(B95,'Revised 2018 Lockdown'!B$5:B$253,0))</f>
        <v>0</v>
      </c>
      <c r="M95" s="5">
        <f t="shared" si="27"/>
        <v>0</v>
      </c>
      <c r="N95" s="5">
        <v>60191.32</v>
      </c>
      <c r="O95" s="97">
        <f t="shared" si="28"/>
        <v>60191.32</v>
      </c>
      <c r="P95" s="97">
        <f t="shared" si="29"/>
        <v>0</v>
      </c>
      <c r="Q95" s="95">
        <f t="shared" si="30"/>
        <v>5869.0908174346623</v>
      </c>
      <c r="R95" s="6">
        <f t="shared" si="17"/>
        <v>1288.4693619331024</v>
      </c>
      <c r="S95" s="5">
        <f t="shared" si="31"/>
        <v>13214.08614839083</v>
      </c>
      <c r="T95" s="135">
        <v>0.82007738095238081</v>
      </c>
      <c r="U95" s="97">
        <f t="shared" si="18"/>
        <v>2909.8039445555396</v>
      </c>
      <c r="V95" s="97">
        <f t="shared" si="19"/>
        <v>579.72553410024443</v>
      </c>
      <c r="W95" s="97">
        <f t="shared" si="20"/>
        <v>715.87931938080396</v>
      </c>
      <c r="X95" s="97">
        <f t="shared" si="21"/>
        <v>165.68406837322215</v>
      </c>
      <c r="Y95" s="97">
        <f t="shared" si="22"/>
        <v>4371.092866409811</v>
      </c>
      <c r="Z95" s="104">
        <f t="shared" si="23"/>
        <v>0.33079040179726005</v>
      </c>
      <c r="AA95" s="96">
        <f t="shared" si="24"/>
        <v>4371.092866409811</v>
      </c>
      <c r="AB95" s="97"/>
      <c r="AC95" s="96">
        <f>INDEX('[2]2020 Funding'!$S$26:$S$274,MATCH(B95,'[2]2020 Funding'!$B$26:$B$274,0))</f>
        <v>4371.3372763782863</v>
      </c>
      <c r="AD95" s="5">
        <f t="shared" si="32"/>
        <v>-0.24440996847533825</v>
      </c>
      <c r="AF95" s="18"/>
      <c r="AG95" s="96"/>
    </row>
    <row r="96" spans="2:33" x14ac:dyDescent="0.25">
      <c r="B96">
        <v>706</v>
      </c>
      <c r="C96" s="28">
        <v>6</v>
      </c>
      <c r="D96" s="35" t="s">
        <v>239</v>
      </c>
      <c r="E96" s="154">
        <v>61.701349959338025</v>
      </c>
      <c r="F96" s="154">
        <f>INDEX('Revised 2018 Lockdown'!H$5:H$253,MATCH(B96,'Revised 2018 Lockdown'!B$5:B$253,0))</f>
        <v>61.701349959338025</v>
      </c>
      <c r="G96" s="154">
        <f t="shared" si="25"/>
        <v>0</v>
      </c>
      <c r="H96" s="5">
        <v>61219.35</v>
      </c>
      <c r="I96" s="5">
        <f>INDEX('Revised 2018 Lockdown'!E$5:E$253,MATCH(B96,'Revised 2018 Lockdown'!B$5:B$253,0))</f>
        <v>61219.35</v>
      </c>
      <c r="J96" s="5">
        <f t="shared" si="26"/>
        <v>0</v>
      </c>
      <c r="K96" s="5">
        <v>0</v>
      </c>
      <c r="L96" s="5">
        <f>INDEX('Revised 2018 Lockdown'!F$5:F$253,MATCH(B96,'Revised 2018 Lockdown'!B$5:B$253,0))</f>
        <v>0</v>
      </c>
      <c r="M96" s="5">
        <f t="shared" si="27"/>
        <v>0</v>
      </c>
      <c r="N96" s="5">
        <v>61219.35</v>
      </c>
      <c r="O96" s="97">
        <f t="shared" si="28"/>
        <v>61219.35</v>
      </c>
      <c r="P96" s="97">
        <f t="shared" si="29"/>
        <v>0</v>
      </c>
      <c r="Q96" s="95">
        <f t="shared" si="30"/>
        <v>992.18817806003153</v>
      </c>
      <c r="R96" s="6">
        <f t="shared" si="17"/>
        <v>992.18817806003153</v>
      </c>
      <c r="S96" s="5">
        <f t="shared" si="31"/>
        <v>61219.35</v>
      </c>
      <c r="T96" s="135">
        <v>0.32749702380952384</v>
      </c>
      <c r="U96" s="97">
        <f t="shared" si="18"/>
        <v>13480.788918181757</v>
      </c>
      <c r="V96" s="97">
        <f t="shared" si="19"/>
        <v>3487.8199512702886</v>
      </c>
      <c r="W96" s="97">
        <f t="shared" si="20"/>
        <v>1324.4754747926806</v>
      </c>
      <c r="X96" s="97">
        <f t="shared" si="21"/>
        <v>767.59534161198189</v>
      </c>
      <c r="Y96" s="97">
        <f t="shared" si="22"/>
        <v>19060.679685856707</v>
      </c>
      <c r="Z96" s="104">
        <f t="shared" si="23"/>
        <v>0.31135057274957523</v>
      </c>
      <c r="AA96" s="96">
        <f t="shared" si="24"/>
        <v>19060.679685856707</v>
      </c>
      <c r="AB96" s="97"/>
      <c r="AC96" s="96">
        <f>INDEX('[2]2020 Funding'!$S$26:$S$274,MATCH(B96,'[2]2020 Funding'!$B$26:$B$274,0))</f>
        <v>19070.70317625616</v>
      </c>
      <c r="AD96" s="5">
        <f t="shared" si="32"/>
        <v>-10.023490399453294</v>
      </c>
      <c r="AF96" s="18"/>
      <c r="AG96" s="96"/>
    </row>
    <row r="97" spans="2:33" x14ac:dyDescent="0.25">
      <c r="B97">
        <v>710</v>
      </c>
      <c r="C97" s="28">
        <v>6</v>
      </c>
      <c r="D97" s="35" t="s">
        <v>133</v>
      </c>
      <c r="E97" s="154">
        <v>73.989999999999995</v>
      </c>
      <c r="F97" s="154">
        <f>INDEX('Revised 2018 Lockdown'!H$5:H$253,MATCH(B97,'Revised 2018 Lockdown'!B$5:B$253,0))</f>
        <v>73.989999999999995</v>
      </c>
      <c r="G97" s="154">
        <f t="shared" si="25"/>
        <v>0</v>
      </c>
      <c r="H97" s="5">
        <v>49597.59</v>
      </c>
      <c r="I97" s="5">
        <f>INDEX('Revised 2018 Lockdown'!E$5:E$253,MATCH(B97,'Revised 2018 Lockdown'!B$5:B$253,0))</f>
        <v>49597.59</v>
      </c>
      <c r="J97" s="5">
        <f t="shared" si="26"/>
        <v>0</v>
      </c>
      <c r="K97" s="5">
        <v>0</v>
      </c>
      <c r="L97" s="5">
        <f>INDEX('Revised 2018 Lockdown'!F$5:F$253,MATCH(B97,'Revised 2018 Lockdown'!B$5:B$253,0))</f>
        <v>0</v>
      </c>
      <c r="M97" s="5">
        <f t="shared" si="27"/>
        <v>0</v>
      </c>
      <c r="N97" s="5">
        <v>49597.59</v>
      </c>
      <c r="O97" s="97">
        <f t="shared" si="28"/>
        <v>49597.59</v>
      </c>
      <c r="P97" s="97">
        <f t="shared" si="29"/>
        <v>0</v>
      </c>
      <c r="Q97" s="95">
        <f t="shared" si="30"/>
        <v>670.32828760643326</v>
      </c>
      <c r="R97" s="6">
        <f t="shared" si="17"/>
        <v>670.32828760643326</v>
      </c>
      <c r="S97" s="5">
        <f t="shared" si="31"/>
        <v>49597.59</v>
      </c>
      <c r="T97" s="135">
        <v>0.13926785714285714</v>
      </c>
      <c r="U97" s="97">
        <f t="shared" si="18"/>
        <v>10921.622683686159</v>
      </c>
      <c r="V97" s="97">
        <f t="shared" si="19"/>
        <v>4182.4659973332173</v>
      </c>
      <c r="W97" s="97">
        <f t="shared" si="20"/>
        <v>456.30929630393757</v>
      </c>
      <c r="X97" s="97">
        <f t="shared" si="21"/>
        <v>621.8765641775193</v>
      </c>
      <c r="Y97" s="97">
        <f t="shared" si="22"/>
        <v>16182.274541500834</v>
      </c>
      <c r="Z97" s="104">
        <f t="shared" si="23"/>
        <v>0.32627138821666202</v>
      </c>
      <c r="AA97" s="96">
        <f t="shared" si="24"/>
        <v>16182.274541500834</v>
      </c>
      <c r="AB97" s="97"/>
      <c r="AC97" s="96">
        <f>INDEX('[2]2020 Funding'!$S$26:$S$274,MATCH(B97,'[2]2020 Funding'!$B$26:$B$274,0))</f>
        <v>16189.632970767432</v>
      </c>
      <c r="AD97" s="5">
        <f t="shared" si="32"/>
        <v>-7.3584292665982503</v>
      </c>
      <c r="AF97" s="18"/>
      <c r="AG97" s="96"/>
    </row>
    <row r="98" spans="2:33" x14ac:dyDescent="0.25">
      <c r="B98">
        <v>743</v>
      </c>
      <c r="C98" s="28">
        <v>6</v>
      </c>
      <c r="D98" s="35" t="s">
        <v>134</v>
      </c>
      <c r="E98" s="154">
        <v>82.770881637323171</v>
      </c>
      <c r="F98" s="154">
        <f>INDEX('Revised 2018 Lockdown'!H$5:H$253,MATCH(B98,'Revised 2018 Lockdown'!B$5:B$253,0))</f>
        <v>82.770881637323171</v>
      </c>
      <c r="G98" s="154">
        <f t="shared" si="25"/>
        <v>0</v>
      </c>
      <c r="H98" s="5">
        <v>136207.07999999999</v>
      </c>
      <c r="I98" s="5">
        <f>INDEX('Revised 2018 Lockdown'!E$5:E$253,MATCH(B98,'Revised 2018 Lockdown'!B$5:B$253,0))</f>
        <v>136207.07999999999</v>
      </c>
      <c r="J98" s="5">
        <f t="shared" si="26"/>
        <v>0</v>
      </c>
      <c r="K98" s="5">
        <v>0</v>
      </c>
      <c r="L98" s="5">
        <f>INDEX('Revised 2018 Lockdown'!F$5:F$253,MATCH(B98,'Revised 2018 Lockdown'!B$5:B$253,0))</f>
        <v>0</v>
      </c>
      <c r="M98" s="5">
        <f t="shared" si="27"/>
        <v>0</v>
      </c>
      <c r="N98" s="5">
        <v>136207.07999999999</v>
      </c>
      <c r="O98" s="97">
        <f t="shared" si="28"/>
        <v>136207.07999999999</v>
      </c>
      <c r="P98" s="97">
        <f t="shared" si="29"/>
        <v>0</v>
      </c>
      <c r="Q98" s="95">
        <f t="shared" si="30"/>
        <v>1645.5917504517831</v>
      </c>
      <c r="R98" s="6">
        <f t="shared" si="17"/>
        <v>1288.4693619331024</v>
      </c>
      <c r="S98" s="5">
        <f t="shared" si="31"/>
        <v>106647.74504988213</v>
      </c>
      <c r="T98" s="135">
        <v>0.67198363095238089</v>
      </c>
      <c r="U98" s="97">
        <f t="shared" si="18"/>
        <v>23484.33525703106</v>
      </c>
      <c r="V98" s="97">
        <f t="shared" si="19"/>
        <v>4678.8268417001846</v>
      </c>
      <c r="W98" s="97">
        <f t="shared" si="20"/>
        <v>4734.3266629568234</v>
      </c>
      <c r="X98" s="97">
        <f t="shared" si="21"/>
        <v>1337.1966917929026</v>
      </c>
      <c r="Y98" s="97">
        <f t="shared" si="22"/>
        <v>34234.685453480968</v>
      </c>
      <c r="Z98" s="104">
        <f t="shared" si="23"/>
        <v>0.32100711962984729</v>
      </c>
      <c r="AA98" s="96">
        <f t="shared" si="24"/>
        <v>34234.685453480968</v>
      </c>
      <c r="AB98" s="97"/>
      <c r="AC98" s="96">
        <f>INDEX('[2]2020 Funding'!$S$26:$S$274,MATCH(B98,'[2]2020 Funding'!$B$26:$B$274,0))</f>
        <v>34236.600752476144</v>
      </c>
      <c r="AD98" s="5">
        <f t="shared" si="32"/>
        <v>-1.915298995176272</v>
      </c>
      <c r="AF98" s="18"/>
      <c r="AG98" s="96"/>
    </row>
    <row r="99" spans="2:33" x14ac:dyDescent="0.25">
      <c r="B99">
        <v>747</v>
      </c>
      <c r="C99" s="28">
        <v>6</v>
      </c>
      <c r="D99" s="35" t="s">
        <v>135</v>
      </c>
      <c r="E99" s="154">
        <v>36.5</v>
      </c>
      <c r="F99" s="154">
        <f>INDEX('Revised 2018 Lockdown'!H$5:H$253,MATCH(B99,'Revised 2018 Lockdown'!B$5:B$253,0))</f>
        <v>36.5</v>
      </c>
      <c r="G99" s="154">
        <f t="shared" si="25"/>
        <v>0</v>
      </c>
      <c r="H99" s="5">
        <v>58996.69</v>
      </c>
      <c r="I99" s="5">
        <f>INDEX('Revised 2018 Lockdown'!E$5:E$253,MATCH(B99,'Revised 2018 Lockdown'!B$5:B$253,0))</f>
        <v>58996.69</v>
      </c>
      <c r="J99" s="5">
        <f t="shared" si="26"/>
        <v>0</v>
      </c>
      <c r="K99" s="5">
        <v>0</v>
      </c>
      <c r="L99" s="5">
        <f>INDEX('Revised 2018 Lockdown'!F$5:F$253,MATCH(B99,'Revised 2018 Lockdown'!B$5:B$253,0))</f>
        <v>0</v>
      </c>
      <c r="M99" s="5">
        <f t="shared" si="27"/>
        <v>0</v>
      </c>
      <c r="N99" s="5">
        <v>58996.69</v>
      </c>
      <c r="O99" s="97">
        <f t="shared" si="28"/>
        <v>58996.69</v>
      </c>
      <c r="P99" s="97">
        <f t="shared" si="29"/>
        <v>0</v>
      </c>
      <c r="Q99" s="95">
        <f t="shared" si="30"/>
        <v>1616.3476712328768</v>
      </c>
      <c r="R99" s="6">
        <f t="shared" si="17"/>
        <v>1288.4693619331024</v>
      </c>
      <c r="S99" s="5">
        <f t="shared" si="31"/>
        <v>47029.131710558235</v>
      </c>
      <c r="T99" s="135">
        <v>0.30622619047619049</v>
      </c>
      <c r="U99" s="97">
        <f t="shared" si="18"/>
        <v>10356.036083287452</v>
      </c>
      <c r="V99" s="97">
        <f t="shared" si="19"/>
        <v>2063.2519111050474</v>
      </c>
      <c r="W99" s="97">
        <f t="shared" si="20"/>
        <v>951.38684346572552</v>
      </c>
      <c r="X99" s="97">
        <f t="shared" si="21"/>
        <v>589.67209585010028</v>
      </c>
      <c r="Y99" s="97">
        <f t="shared" si="22"/>
        <v>13960.346933708326</v>
      </c>
      <c r="Z99" s="104">
        <f t="shared" si="23"/>
        <v>0.29684466682539601</v>
      </c>
      <c r="AA99" s="96">
        <f t="shared" si="24"/>
        <v>13960.346933708326</v>
      </c>
      <c r="AB99" s="97"/>
      <c r="AC99" s="96">
        <f>INDEX('[2]2020 Funding'!$S$26:$S$274,MATCH(B99,'[2]2020 Funding'!$B$26:$B$274,0))</f>
        <v>13961.129155700608</v>
      </c>
      <c r="AD99" s="5">
        <f t="shared" si="32"/>
        <v>-0.78222199228184763</v>
      </c>
      <c r="AF99" s="18"/>
      <c r="AG99" s="96"/>
    </row>
    <row r="100" spans="2:33" x14ac:dyDescent="0.25">
      <c r="B100">
        <v>758</v>
      </c>
      <c r="C100" s="28">
        <v>6</v>
      </c>
      <c r="D100" s="35" t="s">
        <v>136</v>
      </c>
      <c r="E100" s="154">
        <v>306.60873748050523</v>
      </c>
      <c r="F100" s="154">
        <f>INDEX('Revised 2018 Lockdown'!H$5:H$253,MATCH(B100,'Revised 2018 Lockdown'!B$5:B$253,0))</f>
        <v>306.60873748050523</v>
      </c>
      <c r="G100" s="154">
        <f t="shared" si="25"/>
        <v>0</v>
      </c>
      <c r="H100" s="5">
        <v>319509.06</v>
      </c>
      <c r="I100" s="5">
        <f>INDEX('Revised 2018 Lockdown'!E$5:E$253,MATCH(B100,'Revised 2018 Lockdown'!B$5:B$253,0))</f>
        <v>319509.06</v>
      </c>
      <c r="J100" s="5">
        <f t="shared" si="26"/>
        <v>0</v>
      </c>
      <c r="K100" s="5">
        <v>785.37</v>
      </c>
      <c r="L100" s="5">
        <f>INDEX('Revised 2018 Lockdown'!F$5:F$253,MATCH(B100,'Revised 2018 Lockdown'!B$5:B$253,0))</f>
        <v>785.37</v>
      </c>
      <c r="M100" s="5">
        <f t="shared" si="27"/>
        <v>0</v>
      </c>
      <c r="N100" s="5">
        <v>318723.69</v>
      </c>
      <c r="O100" s="97">
        <f t="shared" si="28"/>
        <v>318723.69</v>
      </c>
      <c r="P100" s="97">
        <f t="shared" si="29"/>
        <v>0</v>
      </c>
      <c r="Q100" s="95">
        <f t="shared" si="30"/>
        <v>1039.5127438932332</v>
      </c>
      <c r="R100" s="6">
        <f t="shared" si="17"/>
        <v>1039.5127438932332</v>
      </c>
      <c r="S100" s="5">
        <f t="shared" si="31"/>
        <v>318723.69</v>
      </c>
      <c r="T100" s="135">
        <v>0.68508184523809523</v>
      </c>
      <c r="U100" s="97">
        <f t="shared" si="18"/>
        <v>70184.456190959187</v>
      </c>
      <c r="V100" s="97">
        <f t="shared" si="19"/>
        <v>17331.809960771458</v>
      </c>
      <c r="W100" s="97">
        <f t="shared" si="20"/>
        <v>14424.629026300374</v>
      </c>
      <c r="X100" s="97">
        <f t="shared" si="21"/>
        <v>3996.2988778120221</v>
      </c>
      <c r="Y100" s="97">
        <f t="shared" si="22"/>
        <v>105937.19405584304</v>
      </c>
      <c r="Z100" s="104">
        <f t="shared" si="23"/>
        <v>0.33237941633972373</v>
      </c>
      <c r="AA100" s="96">
        <f t="shared" si="24"/>
        <v>105937.19405584304</v>
      </c>
      <c r="AB100" s="97"/>
      <c r="AC100" s="96">
        <f>INDEX('[2]2020 Funding'!$S$26:$S$274,MATCH(B100,'[2]2020 Funding'!$B$26:$B$274,0))</f>
        <v>105994.46880464542</v>
      </c>
      <c r="AD100" s="5">
        <f t="shared" si="32"/>
        <v>-57.274748802388785</v>
      </c>
      <c r="AF100" s="18"/>
      <c r="AG100" s="96"/>
    </row>
    <row r="101" spans="2:33" x14ac:dyDescent="0.25">
      <c r="B101">
        <v>765</v>
      </c>
      <c r="C101" s="28">
        <v>6</v>
      </c>
      <c r="D101" s="35" t="s">
        <v>137</v>
      </c>
      <c r="E101" s="154">
        <v>69.141877232449346</v>
      </c>
      <c r="F101" s="154">
        <f>INDEX('Revised 2018 Lockdown'!H$5:H$253,MATCH(B101,'Revised 2018 Lockdown'!B$5:B$253,0))</f>
        <v>69.141877232449346</v>
      </c>
      <c r="G101" s="154">
        <f t="shared" si="25"/>
        <v>0</v>
      </c>
      <c r="H101" s="5">
        <v>86969.12</v>
      </c>
      <c r="I101" s="5">
        <f>INDEX('Revised 2018 Lockdown'!E$5:E$253,MATCH(B101,'Revised 2018 Lockdown'!B$5:B$253,0))</f>
        <v>86969.12</v>
      </c>
      <c r="J101" s="5">
        <f t="shared" si="26"/>
        <v>0</v>
      </c>
      <c r="K101" s="5">
        <v>0</v>
      </c>
      <c r="L101" s="5">
        <f>INDEX('Revised 2018 Lockdown'!F$5:F$253,MATCH(B101,'Revised 2018 Lockdown'!B$5:B$253,0))</f>
        <v>0</v>
      </c>
      <c r="M101" s="5">
        <f t="shared" si="27"/>
        <v>0</v>
      </c>
      <c r="N101" s="5">
        <v>86969.12</v>
      </c>
      <c r="O101" s="97">
        <f t="shared" si="28"/>
        <v>86969.12</v>
      </c>
      <c r="P101" s="97">
        <f t="shared" si="29"/>
        <v>0</v>
      </c>
      <c r="Q101" s="95">
        <f t="shared" si="30"/>
        <v>1257.8356776113687</v>
      </c>
      <c r="R101" s="6">
        <f t="shared" si="17"/>
        <v>1257.8356776113687</v>
      </c>
      <c r="S101" s="5">
        <f t="shared" si="31"/>
        <v>86969.12</v>
      </c>
      <c r="T101" s="135">
        <v>0.26465476190476189</v>
      </c>
      <c r="U101" s="97">
        <f t="shared" si="18"/>
        <v>19151.009429535261</v>
      </c>
      <c r="V101" s="97">
        <f t="shared" si="19"/>
        <v>3908.4139818422377</v>
      </c>
      <c r="W101" s="97">
        <f t="shared" si="20"/>
        <v>1520.5217522428511</v>
      </c>
      <c r="X101" s="97">
        <f t="shared" si="21"/>
        <v>1090.4573697057131</v>
      </c>
      <c r="Y101" s="97">
        <f t="shared" si="22"/>
        <v>25670.402533326062</v>
      </c>
      <c r="Z101" s="104">
        <f t="shared" si="23"/>
        <v>0.29516686535779668</v>
      </c>
      <c r="AA101" s="96">
        <f t="shared" si="24"/>
        <v>25670.402533326062</v>
      </c>
      <c r="AB101" s="97"/>
      <c r="AC101" s="96">
        <f>INDEX('[2]2020 Funding'!$S$26:$S$274,MATCH(B101,'[2]2020 Funding'!$B$26:$B$274,0))</f>
        <v>25684.688897177282</v>
      </c>
      <c r="AD101" s="5">
        <f t="shared" si="32"/>
        <v>-14.286363851220813</v>
      </c>
      <c r="AF101" s="18"/>
      <c r="AG101" s="96"/>
    </row>
    <row r="102" spans="2:33" x14ac:dyDescent="0.25">
      <c r="B102">
        <v>770</v>
      </c>
      <c r="C102" s="28">
        <v>6</v>
      </c>
      <c r="D102" s="35" t="s">
        <v>138</v>
      </c>
      <c r="E102" s="154">
        <v>25.798612785118063</v>
      </c>
      <c r="F102" s="154">
        <f>INDEX('Revised 2018 Lockdown'!H$5:H$253,MATCH(B102,'Revised 2018 Lockdown'!B$5:B$253,0))</f>
        <v>25.798612785118063</v>
      </c>
      <c r="G102" s="154">
        <f t="shared" si="25"/>
        <v>0</v>
      </c>
      <c r="H102" s="5">
        <v>24774.6</v>
      </c>
      <c r="I102" s="5">
        <f>INDEX('Revised 2018 Lockdown'!E$5:E$253,MATCH(B102,'Revised 2018 Lockdown'!B$5:B$253,0))</f>
        <v>24774.6</v>
      </c>
      <c r="J102" s="5">
        <f t="shared" si="26"/>
        <v>0</v>
      </c>
      <c r="K102" s="5">
        <v>0</v>
      </c>
      <c r="L102" s="5">
        <f>INDEX('Revised 2018 Lockdown'!F$5:F$253,MATCH(B102,'Revised 2018 Lockdown'!B$5:B$253,0))</f>
        <v>0</v>
      </c>
      <c r="M102" s="5">
        <f t="shared" si="27"/>
        <v>0</v>
      </c>
      <c r="N102" s="5">
        <v>24774.6</v>
      </c>
      <c r="O102" s="97">
        <f t="shared" si="28"/>
        <v>24774.6</v>
      </c>
      <c r="P102" s="97">
        <f t="shared" si="29"/>
        <v>0</v>
      </c>
      <c r="Q102" s="95">
        <f t="shared" si="30"/>
        <v>960.30744778227893</v>
      </c>
      <c r="R102" s="6">
        <f t="shared" si="17"/>
        <v>960.30744778227893</v>
      </c>
      <c r="S102" s="5">
        <f t="shared" si="31"/>
        <v>24774.6</v>
      </c>
      <c r="T102" s="135">
        <v>0.30622619047619049</v>
      </c>
      <c r="U102" s="97">
        <f t="shared" si="18"/>
        <v>5455.4834890012025</v>
      </c>
      <c r="V102" s="97">
        <f t="shared" si="19"/>
        <v>1458.3297844590127</v>
      </c>
      <c r="W102" s="97">
        <f t="shared" si="20"/>
        <v>501.18357781277831</v>
      </c>
      <c r="X102" s="97">
        <f t="shared" si="21"/>
        <v>310.63491445597197</v>
      </c>
      <c r="Y102" s="97">
        <f t="shared" si="22"/>
        <v>7725.6317657289646</v>
      </c>
      <c r="Z102" s="104">
        <f t="shared" si="23"/>
        <v>0.31183679113805934</v>
      </c>
      <c r="AA102" s="96">
        <f t="shared" si="24"/>
        <v>7725.6317657289646</v>
      </c>
      <c r="AB102" s="97"/>
      <c r="AC102" s="96">
        <f>INDEX('[2]2020 Funding'!$S$26:$S$274,MATCH(B102,'[2]2020 Funding'!$B$26:$B$274,0))</f>
        <v>7729.6530672174222</v>
      </c>
      <c r="AD102" s="5">
        <f t="shared" si="32"/>
        <v>-4.0213014884575387</v>
      </c>
      <c r="AF102" s="18"/>
      <c r="AG102" s="96"/>
    </row>
    <row r="103" spans="2:33" x14ac:dyDescent="0.25">
      <c r="B103">
        <v>774</v>
      </c>
      <c r="C103" s="28">
        <v>6</v>
      </c>
      <c r="D103" s="35" t="s">
        <v>139</v>
      </c>
      <c r="E103" s="154">
        <v>457.94097362750716</v>
      </c>
      <c r="F103" s="154">
        <f>INDEX('Revised 2018 Lockdown'!H$5:H$253,MATCH(B103,'Revised 2018 Lockdown'!B$5:B$253,0))</f>
        <v>457.94097362750716</v>
      </c>
      <c r="G103" s="154">
        <f t="shared" si="25"/>
        <v>0</v>
      </c>
      <c r="H103" s="5">
        <v>290603.45</v>
      </c>
      <c r="I103" s="5">
        <f>INDEX('Revised 2018 Lockdown'!E$5:E$253,MATCH(B103,'Revised 2018 Lockdown'!B$5:B$253,0))</f>
        <v>290603.45</v>
      </c>
      <c r="J103" s="5">
        <f t="shared" si="26"/>
        <v>0</v>
      </c>
      <c r="K103" s="5">
        <v>0</v>
      </c>
      <c r="L103" s="5">
        <f>INDEX('Revised 2018 Lockdown'!F$5:F$253,MATCH(B103,'Revised 2018 Lockdown'!B$5:B$253,0))</f>
        <v>0</v>
      </c>
      <c r="M103" s="5">
        <f t="shared" si="27"/>
        <v>0</v>
      </c>
      <c r="N103" s="5">
        <v>290603.45</v>
      </c>
      <c r="O103" s="97">
        <f t="shared" si="28"/>
        <v>290603.45</v>
      </c>
      <c r="P103" s="97">
        <f t="shared" si="29"/>
        <v>0</v>
      </c>
      <c r="Q103" s="95">
        <f t="shared" si="30"/>
        <v>634.58713400993724</v>
      </c>
      <c r="R103" s="6">
        <f t="shared" si="17"/>
        <v>634.58713400993724</v>
      </c>
      <c r="S103" s="5">
        <f t="shared" si="31"/>
        <v>290603.45</v>
      </c>
      <c r="T103" s="135">
        <v>0.75681696428571421</v>
      </c>
      <c r="U103" s="97">
        <f t="shared" si="18"/>
        <v>63992.247032112995</v>
      </c>
      <c r="V103" s="97">
        <f t="shared" si="19"/>
        <v>25886.235315349597</v>
      </c>
      <c r="W103" s="97">
        <f t="shared" si="20"/>
        <v>14529.125440999578</v>
      </c>
      <c r="X103" s="97">
        <f t="shared" si="21"/>
        <v>3643.7148463087328</v>
      </c>
      <c r="Y103" s="97">
        <f t="shared" si="22"/>
        <v>108051.3226347709</v>
      </c>
      <c r="Z103" s="104">
        <f t="shared" si="23"/>
        <v>0.37181706767339101</v>
      </c>
      <c r="AA103" s="96">
        <f t="shared" si="24"/>
        <v>108051.3226347709</v>
      </c>
      <c r="AB103" s="97"/>
      <c r="AC103" s="96">
        <f>INDEX('[2]2020 Funding'!$S$26:$S$274,MATCH(B103,'[2]2020 Funding'!$B$26:$B$274,0))</f>
        <v>108101.73360956532</v>
      </c>
      <c r="AD103" s="5">
        <f t="shared" si="32"/>
        <v>-50.410974794416688</v>
      </c>
      <c r="AF103" s="18"/>
      <c r="AG103" s="96"/>
    </row>
    <row r="104" spans="2:33" x14ac:dyDescent="0.25">
      <c r="B104">
        <v>794</v>
      </c>
      <c r="C104" s="28">
        <v>6</v>
      </c>
      <c r="D104" s="35" t="s">
        <v>140</v>
      </c>
      <c r="E104" s="154">
        <v>19.568200239680415</v>
      </c>
      <c r="F104" s="154">
        <f>INDEX('Revised 2018 Lockdown'!H$5:H$253,MATCH(B104,'Revised 2018 Lockdown'!B$5:B$253,0))</f>
        <v>19.568200239680415</v>
      </c>
      <c r="G104" s="154">
        <f t="shared" si="25"/>
        <v>0</v>
      </c>
      <c r="H104" s="5">
        <v>45369.11</v>
      </c>
      <c r="I104" s="5">
        <f>INDEX('Revised 2018 Lockdown'!E$5:E$253,MATCH(B104,'Revised 2018 Lockdown'!B$5:B$253,0))</f>
        <v>45369.11</v>
      </c>
      <c r="J104" s="5">
        <f t="shared" si="26"/>
        <v>0</v>
      </c>
      <c r="K104" s="5">
        <v>0</v>
      </c>
      <c r="L104" s="5">
        <f>INDEX('Revised 2018 Lockdown'!F$5:F$253,MATCH(B104,'Revised 2018 Lockdown'!B$5:B$253,0))</f>
        <v>0</v>
      </c>
      <c r="M104" s="5">
        <f t="shared" si="27"/>
        <v>0</v>
      </c>
      <c r="N104" s="5">
        <v>45369.11</v>
      </c>
      <c r="O104" s="97">
        <f t="shared" si="28"/>
        <v>45369.11</v>
      </c>
      <c r="P104" s="97">
        <f t="shared" si="29"/>
        <v>0</v>
      </c>
      <c r="Q104" s="95">
        <f t="shared" si="30"/>
        <v>2318.512149523106</v>
      </c>
      <c r="R104" s="6">
        <f t="shared" si="17"/>
        <v>1288.4693619331024</v>
      </c>
      <c r="S104" s="5">
        <f t="shared" si="31"/>
        <v>25213.026477000207</v>
      </c>
      <c r="T104" s="135">
        <v>0.61912946428571425</v>
      </c>
      <c r="U104" s="97">
        <f t="shared" si="18"/>
        <v>5552.027062113003</v>
      </c>
      <c r="V104" s="97">
        <f t="shared" si="19"/>
        <v>1106.1404531892292</v>
      </c>
      <c r="W104" s="97">
        <f t="shared" si="20"/>
        <v>1031.2270621997432</v>
      </c>
      <c r="X104" s="97">
        <f t="shared" si="21"/>
        <v>316.13209992730924</v>
      </c>
      <c r="Y104" s="97">
        <f t="shared" si="22"/>
        <v>8005.526677429285</v>
      </c>
      <c r="Z104" s="104">
        <f t="shared" si="23"/>
        <v>0.31751549877330576</v>
      </c>
      <c r="AA104" s="96">
        <f t="shared" si="24"/>
        <v>8005.526677429285</v>
      </c>
      <c r="AB104" s="97"/>
      <c r="AC104" s="96">
        <f>INDEX('[2]2020 Funding'!$S$26:$S$274,MATCH(B104,'[2]2020 Funding'!$B$26:$B$274,0))</f>
        <v>8005.9746483823446</v>
      </c>
      <c r="AD104" s="5">
        <f t="shared" si="32"/>
        <v>-0.4479709530596665</v>
      </c>
      <c r="AF104" s="18"/>
      <c r="AG104" s="96"/>
    </row>
    <row r="105" spans="2:33" x14ac:dyDescent="0.25">
      <c r="B105">
        <v>806</v>
      </c>
      <c r="C105" s="28">
        <v>6</v>
      </c>
      <c r="D105" s="35" t="s">
        <v>141</v>
      </c>
      <c r="E105" s="154">
        <v>23.326411869078932</v>
      </c>
      <c r="F105" s="154">
        <f>INDEX('Revised 2018 Lockdown'!H$5:H$253,MATCH(B105,'Revised 2018 Lockdown'!B$5:B$253,0))</f>
        <v>23.326411869078932</v>
      </c>
      <c r="G105" s="154">
        <f t="shared" si="25"/>
        <v>0</v>
      </c>
      <c r="H105" s="5">
        <v>37091.449999999997</v>
      </c>
      <c r="I105" s="5">
        <f>INDEX('Revised 2018 Lockdown'!E$5:E$253,MATCH(B105,'Revised 2018 Lockdown'!B$5:B$253,0))</f>
        <v>37091.449999999997</v>
      </c>
      <c r="J105" s="5">
        <f t="shared" si="26"/>
        <v>0</v>
      </c>
      <c r="K105" s="5">
        <v>0</v>
      </c>
      <c r="L105" s="5">
        <f>INDEX('Revised 2018 Lockdown'!F$5:F$253,MATCH(B105,'Revised 2018 Lockdown'!B$5:B$253,0))</f>
        <v>0</v>
      </c>
      <c r="M105" s="5">
        <f t="shared" si="27"/>
        <v>0</v>
      </c>
      <c r="N105" s="5">
        <v>37091.449999999997</v>
      </c>
      <c r="O105" s="97">
        <f t="shared" si="28"/>
        <v>37091.449999999997</v>
      </c>
      <c r="P105" s="97">
        <f t="shared" si="29"/>
        <v>0</v>
      </c>
      <c r="Q105" s="95">
        <f t="shared" si="30"/>
        <v>1590.1052509995225</v>
      </c>
      <c r="R105" s="6">
        <f t="shared" si="17"/>
        <v>1288.4693619331024</v>
      </c>
      <c r="S105" s="5">
        <f t="shared" si="31"/>
        <v>30055.367017140878</v>
      </c>
      <c r="T105" s="135">
        <v>0.22310119047619048</v>
      </c>
      <c r="U105" s="97">
        <f t="shared" si="18"/>
        <v>6618.3332331453748</v>
      </c>
      <c r="V105" s="97">
        <f t="shared" si="19"/>
        <v>1318.5825717287828</v>
      </c>
      <c r="W105" s="97">
        <f t="shared" si="20"/>
        <v>442.96740698486025</v>
      </c>
      <c r="X105" s="97">
        <f t="shared" si="21"/>
        <v>376.84751165760088</v>
      </c>
      <c r="Y105" s="97">
        <f t="shared" si="22"/>
        <v>8756.730723516619</v>
      </c>
      <c r="Z105" s="104">
        <f t="shared" si="23"/>
        <v>0.2913533119899207</v>
      </c>
      <c r="AA105" s="96">
        <f t="shared" si="24"/>
        <v>8756.730723516619</v>
      </c>
      <c r="AB105" s="97"/>
      <c r="AC105" s="96">
        <f>INDEX('[2]2020 Funding'!$S$26:$S$274,MATCH(B105,'[2]2020 Funding'!$B$26:$B$274,0))</f>
        <v>8757.2215656162571</v>
      </c>
      <c r="AD105" s="5">
        <f t="shared" si="32"/>
        <v>-0.49084209963803005</v>
      </c>
      <c r="AF105" s="18"/>
      <c r="AG105" s="96"/>
    </row>
    <row r="106" spans="2:33" x14ac:dyDescent="0.25">
      <c r="B106">
        <v>809</v>
      </c>
      <c r="C106" s="28">
        <v>6</v>
      </c>
      <c r="D106" s="35" t="s">
        <v>318</v>
      </c>
      <c r="E106" s="154">
        <v>477.2783239455166</v>
      </c>
      <c r="F106" s="154">
        <f>INDEX('Revised 2018 Lockdown'!H$5:H$253,MATCH(B106,'Revised 2018 Lockdown'!B$5:B$253,0))</f>
        <v>477.2783239455166</v>
      </c>
      <c r="G106" s="154">
        <f t="shared" si="25"/>
        <v>0</v>
      </c>
      <c r="H106" s="5">
        <v>497452.38</v>
      </c>
      <c r="I106" s="5">
        <f>INDEX('Revised 2018 Lockdown'!E$5:E$253,MATCH(B106,'Revised 2018 Lockdown'!B$5:B$253,0))</f>
        <v>497452.38</v>
      </c>
      <c r="J106" s="5">
        <f t="shared" si="26"/>
        <v>0</v>
      </c>
      <c r="K106" s="5">
        <v>0</v>
      </c>
      <c r="L106" s="5">
        <f>INDEX('Revised 2018 Lockdown'!F$5:F$253,MATCH(B106,'Revised 2018 Lockdown'!B$5:B$253,0))</f>
        <v>0</v>
      </c>
      <c r="M106" s="5">
        <f t="shared" si="27"/>
        <v>0</v>
      </c>
      <c r="N106" s="5">
        <v>497452.38</v>
      </c>
      <c r="O106" s="97">
        <f t="shared" si="28"/>
        <v>497452.38</v>
      </c>
      <c r="P106" s="97">
        <f t="shared" si="29"/>
        <v>0</v>
      </c>
      <c r="Q106" s="95">
        <f t="shared" si="30"/>
        <v>1042.2689551197518</v>
      </c>
      <c r="R106" s="6">
        <f t="shared" si="17"/>
        <v>1042.2689551197518</v>
      </c>
      <c r="S106" s="5">
        <f t="shared" si="31"/>
        <v>497452.38</v>
      </c>
      <c r="T106" s="135">
        <v>0.57920535714285715</v>
      </c>
      <c r="U106" s="97">
        <f t="shared" si="18"/>
        <v>109541.35467996869</v>
      </c>
      <c r="V106" s="97">
        <f t="shared" si="19"/>
        <v>26979.326411221948</v>
      </c>
      <c r="W106" s="97">
        <f t="shared" si="20"/>
        <v>19034.081837797094</v>
      </c>
      <c r="X106" s="97">
        <f t="shared" si="21"/>
        <v>6237.2784023645054</v>
      </c>
      <c r="Y106" s="97">
        <f t="shared" si="22"/>
        <v>161792.04133135223</v>
      </c>
      <c r="Z106" s="104">
        <f t="shared" si="23"/>
        <v>0.32524126496560785</v>
      </c>
      <c r="AA106" s="96">
        <f t="shared" si="24"/>
        <v>161792.04133135223</v>
      </c>
      <c r="AB106" s="97"/>
      <c r="AC106" s="96">
        <f>INDEX('[2]2020 Funding'!$S$26:$S$274,MATCH(B106,'[2]2020 Funding'!$B$26:$B$274,0))</f>
        <v>161879.20302645591</v>
      </c>
      <c r="AD106" s="5">
        <f t="shared" si="32"/>
        <v>-87.161695103684906</v>
      </c>
      <c r="AF106" s="18"/>
      <c r="AG106" s="96"/>
    </row>
    <row r="107" spans="2:33" x14ac:dyDescent="0.25">
      <c r="B107">
        <v>811</v>
      </c>
      <c r="C107" s="28">
        <v>6</v>
      </c>
      <c r="D107" s="35" t="s">
        <v>142</v>
      </c>
      <c r="E107" s="154">
        <v>746.28568297723302</v>
      </c>
      <c r="F107" s="154">
        <f>INDEX('Revised 2018 Lockdown'!H$5:H$253,MATCH(B107,'Revised 2018 Lockdown'!B$5:B$253,0))</f>
        <v>746.28568297723302</v>
      </c>
      <c r="G107" s="154">
        <f t="shared" si="25"/>
        <v>0</v>
      </c>
      <c r="H107" s="5">
        <v>505579.98</v>
      </c>
      <c r="I107" s="5">
        <f>INDEX('Revised 2018 Lockdown'!E$5:E$253,MATCH(B107,'Revised 2018 Lockdown'!B$5:B$253,0))</f>
        <v>505579.98</v>
      </c>
      <c r="J107" s="5">
        <f t="shared" si="26"/>
        <v>0</v>
      </c>
      <c r="K107" s="5">
        <v>3403.13</v>
      </c>
      <c r="L107" s="5">
        <f>INDEX('Revised 2018 Lockdown'!F$5:F$253,MATCH(B107,'Revised 2018 Lockdown'!B$5:B$253,0))</f>
        <v>3403.13</v>
      </c>
      <c r="M107" s="5">
        <f t="shared" si="27"/>
        <v>0</v>
      </c>
      <c r="N107" s="5">
        <v>502176.85</v>
      </c>
      <c r="O107" s="97">
        <f t="shared" si="28"/>
        <v>502176.85</v>
      </c>
      <c r="P107" s="97">
        <f t="shared" si="29"/>
        <v>0</v>
      </c>
      <c r="Q107" s="95">
        <f t="shared" si="30"/>
        <v>672.9016266218789</v>
      </c>
      <c r="R107" s="6">
        <f t="shared" si="17"/>
        <v>672.9016266218789</v>
      </c>
      <c r="S107" s="5">
        <f t="shared" si="31"/>
        <v>502176.84999999992</v>
      </c>
      <c r="T107" s="135">
        <v>0.59270238095238093</v>
      </c>
      <c r="U107" s="97">
        <f t="shared" si="18"/>
        <v>110581.70520345971</v>
      </c>
      <c r="V107" s="97">
        <f t="shared" si="19"/>
        <v>42185.626346112651</v>
      </c>
      <c r="W107" s="97">
        <f t="shared" si="20"/>
        <v>19662.611989159457</v>
      </c>
      <c r="X107" s="97">
        <f t="shared" si="21"/>
        <v>6296.5159010244142</v>
      </c>
      <c r="Y107" s="97">
        <f t="shared" si="22"/>
        <v>178726.45943975623</v>
      </c>
      <c r="Z107" s="104">
        <f t="shared" si="23"/>
        <v>0.35590342215049592</v>
      </c>
      <c r="AA107" s="96">
        <f t="shared" si="24"/>
        <v>178726.45943975623</v>
      </c>
      <c r="AB107" s="97"/>
      <c r="AC107" s="96">
        <f>INDEX('[2]2020 Funding'!$S$26:$S$274,MATCH(B107,'[2]2020 Funding'!$B$26:$B$274,0))</f>
        <v>178810.73384859384</v>
      </c>
      <c r="AD107" s="5">
        <f t="shared" si="32"/>
        <v>-84.274408837605733</v>
      </c>
      <c r="AF107" s="18"/>
      <c r="AG107" s="96"/>
    </row>
    <row r="108" spans="2:33" x14ac:dyDescent="0.25">
      <c r="B108">
        <v>824</v>
      </c>
      <c r="C108" s="28">
        <v>6</v>
      </c>
      <c r="D108" s="35" t="s">
        <v>143</v>
      </c>
      <c r="E108" s="154">
        <v>35.809199999999997</v>
      </c>
      <c r="F108" s="154">
        <f>INDEX('Revised 2018 Lockdown'!H$5:H$253,MATCH(B108,'Revised 2018 Lockdown'!B$5:B$253,0))</f>
        <v>35.809199999999997</v>
      </c>
      <c r="G108" s="154">
        <f t="shared" si="25"/>
        <v>0</v>
      </c>
      <c r="H108" s="5">
        <v>54369.59</v>
      </c>
      <c r="I108" s="5">
        <f>INDEX('Revised 2018 Lockdown'!E$5:E$253,MATCH(B108,'Revised 2018 Lockdown'!B$5:B$253,0))</f>
        <v>54369.59</v>
      </c>
      <c r="J108" s="5">
        <f t="shared" si="26"/>
        <v>0</v>
      </c>
      <c r="K108" s="5">
        <v>0</v>
      </c>
      <c r="L108" s="5">
        <f>INDEX('Revised 2018 Lockdown'!F$5:F$253,MATCH(B108,'Revised 2018 Lockdown'!B$5:B$253,0))</f>
        <v>0</v>
      </c>
      <c r="M108" s="5">
        <f t="shared" si="27"/>
        <v>0</v>
      </c>
      <c r="N108" s="5">
        <v>54369.59</v>
      </c>
      <c r="O108" s="97">
        <f t="shared" si="28"/>
        <v>54369.59</v>
      </c>
      <c r="P108" s="97">
        <f t="shared" si="29"/>
        <v>0</v>
      </c>
      <c r="Q108" s="95">
        <f t="shared" si="30"/>
        <v>1518.3134501748154</v>
      </c>
      <c r="R108" s="6">
        <f t="shared" si="17"/>
        <v>1288.4693619331024</v>
      </c>
      <c r="S108" s="5">
        <f t="shared" si="31"/>
        <v>46139.057075334844</v>
      </c>
      <c r="T108" s="135">
        <v>0.27851785714285715</v>
      </c>
      <c r="U108" s="97">
        <f t="shared" si="18"/>
        <v>10160.037460648138</v>
      </c>
      <c r="V108" s="97">
        <f t="shared" si="19"/>
        <v>2024.2027489080238</v>
      </c>
      <c r="W108" s="97">
        <f t="shared" si="20"/>
        <v>848.92555860926245</v>
      </c>
      <c r="X108" s="97">
        <f t="shared" si="21"/>
        <v>578.51194560864144</v>
      </c>
      <c r="Y108" s="97">
        <f t="shared" si="22"/>
        <v>13611.677713774066</v>
      </c>
      <c r="Z108" s="104">
        <f t="shared" si="23"/>
        <v>0.29501421521357096</v>
      </c>
      <c r="AA108" s="96">
        <f t="shared" si="24"/>
        <v>13611.677713774066</v>
      </c>
      <c r="AB108" s="97"/>
      <c r="AC108" s="96">
        <f>INDEX('[2]2020 Funding'!$S$26:$S$274,MATCH(B108,'[2]2020 Funding'!$B$26:$B$274,0))</f>
        <v>13612.440495222354</v>
      </c>
      <c r="AD108" s="5">
        <f t="shared" si="32"/>
        <v>-0.76278144828756922</v>
      </c>
      <c r="AF108" s="18"/>
      <c r="AG108" s="96"/>
    </row>
    <row r="109" spans="2:33" x14ac:dyDescent="0.25">
      <c r="B109">
        <v>826</v>
      </c>
      <c r="C109" s="28">
        <v>6</v>
      </c>
      <c r="D109" s="35" t="s">
        <v>144</v>
      </c>
      <c r="E109" s="154">
        <v>41.71</v>
      </c>
      <c r="F109" s="154">
        <f>INDEX('Revised 2018 Lockdown'!H$5:H$253,MATCH(B109,'Revised 2018 Lockdown'!B$5:B$253,0))</f>
        <v>41.71</v>
      </c>
      <c r="G109" s="154">
        <f t="shared" si="25"/>
        <v>0</v>
      </c>
      <c r="H109" s="5">
        <v>33872.559999999998</v>
      </c>
      <c r="I109" s="5">
        <f>INDEX('Revised 2018 Lockdown'!E$5:E$253,MATCH(B109,'Revised 2018 Lockdown'!B$5:B$253,0))</f>
        <v>33872.559999999998</v>
      </c>
      <c r="J109" s="5">
        <f t="shared" si="26"/>
        <v>0</v>
      </c>
      <c r="K109" s="5">
        <v>0</v>
      </c>
      <c r="L109" s="5">
        <f>INDEX('Revised 2018 Lockdown'!F$5:F$253,MATCH(B109,'Revised 2018 Lockdown'!B$5:B$253,0))</f>
        <v>0</v>
      </c>
      <c r="M109" s="5">
        <f t="shared" si="27"/>
        <v>0</v>
      </c>
      <c r="N109" s="5">
        <v>33872.559999999998</v>
      </c>
      <c r="O109" s="97">
        <f t="shared" si="28"/>
        <v>33872.559999999998</v>
      </c>
      <c r="P109" s="97">
        <f t="shared" si="29"/>
        <v>0</v>
      </c>
      <c r="Q109" s="95">
        <f t="shared" si="30"/>
        <v>812.09685926636291</v>
      </c>
      <c r="R109" s="6">
        <f t="shared" si="17"/>
        <v>812.09685926636291</v>
      </c>
      <c r="S109" s="5">
        <f t="shared" si="31"/>
        <v>33872.559999999998</v>
      </c>
      <c r="T109" s="135">
        <v>0.54403422619047614</v>
      </c>
      <c r="U109" s="97">
        <f t="shared" si="18"/>
        <v>7458.8970885585459</v>
      </c>
      <c r="V109" s="97">
        <f t="shared" si="19"/>
        <v>2357.7599236216856</v>
      </c>
      <c r="W109" s="97">
        <f t="shared" si="20"/>
        <v>1217.368591742503</v>
      </c>
      <c r="X109" s="97">
        <f t="shared" si="21"/>
        <v>424.70916898778495</v>
      </c>
      <c r="Y109" s="97">
        <f t="shared" si="22"/>
        <v>11458.73477291052</v>
      </c>
      <c r="Z109" s="104">
        <f t="shared" si="23"/>
        <v>0.33828959998625796</v>
      </c>
      <c r="AA109" s="96">
        <f t="shared" si="24"/>
        <v>11458.73477291052</v>
      </c>
      <c r="AB109" s="97"/>
      <c r="AC109" s="96">
        <f>INDEX('[2]2020 Funding'!$S$26:$S$274,MATCH(B109,'[2]2020 Funding'!$B$26:$B$274,0))</f>
        <v>11464.479429887228</v>
      </c>
      <c r="AD109" s="5">
        <f t="shared" si="32"/>
        <v>-5.7446569767071196</v>
      </c>
      <c r="AF109" s="18"/>
      <c r="AG109" s="96"/>
    </row>
    <row r="110" spans="2:33" x14ac:dyDescent="0.25">
      <c r="B110">
        <v>840</v>
      </c>
      <c r="C110" s="28">
        <v>6</v>
      </c>
      <c r="D110" s="35" t="s">
        <v>145</v>
      </c>
      <c r="E110" s="154">
        <v>161.72</v>
      </c>
      <c r="F110" s="154">
        <f>INDEX('Revised 2018 Lockdown'!H$5:H$253,MATCH(B110,'Revised 2018 Lockdown'!B$5:B$253,0))</f>
        <v>161.72</v>
      </c>
      <c r="G110" s="154">
        <f t="shared" si="25"/>
        <v>0</v>
      </c>
      <c r="H110" s="5">
        <v>88518.53</v>
      </c>
      <c r="I110" s="5">
        <f>INDEX('Revised 2018 Lockdown'!E$5:E$253,MATCH(B110,'Revised 2018 Lockdown'!B$5:B$253,0))</f>
        <v>88518.53</v>
      </c>
      <c r="J110" s="5">
        <f t="shared" si="26"/>
        <v>0</v>
      </c>
      <c r="K110" s="5">
        <v>0</v>
      </c>
      <c r="L110" s="5">
        <f>INDEX('Revised 2018 Lockdown'!F$5:F$253,MATCH(B110,'Revised 2018 Lockdown'!B$5:B$253,0))</f>
        <v>0</v>
      </c>
      <c r="M110" s="5">
        <f t="shared" si="27"/>
        <v>0</v>
      </c>
      <c r="N110" s="5">
        <v>88518.53</v>
      </c>
      <c r="O110" s="97">
        <f t="shared" si="28"/>
        <v>88518.53</v>
      </c>
      <c r="P110" s="97">
        <f t="shared" si="29"/>
        <v>0</v>
      </c>
      <c r="Q110" s="95">
        <f t="shared" si="30"/>
        <v>547.35672767746723</v>
      </c>
      <c r="R110" s="6">
        <f t="shared" si="17"/>
        <v>547.35672767746723</v>
      </c>
      <c r="S110" s="5">
        <f t="shared" si="31"/>
        <v>88518.53</v>
      </c>
      <c r="T110" s="135">
        <v>0.48061904761904756</v>
      </c>
      <c r="U110" s="97">
        <f t="shared" si="18"/>
        <v>19492.196801791255</v>
      </c>
      <c r="V110" s="97">
        <f t="shared" si="19"/>
        <v>9141.6191524358437</v>
      </c>
      <c r="W110" s="97">
        <f t="shared" si="20"/>
        <v>2810.4963188639872</v>
      </c>
      <c r="X110" s="97">
        <f t="shared" si="21"/>
        <v>1109.8845589562854</v>
      </c>
      <c r="Y110" s="97">
        <f t="shared" si="22"/>
        <v>32554.196832047372</v>
      </c>
      <c r="Z110" s="104">
        <f t="shared" si="23"/>
        <v>0.36776702948012546</v>
      </c>
      <c r="AA110" s="96">
        <f t="shared" si="24"/>
        <v>32554.196832047372</v>
      </c>
      <c r="AB110" s="97"/>
      <c r="AC110" s="96">
        <f>INDEX('[2]2020 Funding'!$S$26:$S$274,MATCH(B110,'[2]2020 Funding'!$B$26:$B$274,0))</f>
        <v>32568.171175282241</v>
      </c>
      <c r="AD110" s="5">
        <f t="shared" si="32"/>
        <v>-13.974343234869593</v>
      </c>
      <c r="AF110" s="18"/>
      <c r="AG110" s="96"/>
    </row>
    <row r="111" spans="2:33" x14ac:dyDescent="0.25">
      <c r="B111">
        <v>843</v>
      </c>
      <c r="C111" s="28">
        <v>6</v>
      </c>
      <c r="D111" s="35" t="s">
        <v>146</v>
      </c>
      <c r="E111" s="154">
        <v>19.13961999514169</v>
      </c>
      <c r="F111" s="154">
        <f>INDEX('Revised 2018 Lockdown'!H$5:H$253,MATCH(B111,'Revised 2018 Lockdown'!B$5:B$253,0))</f>
        <v>19.13961999514169</v>
      </c>
      <c r="G111" s="154">
        <f t="shared" si="25"/>
        <v>0</v>
      </c>
      <c r="H111" s="5">
        <v>32653.86</v>
      </c>
      <c r="I111" s="5">
        <f>INDEX('Revised 2018 Lockdown'!E$5:E$253,MATCH(B111,'Revised 2018 Lockdown'!B$5:B$253,0))</f>
        <v>32653.86</v>
      </c>
      <c r="J111" s="5">
        <f t="shared" si="26"/>
        <v>0</v>
      </c>
      <c r="K111" s="5">
        <v>0</v>
      </c>
      <c r="L111" s="5">
        <f>INDEX('Revised 2018 Lockdown'!F$5:F$253,MATCH(B111,'Revised 2018 Lockdown'!B$5:B$253,0))</f>
        <v>0</v>
      </c>
      <c r="M111" s="5">
        <f t="shared" si="27"/>
        <v>0</v>
      </c>
      <c r="N111" s="5">
        <v>32653.86</v>
      </c>
      <c r="O111" s="97">
        <f t="shared" si="28"/>
        <v>32653.86</v>
      </c>
      <c r="P111" s="97">
        <f t="shared" si="29"/>
        <v>0</v>
      </c>
      <c r="Q111" s="95">
        <f t="shared" si="30"/>
        <v>1706.0871641280601</v>
      </c>
      <c r="R111" s="6">
        <f t="shared" si="17"/>
        <v>1288.4693619331024</v>
      </c>
      <c r="S111" s="5">
        <f t="shared" si="31"/>
        <v>24660.81396278226</v>
      </c>
      <c r="T111" s="135">
        <v>0.19537500000000002</v>
      </c>
      <c r="U111" s="97">
        <f t="shared" si="18"/>
        <v>5430.4272682218461</v>
      </c>
      <c r="V111" s="97">
        <f t="shared" si="19"/>
        <v>1081.9139050082322</v>
      </c>
      <c r="W111" s="97">
        <f t="shared" si="20"/>
        <v>318.29091825865299</v>
      </c>
      <c r="X111" s="97">
        <f t="shared" si="21"/>
        <v>309.20821469341615</v>
      </c>
      <c r="Y111" s="97">
        <f t="shared" si="22"/>
        <v>7139.8403061821473</v>
      </c>
      <c r="Z111" s="104">
        <f t="shared" si="23"/>
        <v>0.28952168071003209</v>
      </c>
      <c r="AA111" s="96">
        <f t="shared" si="24"/>
        <v>7139.8403061821473</v>
      </c>
      <c r="AB111" s="97"/>
      <c r="AC111" s="96">
        <f>INDEX('[2]2020 Funding'!$S$26:$S$274,MATCH(B111,'[2]2020 Funding'!$B$26:$B$274,0))</f>
        <v>7140.2405688291201</v>
      </c>
      <c r="AD111" s="5">
        <f t="shared" si="32"/>
        <v>-0.40026264697280567</v>
      </c>
      <c r="AF111" s="18"/>
      <c r="AG111" s="96"/>
    </row>
    <row r="112" spans="2:33" x14ac:dyDescent="0.25">
      <c r="B112">
        <v>846</v>
      </c>
      <c r="C112" s="28">
        <v>6</v>
      </c>
      <c r="D112" s="35" t="s">
        <v>147</v>
      </c>
      <c r="E112" s="154">
        <v>24.91</v>
      </c>
      <c r="F112" s="154">
        <f>INDEX('Revised 2018 Lockdown'!H$5:H$253,MATCH(B112,'Revised 2018 Lockdown'!B$5:B$253,0))</f>
        <v>24.91</v>
      </c>
      <c r="G112" s="154">
        <f t="shared" si="25"/>
        <v>0</v>
      </c>
      <c r="H112" s="5">
        <v>42522.03</v>
      </c>
      <c r="I112" s="5">
        <f>INDEX('Revised 2018 Lockdown'!E$5:E$253,MATCH(B112,'Revised 2018 Lockdown'!B$5:B$253,0))</f>
        <v>42522.03</v>
      </c>
      <c r="J112" s="5">
        <f t="shared" si="26"/>
        <v>0</v>
      </c>
      <c r="K112" s="5">
        <v>0</v>
      </c>
      <c r="L112" s="5">
        <f>INDEX('Revised 2018 Lockdown'!F$5:F$253,MATCH(B112,'Revised 2018 Lockdown'!B$5:B$253,0))</f>
        <v>0</v>
      </c>
      <c r="M112" s="5">
        <f t="shared" si="27"/>
        <v>0</v>
      </c>
      <c r="N112" s="5">
        <v>42522.03</v>
      </c>
      <c r="O112" s="97">
        <f t="shared" si="28"/>
        <v>42522.03</v>
      </c>
      <c r="P112" s="97">
        <f t="shared" si="29"/>
        <v>0</v>
      </c>
      <c r="Q112" s="95">
        <f t="shared" si="30"/>
        <v>1707.0264953833801</v>
      </c>
      <c r="R112" s="6">
        <f t="shared" si="17"/>
        <v>1288.4693619331024</v>
      </c>
      <c r="S112" s="5">
        <f t="shared" si="31"/>
        <v>32095.771805753582</v>
      </c>
      <c r="T112" s="135">
        <v>0.23694642857142856</v>
      </c>
      <c r="U112" s="97">
        <f t="shared" si="18"/>
        <v>7067.6399680737122</v>
      </c>
      <c r="V112" s="97">
        <f t="shared" si="19"/>
        <v>1408.0987700171709</v>
      </c>
      <c r="W112" s="97">
        <f t="shared" si="20"/>
        <v>502.39561465912539</v>
      </c>
      <c r="X112" s="97">
        <f t="shared" si="21"/>
        <v>402.43101116783566</v>
      </c>
      <c r="Y112" s="97">
        <f t="shared" si="22"/>
        <v>9380.5653639178454</v>
      </c>
      <c r="Z112" s="104">
        <f t="shared" si="23"/>
        <v>0.29226794796180156</v>
      </c>
      <c r="AA112" s="96">
        <f t="shared" si="24"/>
        <v>9380.5653639178454</v>
      </c>
      <c r="AB112" s="97"/>
      <c r="AC112" s="96">
        <f>INDEX('[2]2020 Funding'!$S$26:$S$274,MATCH(B112,'[2]2020 Funding'!$B$26:$B$274,0))</f>
        <v>9381.0911399043453</v>
      </c>
      <c r="AD112" s="5">
        <f t="shared" si="32"/>
        <v>-0.52577598649986612</v>
      </c>
      <c r="AF112" s="18"/>
      <c r="AG112" s="96"/>
    </row>
    <row r="113" spans="2:33" x14ac:dyDescent="0.25">
      <c r="B113">
        <v>888</v>
      </c>
      <c r="C113" s="28">
        <v>6</v>
      </c>
      <c r="D113" s="35" t="s">
        <v>148</v>
      </c>
      <c r="E113" s="154">
        <v>110.31234724977445</v>
      </c>
      <c r="F113" s="154">
        <f>INDEX('Revised 2018 Lockdown'!H$5:H$253,MATCH(B113,'Revised 2018 Lockdown'!B$5:B$253,0))</f>
        <v>110.31234724977445</v>
      </c>
      <c r="G113" s="154">
        <f t="shared" si="25"/>
        <v>0</v>
      </c>
      <c r="H113" s="5">
        <v>48959.88</v>
      </c>
      <c r="I113" s="5">
        <f>INDEX('Revised 2018 Lockdown'!E$5:E$253,MATCH(B113,'Revised 2018 Lockdown'!B$5:B$253,0))</f>
        <v>48959.88</v>
      </c>
      <c r="J113" s="5">
        <f t="shared" si="26"/>
        <v>0</v>
      </c>
      <c r="K113" s="5">
        <v>0</v>
      </c>
      <c r="L113" s="5">
        <f>INDEX('Revised 2018 Lockdown'!F$5:F$253,MATCH(B113,'Revised 2018 Lockdown'!B$5:B$253,0))</f>
        <v>0</v>
      </c>
      <c r="M113" s="5">
        <f t="shared" si="27"/>
        <v>0</v>
      </c>
      <c r="N113" s="5">
        <v>48959.88</v>
      </c>
      <c r="O113" s="97">
        <f t="shared" si="28"/>
        <v>48959.88</v>
      </c>
      <c r="P113" s="97">
        <f t="shared" si="29"/>
        <v>0</v>
      </c>
      <c r="Q113" s="95">
        <f t="shared" si="30"/>
        <v>443.82955508273898</v>
      </c>
      <c r="R113" s="6">
        <f t="shared" si="17"/>
        <v>443.82955508273898</v>
      </c>
      <c r="S113" s="5">
        <f t="shared" si="31"/>
        <v>48959.88</v>
      </c>
      <c r="T113" s="135">
        <v>0.49433779761904761</v>
      </c>
      <c r="U113" s="97">
        <f t="shared" si="18"/>
        <v>10781.195941144566</v>
      </c>
      <c r="V113" s="97">
        <f t="shared" si="19"/>
        <v>6235.6756515501575</v>
      </c>
      <c r="W113" s="97">
        <f t="shared" si="20"/>
        <v>1598.8657971734458</v>
      </c>
      <c r="X113" s="97">
        <f t="shared" si="21"/>
        <v>613.88067357594684</v>
      </c>
      <c r="Y113" s="97">
        <f t="shared" si="22"/>
        <v>19229.618063444115</v>
      </c>
      <c r="Z113" s="104">
        <f t="shared" si="23"/>
        <v>0.39276276950523809</v>
      </c>
      <c r="AA113" s="96">
        <f t="shared" si="24"/>
        <v>19229.618063444115</v>
      </c>
      <c r="AB113" s="97"/>
      <c r="AC113" s="96">
        <f>INDEX('[2]2020 Funding'!$S$26:$S$274,MATCH(B113,'[2]2020 Funding'!$B$26:$B$274,0))</f>
        <v>19237.060082448515</v>
      </c>
      <c r="AD113" s="5">
        <f t="shared" si="32"/>
        <v>-7.4420190044002084</v>
      </c>
      <c r="AF113" s="18"/>
      <c r="AG113" s="96"/>
    </row>
    <row r="114" spans="2:33" x14ac:dyDescent="0.25">
      <c r="B114">
        <v>889</v>
      </c>
      <c r="C114" s="28">
        <v>6</v>
      </c>
      <c r="D114" s="35" t="s">
        <v>149</v>
      </c>
      <c r="E114" s="154">
        <v>36.972175568059775</v>
      </c>
      <c r="F114" s="154">
        <f>INDEX('Revised 2018 Lockdown'!H$5:H$253,MATCH(B114,'Revised 2018 Lockdown'!B$5:B$253,0))</f>
        <v>36.972175568059775</v>
      </c>
      <c r="G114" s="154">
        <f t="shared" si="25"/>
        <v>0</v>
      </c>
      <c r="H114" s="5">
        <v>50376.82</v>
      </c>
      <c r="I114" s="5">
        <f>INDEX('Revised 2018 Lockdown'!E$5:E$253,MATCH(B114,'Revised 2018 Lockdown'!B$5:B$253,0))</f>
        <v>50376.82</v>
      </c>
      <c r="J114" s="5">
        <f t="shared" si="26"/>
        <v>0</v>
      </c>
      <c r="K114" s="5">
        <v>0</v>
      </c>
      <c r="L114" s="5">
        <f>INDEX('Revised 2018 Lockdown'!F$5:F$253,MATCH(B114,'Revised 2018 Lockdown'!B$5:B$253,0))</f>
        <v>0</v>
      </c>
      <c r="M114" s="5">
        <f t="shared" si="27"/>
        <v>0</v>
      </c>
      <c r="N114" s="5">
        <v>50376.82</v>
      </c>
      <c r="O114" s="97">
        <f t="shared" si="28"/>
        <v>50376.82</v>
      </c>
      <c r="P114" s="97">
        <f t="shared" si="29"/>
        <v>0</v>
      </c>
      <c r="Q114" s="95">
        <f t="shared" si="30"/>
        <v>1362.5603369556777</v>
      </c>
      <c r="R114" s="6">
        <f t="shared" si="17"/>
        <v>1288.4693619331024</v>
      </c>
      <c r="S114" s="5">
        <f t="shared" si="31"/>
        <v>47637.515463456613</v>
      </c>
      <c r="T114" s="135">
        <v>0.4957395833333334</v>
      </c>
      <c r="U114" s="97">
        <f t="shared" si="18"/>
        <v>10490.00504823194</v>
      </c>
      <c r="V114" s="97">
        <f t="shared" si="19"/>
        <v>2089.9427917400185</v>
      </c>
      <c r="W114" s="97">
        <f t="shared" si="20"/>
        <v>1560.0932195325197</v>
      </c>
      <c r="X114" s="97">
        <f t="shared" si="21"/>
        <v>597.30028096864885</v>
      </c>
      <c r="Y114" s="97">
        <f t="shared" si="22"/>
        <v>14737.341340473129</v>
      </c>
      <c r="Z114" s="104">
        <f t="shared" si="23"/>
        <v>0.30936418906603858</v>
      </c>
      <c r="AA114" s="96">
        <f t="shared" si="24"/>
        <v>14737.341340473129</v>
      </c>
      <c r="AB114" s="97"/>
      <c r="AC114" s="96">
        <f>INDEX('[2]2020 Funding'!$S$26:$S$274,MATCH(B114,'[2]2020 Funding'!$B$26:$B$274,0))</f>
        <v>14738.166420961134</v>
      </c>
      <c r="AD114" s="5">
        <f t="shared" si="32"/>
        <v>-0.82508048800445977</v>
      </c>
      <c r="AF114" s="18"/>
      <c r="AG114" s="96"/>
    </row>
    <row r="115" spans="2:33" x14ac:dyDescent="0.25">
      <c r="B115">
        <v>891</v>
      </c>
      <c r="C115" s="28">
        <v>6</v>
      </c>
      <c r="D115" s="35" t="s">
        <v>150</v>
      </c>
      <c r="E115" s="154">
        <v>291.67983388429468</v>
      </c>
      <c r="F115" s="154">
        <f>INDEX('Revised 2018 Lockdown'!H$5:H$253,MATCH(B115,'Revised 2018 Lockdown'!B$5:B$253,0))</f>
        <v>291.67983388429468</v>
      </c>
      <c r="G115" s="154">
        <f t="shared" si="25"/>
        <v>0</v>
      </c>
      <c r="H115" s="5">
        <v>78385.320000000007</v>
      </c>
      <c r="I115" s="5">
        <f>INDEX('Revised 2018 Lockdown'!E$5:E$253,MATCH(B115,'Revised 2018 Lockdown'!B$5:B$253,0))</f>
        <v>78385.320000000007</v>
      </c>
      <c r="J115" s="5">
        <f t="shared" si="26"/>
        <v>0</v>
      </c>
      <c r="K115" s="5">
        <v>0</v>
      </c>
      <c r="L115" s="5">
        <f>INDEX('Revised 2018 Lockdown'!F$5:F$253,MATCH(B115,'Revised 2018 Lockdown'!B$5:B$253,0))</f>
        <v>0</v>
      </c>
      <c r="M115" s="5">
        <f t="shared" si="27"/>
        <v>0</v>
      </c>
      <c r="N115" s="5">
        <v>78385.320000000007</v>
      </c>
      <c r="O115" s="97">
        <f t="shared" si="28"/>
        <v>78385.320000000007</v>
      </c>
      <c r="P115" s="97">
        <f t="shared" si="29"/>
        <v>0</v>
      </c>
      <c r="Q115" s="95">
        <f t="shared" si="30"/>
        <v>268.73753648356222</v>
      </c>
      <c r="R115" s="6">
        <f t="shared" si="17"/>
        <v>268.73753648356222</v>
      </c>
      <c r="S115" s="5">
        <f t="shared" si="31"/>
        <v>78385.320000000007</v>
      </c>
      <c r="T115" s="135">
        <v>0.47252976190476192</v>
      </c>
      <c r="U115" s="97">
        <f t="shared" si="18"/>
        <v>17260.816281194278</v>
      </c>
      <c r="V115" s="97">
        <f t="shared" si="19"/>
        <v>16487.917114865035</v>
      </c>
      <c r="W115" s="97">
        <f t="shared" si="20"/>
        <v>2446.874822290371</v>
      </c>
      <c r="X115" s="97">
        <f t="shared" si="21"/>
        <v>982.82988112034059</v>
      </c>
      <c r="Y115" s="97">
        <f t="shared" si="22"/>
        <v>37178.438099470026</v>
      </c>
      <c r="Z115" s="104">
        <f t="shared" si="23"/>
        <v>0.47430358260283972</v>
      </c>
      <c r="AA115" s="96">
        <f t="shared" si="24"/>
        <v>37178.438099470026</v>
      </c>
      <c r="AB115" s="97"/>
      <c r="AC115" s="96">
        <f>INDEX('[2]2020 Funding'!$S$26:$S$274,MATCH(B115,'[2]2020 Funding'!$B$26:$B$274,0))</f>
        <v>37188.537491063573</v>
      </c>
      <c r="AD115" s="5">
        <f t="shared" si="32"/>
        <v>-10.099391593546898</v>
      </c>
      <c r="AF115" s="18"/>
      <c r="AG115" s="96"/>
    </row>
    <row r="116" spans="2:33" x14ac:dyDescent="0.25">
      <c r="B116">
        <v>897</v>
      </c>
      <c r="C116" s="28">
        <v>6</v>
      </c>
      <c r="D116" s="35" t="s">
        <v>260</v>
      </c>
      <c r="E116" s="154">
        <v>75.298454997553264</v>
      </c>
      <c r="F116" s="154">
        <f>INDEX('Revised 2018 Lockdown'!H$5:H$253,MATCH(B116,'Revised 2018 Lockdown'!B$5:B$253,0))</f>
        <v>75.298454997553264</v>
      </c>
      <c r="G116" s="154">
        <f t="shared" si="25"/>
        <v>0</v>
      </c>
      <c r="H116" s="5">
        <v>296933.45</v>
      </c>
      <c r="I116" s="5">
        <f>INDEX('Revised 2018 Lockdown'!E$5:E$253,MATCH(B116,'Revised 2018 Lockdown'!B$5:B$253,0))</f>
        <v>296933.44</v>
      </c>
      <c r="J116" s="5">
        <f t="shared" si="26"/>
        <v>1.0000000009313226E-2</v>
      </c>
      <c r="K116" s="5">
        <v>119</v>
      </c>
      <c r="L116" s="5">
        <f>INDEX('Revised 2018 Lockdown'!F$5:F$253,MATCH(B116,'Revised 2018 Lockdown'!B$5:B$253,0))</f>
        <v>119</v>
      </c>
      <c r="M116" s="5">
        <f t="shared" si="27"/>
        <v>0</v>
      </c>
      <c r="N116" s="5">
        <v>296814.45</v>
      </c>
      <c r="O116" s="97">
        <f t="shared" si="28"/>
        <v>296814.44</v>
      </c>
      <c r="P116" s="97">
        <f t="shared" si="29"/>
        <v>1.0000000009313226E-2</v>
      </c>
      <c r="Q116" s="95">
        <f t="shared" si="30"/>
        <v>3941.8397098538694</v>
      </c>
      <c r="R116" s="6">
        <f t="shared" si="17"/>
        <v>1288.4693619331024</v>
      </c>
      <c r="S116" s="5">
        <f t="shared" si="31"/>
        <v>97019.752265245887</v>
      </c>
      <c r="T116" s="135">
        <v>0.48670833333333341</v>
      </c>
      <c r="U116" s="97">
        <f t="shared" si="18"/>
        <v>21364.205944396112</v>
      </c>
      <c r="V116" s="97">
        <f t="shared" si="19"/>
        <v>4256.4296212865529</v>
      </c>
      <c r="W116" s="97">
        <f t="shared" si="20"/>
        <v>3119.4411204561379</v>
      </c>
      <c r="X116" s="97">
        <f t="shared" si="21"/>
        <v>1216.476651306348</v>
      </c>
      <c r="Y116" s="97">
        <f t="shared" si="22"/>
        <v>29956.553337445148</v>
      </c>
      <c r="Z116" s="104">
        <f t="shared" si="23"/>
        <v>0.30876757194293614</v>
      </c>
      <c r="AA116" s="96">
        <f t="shared" si="24"/>
        <v>29956.553337445148</v>
      </c>
      <c r="AB116" s="97"/>
      <c r="AC116" s="96">
        <f>INDEX('[2]2020 Funding'!$S$26:$S$274,MATCH(B116,'[2]2020 Funding'!$B$26:$B$274,0))</f>
        <v>29958.230539414995</v>
      </c>
      <c r="AD116" s="5">
        <f t="shared" si="32"/>
        <v>-1.6772019698473741</v>
      </c>
      <c r="AF116" s="18"/>
      <c r="AG116" s="96"/>
    </row>
    <row r="117" spans="2:33" x14ac:dyDescent="0.25">
      <c r="B117">
        <v>904</v>
      </c>
      <c r="C117" s="28">
        <v>6</v>
      </c>
      <c r="D117" s="35" t="s">
        <v>151</v>
      </c>
      <c r="E117" s="154">
        <v>26.962939668155855</v>
      </c>
      <c r="F117" s="154">
        <f>INDEX('Revised 2018 Lockdown'!H$5:H$253,MATCH(B117,'Revised 2018 Lockdown'!B$5:B$253,0))</f>
        <v>26.962939668155855</v>
      </c>
      <c r="G117" s="154">
        <f t="shared" si="25"/>
        <v>0</v>
      </c>
      <c r="H117" s="5">
        <v>14117.02</v>
      </c>
      <c r="I117" s="5">
        <f>INDEX('Revised 2018 Lockdown'!E$5:E$253,MATCH(B117,'Revised 2018 Lockdown'!B$5:B$253,0))</f>
        <v>14117.02</v>
      </c>
      <c r="J117" s="5">
        <f t="shared" si="26"/>
        <v>0</v>
      </c>
      <c r="K117" s="5">
        <v>0</v>
      </c>
      <c r="L117" s="5">
        <f>INDEX('Revised 2018 Lockdown'!F$5:F$253,MATCH(B117,'Revised 2018 Lockdown'!B$5:B$253,0))</f>
        <v>0</v>
      </c>
      <c r="M117" s="5">
        <f t="shared" si="27"/>
        <v>0</v>
      </c>
      <c r="N117" s="5">
        <v>14117.02</v>
      </c>
      <c r="O117" s="97">
        <f t="shared" si="28"/>
        <v>14117.02</v>
      </c>
      <c r="P117" s="97">
        <f t="shared" si="29"/>
        <v>0</v>
      </c>
      <c r="Q117" s="95">
        <f t="shared" si="30"/>
        <v>523.57124904569218</v>
      </c>
      <c r="R117" s="6">
        <f t="shared" si="17"/>
        <v>523.57124904569218</v>
      </c>
      <c r="S117" s="5">
        <f t="shared" si="31"/>
        <v>14117.020000000002</v>
      </c>
      <c r="T117" s="135">
        <v>9.3424107142857149E-2</v>
      </c>
      <c r="U117" s="97">
        <f t="shared" si="18"/>
        <v>3108.6342271479566</v>
      </c>
      <c r="V117" s="97">
        <f t="shared" si="19"/>
        <v>1524.146213680347</v>
      </c>
      <c r="W117" s="97">
        <f t="shared" si="20"/>
        <v>87.126413131507078</v>
      </c>
      <c r="X117" s="97">
        <f t="shared" si="21"/>
        <v>177.00545316869884</v>
      </c>
      <c r="Y117" s="97">
        <f t="shared" si="22"/>
        <v>4896.9123071285103</v>
      </c>
      <c r="Z117" s="104">
        <f t="shared" si="23"/>
        <v>0.34688002900955794</v>
      </c>
      <c r="AA117" s="96">
        <f t="shared" si="24"/>
        <v>4896.9123071285103</v>
      </c>
      <c r="AB117" s="97"/>
      <c r="AC117" s="96">
        <f>INDEX('[2]2020 Funding'!$S$26:$S$274,MATCH(B117,'[2]2020 Funding'!$B$26:$B$274,0))</f>
        <v>4898.8897170545806</v>
      </c>
      <c r="AD117" s="5">
        <f t="shared" si="32"/>
        <v>-1.9774099260703224</v>
      </c>
      <c r="AF117" s="18"/>
      <c r="AG117" s="96"/>
    </row>
    <row r="118" spans="2:33" x14ac:dyDescent="0.25">
      <c r="B118">
        <v>906</v>
      </c>
      <c r="C118" s="28">
        <v>6</v>
      </c>
      <c r="D118" s="35" t="s">
        <v>320</v>
      </c>
      <c r="E118" s="154">
        <v>185.1</v>
      </c>
      <c r="F118" s="154">
        <f>INDEX('Revised 2018 Lockdown'!H$5:H$253,MATCH(B118,'Revised 2018 Lockdown'!B$5:B$253,0))</f>
        <v>185.1</v>
      </c>
      <c r="G118" s="154">
        <f t="shared" si="25"/>
        <v>0</v>
      </c>
      <c r="H118" s="5">
        <v>218001.44</v>
      </c>
      <c r="I118" s="5">
        <f>INDEX('Revised 2018 Lockdown'!E$5:E$253,MATCH(B118,'Revised 2018 Lockdown'!B$5:B$253,0))</f>
        <v>215485.97</v>
      </c>
      <c r="J118" s="5">
        <f t="shared" si="26"/>
        <v>2515.4700000000012</v>
      </c>
      <c r="K118" s="5">
        <v>29.22</v>
      </c>
      <c r="L118" s="5">
        <f>INDEX('Revised 2018 Lockdown'!F$5:F$253,MATCH(B118,'Revised 2018 Lockdown'!B$5:B$253,0))</f>
        <v>29.22</v>
      </c>
      <c r="M118" s="5">
        <f t="shared" si="27"/>
        <v>0</v>
      </c>
      <c r="N118" s="5">
        <v>217972.22</v>
      </c>
      <c r="O118" s="97">
        <f t="shared" si="28"/>
        <v>215456.75</v>
      </c>
      <c r="P118" s="97">
        <f t="shared" si="29"/>
        <v>2515.4700000000012</v>
      </c>
      <c r="Q118" s="95">
        <f t="shared" si="30"/>
        <v>1164.0018908698</v>
      </c>
      <c r="R118" s="6">
        <f t="shared" si="17"/>
        <v>1164.0018908698</v>
      </c>
      <c r="S118" s="5">
        <f t="shared" si="31"/>
        <v>215456.74999999997</v>
      </c>
      <c r="T118" s="135">
        <v>0.66749999999999998</v>
      </c>
      <c r="U118" s="97">
        <f t="shared" si="18"/>
        <v>47444.590113215141</v>
      </c>
      <c r="V118" s="97">
        <f t="shared" si="19"/>
        <v>10463.230924535461</v>
      </c>
      <c r="W118" s="97">
        <f t="shared" si="20"/>
        <v>9500.7791701713304</v>
      </c>
      <c r="X118" s="97">
        <f t="shared" si="21"/>
        <v>2701.4922180463755</v>
      </c>
      <c r="Y118" s="97">
        <f t="shared" si="22"/>
        <v>70110.092425968309</v>
      </c>
      <c r="Z118" s="104">
        <f t="shared" si="23"/>
        <v>0.32540216273552963</v>
      </c>
      <c r="AA118" s="96">
        <f t="shared" si="24"/>
        <v>70110.092425968309</v>
      </c>
      <c r="AB118" s="97"/>
      <c r="AC118" s="96">
        <f>INDEX('[2]2020 Funding'!$S$26:$S$274,MATCH(B118,'[2]2020 Funding'!$B$26:$B$274,0))</f>
        <v>70845.851241392345</v>
      </c>
      <c r="AD118" s="5">
        <f t="shared" si="32"/>
        <v>-735.75881542403658</v>
      </c>
      <c r="AF118" s="18"/>
      <c r="AG118" s="96"/>
    </row>
    <row r="119" spans="2:33" x14ac:dyDescent="0.25">
      <c r="B119">
        <v>917</v>
      </c>
      <c r="C119" s="28">
        <v>6</v>
      </c>
      <c r="D119" s="35" t="s">
        <v>153</v>
      </c>
      <c r="E119" s="154">
        <v>98.170300891747573</v>
      </c>
      <c r="F119" s="154">
        <f>INDEX('Revised 2018 Lockdown'!H$5:H$253,MATCH(B119,'Revised 2018 Lockdown'!B$5:B$253,0))</f>
        <v>98.170300891747573</v>
      </c>
      <c r="G119" s="154">
        <f t="shared" si="25"/>
        <v>0</v>
      </c>
      <c r="H119" s="5">
        <v>54501.95</v>
      </c>
      <c r="I119" s="5">
        <f>INDEX('Revised 2018 Lockdown'!E$5:E$253,MATCH(B119,'Revised 2018 Lockdown'!B$5:B$253,0))</f>
        <v>54501.95</v>
      </c>
      <c r="J119" s="5">
        <f t="shared" si="26"/>
        <v>0</v>
      </c>
      <c r="K119" s="5">
        <v>0</v>
      </c>
      <c r="L119" s="5">
        <f>INDEX('Revised 2018 Lockdown'!F$5:F$253,MATCH(B119,'Revised 2018 Lockdown'!B$5:B$253,0))</f>
        <v>0</v>
      </c>
      <c r="M119" s="5">
        <f t="shared" si="27"/>
        <v>0</v>
      </c>
      <c r="N119" s="5">
        <v>54501.95</v>
      </c>
      <c r="O119" s="97">
        <f t="shared" si="28"/>
        <v>54501.95</v>
      </c>
      <c r="P119" s="97">
        <f t="shared" si="29"/>
        <v>0</v>
      </c>
      <c r="Q119" s="95">
        <f t="shared" si="30"/>
        <v>555.17757921613497</v>
      </c>
      <c r="R119" s="6">
        <f t="shared" si="17"/>
        <v>555.17757921613497</v>
      </c>
      <c r="S119" s="5">
        <f t="shared" si="31"/>
        <v>54501.95</v>
      </c>
      <c r="T119" s="135">
        <v>0.37409523809523809</v>
      </c>
      <c r="U119" s="97">
        <f t="shared" si="18"/>
        <v>12001.5858315924</v>
      </c>
      <c r="V119" s="97">
        <f t="shared" si="19"/>
        <v>5549.3167377713899</v>
      </c>
      <c r="W119" s="97">
        <f t="shared" si="20"/>
        <v>1346.9208327569984</v>
      </c>
      <c r="X119" s="97">
        <f t="shared" si="21"/>
        <v>683.36960338143342</v>
      </c>
      <c r="Y119" s="97">
        <f t="shared" si="22"/>
        <v>19581.19300550222</v>
      </c>
      <c r="Z119" s="104">
        <f t="shared" si="23"/>
        <v>0.35927509025827925</v>
      </c>
      <c r="AA119" s="96">
        <f t="shared" si="24"/>
        <v>19581.19300550222</v>
      </c>
      <c r="AB119" s="97"/>
      <c r="AC119" s="96">
        <f>INDEX('[2]2020 Funding'!$S$26:$S$274,MATCH(B119,'[2]2020 Funding'!$B$26:$B$274,0))</f>
        <v>19589.570418288749</v>
      </c>
      <c r="AD119" s="5">
        <f t="shared" si="32"/>
        <v>-8.3774127865290211</v>
      </c>
      <c r="AF119" s="18"/>
      <c r="AG119" s="96"/>
    </row>
    <row r="120" spans="2:33" x14ac:dyDescent="0.25">
      <c r="B120">
        <v>957</v>
      </c>
      <c r="C120" s="28">
        <v>6</v>
      </c>
      <c r="D120" s="35" t="s">
        <v>154</v>
      </c>
      <c r="E120" s="154">
        <v>104.75750331076839</v>
      </c>
      <c r="F120" s="154">
        <f>INDEX('Revised 2018 Lockdown'!H$5:H$253,MATCH(B120,'Revised 2018 Lockdown'!B$5:B$253,0))</f>
        <v>104.75750331076839</v>
      </c>
      <c r="G120" s="154">
        <f t="shared" si="25"/>
        <v>0</v>
      </c>
      <c r="H120" s="5">
        <v>36421.629999999997</v>
      </c>
      <c r="I120" s="5">
        <f>INDEX('Revised 2018 Lockdown'!E$5:E$253,MATCH(B120,'Revised 2018 Lockdown'!B$5:B$253,0))</f>
        <v>36421.629999999997</v>
      </c>
      <c r="J120" s="5">
        <f t="shared" si="26"/>
        <v>0</v>
      </c>
      <c r="K120" s="5">
        <v>0</v>
      </c>
      <c r="L120" s="5">
        <f>INDEX('Revised 2018 Lockdown'!F$5:F$253,MATCH(B120,'Revised 2018 Lockdown'!B$5:B$253,0))</f>
        <v>0</v>
      </c>
      <c r="M120" s="5">
        <f t="shared" si="27"/>
        <v>0</v>
      </c>
      <c r="N120" s="5">
        <v>36421.629999999997</v>
      </c>
      <c r="O120" s="97">
        <f t="shared" si="28"/>
        <v>36421.629999999997</v>
      </c>
      <c r="P120" s="97">
        <f t="shared" si="29"/>
        <v>0</v>
      </c>
      <c r="Q120" s="95">
        <f t="shared" si="30"/>
        <v>347.67562082835639</v>
      </c>
      <c r="R120" s="6">
        <f t="shared" si="17"/>
        <v>347.67562082835639</v>
      </c>
      <c r="S120" s="5">
        <f t="shared" si="31"/>
        <v>36421.629999999997</v>
      </c>
      <c r="T120" s="135">
        <v>0.5130818452380953</v>
      </c>
      <c r="U120" s="97">
        <f t="shared" si="18"/>
        <v>8020.2142963967472</v>
      </c>
      <c r="V120" s="97">
        <f t="shared" si="19"/>
        <v>5921.6744906448275</v>
      </c>
      <c r="W120" s="97">
        <f t="shared" si="20"/>
        <v>1234.5079051200587</v>
      </c>
      <c r="X120" s="97">
        <f t="shared" si="21"/>
        <v>456.67053834964287</v>
      </c>
      <c r="Y120" s="97">
        <f t="shared" si="22"/>
        <v>15633.067230511277</v>
      </c>
      <c r="Z120" s="104">
        <f t="shared" si="23"/>
        <v>0.42922481038084453</v>
      </c>
      <c r="AA120" s="96">
        <f t="shared" si="24"/>
        <v>15633.067230511277</v>
      </c>
      <c r="AB120" s="97"/>
      <c r="AC120" s="96">
        <f>INDEX('[2]2020 Funding'!$S$26:$S$274,MATCH(B120,'[2]2020 Funding'!$B$26:$B$274,0))</f>
        <v>15638.288920026536</v>
      </c>
      <c r="AD120" s="5">
        <f t="shared" si="32"/>
        <v>-5.2216895152596408</v>
      </c>
      <c r="AF120" s="18"/>
      <c r="AG120" s="96"/>
    </row>
    <row r="121" spans="2:33" x14ac:dyDescent="0.25">
      <c r="B121">
        <v>959</v>
      </c>
      <c r="C121" s="28">
        <v>6</v>
      </c>
      <c r="D121" s="35" t="s">
        <v>155</v>
      </c>
      <c r="E121" s="154">
        <v>326.68938879207468</v>
      </c>
      <c r="F121" s="154">
        <f>INDEX('Revised 2018 Lockdown'!H$5:H$253,MATCH(B121,'Revised 2018 Lockdown'!B$5:B$253,0))</f>
        <v>326.68938879207468</v>
      </c>
      <c r="G121" s="154">
        <f t="shared" si="25"/>
        <v>0</v>
      </c>
      <c r="H121" s="5">
        <v>116655.67</v>
      </c>
      <c r="I121" s="5">
        <f>INDEX('Revised 2018 Lockdown'!E$5:E$253,MATCH(B121,'Revised 2018 Lockdown'!B$5:B$253,0))</f>
        <v>116655.66</v>
      </c>
      <c r="J121" s="5">
        <f t="shared" si="26"/>
        <v>9.9999999947613105E-3</v>
      </c>
      <c r="K121" s="5">
        <v>240.45</v>
      </c>
      <c r="L121" s="5">
        <f>INDEX('Revised 2018 Lockdown'!F$5:F$253,MATCH(B121,'Revised 2018 Lockdown'!B$5:B$253,0))</f>
        <v>240.45</v>
      </c>
      <c r="M121" s="5">
        <f t="shared" si="27"/>
        <v>0</v>
      </c>
      <c r="N121" s="5">
        <v>116415.22</v>
      </c>
      <c r="O121" s="97">
        <f t="shared" si="28"/>
        <v>116415.21</v>
      </c>
      <c r="P121" s="97">
        <f t="shared" si="29"/>
        <v>9.9999999947613105E-3</v>
      </c>
      <c r="Q121" s="95">
        <f t="shared" si="30"/>
        <v>356.34830512996501</v>
      </c>
      <c r="R121" s="6">
        <f t="shared" si="17"/>
        <v>356.34830512996501</v>
      </c>
      <c r="S121" s="5">
        <f t="shared" si="31"/>
        <v>116415.21</v>
      </c>
      <c r="T121" s="135">
        <v>0.7970624999999999</v>
      </c>
      <c r="U121" s="97">
        <f t="shared" si="18"/>
        <v>25635.176996746981</v>
      </c>
      <c r="V121" s="97">
        <f t="shared" si="19"/>
        <v>18466.91796610926</v>
      </c>
      <c r="W121" s="97">
        <f t="shared" si="20"/>
        <v>6129.8514794908906</v>
      </c>
      <c r="X121" s="97">
        <f t="shared" si="21"/>
        <v>1459.6654961018146</v>
      </c>
      <c r="Y121" s="97">
        <f t="shared" si="22"/>
        <v>51691.611938448943</v>
      </c>
      <c r="Z121" s="104">
        <f t="shared" si="23"/>
        <v>0.44402799203342019</v>
      </c>
      <c r="AA121" s="96">
        <f t="shared" si="24"/>
        <v>51691.611938448943</v>
      </c>
      <c r="AB121" s="97"/>
      <c r="AC121" s="96">
        <f>INDEX('[2]2020 Funding'!$S$26:$S$274,MATCH(B121,'[2]2020 Funding'!$B$26:$B$274,0))</f>
        <v>51709.840577511139</v>
      </c>
      <c r="AD121" s="5">
        <f t="shared" si="32"/>
        <v>-18.228639062195725</v>
      </c>
      <c r="AF121" s="18"/>
      <c r="AG121" s="96"/>
    </row>
    <row r="122" spans="2:33" x14ac:dyDescent="0.25">
      <c r="B122">
        <v>969</v>
      </c>
      <c r="C122" s="28">
        <v>6</v>
      </c>
      <c r="D122" s="35" t="s">
        <v>156</v>
      </c>
      <c r="E122" s="154">
        <v>21.452324077887976</v>
      </c>
      <c r="F122" s="154">
        <f>INDEX('Revised 2018 Lockdown'!H$5:H$253,MATCH(B122,'Revised 2018 Lockdown'!B$5:B$253,0))</f>
        <v>21.452324077887976</v>
      </c>
      <c r="G122" s="154">
        <f t="shared" si="25"/>
        <v>0</v>
      </c>
      <c r="H122" s="5">
        <v>66251.19</v>
      </c>
      <c r="I122" s="5">
        <f>INDEX('Revised 2018 Lockdown'!E$5:E$253,MATCH(B122,'Revised 2018 Lockdown'!B$5:B$253,0))</f>
        <v>66251.19</v>
      </c>
      <c r="J122" s="5">
        <f t="shared" si="26"/>
        <v>0</v>
      </c>
      <c r="K122" s="5">
        <v>0</v>
      </c>
      <c r="L122" s="5">
        <f>INDEX('Revised 2018 Lockdown'!F$5:F$253,MATCH(B122,'Revised 2018 Lockdown'!B$5:B$253,0))</f>
        <v>0</v>
      </c>
      <c r="M122" s="5">
        <f t="shared" si="27"/>
        <v>0</v>
      </c>
      <c r="N122" s="5">
        <v>66251.19</v>
      </c>
      <c r="O122" s="97">
        <f t="shared" si="28"/>
        <v>66251.19</v>
      </c>
      <c r="P122" s="97">
        <f t="shared" si="29"/>
        <v>0</v>
      </c>
      <c r="Q122" s="95">
        <f t="shared" si="30"/>
        <v>3088.2989535053939</v>
      </c>
      <c r="R122" s="6">
        <f t="shared" si="17"/>
        <v>1288.4693619331024</v>
      </c>
      <c r="S122" s="5">
        <f t="shared" si="31"/>
        <v>27640.662316618451</v>
      </c>
      <c r="T122" s="135">
        <v>0.43101785714285717</v>
      </c>
      <c r="U122" s="97">
        <f t="shared" si="18"/>
        <v>6086.6038964653189</v>
      </c>
      <c r="V122" s="97">
        <f t="shared" si="19"/>
        <v>1212.6451685300601</v>
      </c>
      <c r="W122" s="97">
        <f t="shared" si="20"/>
        <v>787.03049061955392</v>
      </c>
      <c r="X122" s="97">
        <f t="shared" si="21"/>
        <v>346.57087396887056</v>
      </c>
      <c r="Y122" s="97">
        <f t="shared" si="22"/>
        <v>8432.8504295838029</v>
      </c>
      <c r="Z122" s="104">
        <f t="shared" si="23"/>
        <v>0.30508858047564597</v>
      </c>
      <c r="AA122" s="96">
        <f t="shared" si="24"/>
        <v>8432.8504295838029</v>
      </c>
      <c r="AB122" s="97"/>
      <c r="AC122" s="96">
        <f>INDEX('[2]2020 Funding'!$S$26:$S$274,MATCH(B122,'[2]2020 Funding'!$B$26:$B$274,0))</f>
        <v>8433.3226775648454</v>
      </c>
      <c r="AD122" s="5">
        <f t="shared" si="32"/>
        <v>-0.47224798104252841</v>
      </c>
      <c r="AF122" s="18"/>
      <c r="AG122" s="96"/>
    </row>
    <row r="123" spans="2:33" x14ac:dyDescent="0.25">
      <c r="B123">
        <v>970</v>
      </c>
      <c r="C123" s="28">
        <v>6</v>
      </c>
      <c r="D123" s="35" t="s">
        <v>157</v>
      </c>
      <c r="E123" s="154">
        <v>167.59129758245945</v>
      </c>
      <c r="F123" s="154">
        <f>INDEX('Revised 2018 Lockdown'!H$5:H$253,MATCH(B123,'Revised 2018 Lockdown'!B$5:B$253,0))</f>
        <v>167.59129758245945</v>
      </c>
      <c r="G123" s="154">
        <f t="shared" si="25"/>
        <v>0</v>
      </c>
      <c r="H123" s="5">
        <v>72830</v>
      </c>
      <c r="I123" s="5">
        <f>INDEX('Revised 2018 Lockdown'!E$5:E$253,MATCH(B123,'Revised 2018 Lockdown'!B$5:B$253,0))</f>
        <v>72830</v>
      </c>
      <c r="J123" s="5">
        <f t="shared" si="26"/>
        <v>0</v>
      </c>
      <c r="K123" s="5">
        <v>408</v>
      </c>
      <c r="L123" s="5">
        <f>INDEX('Revised 2018 Lockdown'!F$5:F$253,MATCH(B123,'Revised 2018 Lockdown'!B$5:B$253,0))</f>
        <v>408</v>
      </c>
      <c r="M123" s="5">
        <f t="shared" si="27"/>
        <v>0</v>
      </c>
      <c r="N123" s="5">
        <v>72422</v>
      </c>
      <c r="O123" s="97">
        <f t="shared" si="28"/>
        <v>72422</v>
      </c>
      <c r="P123" s="97">
        <f t="shared" si="29"/>
        <v>0</v>
      </c>
      <c r="Q123" s="95">
        <f t="shared" si="30"/>
        <v>432.134609879528</v>
      </c>
      <c r="R123" s="6">
        <f t="shared" si="17"/>
        <v>432.134609879528</v>
      </c>
      <c r="S123" s="5">
        <f t="shared" si="31"/>
        <v>72422</v>
      </c>
      <c r="T123" s="135">
        <v>0.38936904761904761</v>
      </c>
      <c r="U123" s="97">
        <f t="shared" si="18"/>
        <v>15947.665158688542</v>
      </c>
      <c r="V123" s="97">
        <f t="shared" si="19"/>
        <v>9473.5086307283327</v>
      </c>
      <c r="W123" s="97">
        <f t="shared" si="20"/>
        <v>1862.8581583758073</v>
      </c>
      <c r="X123" s="97">
        <f t="shared" si="21"/>
        <v>908.05913212445023</v>
      </c>
      <c r="Y123" s="97">
        <f t="shared" si="22"/>
        <v>28192.091079917132</v>
      </c>
      <c r="Z123" s="104">
        <f t="shared" si="23"/>
        <v>0.38927523514839596</v>
      </c>
      <c r="AA123" s="96">
        <f t="shared" si="24"/>
        <v>28192.091079917132</v>
      </c>
      <c r="AB123" s="97"/>
      <c r="AC123" s="96">
        <f>INDEX('[2]2020 Funding'!$S$26:$S$274,MATCH(B123,'[2]2020 Funding'!$B$26:$B$274,0))</f>
        <v>28202.707797179723</v>
      </c>
      <c r="AD123" s="5">
        <f t="shared" si="32"/>
        <v>-10.6167172625901</v>
      </c>
      <c r="AF123" s="18"/>
      <c r="AG123" s="96"/>
    </row>
    <row r="124" spans="2:33" x14ac:dyDescent="0.25">
      <c r="B124">
        <v>978</v>
      </c>
      <c r="C124" s="28">
        <v>6</v>
      </c>
      <c r="D124" s="35" t="s">
        <v>270</v>
      </c>
      <c r="E124" s="154">
        <v>0</v>
      </c>
      <c r="F124" s="154">
        <f>INDEX('Revised 2018 Lockdown'!H$5:H$253,MATCH(B124,'Revised 2018 Lockdown'!B$5:B$253,0))</f>
        <v>0</v>
      </c>
      <c r="G124" s="154">
        <f t="shared" si="25"/>
        <v>0</v>
      </c>
      <c r="H124" s="5">
        <v>31329.48</v>
      </c>
      <c r="I124" s="5">
        <f>INDEX('Revised 2018 Lockdown'!E$5:E$253,MATCH(B124,'Revised 2018 Lockdown'!B$5:B$253,0))</f>
        <v>31329.48</v>
      </c>
      <c r="J124" s="5">
        <f t="shared" si="26"/>
        <v>0</v>
      </c>
      <c r="K124" s="5">
        <v>0</v>
      </c>
      <c r="L124" s="5">
        <f>INDEX('Revised 2018 Lockdown'!F$5:F$253,MATCH(B124,'Revised 2018 Lockdown'!B$5:B$253,0))</f>
        <v>0</v>
      </c>
      <c r="M124" s="5">
        <f t="shared" si="27"/>
        <v>0</v>
      </c>
      <c r="N124" s="5">
        <v>31329.48</v>
      </c>
      <c r="O124" s="97">
        <f t="shared" si="28"/>
        <v>31329.48</v>
      </c>
      <c r="P124" s="97">
        <f t="shared" si="29"/>
        <v>0</v>
      </c>
      <c r="Q124" s="95" t="str">
        <f t="shared" si="30"/>
        <v>n.a.</v>
      </c>
      <c r="R124" s="6">
        <f t="shared" si="17"/>
        <v>1288.4693619331024</v>
      </c>
      <c r="S124" s="5">
        <f t="shared" si="31"/>
        <v>0</v>
      </c>
      <c r="T124" s="135">
        <v>0.22310119047619048</v>
      </c>
      <c r="U124" s="97">
        <f t="shared" si="18"/>
        <v>0</v>
      </c>
      <c r="V124" s="97">
        <f t="shared" si="19"/>
        <v>0</v>
      </c>
      <c r="W124" s="97">
        <f t="shared" si="20"/>
        <v>0</v>
      </c>
      <c r="X124" s="97">
        <f t="shared" si="21"/>
        <v>0</v>
      </c>
      <c r="Y124" s="97">
        <f t="shared" si="22"/>
        <v>0</v>
      </c>
      <c r="Z124" s="104">
        <f t="shared" si="23"/>
        <v>0</v>
      </c>
      <c r="AA124" s="96">
        <f t="shared" si="24"/>
        <v>0</v>
      </c>
      <c r="AB124" s="97"/>
      <c r="AC124" s="96">
        <f>INDEX('[2]2020 Funding'!$S$26:$S$274,MATCH(B124,'[2]2020 Funding'!$B$26:$B$274,0))</f>
        <v>0</v>
      </c>
      <c r="AD124" s="5">
        <f t="shared" si="32"/>
        <v>0</v>
      </c>
      <c r="AF124" s="18"/>
      <c r="AG124" s="96"/>
    </row>
    <row r="125" spans="2:33" x14ac:dyDescent="0.25">
      <c r="B125">
        <v>980</v>
      </c>
      <c r="C125" s="28">
        <v>6</v>
      </c>
      <c r="D125" s="35" t="s">
        <v>158</v>
      </c>
      <c r="E125" s="154">
        <v>38.773680173491201</v>
      </c>
      <c r="F125" s="154">
        <f>INDEX('Revised 2018 Lockdown'!H$5:H$253,MATCH(B125,'Revised 2018 Lockdown'!B$5:B$253,0))</f>
        <v>38.773680173491201</v>
      </c>
      <c r="G125" s="154">
        <f t="shared" si="25"/>
        <v>0</v>
      </c>
      <c r="H125" s="5">
        <v>37348.19</v>
      </c>
      <c r="I125" s="5">
        <f>INDEX('Revised 2018 Lockdown'!E$5:E$253,MATCH(B125,'Revised 2018 Lockdown'!B$5:B$253,0))</f>
        <v>37348.19</v>
      </c>
      <c r="J125" s="5">
        <f t="shared" si="26"/>
        <v>0</v>
      </c>
      <c r="K125" s="5">
        <v>0</v>
      </c>
      <c r="L125" s="5">
        <f>INDEX('Revised 2018 Lockdown'!F$5:F$253,MATCH(B125,'Revised 2018 Lockdown'!B$5:B$253,0))</f>
        <v>0</v>
      </c>
      <c r="M125" s="5">
        <f t="shared" si="27"/>
        <v>0</v>
      </c>
      <c r="N125" s="5">
        <v>37348.19</v>
      </c>
      <c r="O125" s="97">
        <f t="shared" si="28"/>
        <v>37348.19</v>
      </c>
      <c r="P125" s="97">
        <f t="shared" si="29"/>
        <v>0</v>
      </c>
      <c r="Q125" s="95">
        <f t="shared" si="30"/>
        <v>963.23562356957336</v>
      </c>
      <c r="R125" s="6">
        <f t="shared" si="17"/>
        <v>963.23562356957336</v>
      </c>
      <c r="S125" s="5">
        <f t="shared" si="31"/>
        <v>37348.19</v>
      </c>
      <c r="T125" s="135">
        <v>0.40134821428571427</v>
      </c>
      <c r="U125" s="97">
        <f t="shared" si="18"/>
        <v>8224.2471680301533</v>
      </c>
      <c r="V125" s="97">
        <f t="shared" si="19"/>
        <v>2191.7772525625101</v>
      </c>
      <c r="W125" s="97">
        <f t="shared" si="20"/>
        <v>990.23607441997331</v>
      </c>
      <c r="X125" s="97">
        <f t="shared" si="21"/>
        <v>468.28815826432668</v>
      </c>
      <c r="Y125" s="97">
        <f t="shared" si="22"/>
        <v>11874.548653276963</v>
      </c>
      <c r="Z125" s="104">
        <f t="shared" si="23"/>
        <v>0.31794174371708406</v>
      </c>
      <c r="AA125" s="96">
        <f t="shared" si="24"/>
        <v>11874.548653276963</v>
      </c>
      <c r="AB125" s="97"/>
      <c r="AC125" s="96">
        <f>INDEX('[2]2020 Funding'!$S$26:$S$274,MATCH(B125,'[2]2020 Funding'!$B$26:$B$274,0))</f>
        <v>11880.764389847089</v>
      </c>
      <c r="AD125" s="5">
        <f t="shared" si="32"/>
        <v>-6.215736570125955</v>
      </c>
      <c r="AF125" s="18"/>
      <c r="AG125" s="96"/>
    </row>
    <row r="126" spans="2:33" x14ac:dyDescent="0.25">
      <c r="B126">
        <v>986</v>
      </c>
      <c r="C126" s="28">
        <v>6</v>
      </c>
      <c r="D126" s="35" t="s">
        <v>159</v>
      </c>
      <c r="E126" s="154">
        <v>8.1183888146059324</v>
      </c>
      <c r="F126" s="154">
        <f>INDEX('Revised 2018 Lockdown'!H$5:H$253,MATCH(B126,'Revised 2018 Lockdown'!B$5:B$253,0))</f>
        <v>8.1183888146059324</v>
      </c>
      <c r="G126" s="154">
        <f t="shared" si="25"/>
        <v>0</v>
      </c>
      <c r="H126" s="5">
        <v>42773.26</v>
      </c>
      <c r="I126" s="5">
        <f>INDEX('Revised 2018 Lockdown'!E$5:E$253,MATCH(B126,'Revised 2018 Lockdown'!B$5:B$253,0))</f>
        <v>42773.26</v>
      </c>
      <c r="J126" s="5">
        <f t="shared" si="26"/>
        <v>0</v>
      </c>
      <c r="K126" s="5">
        <v>0</v>
      </c>
      <c r="L126" s="5">
        <f>INDEX('Revised 2018 Lockdown'!F$5:F$253,MATCH(B126,'Revised 2018 Lockdown'!B$5:B$253,0))</f>
        <v>0</v>
      </c>
      <c r="M126" s="5">
        <f t="shared" si="27"/>
        <v>0</v>
      </c>
      <c r="N126" s="5">
        <v>42773.26</v>
      </c>
      <c r="O126" s="97">
        <f t="shared" si="28"/>
        <v>42773.26</v>
      </c>
      <c r="P126" s="97">
        <f t="shared" si="29"/>
        <v>0</v>
      </c>
      <c r="Q126" s="95">
        <f t="shared" si="30"/>
        <v>5268.6882800003241</v>
      </c>
      <c r="R126" s="6">
        <f t="shared" si="17"/>
        <v>1288.4693619331024</v>
      </c>
      <c r="S126" s="5">
        <f t="shared" si="31"/>
        <v>10460.295255880141</v>
      </c>
      <c r="T126" s="135">
        <v>0.22635416666666669</v>
      </c>
      <c r="U126" s="97">
        <f t="shared" si="18"/>
        <v>2303.4062329374328</v>
      </c>
      <c r="V126" s="97">
        <f t="shared" si="19"/>
        <v>458.91181470765844</v>
      </c>
      <c r="W126" s="97">
        <f t="shared" si="20"/>
        <v>156.41567950540752</v>
      </c>
      <c r="X126" s="97">
        <f t="shared" si="21"/>
        <v>131.15581773245731</v>
      </c>
      <c r="Y126" s="97">
        <f t="shared" si="22"/>
        <v>3049.8895448829558</v>
      </c>
      <c r="Z126" s="104">
        <f t="shared" si="23"/>
        <v>0.29156820818881701</v>
      </c>
      <c r="AA126" s="96">
        <f t="shared" si="24"/>
        <v>3049.8895448829558</v>
      </c>
      <c r="AB126" s="97"/>
      <c r="AC126" s="96">
        <f>INDEX('[2]2020 Funding'!$S$26:$S$274,MATCH(B126,'[2]2020 Funding'!$B$26:$B$274,0))</f>
        <v>3050.0604981121974</v>
      </c>
      <c r="AD126" s="5">
        <f t="shared" si="32"/>
        <v>-0.17095322924160428</v>
      </c>
      <c r="AF126" s="18"/>
      <c r="AG126" s="96"/>
    </row>
    <row r="127" spans="2:33" x14ac:dyDescent="0.25">
      <c r="B127">
        <v>988</v>
      </c>
      <c r="C127" s="28">
        <v>6</v>
      </c>
      <c r="D127" s="35" t="s">
        <v>160</v>
      </c>
      <c r="E127" s="154">
        <v>144.72352333946131</v>
      </c>
      <c r="F127" s="154">
        <f>INDEX('Revised 2018 Lockdown'!H$5:H$253,MATCH(B127,'Revised 2018 Lockdown'!B$5:B$253,0))</f>
        <v>144.72352333946131</v>
      </c>
      <c r="G127" s="154">
        <f t="shared" si="25"/>
        <v>0</v>
      </c>
      <c r="H127" s="5">
        <v>80859.64</v>
      </c>
      <c r="I127" s="5">
        <f>INDEX('Revised 2018 Lockdown'!E$5:E$253,MATCH(B127,'Revised 2018 Lockdown'!B$5:B$253,0))</f>
        <v>80859.64</v>
      </c>
      <c r="J127" s="5">
        <f t="shared" si="26"/>
        <v>0</v>
      </c>
      <c r="K127" s="5">
        <v>155</v>
      </c>
      <c r="L127" s="5">
        <f>INDEX('Revised 2018 Lockdown'!F$5:F$253,MATCH(B127,'Revised 2018 Lockdown'!B$5:B$253,0))</f>
        <v>155</v>
      </c>
      <c r="M127" s="5">
        <f t="shared" si="27"/>
        <v>0</v>
      </c>
      <c r="N127" s="5">
        <v>80704.639999999999</v>
      </c>
      <c r="O127" s="97">
        <f t="shared" si="28"/>
        <v>80704.639999999999</v>
      </c>
      <c r="P127" s="97">
        <f t="shared" si="29"/>
        <v>0</v>
      </c>
      <c r="Q127" s="95">
        <f t="shared" si="30"/>
        <v>557.64700953762997</v>
      </c>
      <c r="R127" s="6">
        <f t="shared" si="17"/>
        <v>557.64700953762997</v>
      </c>
      <c r="S127" s="5">
        <f t="shared" si="31"/>
        <v>80704.639999999999</v>
      </c>
      <c r="T127" s="135">
        <v>0.77836904761904746</v>
      </c>
      <c r="U127" s="97">
        <f t="shared" si="18"/>
        <v>17771.541458016924</v>
      </c>
      <c r="V127" s="97">
        <f t="shared" si="19"/>
        <v>8180.8516743013561</v>
      </c>
      <c r="W127" s="97">
        <f t="shared" si="20"/>
        <v>4149.8453398197144</v>
      </c>
      <c r="X127" s="97">
        <f t="shared" si="21"/>
        <v>1011.9105431611415</v>
      </c>
      <c r="Y127" s="97">
        <f t="shared" si="22"/>
        <v>31114.149015299135</v>
      </c>
      <c r="Z127" s="104">
        <f t="shared" si="23"/>
        <v>0.38553110472085789</v>
      </c>
      <c r="AA127" s="96">
        <f t="shared" si="24"/>
        <v>31114.149015299135</v>
      </c>
      <c r="AB127" s="97"/>
      <c r="AC127" s="96">
        <f>INDEX('[2]2020 Funding'!$S$26:$S$274,MATCH(B127,'[2]2020 Funding'!$B$26:$B$274,0))</f>
        <v>31127.957455069005</v>
      </c>
      <c r="AD127" s="5">
        <f t="shared" si="32"/>
        <v>-13.808439769869437</v>
      </c>
      <c r="AF127" s="18"/>
      <c r="AG127" s="96"/>
    </row>
    <row r="128" spans="2:33" x14ac:dyDescent="0.25">
      <c r="B128">
        <v>989</v>
      </c>
      <c r="C128" s="28">
        <v>6</v>
      </c>
      <c r="D128" s="35" t="s">
        <v>161</v>
      </c>
      <c r="E128" s="154">
        <v>456.51183625078789</v>
      </c>
      <c r="F128" s="154">
        <f>INDEX('Revised 2018 Lockdown'!H$5:H$253,MATCH(B128,'Revised 2018 Lockdown'!B$5:B$253,0))</f>
        <v>456.51183625078789</v>
      </c>
      <c r="G128" s="154">
        <f t="shared" si="25"/>
        <v>0</v>
      </c>
      <c r="H128" s="5">
        <v>266398.28999999998</v>
      </c>
      <c r="I128" s="5">
        <f>INDEX('Revised 2018 Lockdown'!E$5:E$253,MATCH(B128,'Revised 2018 Lockdown'!B$5:B$253,0))</f>
        <v>266398.28999999998</v>
      </c>
      <c r="J128" s="5">
        <f t="shared" si="26"/>
        <v>0</v>
      </c>
      <c r="K128" s="5">
        <v>36564.799999999996</v>
      </c>
      <c r="L128" s="5">
        <f>INDEX('Revised 2018 Lockdown'!F$5:F$253,MATCH(B128,'Revised 2018 Lockdown'!B$5:B$253,0))</f>
        <v>36564.799999999996</v>
      </c>
      <c r="M128" s="5">
        <f t="shared" si="27"/>
        <v>0</v>
      </c>
      <c r="N128" s="5">
        <v>229833.49</v>
      </c>
      <c r="O128" s="97">
        <f t="shared" si="28"/>
        <v>229833.49</v>
      </c>
      <c r="P128" s="97">
        <f t="shared" si="29"/>
        <v>0</v>
      </c>
      <c r="Q128" s="95">
        <f t="shared" si="30"/>
        <v>503.4557085913965</v>
      </c>
      <c r="R128" s="6">
        <f t="shared" si="17"/>
        <v>503.4557085913965</v>
      </c>
      <c r="S128" s="5">
        <f t="shared" si="31"/>
        <v>229833.49</v>
      </c>
      <c r="T128" s="135">
        <v>0.69499999999999995</v>
      </c>
      <c r="U128" s="97">
        <f t="shared" si="18"/>
        <v>50610.415906392962</v>
      </c>
      <c r="V128" s="97">
        <f t="shared" si="19"/>
        <v>25805.449824288018</v>
      </c>
      <c r="W128" s="97">
        <f t="shared" si="20"/>
        <v>10552.27171648293</v>
      </c>
      <c r="X128" s="97">
        <f t="shared" si="21"/>
        <v>2881.7541556782953</v>
      </c>
      <c r="Y128" s="97">
        <f t="shared" si="22"/>
        <v>89849.891602842195</v>
      </c>
      <c r="Z128" s="104">
        <f t="shared" si="23"/>
        <v>0.3909347223628819</v>
      </c>
      <c r="AA128" s="96">
        <f t="shared" si="24"/>
        <v>89849.891602842195</v>
      </c>
      <c r="AB128" s="97"/>
      <c r="AC128" s="96">
        <f>INDEX('[2]2020 Funding'!$S$26:$S$274,MATCH(B128,'[2]2020 Funding'!$B$26:$B$274,0))</f>
        <v>89887.725529939198</v>
      </c>
      <c r="AD128" s="5">
        <f t="shared" si="32"/>
        <v>-37.833927097002743</v>
      </c>
      <c r="AF128" s="18"/>
      <c r="AG128" s="96"/>
    </row>
    <row r="129" spans="2:33" x14ac:dyDescent="0.25">
      <c r="B129">
        <v>39</v>
      </c>
      <c r="C129" s="28">
        <v>7</v>
      </c>
      <c r="D129" s="35" t="s">
        <v>162</v>
      </c>
      <c r="E129" s="154">
        <v>383.36</v>
      </c>
      <c r="F129" s="154">
        <f>INDEX('Revised 2018 Lockdown'!H$5:H$253,MATCH(B129,'Revised 2018 Lockdown'!B$5:B$253,0))</f>
        <v>383.36</v>
      </c>
      <c r="G129" s="154">
        <f t="shared" si="25"/>
        <v>0</v>
      </c>
      <c r="H129" s="5">
        <v>108160.35</v>
      </c>
      <c r="I129" s="5">
        <f>INDEX('Revised 2018 Lockdown'!E$5:E$253,MATCH(B129,'Revised 2018 Lockdown'!B$5:B$253,0))</f>
        <v>108160.35</v>
      </c>
      <c r="J129" s="5">
        <f t="shared" si="26"/>
        <v>0</v>
      </c>
      <c r="K129" s="5">
        <v>1756.13</v>
      </c>
      <c r="L129" s="5">
        <f>INDEX('Revised 2018 Lockdown'!F$5:F$253,MATCH(B129,'Revised 2018 Lockdown'!B$5:B$253,0))</f>
        <v>1756.13</v>
      </c>
      <c r="M129" s="5">
        <f t="shared" si="27"/>
        <v>0</v>
      </c>
      <c r="N129" s="5">
        <v>106404.22</v>
      </c>
      <c r="O129" s="97">
        <f t="shared" si="28"/>
        <v>106404.22</v>
      </c>
      <c r="P129" s="97">
        <f t="shared" si="29"/>
        <v>0</v>
      </c>
      <c r="Q129" s="95">
        <f t="shared" si="30"/>
        <v>277.55691777963273</v>
      </c>
      <c r="R129" s="6">
        <f t="shared" si="17"/>
        <v>277.55691777963273</v>
      </c>
      <c r="S129" s="5">
        <f t="shared" si="31"/>
        <v>106404.22</v>
      </c>
      <c r="T129" s="135">
        <v>0.60305059523809523</v>
      </c>
      <c r="U129" s="97">
        <f t="shared" si="18"/>
        <v>23430.709895217344</v>
      </c>
      <c r="V129" s="97">
        <f t="shared" si="19"/>
        <v>21670.363086061123</v>
      </c>
      <c r="W129" s="97">
        <f t="shared" si="20"/>
        <v>4238.9710647485836</v>
      </c>
      <c r="X129" s="97">
        <f t="shared" si="21"/>
        <v>1334.1432667915697</v>
      </c>
      <c r="Y129" s="97">
        <f t="shared" si="22"/>
        <v>50674.187312818627</v>
      </c>
      <c r="Z129" s="104">
        <f t="shared" si="23"/>
        <v>0.47624227039884909</v>
      </c>
      <c r="AA129" s="96">
        <f t="shared" si="24"/>
        <v>50674.187312818627</v>
      </c>
      <c r="AB129" s="97"/>
      <c r="AC129" s="96">
        <f>INDEX('[2]2020 Funding'!$S$26:$S$274,MATCH(B129,'[2]2020 Funding'!$B$26:$B$274,0))</f>
        <v>50688.680486421144</v>
      </c>
      <c r="AD129" s="5">
        <f t="shared" si="32"/>
        <v>-14.493173602517345</v>
      </c>
      <c r="AF129" s="18"/>
      <c r="AG129" s="96"/>
    </row>
    <row r="130" spans="2:33" x14ac:dyDescent="0.25">
      <c r="B130">
        <v>59</v>
      </c>
      <c r="C130" s="28">
        <v>7</v>
      </c>
      <c r="D130" s="35" t="s">
        <v>163</v>
      </c>
      <c r="E130" s="154">
        <v>233.31196774077719</v>
      </c>
      <c r="F130" s="154">
        <f>INDEX('Revised 2018 Lockdown'!H$5:H$253,MATCH(B130,'Revised 2018 Lockdown'!B$5:B$253,0))</f>
        <v>233.31196774077719</v>
      </c>
      <c r="G130" s="154">
        <f t="shared" si="25"/>
        <v>0</v>
      </c>
      <c r="H130" s="5">
        <v>172265.9</v>
      </c>
      <c r="I130" s="5">
        <f>INDEX('Revised 2018 Lockdown'!E$5:E$253,MATCH(B130,'Revised 2018 Lockdown'!B$5:B$253,0))</f>
        <v>172265.9</v>
      </c>
      <c r="J130" s="5">
        <f t="shared" si="26"/>
        <v>0</v>
      </c>
      <c r="K130" s="5">
        <v>0</v>
      </c>
      <c r="L130" s="5">
        <f>INDEX('Revised 2018 Lockdown'!F$5:F$253,MATCH(B130,'Revised 2018 Lockdown'!B$5:B$253,0))</f>
        <v>0</v>
      </c>
      <c r="M130" s="5">
        <f t="shared" si="27"/>
        <v>0</v>
      </c>
      <c r="N130" s="5">
        <v>172265.9</v>
      </c>
      <c r="O130" s="97">
        <f t="shared" si="28"/>
        <v>172265.9</v>
      </c>
      <c r="P130" s="97">
        <f t="shared" si="29"/>
        <v>0</v>
      </c>
      <c r="Q130" s="95">
        <f t="shared" si="30"/>
        <v>738.35003694022748</v>
      </c>
      <c r="R130" s="6">
        <f t="shared" si="17"/>
        <v>724.30462453114228</v>
      </c>
      <c r="S130" s="5">
        <f t="shared" si="31"/>
        <v>168988.93719310561</v>
      </c>
      <c r="T130" s="135">
        <v>9.7696428571428573E-2</v>
      </c>
      <c r="U130" s="97">
        <f t="shared" si="18"/>
        <v>37212.159093622053</v>
      </c>
      <c r="V130" s="97">
        <f t="shared" si="19"/>
        <v>13188.530502050347</v>
      </c>
      <c r="W130" s="97">
        <f t="shared" si="20"/>
        <v>1090.6485128636048</v>
      </c>
      <c r="X130" s="97">
        <f t="shared" si="21"/>
        <v>2118.8581873768289</v>
      </c>
      <c r="Y130" s="97">
        <f t="shared" si="22"/>
        <v>53610.196295912836</v>
      </c>
      <c r="Z130" s="104">
        <f t="shared" si="23"/>
        <v>0.31724086313799255</v>
      </c>
      <c r="AA130" s="96">
        <f t="shared" si="24"/>
        <v>53610.196295912836</v>
      </c>
      <c r="AB130" s="97"/>
      <c r="AC130" s="96">
        <f>INDEX('[2]2020 Funding'!$S$26:$S$274,MATCH(B130,'[2]2020 Funding'!$B$26:$B$274,0))</f>
        <v>53844.803396462718</v>
      </c>
      <c r="AD130" s="5">
        <f t="shared" si="32"/>
        <v>-234.60710054988158</v>
      </c>
      <c r="AF130" s="18"/>
      <c r="AG130" s="96"/>
    </row>
    <row r="131" spans="2:33" x14ac:dyDescent="0.25">
      <c r="B131">
        <v>100</v>
      </c>
      <c r="C131" s="28">
        <v>7</v>
      </c>
      <c r="D131" s="35" t="s">
        <v>272</v>
      </c>
      <c r="E131" s="154">
        <v>31.644171725300925</v>
      </c>
      <c r="F131" s="154">
        <f>INDEX('Revised 2018 Lockdown'!H$5:H$253,MATCH(B131,'Revised 2018 Lockdown'!B$5:B$253,0))</f>
        <v>31.644171725300925</v>
      </c>
      <c r="G131" s="154">
        <f t="shared" si="25"/>
        <v>0</v>
      </c>
      <c r="H131" s="5">
        <v>30401.27</v>
      </c>
      <c r="I131" s="5">
        <f>INDEX('Revised 2018 Lockdown'!E$5:E$253,MATCH(B131,'Revised 2018 Lockdown'!B$5:B$253,0))</f>
        <v>30401.27</v>
      </c>
      <c r="J131" s="5">
        <f t="shared" si="26"/>
        <v>0</v>
      </c>
      <c r="K131" s="5">
        <v>0</v>
      </c>
      <c r="L131" s="5">
        <f>INDEX('Revised 2018 Lockdown'!F$5:F$253,MATCH(B131,'Revised 2018 Lockdown'!B$5:B$253,0))</f>
        <v>0</v>
      </c>
      <c r="M131" s="5">
        <f t="shared" si="27"/>
        <v>0</v>
      </c>
      <c r="N131" s="5">
        <v>30401.27</v>
      </c>
      <c r="O131" s="97">
        <f t="shared" si="28"/>
        <v>30401.27</v>
      </c>
      <c r="P131" s="97">
        <f t="shared" si="29"/>
        <v>0</v>
      </c>
      <c r="Q131" s="95">
        <f t="shared" si="30"/>
        <v>960.72257045972322</v>
      </c>
      <c r="R131" s="6">
        <f t="shared" si="17"/>
        <v>724.30462453114228</v>
      </c>
      <c r="S131" s="5">
        <f t="shared" si="31"/>
        <v>22920.019920093077</v>
      </c>
      <c r="T131" s="135">
        <v>0</v>
      </c>
      <c r="U131" s="97">
        <f t="shared" si="18"/>
        <v>5047.0962292689464</v>
      </c>
      <c r="V131" s="97">
        <f t="shared" si="19"/>
        <v>1788.7643229469436</v>
      </c>
      <c r="W131" s="97">
        <f t="shared" si="20"/>
        <v>0</v>
      </c>
      <c r="X131" s="97">
        <f t="shared" si="21"/>
        <v>287.38136749765027</v>
      </c>
      <c r="Y131" s="97">
        <f t="shared" si="22"/>
        <v>7123.2419197135405</v>
      </c>
      <c r="Z131" s="104">
        <f t="shared" si="23"/>
        <v>0.31078689916272173</v>
      </c>
      <c r="AA131" s="96">
        <f t="shared" si="24"/>
        <v>7123.2419197135405</v>
      </c>
      <c r="AB131" s="97"/>
      <c r="AC131" s="96">
        <f>INDEX('[2]2020 Funding'!$S$26:$S$274,MATCH(B131,'[2]2020 Funding'!$B$26:$B$274,0))</f>
        <v>7154.1992840450184</v>
      </c>
      <c r="AD131" s="5">
        <f t="shared" si="32"/>
        <v>-30.957364331477947</v>
      </c>
      <c r="AF131" s="18"/>
      <c r="AG131" s="96"/>
    </row>
    <row r="132" spans="2:33" x14ac:dyDescent="0.25">
      <c r="B132">
        <v>128</v>
      </c>
      <c r="C132" s="28">
        <v>7</v>
      </c>
      <c r="D132" s="35" t="s">
        <v>164</v>
      </c>
      <c r="E132" s="154">
        <v>144.8151497882408</v>
      </c>
      <c r="F132" s="154">
        <f>INDEX('Revised 2018 Lockdown'!H$5:H$253,MATCH(B132,'Revised 2018 Lockdown'!B$5:B$253,0))</f>
        <v>144.8151497882408</v>
      </c>
      <c r="G132" s="154">
        <f t="shared" si="25"/>
        <v>0</v>
      </c>
      <c r="H132" s="5">
        <v>96271.57</v>
      </c>
      <c r="I132" s="5">
        <f>INDEX('Revised 2018 Lockdown'!E$5:E$253,MATCH(B132,'Revised 2018 Lockdown'!B$5:B$253,0))</f>
        <v>96271.57</v>
      </c>
      <c r="J132" s="5">
        <f t="shared" si="26"/>
        <v>0</v>
      </c>
      <c r="K132" s="5">
        <v>119.44</v>
      </c>
      <c r="L132" s="5">
        <f>INDEX('Revised 2018 Lockdown'!F$5:F$253,MATCH(B132,'Revised 2018 Lockdown'!B$5:B$253,0))</f>
        <v>119.44</v>
      </c>
      <c r="M132" s="5">
        <f t="shared" si="27"/>
        <v>0</v>
      </c>
      <c r="N132" s="5">
        <v>96152.13</v>
      </c>
      <c r="O132" s="97">
        <f t="shared" si="28"/>
        <v>96152.13</v>
      </c>
      <c r="P132" s="97">
        <f t="shared" si="29"/>
        <v>0</v>
      </c>
      <c r="Q132" s="95">
        <f t="shared" si="30"/>
        <v>663.96457926260211</v>
      </c>
      <c r="R132" s="6">
        <f t="shared" si="17"/>
        <v>663.96457926260211</v>
      </c>
      <c r="S132" s="5">
        <f t="shared" si="31"/>
        <v>96152.13</v>
      </c>
      <c r="T132" s="135">
        <v>9.7696428571428573E-2</v>
      </c>
      <c r="U132" s="97">
        <f t="shared" si="18"/>
        <v>21173.151439268335</v>
      </c>
      <c r="V132" s="97">
        <f t="shared" si="19"/>
        <v>8186.0310837685365</v>
      </c>
      <c r="W132" s="97">
        <f t="shared" si="20"/>
        <v>620.56238316555562</v>
      </c>
      <c r="X132" s="97">
        <f t="shared" si="21"/>
        <v>1205.5980188301526</v>
      </c>
      <c r="Y132" s="97">
        <f t="shared" si="22"/>
        <v>31185.342925032575</v>
      </c>
      <c r="Z132" s="104">
        <f t="shared" si="23"/>
        <v>0.32433335512206096</v>
      </c>
      <c r="AA132" s="96">
        <f t="shared" si="24"/>
        <v>31185.342925032575</v>
      </c>
      <c r="AB132" s="97"/>
      <c r="AC132" s="96">
        <f>INDEX('[2]2020 Funding'!$S$26:$S$274,MATCH(B132,'[2]2020 Funding'!$B$26:$B$274,0))</f>
        <v>31199.416745975523</v>
      </c>
      <c r="AD132" s="5">
        <f t="shared" si="32"/>
        <v>-14.07382094294735</v>
      </c>
      <c r="AF132" s="18"/>
      <c r="AG132" s="96"/>
    </row>
    <row r="133" spans="2:33" x14ac:dyDescent="0.25">
      <c r="B133">
        <v>152</v>
      </c>
      <c r="C133" s="28">
        <v>7</v>
      </c>
      <c r="D133" s="35" t="s">
        <v>165</v>
      </c>
      <c r="E133" s="154">
        <v>355.34</v>
      </c>
      <c r="F133" s="154">
        <f>INDEX('Revised 2018 Lockdown'!H$5:H$253,MATCH(B133,'Revised 2018 Lockdown'!B$5:B$253,0))</f>
        <v>355.34</v>
      </c>
      <c r="G133" s="154">
        <f t="shared" si="25"/>
        <v>0</v>
      </c>
      <c r="H133" s="5">
        <v>157814.06</v>
      </c>
      <c r="I133" s="5">
        <f>INDEX('Revised 2018 Lockdown'!E$5:E$253,MATCH(B133,'Revised 2018 Lockdown'!B$5:B$253,0))</f>
        <v>157814.06</v>
      </c>
      <c r="J133" s="5">
        <f t="shared" si="26"/>
        <v>0</v>
      </c>
      <c r="K133" s="5">
        <v>22795.199999999997</v>
      </c>
      <c r="L133" s="5">
        <f>INDEX('Revised 2018 Lockdown'!F$5:F$253,MATCH(B133,'Revised 2018 Lockdown'!B$5:B$253,0))</f>
        <v>22795.199999999997</v>
      </c>
      <c r="M133" s="5">
        <f t="shared" si="27"/>
        <v>0</v>
      </c>
      <c r="N133" s="5">
        <v>135018.85999999999</v>
      </c>
      <c r="O133" s="97">
        <f t="shared" si="28"/>
        <v>135018.85999999999</v>
      </c>
      <c r="P133" s="97">
        <f t="shared" si="29"/>
        <v>0</v>
      </c>
      <c r="Q133" s="95">
        <f t="shared" si="30"/>
        <v>379.97090110879719</v>
      </c>
      <c r="R133" s="6">
        <f t="shared" si="17"/>
        <v>379.97090110879719</v>
      </c>
      <c r="S133" s="5">
        <f t="shared" si="31"/>
        <v>135018.85999999999</v>
      </c>
      <c r="T133" s="135">
        <v>0.25982738095238095</v>
      </c>
      <c r="U133" s="97">
        <f t="shared" si="18"/>
        <v>29731.788260305508</v>
      </c>
      <c r="V133" s="97">
        <f t="shared" si="19"/>
        <v>20086.46394772788</v>
      </c>
      <c r="W133" s="97">
        <f t="shared" si="20"/>
        <v>2317.5398024117781</v>
      </c>
      <c r="X133" s="97">
        <f t="shared" si="21"/>
        <v>1692.9263046040239</v>
      </c>
      <c r="Y133" s="97">
        <f t="shared" si="22"/>
        <v>53828.718315049184</v>
      </c>
      <c r="Z133" s="104">
        <f t="shared" si="23"/>
        <v>0.39867555032718532</v>
      </c>
      <c r="AA133" s="96">
        <f t="shared" si="24"/>
        <v>53828.718315049184</v>
      </c>
      <c r="AB133" s="97"/>
      <c r="AC133" s="96">
        <f>INDEX('[2]2020 Funding'!$S$26:$S$274,MATCH(B133,'[2]2020 Funding'!$B$26:$B$274,0))</f>
        <v>53847.11480670415</v>
      </c>
      <c r="AD133" s="5">
        <f t="shared" si="32"/>
        <v>-18.396491654966667</v>
      </c>
      <c r="AF133" s="18"/>
      <c r="AG133" s="96"/>
    </row>
    <row r="134" spans="2:33" x14ac:dyDescent="0.25">
      <c r="B134">
        <v>162</v>
      </c>
      <c r="C134" s="28">
        <v>7</v>
      </c>
      <c r="D134" s="35" t="s">
        <v>166</v>
      </c>
      <c r="E134" s="154">
        <v>789.80000000000007</v>
      </c>
      <c r="F134" s="154">
        <f>INDEX('Revised 2018 Lockdown'!H$5:H$253,MATCH(B134,'Revised 2018 Lockdown'!B$5:B$253,0))</f>
        <v>789.80000000000007</v>
      </c>
      <c r="G134" s="154">
        <f t="shared" si="25"/>
        <v>0</v>
      </c>
      <c r="H134" s="5">
        <v>386975.44</v>
      </c>
      <c r="I134" s="5">
        <f>INDEX('Revised 2018 Lockdown'!E$5:E$253,MATCH(B134,'Revised 2018 Lockdown'!B$5:B$253,0))</f>
        <v>386975.44</v>
      </c>
      <c r="J134" s="5">
        <f t="shared" si="26"/>
        <v>0</v>
      </c>
      <c r="K134" s="5">
        <v>24452.720000000001</v>
      </c>
      <c r="L134" s="5">
        <f>INDEX('Revised 2018 Lockdown'!F$5:F$253,MATCH(B134,'Revised 2018 Lockdown'!B$5:B$253,0))</f>
        <v>24452.720000000001</v>
      </c>
      <c r="M134" s="5">
        <f t="shared" si="27"/>
        <v>0</v>
      </c>
      <c r="N134" s="5">
        <v>362522.72</v>
      </c>
      <c r="O134" s="97">
        <f t="shared" si="28"/>
        <v>362522.72</v>
      </c>
      <c r="P134" s="97">
        <f t="shared" si="29"/>
        <v>0</v>
      </c>
      <c r="Q134" s="95">
        <f t="shared" si="30"/>
        <v>459.00572296783986</v>
      </c>
      <c r="R134" s="6">
        <f t="shared" si="17"/>
        <v>459.00572296783986</v>
      </c>
      <c r="S134" s="5">
        <f t="shared" si="31"/>
        <v>362522.72</v>
      </c>
      <c r="T134" s="135">
        <v>0.82153273809523808</v>
      </c>
      <c r="U134" s="97">
        <f t="shared" si="18"/>
        <v>79829.208679365387</v>
      </c>
      <c r="V134" s="97">
        <f t="shared" si="19"/>
        <v>44645.379709336077</v>
      </c>
      <c r="W134" s="97">
        <f t="shared" si="20"/>
        <v>19674.692515900559</v>
      </c>
      <c r="X134" s="97">
        <f t="shared" si="21"/>
        <v>4545.4705268923117</v>
      </c>
      <c r="Y134" s="97">
        <f t="shared" si="22"/>
        <v>148694.75143149434</v>
      </c>
      <c r="Z134" s="104">
        <f t="shared" si="23"/>
        <v>0.41016671018990025</v>
      </c>
      <c r="AA134" s="96">
        <f t="shared" si="24"/>
        <v>148694.75143149434</v>
      </c>
      <c r="AB134" s="97"/>
      <c r="AC134" s="96">
        <f>INDEX('[2]2020 Funding'!$S$26:$S$274,MATCH(B134,'[2]2020 Funding'!$B$26:$B$274,0))</f>
        <v>148755.33152604068</v>
      </c>
      <c r="AD134" s="5">
        <f t="shared" si="32"/>
        <v>-60.58009454634157</v>
      </c>
      <c r="AF134" s="18"/>
      <c r="AG134" s="96"/>
    </row>
    <row r="135" spans="2:33" x14ac:dyDescent="0.25">
      <c r="B135">
        <v>166</v>
      </c>
      <c r="C135" s="28">
        <v>7</v>
      </c>
      <c r="D135" s="35" t="s">
        <v>167</v>
      </c>
      <c r="E135" s="154">
        <v>860.3599999999999</v>
      </c>
      <c r="F135" s="154">
        <f>INDEX('Revised 2018 Lockdown'!H$5:H$253,MATCH(B135,'Revised 2018 Lockdown'!B$5:B$253,0))</f>
        <v>860.3599999999999</v>
      </c>
      <c r="G135" s="154">
        <f t="shared" si="25"/>
        <v>0</v>
      </c>
      <c r="H135" s="5">
        <v>451775.31</v>
      </c>
      <c r="I135" s="5">
        <f>INDEX('Revised 2018 Lockdown'!E$5:E$253,MATCH(B135,'Revised 2018 Lockdown'!B$5:B$253,0))</f>
        <v>451775.31</v>
      </c>
      <c r="J135" s="5">
        <f t="shared" si="26"/>
        <v>0</v>
      </c>
      <c r="K135" s="5">
        <v>109930.31</v>
      </c>
      <c r="L135" s="5">
        <f>INDEX('Revised 2018 Lockdown'!F$5:F$253,MATCH(B135,'Revised 2018 Lockdown'!B$5:B$253,0))</f>
        <v>109930.31</v>
      </c>
      <c r="M135" s="5">
        <f t="shared" si="27"/>
        <v>0</v>
      </c>
      <c r="N135" s="5">
        <v>341845</v>
      </c>
      <c r="O135" s="97">
        <f t="shared" si="28"/>
        <v>341845</v>
      </c>
      <c r="P135" s="97">
        <f t="shared" si="29"/>
        <v>0</v>
      </c>
      <c r="Q135" s="95">
        <f t="shared" si="30"/>
        <v>397.32786275512581</v>
      </c>
      <c r="R135" s="6">
        <f t="shared" si="17"/>
        <v>397.32786275512581</v>
      </c>
      <c r="S135" s="5">
        <f t="shared" si="31"/>
        <v>341845</v>
      </c>
      <c r="T135" s="135">
        <v>0.83794047619047607</v>
      </c>
      <c r="U135" s="97">
        <f t="shared" si="18"/>
        <v>75275.877442930112</v>
      </c>
      <c r="V135" s="97">
        <f t="shared" si="19"/>
        <v>48633.956554475029</v>
      </c>
      <c r="W135" s="97">
        <f t="shared" si="20"/>
        <v>18923.011377055431</v>
      </c>
      <c r="X135" s="97">
        <f t="shared" si="21"/>
        <v>4286.2041095396798</v>
      </c>
      <c r="Y135" s="97">
        <f t="shared" si="22"/>
        <v>147119.04948400025</v>
      </c>
      <c r="Z135" s="104">
        <f t="shared" si="23"/>
        <v>0.43036770900261889</v>
      </c>
      <c r="AA135" s="96">
        <f t="shared" si="24"/>
        <v>147119.04948400025</v>
      </c>
      <c r="AB135" s="97"/>
      <c r="AC135" s="96">
        <f>INDEX('[2]2020 Funding'!$S$26:$S$274,MATCH(B135,'[2]2020 Funding'!$B$26:$B$274,0))</f>
        <v>147174.66325264427</v>
      </c>
      <c r="AD135" s="5">
        <f t="shared" si="32"/>
        <v>-55.613768644019729</v>
      </c>
      <c r="AF135" s="18"/>
      <c r="AG135" s="96"/>
    </row>
    <row r="136" spans="2:33" x14ac:dyDescent="0.25">
      <c r="B136">
        <v>192</v>
      </c>
      <c r="C136" s="28">
        <v>7</v>
      </c>
      <c r="D136" s="35" t="s">
        <v>168</v>
      </c>
      <c r="E136" s="154">
        <v>166.06</v>
      </c>
      <c r="F136" s="154">
        <f>INDEX('Revised 2018 Lockdown'!H$5:H$253,MATCH(B136,'Revised 2018 Lockdown'!B$5:B$253,0))</f>
        <v>166.06</v>
      </c>
      <c r="G136" s="154">
        <f t="shared" si="25"/>
        <v>0</v>
      </c>
      <c r="H136" s="5">
        <v>119649.47</v>
      </c>
      <c r="I136" s="5">
        <f>INDEX('Revised 2018 Lockdown'!E$5:E$253,MATCH(B136,'Revised 2018 Lockdown'!B$5:B$253,0))</f>
        <v>119649.47</v>
      </c>
      <c r="J136" s="5">
        <f t="shared" si="26"/>
        <v>0</v>
      </c>
      <c r="K136" s="5">
        <v>21552.310000000005</v>
      </c>
      <c r="L136" s="5">
        <f>INDEX('Revised 2018 Lockdown'!F$5:F$253,MATCH(B136,'Revised 2018 Lockdown'!B$5:B$253,0))</f>
        <v>21552.310000000005</v>
      </c>
      <c r="M136" s="5">
        <f t="shared" si="27"/>
        <v>0</v>
      </c>
      <c r="N136" s="5">
        <v>98097.16</v>
      </c>
      <c r="O136" s="97">
        <f t="shared" si="28"/>
        <v>98097.16</v>
      </c>
      <c r="P136" s="97">
        <f t="shared" si="29"/>
        <v>0</v>
      </c>
      <c r="Q136" s="95">
        <f t="shared" si="30"/>
        <v>590.73322895339038</v>
      </c>
      <c r="R136" s="6">
        <f t="shared" si="17"/>
        <v>590.73322895339038</v>
      </c>
      <c r="S136" s="5">
        <f t="shared" si="31"/>
        <v>98097.16</v>
      </c>
      <c r="T136" s="135">
        <v>0.57625892857142857</v>
      </c>
      <c r="U136" s="97">
        <f t="shared" si="18"/>
        <v>21601.45619698842</v>
      </c>
      <c r="V136" s="97">
        <f t="shared" si="19"/>
        <v>9386.9482837836767</v>
      </c>
      <c r="W136" s="97">
        <f t="shared" si="20"/>
        <v>3734.4096010977578</v>
      </c>
      <c r="X136" s="97">
        <f t="shared" si="21"/>
        <v>1229.9856669723749</v>
      </c>
      <c r="Y136" s="97">
        <f t="shared" si="22"/>
        <v>35952.799748842226</v>
      </c>
      <c r="Z136" s="104">
        <f t="shared" si="23"/>
        <v>0.36650194306177902</v>
      </c>
      <c r="AA136" s="96">
        <f t="shared" si="24"/>
        <v>35952.799748842226</v>
      </c>
      <c r="AB136" s="97"/>
      <c r="AC136" s="96">
        <f>INDEX('[2]2020 Funding'!$S$26:$S$274,MATCH(B136,'[2]2020 Funding'!$B$26:$B$274,0))</f>
        <v>35968.88629178665</v>
      </c>
      <c r="AD136" s="5">
        <f t="shared" si="32"/>
        <v>-16.086542944423854</v>
      </c>
      <c r="AF136" s="18"/>
      <c r="AG136" s="96"/>
    </row>
    <row r="137" spans="2:33" x14ac:dyDescent="0.25">
      <c r="B137">
        <v>205</v>
      </c>
      <c r="C137" s="28">
        <v>7</v>
      </c>
      <c r="D137" s="35" t="s">
        <v>169</v>
      </c>
      <c r="E137" s="154">
        <v>611.51978389570877</v>
      </c>
      <c r="F137" s="154">
        <f>INDEX('Revised 2018 Lockdown'!H$5:H$253,MATCH(B137,'Revised 2018 Lockdown'!B$5:B$253,0))</f>
        <v>611.51978389570877</v>
      </c>
      <c r="G137" s="154">
        <f t="shared" si="25"/>
        <v>0</v>
      </c>
      <c r="H137" s="5">
        <v>424199.53</v>
      </c>
      <c r="I137" s="5">
        <f>INDEX('Revised 2018 Lockdown'!E$5:E$253,MATCH(B137,'Revised 2018 Lockdown'!B$5:B$253,0))</f>
        <v>424199.53</v>
      </c>
      <c r="J137" s="5">
        <f t="shared" si="26"/>
        <v>0</v>
      </c>
      <c r="K137" s="5">
        <v>18066.25</v>
      </c>
      <c r="L137" s="5">
        <f>INDEX('Revised 2018 Lockdown'!F$5:F$253,MATCH(B137,'Revised 2018 Lockdown'!B$5:B$253,0))</f>
        <v>18066.25</v>
      </c>
      <c r="M137" s="5">
        <f t="shared" si="27"/>
        <v>0</v>
      </c>
      <c r="N137" s="5">
        <v>406133.28</v>
      </c>
      <c r="O137" s="97">
        <f t="shared" si="28"/>
        <v>406133.28</v>
      </c>
      <c r="P137" s="97">
        <f t="shared" si="29"/>
        <v>0</v>
      </c>
      <c r="Q137" s="95">
        <f t="shared" si="30"/>
        <v>664.13759733612108</v>
      </c>
      <c r="R137" s="6">
        <f t="shared" si="17"/>
        <v>664.13759733612108</v>
      </c>
      <c r="S137" s="5">
        <f t="shared" si="31"/>
        <v>406133.28</v>
      </c>
      <c r="T137" s="135">
        <v>0.54729761904761909</v>
      </c>
      <c r="U137" s="97">
        <f t="shared" si="18"/>
        <v>89432.459186985972</v>
      </c>
      <c r="V137" s="97">
        <f t="shared" si="19"/>
        <v>34567.653775379913</v>
      </c>
      <c r="W137" s="97">
        <f t="shared" si="20"/>
        <v>14683.851593583235</v>
      </c>
      <c r="X137" s="97">
        <f t="shared" si="21"/>
        <v>5092.2790555860975</v>
      </c>
      <c r="Y137" s="97">
        <f t="shared" si="22"/>
        <v>143776.2436115352</v>
      </c>
      <c r="Z137" s="104">
        <f t="shared" si="23"/>
        <v>0.35401246509898227</v>
      </c>
      <c r="AA137" s="96">
        <f t="shared" si="24"/>
        <v>143776.2436115352</v>
      </c>
      <c r="AB137" s="97"/>
      <c r="AC137" s="96">
        <f>INDEX('[2]2020 Funding'!$S$26:$S$274,MATCH(B137,'[2]2020 Funding'!$B$26:$B$274,0))</f>
        <v>143843.49185461472</v>
      </c>
      <c r="AD137" s="5">
        <f t="shared" si="32"/>
        <v>-67.248243079520762</v>
      </c>
      <c r="AF137" s="18"/>
      <c r="AG137" s="96"/>
    </row>
    <row r="138" spans="2:33" x14ac:dyDescent="0.25">
      <c r="B138">
        <v>212</v>
      </c>
      <c r="C138" s="28">
        <v>7</v>
      </c>
      <c r="D138" s="35" t="s">
        <v>170</v>
      </c>
      <c r="E138" s="154">
        <v>456.16891805920824</v>
      </c>
      <c r="F138" s="154">
        <f>INDEX('Revised 2018 Lockdown'!H$5:H$253,MATCH(B138,'Revised 2018 Lockdown'!B$5:B$253,0))</f>
        <v>456.16891805920824</v>
      </c>
      <c r="G138" s="154">
        <f t="shared" si="25"/>
        <v>0</v>
      </c>
      <c r="H138" s="5">
        <v>245644.58</v>
      </c>
      <c r="I138" s="5">
        <f>INDEX('Revised 2018 Lockdown'!E$5:E$253,MATCH(B138,'Revised 2018 Lockdown'!B$5:B$253,0))</f>
        <v>245644.58</v>
      </c>
      <c r="J138" s="5">
        <f t="shared" si="26"/>
        <v>0</v>
      </c>
      <c r="K138" s="5">
        <v>630</v>
      </c>
      <c r="L138" s="5">
        <f>INDEX('Revised 2018 Lockdown'!F$5:F$253,MATCH(B138,'Revised 2018 Lockdown'!B$5:B$253,0))</f>
        <v>630</v>
      </c>
      <c r="M138" s="5">
        <f t="shared" si="27"/>
        <v>0</v>
      </c>
      <c r="N138" s="5">
        <v>245014.58</v>
      </c>
      <c r="O138" s="97">
        <f t="shared" si="28"/>
        <v>245014.58</v>
      </c>
      <c r="P138" s="97">
        <f t="shared" si="29"/>
        <v>0</v>
      </c>
      <c r="Q138" s="95">
        <f t="shared" si="30"/>
        <v>537.11371007570142</v>
      </c>
      <c r="R138" s="6">
        <f t="shared" si="17"/>
        <v>537.11371007570142</v>
      </c>
      <c r="S138" s="5">
        <f t="shared" si="31"/>
        <v>245014.57999999996</v>
      </c>
      <c r="T138" s="135">
        <v>0.26951785714285714</v>
      </c>
      <c r="U138" s="97">
        <f t="shared" si="18"/>
        <v>53953.363354183886</v>
      </c>
      <c r="V138" s="97">
        <f t="shared" si="19"/>
        <v>25786.065533489949</v>
      </c>
      <c r="W138" s="97">
        <f t="shared" si="20"/>
        <v>4362.4184630608788</v>
      </c>
      <c r="X138" s="97">
        <f t="shared" si="21"/>
        <v>3072.1013900836297</v>
      </c>
      <c r="Y138" s="97">
        <f t="shared" si="22"/>
        <v>87173.948740818334</v>
      </c>
      <c r="Z138" s="104">
        <f t="shared" si="23"/>
        <v>0.35579086248997244</v>
      </c>
      <c r="AA138" s="96">
        <f t="shared" si="24"/>
        <v>87173.948740818334</v>
      </c>
      <c r="AB138" s="97"/>
      <c r="AC138" s="96">
        <f>INDEX('[2]2020 Funding'!$S$26:$S$274,MATCH(B138,'[2]2020 Funding'!$B$26:$B$274,0))</f>
        <v>87210.290296894455</v>
      </c>
      <c r="AD138" s="5">
        <f t="shared" si="32"/>
        <v>-36.341556076120469</v>
      </c>
      <c r="AF138" s="18"/>
      <c r="AG138" s="96"/>
    </row>
    <row r="139" spans="2:33" x14ac:dyDescent="0.25">
      <c r="B139">
        <v>216</v>
      </c>
      <c r="C139" s="28">
        <v>7</v>
      </c>
      <c r="D139" s="35" t="s">
        <v>171</v>
      </c>
      <c r="E139" s="154">
        <v>764.6477139740557</v>
      </c>
      <c r="F139" s="154">
        <f>INDEX('Revised 2018 Lockdown'!H$5:H$253,MATCH(B139,'Revised 2018 Lockdown'!B$5:B$253,0))</f>
        <v>764.6477139740557</v>
      </c>
      <c r="G139" s="154">
        <f t="shared" si="25"/>
        <v>0</v>
      </c>
      <c r="H139" s="5">
        <v>319371.06</v>
      </c>
      <c r="I139" s="5">
        <f>INDEX('Revised 2018 Lockdown'!E$5:E$253,MATCH(B139,'Revised 2018 Lockdown'!B$5:B$253,0))</f>
        <v>319371.06</v>
      </c>
      <c r="J139" s="5">
        <f t="shared" si="26"/>
        <v>0</v>
      </c>
      <c r="K139" s="5">
        <v>285</v>
      </c>
      <c r="L139" s="5">
        <f>INDEX('Revised 2018 Lockdown'!F$5:F$253,MATCH(B139,'Revised 2018 Lockdown'!B$5:B$253,0))</f>
        <v>285</v>
      </c>
      <c r="M139" s="5">
        <f t="shared" si="27"/>
        <v>0</v>
      </c>
      <c r="N139" s="5">
        <v>319086.06</v>
      </c>
      <c r="O139" s="97">
        <f t="shared" si="28"/>
        <v>319086.06</v>
      </c>
      <c r="P139" s="97">
        <f t="shared" si="29"/>
        <v>0</v>
      </c>
      <c r="Q139" s="95">
        <f t="shared" si="30"/>
        <v>417.2981284958455</v>
      </c>
      <c r="R139" s="6">
        <f t="shared" si="17"/>
        <v>417.2981284958455</v>
      </c>
      <c r="S139" s="5">
        <f t="shared" si="31"/>
        <v>319086.06</v>
      </c>
      <c r="T139" s="135">
        <v>0.63541071428571427</v>
      </c>
      <c r="U139" s="97">
        <f t="shared" si="18"/>
        <v>70264.251769975992</v>
      </c>
      <c r="V139" s="97">
        <f t="shared" si="19"/>
        <v>43223.585128193867</v>
      </c>
      <c r="W139" s="97">
        <f t="shared" si="20"/>
        <v>13393.99752177351</v>
      </c>
      <c r="X139" s="97">
        <f t="shared" si="21"/>
        <v>4000.8424334678721</v>
      </c>
      <c r="Y139" s="97">
        <f t="shared" si="22"/>
        <v>130882.67685341123</v>
      </c>
      <c r="Z139" s="104">
        <f t="shared" si="23"/>
        <v>0.41017986449615268</v>
      </c>
      <c r="AA139" s="96">
        <f t="shared" si="24"/>
        <v>130882.67685341123</v>
      </c>
      <c r="AB139" s="97"/>
      <c r="AC139" s="96">
        <f>INDEX('[2]2020 Funding'!$S$26:$S$274,MATCH(B139,'[2]2020 Funding'!$B$26:$B$274,0))</f>
        <v>130932.40943658368</v>
      </c>
      <c r="AD139" s="5">
        <f t="shared" si="32"/>
        <v>-49.73258317244472</v>
      </c>
      <c r="AF139" s="18"/>
      <c r="AG139" s="96"/>
    </row>
    <row r="140" spans="2:33" x14ac:dyDescent="0.25">
      <c r="B140">
        <v>218</v>
      </c>
      <c r="C140" s="36">
        <v>7</v>
      </c>
      <c r="D140" s="35" t="s">
        <v>276</v>
      </c>
      <c r="E140" s="154">
        <v>290.41193028521099</v>
      </c>
      <c r="F140" s="154">
        <f>INDEX('Revised 2018 Lockdown'!H$5:H$253,MATCH(B140,'Revised 2018 Lockdown'!B$5:B$253,0))</f>
        <v>290.41193028521099</v>
      </c>
      <c r="G140" s="154">
        <f t="shared" si="25"/>
        <v>0</v>
      </c>
      <c r="H140" s="5">
        <v>189204.88</v>
      </c>
      <c r="I140" s="5">
        <f>INDEX('Revised 2018 Lockdown'!E$5:E$253,MATCH(B140,'Revised 2018 Lockdown'!B$5:B$253,0))</f>
        <v>189204.88</v>
      </c>
      <c r="J140" s="5">
        <f t="shared" si="26"/>
        <v>0</v>
      </c>
      <c r="K140" s="5">
        <v>110</v>
      </c>
      <c r="L140" s="5">
        <f>INDEX('Revised 2018 Lockdown'!F$5:F$253,MATCH(B140,'Revised 2018 Lockdown'!B$5:B$253,0))</f>
        <v>110</v>
      </c>
      <c r="M140" s="5">
        <f t="shared" si="27"/>
        <v>0</v>
      </c>
      <c r="N140" s="5">
        <v>189094.88</v>
      </c>
      <c r="O140" s="97">
        <f t="shared" si="28"/>
        <v>189094.88</v>
      </c>
      <c r="P140" s="97">
        <f t="shared" si="29"/>
        <v>0</v>
      </c>
      <c r="Q140" s="95">
        <f t="shared" si="30"/>
        <v>651.12641830620248</v>
      </c>
      <c r="R140" s="6">
        <f t="shared" si="17"/>
        <v>651.12641830620248</v>
      </c>
      <c r="S140" s="5">
        <f t="shared" si="31"/>
        <v>189094.88</v>
      </c>
      <c r="T140" s="135">
        <v>0.44010309523809527</v>
      </c>
      <c r="U140" s="97">
        <f t="shared" si="18"/>
        <v>41639.582301819763</v>
      </c>
      <c r="V140" s="97">
        <f t="shared" si="19"/>
        <v>16416.245758045683</v>
      </c>
      <c r="W140" s="97">
        <f t="shared" si="20"/>
        <v>5497.7127166356859</v>
      </c>
      <c r="X140" s="97">
        <f t="shared" si="21"/>
        <v>2370.9554088809623</v>
      </c>
      <c r="Y140" s="97">
        <f t="shared" si="22"/>
        <v>65924.496185382101</v>
      </c>
      <c r="Z140" s="104">
        <f t="shared" si="23"/>
        <v>0.34863184125018137</v>
      </c>
      <c r="AA140" s="96">
        <f t="shared" si="24"/>
        <v>65924.496185382101</v>
      </c>
      <c r="AB140" s="97"/>
      <c r="AC140" s="96">
        <f>INDEX('[2]2020 Funding'!$S$26:$S$274,MATCH(B140,'[2]2020 Funding'!$B$26:$B$274,0))</f>
        <v>65954.854827941803</v>
      </c>
      <c r="AD140" s="5">
        <f t="shared" si="32"/>
        <v>-30.358642559702275</v>
      </c>
      <c r="AF140" s="18"/>
      <c r="AG140" s="96"/>
    </row>
    <row r="141" spans="2:33" x14ac:dyDescent="0.25">
      <c r="B141">
        <v>229</v>
      </c>
      <c r="C141" s="28">
        <v>7</v>
      </c>
      <c r="D141" s="35" t="s">
        <v>172</v>
      </c>
      <c r="E141" s="154">
        <v>816</v>
      </c>
      <c r="F141" s="154">
        <f>INDEX('Revised 2018 Lockdown'!H$5:H$253,MATCH(B141,'Revised 2018 Lockdown'!B$5:B$253,0))</f>
        <v>816</v>
      </c>
      <c r="G141" s="154">
        <f t="shared" si="25"/>
        <v>0</v>
      </c>
      <c r="H141" s="5">
        <v>449836.67</v>
      </c>
      <c r="I141" s="5">
        <f>INDEX('Revised 2018 Lockdown'!E$5:E$253,MATCH(B141,'Revised 2018 Lockdown'!B$5:B$253,0))</f>
        <v>449836.67</v>
      </c>
      <c r="J141" s="5">
        <f t="shared" si="26"/>
        <v>0</v>
      </c>
      <c r="K141" s="5">
        <v>104238</v>
      </c>
      <c r="L141" s="5">
        <f>INDEX('Revised 2018 Lockdown'!F$5:F$253,MATCH(B141,'Revised 2018 Lockdown'!B$5:B$253,0))</f>
        <v>104238</v>
      </c>
      <c r="M141" s="5">
        <f t="shared" si="27"/>
        <v>0</v>
      </c>
      <c r="N141" s="5">
        <v>345598.67</v>
      </c>
      <c r="O141" s="97">
        <f t="shared" si="28"/>
        <v>345598.67</v>
      </c>
      <c r="P141" s="97">
        <f t="shared" si="29"/>
        <v>0</v>
      </c>
      <c r="Q141" s="95">
        <f t="shared" si="30"/>
        <v>423.52778186274509</v>
      </c>
      <c r="R141" s="6">
        <f t="shared" si="17"/>
        <v>423.52778186274509</v>
      </c>
      <c r="S141" s="5">
        <f t="shared" si="31"/>
        <v>345598.67</v>
      </c>
      <c r="T141" s="135">
        <v>0.68411904761904752</v>
      </c>
      <c r="U141" s="97">
        <f t="shared" si="18"/>
        <v>76102.453238630493</v>
      </c>
      <c r="V141" s="97">
        <f t="shared" si="19"/>
        <v>46126.398889362157</v>
      </c>
      <c r="W141" s="97">
        <f t="shared" si="20"/>
        <v>15618.941349325496</v>
      </c>
      <c r="X141" s="97">
        <f t="shared" si="21"/>
        <v>4333.2692875585344</v>
      </c>
      <c r="Y141" s="97">
        <f t="shared" si="22"/>
        <v>142181.06276487667</v>
      </c>
      <c r="Z141" s="104">
        <f t="shared" si="23"/>
        <v>0.4114051213359029</v>
      </c>
      <c r="AA141" s="96">
        <f t="shared" si="24"/>
        <v>142181.06276487667</v>
      </c>
      <c r="AB141" s="97"/>
      <c r="AC141" s="96">
        <f>INDEX('[2]2020 Funding'!$S$26:$S$274,MATCH(B141,'[2]2020 Funding'!$B$26:$B$274,0))</f>
        <v>142235.83111278314</v>
      </c>
      <c r="AD141" s="5">
        <f t="shared" si="32"/>
        <v>-54.768347906472627</v>
      </c>
      <c r="AF141" s="18"/>
      <c r="AG141" s="96"/>
    </row>
    <row r="142" spans="2:33" x14ac:dyDescent="0.25">
      <c r="B142">
        <v>236</v>
      </c>
      <c r="C142" s="28">
        <v>7</v>
      </c>
      <c r="D142" s="35" t="s">
        <v>173</v>
      </c>
      <c r="E142" s="154">
        <v>1084.1000000000001</v>
      </c>
      <c r="F142" s="154">
        <f>INDEX('Revised 2018 Lockdown'!H$5:H$253,MATCH(B142,'Revised 2018 Lockdown'!B$5:B$253,0))</f>
        <v>1084.1000000000001</v>
      </c>
      <c r="G142" s="154">
        <f t="shared" si="25"/>
        <v>0</v>
      </c>
      <c r="H142" s="5">
        <v>616356.31999999995</v>
      </c>
      <c r="I142" s="5">
        <f>INDEX('Revised 2018 Lockdown'!E$5:E$253,MATCH(B142,'Revised 2018 Lockdown'!B$5:B$253,0))</f>
        <v>616356.31999999995</v>
      </c>
      <c r="J142" s="5">
        <f t="shared" si="26"/>
        <v>0</v>
      </c>
      <c r="K142" s="5">
        <v>145860.79</v>
      </c>
      <c r="L142" s="5">
        <f>INDEX('Revised 2018 Lockdown'!F$5:F$253,MATCH(B142,'Revised 2018 Lockdown'!B$5:B$253,0))</f>
        <v>145860.79</v>
      </c>
      <c r="M142" s="5">
        <f t="shared" si="27"/>
        <v>0</v>
      </c>
      <c r="N142" s="5">
        <v>470495.52999999991</v>
      </c>
      <c r="O142" s="97">
        <f t="shared" si="28"/>
        <v>470495.52999999991</v>
      </c>
      <c r="P142" s="97">
        <f t="shared" si="29"/>
        <v>0</v>
      </c>
      <c r="Q142" s="95">
        <f t="shared" si="30"/>
        <v>433.99643021861436</v>
      </c>
      <c r="R142" s="6">
        <f t="shared" si="17"/>
        <v>433.99643021861436</v>
      </c>
      <c r="S142" s="5">
        <f t="shared" si="31"/>
        <v>470495.52999999991</v>
      </c>
      <c r="T142" s="135">
        <v>0.68411904761904752</v>
      </c>
      <c r="U142" s="97">
        <f t="shared" si="18"/>
        <v>103605.32947308412</v>
      </c>
      <c r="V142" s="97">
        <f t="shared" si="19"/>
        <v>61281.408132300887</v>
      </c>
      <c r="W142" s="97">
        <f t="shared" si="20"/>
        <v>21263.513798215179</v>
      </c>
      <c r="X142" s="97">
        <f t="shared" si="21"/>
        <v>5899.2814702746837</v>
      </c>
      <c r="Y142" s="97">
        <f t="shared" si="22"/>
        <v>192049.53287387488</v>
      </c>
      <c r="Z142" s="104">
        <f t="shared" si="23"/>
        <v>0.40818566942362855</v>
      </c>
      <c r="AA142" s="96">
        <f t="shared" si="24"/>
        <v>192049.53287387488</v>
      </c>
      <c r="AB142" s="97"/>
      <c r="AC142" s="96">
        <f>INDEX('[2]2020 Funding'!$S$26:$S$274,MATCH(B142,'[2]2020 Funding'!$B$26:$B$274,0))</f>
        <v>192124.4998536823</v>
      </c>
      <c r="AD142" s="5">
        <f t="shared" si="32"/>
        <v>-74.966979807417374</v>
      </c>
      <c r="AF142" s="18"/>
      <c r="AG142" s="96"/>
    </row>
    <row r="143" spans="2:33" x14ac:dyDescent="0.25">
      <c r="B143">
        <v>238</v>
      </c>
      <c r="C143" s="28">
        <v>7</v>
      </c>
      <c r="D143" s="35" t="s">
        <v>311</v>
      </c>
      <c r="E143" s="154">
        <v>67.316412345260062</v>
      </c>
      <c r="F143" s="154">
        <f>INDEX('Revised 2018 Lockdown'!H$5:H$253,MATCH(B143,'Revised 2018 Lockdown'!B$5:B$253,0))</f>
        <v>67.316412345260062</v>
      </c>
      <c r="G143" s="154">
        <f t="shared" si="25"/>
        <v>0</v>
      </c>
      <c r="H143" s="5">
        <v>56188.56</v>
      </c>
      <c r="I143" s="5">
        <f>INDEX('Revised 2018 Lockdown'!E$5:E$253,MATCH(B143,'Revised 2018 Lockdown'!B$5:B$253,0))</f>
        <v>56188.56</v>
      </c>
      <c r="J143" s="5">
        <f t="shared" si="26"/>
        <v>0</v>
      </c>
      <c r="K143" s="5">
        <v>0</v>
      </c>
      <c r="L143" s="5">
        <f>INDEX('Revised 2018 Lockdown'!F$5:F$253,MATCH(B143,'Revised 2018 Lockdown'!B$5:B$253,0))</f>
        <v>0</v>
      </c>
      <c r="M143" s="5">
        <f t="shared" si="27"/>
        <v>0</v>
      </c>
      <c r="N143" s="5">
        <v>56188.56</v>
      </c>
      <c r="O143" s="97">
        <f t="shared" si="28"/>
        <v>56188.56</v>
      </c>
      <c r="P143" s="97">
        <f t="shared" si="29"/>
        <v>0</v>
      </c>
      <c r="Q143" s="95">
        <f t="shared" si="30"/>
        <v>834.69332429383985</v>
      </c>
      <c r="R143" s="6">
        <f t="shared" si="17"/>
        <v>724.30462453114228</v>
      </c>
      <c r="S143" s="5">
        <f t="shared" si="31"/>
        <v>48757.58876851714</v>
      </c>
      <c r="T143" s="135">
        <v>0.37378571428571428</v>
      </c>
      <c r="U143" s="97">
        <f t="shared" si="18"/>
        <v>10736.650460154988</v>
      </c>
      <c r="V143" s="97">
        <f t="shared" si="19"/>
        <v>3805.2251073998145</v>
      </c>
      <c r="W143" s="97">
        <f t="shared" si="20"/>
        <v>1203.9619683855224</v>
      </c>
      <c r="X143" s="97">
        <f t="shared" si="21"/>
        <v>611.34425646378884</v>
      </c>
      <c r="Y143" s="97">
        <f t="shared" si="22"/>
        <v>16357.181792404112</v>
      </c>
      <c r="Z143" s="104">
        <f t="shared" si="23"/>
        <v>0.3354797110673769</v>
      </c>
      <c r="AA143" s="96">
        <f t="shared" si="24"/>
        <v>16357.181792404112</v>
      </c>
      <c r="AB143" s="97"/>
      <c r="AC143" s="96">
        <f>INDEX('[2]2020 Funding'!$S$26:$S$274,MATCH(B143,'[2]2020 Funding'!$B$26:$B$274,0))</f>
        <v>16430.056783574335</v>
      </c>
      <c r="AD143" s="5">
        <f t="shared" si="32"/>
        <v>-72.874991170223439</v>
      </c>
      <c r="AF143" s="18"/>
      <c r="AG143" s="96"/>
    </row>
    <row r="144" spans="2:33" x14ac:dyDescent="0.25">
      <c r="B144">
        <v>239</v>
      </c>
      <c r="C144" s="28">
        <v>7</v>
      </c>
      <c r="D144" s="35" t="s">
        <v>174</v>
      </c>
      <c r="E144" s="154">
        <v>3252.7579008551165</v>
      </c>
      <c r="F144" s="154">
        <f>INDEX('Revised 2018 Lockdown'!H$5:H$253,MATCH(B144,'Revised 2018 Lockdown'!B$5:B$253,0))</f>
        <v>3252.7579008551165</v>
      </c>
      <c r="G144" s="154">
        <f t="shared" si="25"/>
        <v>0</v>
      </c>
      <c r="H144" s="5">
        <v>1786444.75</v>
      </c>
      <c r="I144" s="5">
        <f>INDEX('Revised 2018 Lockdown'!E$5:E$253,MATCH(B144,'Revised 2018 Lockdown'!B$5:B$253,0))</f>
        <v>1786444.75</v>
      </c>
      <c r="J144" s="5">
        <f t="shared" si="26"/>
        <v>0</v>
      </c>
      <c r="K144" s="5">
        <v>419175.63</v>
      </c>
      <c r="L144" s="5">
        <f>INDEX('Revised 2018 Lockdown'!F$5:F$253,MATCH(B144,'Revised 2018 Lockdown'!B$5:B$253,0))</f>
        <v>419175.63</v>
      </c>
      <c r="M144" s="5">
        <f t="shared" si="27"/>
        <v>0</v>
      </c>
      <c r="N144" s="5">
        <v>1367269.12</v>
      </c>
      <c r="O144" s="97">
        <f t="shared" si="28"/>
        <v>1367269.12</v>
      </c>
      <c r="P144" s="97">
        <f t="shared" si="29"/>
        <v>0</v>
      </c>
      <c r="Q144" s="95">
        <f t="shared" si="30"/>
        <v>420.34149533248666</v>
      </c>
      <c r="R144" s="6">
        <f t="shared" si="17"/>
        <v>420.34149533248666</v>
      </c>
      <c r="S144" s="5">
        <f t="shared" si="31"/>
        <v>1367269.12</v>
      </c>
      <c r="T144" s="135">
        <v>0.833095238095238</v>
      </c>
      <c r="U144" s="97">
        <f t="shared" si="18"/>
        <v>301079.09347400989</v>
      </c>
      <c r="V144" s="97">
        <f t="shared" si="19"/>
        <v>183870.10836442088</v>
      </c>
      <c r="W144" s="97">
        <f t="shared" si="20"/>
        <v>75248.267718968593</v>
      </c>
      <c r="X144" s="97">
        <f t="shared" si="21"/>
        <v>17143.426175578705</v>
      </c>
      <c r="Y144" s="97">
        <f t="shared" si="22"/>
        <v>577340.89573297813</v>
      </c>
      <c r="Z144" s="104">
        <f t="shared" si="23"/>
        <v>0.42225841810350995</v>
      </c>
      <c r="AA144" s="96">
        <f t="shared" si="24"/>
        <v>577340.89573297813</v>
      </c>
      <c r="AB144" s="97"/>
      <c r="AC144" s="96">
        <f>INDEX('[2]2020 Funding'!$S$26:$S$274,MATCH(B144,'[2]2020 Funding'!$B$26:$B$274,0))</f>
        <v>577565.90254230192</v>
      </c>
      <c r="AD144" s="5">
        <f t="shared" si="32"/>
        <v>-225.00680932379328</v>
      </c>
      <c r="AF144" s="18"/>
      <c r="AG144" s="96"/>
    </row>
    <row r="145" spans="2:33" x14ac:dyDescent="0.25">
      <c r="B145">
        <v>249</v>
      </c>
      <c r="C145" s="28">
        <v>7</v>
      </c>
      <c r="D145" s="35" t="s">
        <v>175</v>
      </c>
      <c r="E145" s="154">
        <v>1154.9883434484898</v>
      </c>
      <c r="F145" s="154">
        <f>INDEX('Revised 2018 Lockdown'!H$5:H$253,MATCH(B145,'Revised 2018 Lockdown'!B$5:B$253,0))</f>
        <v>1154.9883434484898</v>
      </c>
      <c r="G145" s="154">
        <f t="shared" si="25"/>
        <v>0</v>
      </c>
      <c r="H145" s="5">
        <v>606310.29</v>
      </c>
      <c r="I145" s="5">
        <f>INDEX('Revised 2018 Lockdown'!E$5:E$253,MATCH(B145,'Revised 2018 Lockdown'!B$5:B$253,0))</f>
        <v>606310.29</v>
      </c>
      <c r="J145" s="5">
        <f t="shared" si="26"/>
        <v>0</v>
      </c>
      <c r="K145" s="5">
        <v>0</v>
      </c>
      <c r="L145" s="5">
        <f>INDEX('Revised 2018 Lockdown'!F$5:F$253,MATCH(B145,'Revised 2018 Lockdown'!B$5:B$253,0))</f>
        <v>0</v>
      </c>
      <c r="M145" s="5">
        <f t="shared" si="27"/>
        <v>0</v>
      </c>
      <c r="N145" s="5">
        <v>606310.29</v>
      </c>
      <c r="O145" s="97">
        <f t="shared" si="28"/>
        <v>606310.29</v>
      </c>
      <c r="P145" s="97">
        <f t="shared" si="29"/>
        <v>0</v>
      </c>
      <c r="Q145" s="95">
        <f t="shared" si="30"/>
        <v>524.94927194651837</v>
      </c>
      <c r="R145" s="6">
        <f t="shared" si="17"/>
        <v>524.94927194651837</v>
      </c>
      <c r="S145" s="5">
        <f t="shared" si="31"/>
        <v>606310.29</v>
      </c>
      <c r="T145" s="135">
        <v>0.70709970238095232</v>
      </c>
      <c r="U145" s="97">
        <f t="shared" si="18"/>
        <v>133512.37865824398</v>
      </c>
      <c r="V145" s="97">
        <f t="shared" si="19"/>
        <v>65288.545395182176</v>
      </c>
      <c r="W145" s="97">
        <f t="shared" si="20"/>
        <v>28321.9689640252</v>
      </c>
      <c r="X145" s="97">
        <f t="shared" si="21"/>
        <v>7602.1871218072374</v>
      </c>
      <c r="Y145" s="97">
        <f t="shared" si="22"/>
        <v>234725.08013925861</v>
      </c>
      <c r="Z145" s="104">
        <f t="shared" si="23"/>
        <v>0.38713689015447617</v>
      </c>
      <c r="AA145" s="96">
        <f t="shared" si="24"/>
        <v>234725.08013925861</v>
      </c>
      <c r="AB145" s="97"/>
      <c r="AC145" s="96">
        <f>INDEX('[2]2020 Funding'!$S$26:$S$274,MATCH(B145,'[2]2020 Funding'!$B$26:$B$274,0))</f>
        <v>234825.94761029346</v>
      </c>
      <c r="AD145" s="5">
        <f t="shared" si="32"/>
        <v>-100.86747103484231</v>
      </c>
      <c r="AF145" s="18"/>
      <c r="AG145" s="96"/>
    </row>
    <row r="146" spans="2:33" x14ac:dyDescent="0.25">
      <c r="B146">
        <v>271</v>
      </c>
      <c r="C146" s="28">
        <v>7</v>
      </c>
      <c r="D146" s="35" t="s">
        <v>176</v>
      </c>
      <c r="E146" s="154">
        <v>1048.2</v>
      </c>
      <c r="F146" s="154">
        <f>INDEX('Revised 2018 Lockdown'!H$5:H$253,MATCH(B146,'Revised 2018 Lockdown'!B$5:B$253,0))</f>
        <v>1048.2</v>
      </c>
      <c r="G146" s="154">
        <f t="shared" si="25"/>
        <v>0</v>
      </c>
      <c r="H146" s="5">
        <v>988965.82</v>
      </c>
      <c r="I146" s="5">
        <f>INDEX('Revised 2018 Lockdown'!E$5:E$253,MATCH(B146,'Revised 2018 Lockdown'!B$5:B$253,0))</f>
        <v>936506.01</v>
      </c>
      <c r="J146" s="5">
        <f t="shared" si="26"/>
        <v>52459.809999999939</v>
      </c>
      <c r="K146" s="5">
        <v>90489.709999999992</v>
      </c>
      <c r="L146" s="5">
        <f>INDEX('Revised 2018 Lockdown'!F$5:F$253,MATCH(B146,'Revised 2018 Lockdown'!B$5:B$253,0))</f>
        <v>90489.709999999992</v>
      </c>
      <c r="M146" s="5">
        <f t="shared" si="27"/>
        <v>0</v>
      </c>
      <c r="N146" s="5">
        <v>898476.11</v>
      </c>
      <c r="O146" s="97">
        <f t="shared" si="28"/>
        <v>846016.3</v>
      </c>
      <c r="P146" s="97">
        <f t="shared" si="29"/>
        <v>52459.809999999939</v>
      </c>
      <c r="Q146" s="95">
        <f t="shared" si="30"/>
        <v>807.11343255103986</v>
      </c>
      <c r="R146" s="6">
        <f t="shared" si="17"/>
        <v>724.30462453114228</v>
      </c>
      <c r="S146" s="5">
        <f t="shared" si="31"/>
        <v>759216.10743354342</v>
      </c>
      <c r="T146" s="135">
        <v>0.53657738095238094</v>
      </c>
      <c r="U146" s="97">
        <f t="shared" si="18"/>
        <v>167182.95910680533</v>
      </c>
      <c r="V146" s="97">
        <f t="shared" si="19"/>
        <v>59252.072690967427</v>
      </c>
      <c r="W146" s="97">
        <f t="shared" si="20"/>
        <v>26911.978301219584</v>
      </c>
      <c r="X146" s="97">
        <f t="shared" si="21"/>
        <v>9519.3880258900153</v>
      </c>
      <c r="Y146" s="97">
        <f t="shared" si="22"/>
        <v>262866.39812488231</v>
      </c>
      <c r="Z146" s="104">
        <f t="shared" si="23"/>
        <v>0.34623395835670129</v>
      </c>
      <c r="AA146" s="96">
        <f t="shared" si="24"/>
        <v>262866.39812488231</v>
      </c>
      <c r="AB146" s="97"/>
      <c r="AC146" s="96">
        <f>INDEX('[2]2020 Funding'!$S$26:$S$274,MATCH(B146,'[2]2020 Funding'!$B$26:$B$274,0))</f>
        <v>264048.75639186322</v>
      </c>
      <c r="AD146" s="5">
        <f t="shared" si="32"/>
        <v>-1182.3582669809111</v>
      </c>
      <c r="AF146" s="18"/>
      <c r="AG146" s="96"/>
    </row>
    <row r="147" spans="2:33" x14ac:dyDescent="0.25">
      <c r="B147">
        <v>275</v>
      </c>
      <c r="C147" s="28">
        <v>7</v>
      </c>
      <c r="D147" s="35" t="s">
        <v>177</v>
      </c>
      <c r="E147" s="154">
        <v>710.94999999999993</v>
      </c>
      <c r="F147" s="154">
        <f>INDEX('Revised 2018 Lockdown'!H$5:H$253,MATCH(B147,'Revised 2018 Lockdown'!B$5:B$253,0))</f>
        <v>710.94999999999993</v>
      </c>
      <c r="G147" s="154">
        <f t="shared" si="25"/>
        <v>0</v>
      </c>
      <c r="H147" s="5">
        <v>324500.11</v>
      </c>
      <c r="I147" s="5">
        <f>INDEX('Revised 2018 Lockdown'!E$5:E$253,MATCH(B147,'Revised 2018 Lockdown'!B$5:B$253,0))</f>
        <v>324500.11</v>
      </c>
      <c r="J147" s="5">
        <f t="shared" si="26"/>
        <v>0</v>
      </c>
      <c r="K147" s="5">
        <v>62912.880000000005</v>
      </c>
      <c r="L147" s="5">
        <f>INDEX('Revised 2018 Lockdown'!F$5:F$253,MATCH(B147,'Revised 2018 Lockdown'!B$5:B$253,0))</f>
        <v>62912.880000000005</v>
      </c>
      <c r="M147" s="5">
        <f t="shared" si="27"/>
        <v>0</v>
      </c>
      <c r="N147" s="5">
        <v>261587.22999999998</v>
      </c>
      <c r="O147" s="97">
        <f t="shared" si="28"/>
        <v>261587.22999999998</v>
      </c>
      <c r="P147" s="97">
        <f t="shared" si="29"/>
        <v>0</v>
      </c>
      <c r="Q147" s="95">
        <f t="shared" si="30"/>
        <v>367.94040368520996</v>
      </c>
      <c r="R147" s="6">
        <f t="shared" si="17"/>
        <v>367.94040368520996</v>
      </c>
      <c r="S147" s="5">
        <f t="shared" si="31"/>
        <v>261587.22999999998</v>
      </c>
      <c r="T147" s="135">
        <v>0.58043154761904758</v>
      </c>
      <c r="U147" s="97">
        <f t="shared" si="18"/>
        <v>57602.738861517842</v>
      </c>
      <c r="V147" s="97">
        <f t="shared" si="19"/>
        <v>40188.190306852972</v>
      </c>
      <c r="W147" s="97">
        <f t="shared" si="20"/>
        <v>10030.334059345996</v>
      </c>
      <c r="X147" s="97">
        <f t="shared" si="21"/>
        <v>3279.8966204832636</v>
      </c>
      <c r="Y147" s="97">
        <f t="shared" si="22"/>
        <v>111101.15984820008</v>
      </c>
      <c r="Z147" s="104">
        <f t="shared" si="23"/>
        <v>0.42471935594180227</v>
      </c>
      <c r="AA147" s="96">
        <f t="shared" si="24"/>
        <v>111101.15984820008</v>
      </c>
      <c r="AB147" s="97"/>
      <c r="AC147" s="96">
        <f>INDEX('[2]2020 Funding'!$S$26:$S$274,MATCH(B147,'[2]2020 Funding'!$B$26:$B$274,0))</f>
        <v>111140.04306785561</v>
      </c>
      <c r="AD147" s="5">
        <f t="shared" si="32"/>
        <v>-38.883219655530411</v>
      </c>
      <c r="AF147" s="18"/>
      <c r="AG147" s="96"/>
    </row>
    <row r="148" spans="2:33" x14ac:dyDescent="0.25">
      <c r="B148">
        <v>282</v>
      </c>
      <c r="C148" s="28">
        <v>7</v>
      </c>
      <c r="D148" s="35" t="s">
        <v>178</v>
      </c>
      <c r="E148" s="154">
        <v>145.34946417977184</v>
      </c>
      <c r="F148" s="154">
        <f>INDEX('Revised 2018 Lockdown'!H$5:H$253,MATCH(B148,'Revised 2018 Lockdown'!B$5:B$253,0))</f>
        <v>145.34946417977184</v>
      </c>
      <c r="G148" s="154">
        <f t="shared" si="25"/>
        <v>0</v>
      </c>
      <c r="H148" s="5">
        <v>55222.87</v>
      </c>
      <c r="I148" s="5">
        <f>INDEX('Revised 2018 Lockdown'!E$5:E$253,MATCH(B148,'Revised 2018 Lockdown'!B$5:B$253,0))</f>
        <v>55222.87</v>
      </c>
      <c r="J148" s="5">
        <f t="shared" si="26"/>
        <v>0</v>
      </c>
      <c r="K148" s="5">
        <v>0</v>
      </c>
      <c r="L148" s="5">
        <f>INDEX('Revised 2018 Lockdown'!F$5:F$253,MATCH(B148,'Revised 2018 Lockdown'!B$5:B$253,0))</f>
        <v>0</v>
      </c>
      <c r="M148" s="5">
        <f t="shared" si="27"/>
        <v>0</v>
      </c>
      <c r="N148" s="5">
        <v>55222.87</v>
      </c>
      <c r="O148" s="97">
        <f t="shared" si="28"/>
        <v>55222.87</v>
      </c>
      <c r="P148" s="97">
        <f t="shared" si="29"/>
        <v>0</v>
      </c>
      <c r="Q148" s="95">
        <f t="shared" si="30"/>
        <v>379.93170674299137</v>
      </c>
      <c r="R148" s="6">
        <f t="shared" si="17"/>
        <v>379.93170674299137</v>
      </c>
      <c r="S148" s="5">
        <f t="shared" si="31"/>
        <v>55222.87</v>
      </c>
      <c r="T148" s="135">
        <v>0.27853571428571428</v>
      </c>
      <c r="U148" s="97">
        <f t="shared" si="18"/>
        <v>12160.335807652187</v>
      </c>
      <c r="V148" s="97">
        <f t="shared" si="19"/>
        <v>8216.2345136166823</v>
      </c>
      <c r="W148" s="97">
        <f t="shared" si="20"/>
        <v>1016.1263460415648</v>
      </c>
      <c r="X148" s="97">
        <f t="shared" si="21"/>
        <v>692.40881784017756</v>
      </c>
      <c r="Y148" s="97">
        <f t="shared" si="22"/>
        <v>22085.105485150609</v>
      </c>
      <c r="Z148" s="104">
        <f t="shared" si="23"/>
        <v>0.39992679636445205</v>
      </c>
      <c r="AA148" s="96">
        <f t="shared" si="24"/>
        <v>22085.105485150609</v>
      </c>
      <c r="AB148" s="97"/>
      <c r="AC148" s="96">
        <f>INDEX('[2]2020 Funding'!$S$26:$S$274,MATCH(B148,'[2]2020 Funding'!$B$26:$B$274,0))</f>
        <v>22092.673576182508</v>
      </c>
      <c r="AD148" s="5">
        <f t="shared" si="32"/>
        <v>-7.5680910318988026</v>
      </c>
      <c r="AF148" s="18"/>
      <c r="AG148" s="96"/>
    </row>
    <row r="149" spans="2:33" x14ac:dyDescent="0.25">
      <c r="B149">
        <v>287</v>
      </c>
      <c r="C149" s="28">
        <v>7</v>
      </c>
      <c r="D149" s="35" t="s">
        <v>179</v>
      </c>
      <c r="E149" s="154">
        <v>147.07202997933462</v>
      </c>
      <c r="F149" s="154">
        <f>INDEX('Revised 2018 Lockdown'!H$5:H$253,MATCH(B149,'Revised 2018 Lockdown'!B$5:B$253,0))</f>
        <v>147.07202997933462</v>
      </c>
      <c r="G149" s="154">
        <f t="shared" si="25"/>
        <v>0</v>
      </c>
      <c r="H149" s="5">
        <v>102363.95</v>
      </c>
      <c r="I149" s="5">
        <f>INDEX('Revised 2018 Lockdown'!E$5:E$253,MATCH(B149,'Revised 2018 Lockdown'!B$5:B$253,0))</f>
        <v>102363.95</v>
      </c>
      <c r="J149" s="5">
        <f t="shared" si="26"/>
        <v>0</v>
      </c>
      <c r="K149" s="5">
        <v>282</v>
      </c>
      <c r="L149" s="5">
        <f>INDEX('Revised 2018 Lockdown'!F$5:F$253,MATCH(B149,'Revised 2018 Lockdown'!B$5:B$253,0))</f>
        <v>282</v>
      </c>
      <c r="M149" s="5">
        <f t="shared" si="27"/>
        <v>0</v>
      </c>
      <c r="N149" s="5">
        <v>102081.95</v>
      </c>
      <c r="O149" s="97">
        <f t="shared" si="28"/>
        <v>102081.95</v>
      </c>
      <c r="P149" s="97">
        <f t="shared" si="29"/>
        <v>0</v>
      </c>
      <c r="Q149" s="95">
        <f t="shared" si="30"/>
        <v>694.09492759665955</v>
      </c>
      <c r="R149" s="6">
        <f t="shared" si="17"/>
        <v>694.09492759665955</v>
      </c>
      <c r="S149" s="5">
        <f t="shared" si="31"/>
        <v>102081.95</v>
      </c>
      <c r="T149" s="135">
        <v>0.20193749999999999</v>
      </c>
      <c r="U149" s="97">
        <f t="shared" si="18"/>
        <v>22478.925704150472</v>
      </c>
      <c r="V149" s="97">
        <f t="shared" si="19"/>
        <v>8313.6067650674249</v>
      </c>
      <c r="W149" s="97">
        <f t="shared" si="20"/>
        <v>1361.8014178145656</v>
      </c>
      <c r="X149" s="97">
        <f t="shared" si="21"/>
        <v>1279.9487299794469</v>
      </c>
      <c r="Y149" s="97">
        <f t="shared" si="22"/>
        <v>33434.282617011908</v>
      </c>
      <c r="Z149" s="104">
        <f t="shared" si="23"/>
        <v>0.32752394147067049</v>
      </c>
      <c r="AA149" s="96">
        <f t="shared" si="24"/>
        <v>33434.282617011908</v>
      </c>
      <c r="AB149" s="97"/>
      <c r="AC149" s="96">
        <f>INDEX('[2]2020 Funding'!$S$26:$S$274,MATCH(B149,'[2]2020 Funding'!$B$26:$B$274,0))</f>
        <v>33449.779997451478</v>
      </c>
      <c r="AD149" s="5">
        <f t="shared" si="32"/>
        <v>-15.497380439570406</v>
      </c>
      <c r="AF149" s="18"/>
      <c r="AG149" s="96"/>
    </row>
    <row r="150" spans="2:33" x14ac:dyDescent="0.25">
      <c r="B150">
        <v>290</v>
      </c>
      <c r="C150" s="28">
        <v>7</v>
      </c>
      <c r="D150" s="35" t="s">
        <v>180</v>
      </c>
      <c r="E150" s="154">
        <v>335.89235607307199</v>
      </c>
      <c r="F150" s="154">
        <f>INDEX('Revised 2018 Lockdown'!H$5:H$253,MATCH(B150,'Revised 2018 Lockdown'!B$5:B$253,0))</f>
        <v>335.89235607307199</v>
      </c>
      <c r="G150" s="154">
        <f t="shared" si="25"/>
        <v>0</v>
      </c>
      <c r="H150" s="5">
        <v>134939.94</v>
      </c>
      <c r="I150" s="5">
        <f>INDEX('Revised 2018 Lockdown'!E$5:E$253,MATCH(B150,'Revised 2018 Lockdown'!B$5:B$253,0))</f>
        <v>135999.42000000001</v>
      </c>
      <c r="J150" s="5">
        <f t="shared" si="26"/>
        <v>-1059.4800000000105</v>
      </c>
      <c r="K150" s="5">
        <v>423.97</v>
      </c>
      <c r="L150" s="5">
        <f>INDEX('Revised 2018 Lockdown'!F$5:F$253,MATCH(B150,'Revised 2018 Lockdown'!B$5:B$253,0))</f>
        <v>423.97</v>
      </c>
      <c r="M150" s="5">
        <f t="shared" si="27"/>
        <v>0</v>
      </c>
      <c r="N150" s="5">
        <v>134515.97</v>
      </c>
      <c r="O150" s="97">
        <f t="shared" si="28"/>
        <v>135575.45000000001</v>
      </c>
      <c r="P150" s="97">
        <f t="shared" si="29"/>
        <v>-1059.4800000000105</v>
      </c>
      <c r="Q150" s="95">
        <f t="shared" si="30"/>
        <v>403.62767282059298</v>
      </c>
      <c r="R150" s="6">
        <f t="shared" si="17"/>
        <v>403.62767282059298</v>
      </c>
      <c r="S150" s="5">
        <f t="shared" si="31"/>
        <v>135575.45000000001</v>
      </c>
      <c r="T150" s="135">
        <v>0.83378571428571424</v>
      </c>
      <c r="U150" s="97">
        <f t="shared" si="18"/>
        <v>29854.351997162747</v>
      </c>
      <c r="V150" s="97">
        <f t="shared" si="19"/>
        <v>18987.138235434053</v>
      </c>
      <c r="W150" s="97">
        <f t="shared" si="20"/>
        <v>7467.6396613474435</v>
      </c>
      <c r="X150" s="97">
        <f t="shared" si="21"/>
        <v>1699.9050766946757</v>
      </c>
      <c r="Y150" s="97">
        <f t="shared" si="22"/>
        <v>58009.034970638917</v>
      </c>
      <c r="Z150" s="104">
        <f t="shared" si="23"/>
        <v>0.42787270830108926</v>
      </c>
      <c r="AA150" s="96">
        <f t="shared" si="24"/>
        <v>58009.034970638917</v>
      </c>
      <c r="AB150" s="97"/>
      <c r="AC150" s="96">
        <f>INDEX('[2]2020 Funding'!$S$26:$S$274,MATCH(B150,'[2]2020 Funding'!$B$26:$B$274,0))</f>
        <v>57725.991380618834</v>
      </c>
      <c r="AD150" s="5">
        <f t="shared" si="32"/>
        <v>283.04359002008277</v>
      </c>
      <c r="AF150" s="18"/>
      <c r="AG150" s="96"/>
    </row>
    <row r="151" spans="2:33" x14ac:dyDescent="0.25">
      <c r="B151">
        <v>294</v>
      </c>
      <c r="C151" s="28">
        <v>7</v>
      </c>
      <c r="D151" s="35" t="s">
        <v>181</v>
      </c>
      <c r="E151" s="154">
        <v>1221.8972650148394</v>
      </c>
      <c r="F151" s="154">
        <f>INDEX('Revised 2018 Lockdown'!H$5:H$253,MATCH(B151,'Revised 2018 Lockdown'!B$5:B$253,0))</f>
        <v>1221.8972650148394</v>
      </c>
      <c r="G151" s="154">
        <f t="shared" si="25"/>
        <v>0</v>
      </c>
      <c r="H151" s="5">
        <v>632461</v>
      </c>
      <c r="I151" s="5">
        <f>INDEX('Revised 2018 Lockdown'!E$5:E$253,MATCH(B151,'Revised 2018 Lockdown'!B$5:B$253,0))</f>
        <v>632461</v>
      </c>
      <c r="J151" s="5">
        <f t="shared" si="26"/>
        <v>0</v>
      </c>
      <c r="K151" s="5">
        <v>637</v>
      </c>
      <c r="L151" s="5">
        <f>INDEX('Revised 2018 Lockdown'!F$5:F$253,MATCH(B151,'Revised 2018 Lockdown'!B$5:B$253,0))</f>
        <v>637</v>
      </c>
      <c r="M151" s="5">
        <f t="shared" si="27"/>
        <v>0</v>
      </c>
      <c r="N151" s="5">
        <v>631824</v>
      </c>
      <c r="O151" s="97">
        <f t="shared" si="28"/>
        <v>631824</v>
      </c>
      <c r="P151" s="97">
        <f t="shared" si="29"/>
        <v>0</v>
      </c>
      <c r="Q151" s="95">
        <f t="shared" si="30"/>
        <v>517.08438842632711</v>
      </c>
      <c r="R151" s="6">
        <f t="shared" si="17"/>
        <v>517.08438842632711</v>
      </c>
      <c r="S151" s="5">
        <f t="shared" si="31"/>
        <v>631824</v>
      </c>
      <c r="T151" s="135">
        <v>0.77281547619047608</v>
      </c>
      <c r="U151" s="97">
        <f t="shared" si="18"/>
        <v>139130.61764689223</v>
      </c>
      <c r="V151" s="97">
        <f t="shared" si="19"/>
        <v>69070.736088106787</v>
      </c>
      <c r="W151" s="97">
        <f t="shared" si="20"/>
        <v>32256.688358837418</v>
      </c>
      <c r="X151" s="97">
        <f t="shared" si="21"/>
        <v>7922.0893250034333</v>
      </c>
      <c r="Y151" s="97">
        <f t="shared" si="22"/>
        <v>248380.13141883988</v>
      </c>
      <c r="Z151" s="104">
        <f t="shared" si="23"/>
        <v>0.39311601240035182</v>
      </c>
      <c r="AA151" s="96">
        <f t="shared" si="24"/>
        <v>248380.13141883988</v>
      </c>
      <c r="AB151" s="97"/>
      <c r="AC151" s="96">
        <f>INDEX('[2]2020 Funding'!$S$26:$S$274,MATCH(B151,'[2]2020 Funding'!$B$26:$B$274,0))</f>
        <v>248486.73985195518</v>
      </c>
      <c r="AD151" s="5">
        <f t="shared" si="32"/>
        <v>-106.60843311529607</v>
      </c>
      <c r="AF151" s="18"/>
      <c r="AG151" s="96"/>
    </row>
    <row r="152" spans="2:33" x14ac:dyDescent="0.25">
      <c r="B152">
        <v>296</v>
      </c>
      <c r="C152" s="28">
        <v>7</v>
      </c>
      <c r="D152" s="35" t="s">
        <v>182</v>
      </c>
      <c r="E152" s="154">
        <v>869.4000000000002</v>
      </c>
      <c r="F152" s="154">
        <f>INDEX('Revised 2018 Lockdown'!H$5:H$253,MATCH(B152,'Revised 2018 Lockdown'!B$5:B$253,0))</f>
        <v>869.4000000000002</v>
      </c>
      <c r="G152" s="154">
        <f t="shared" si="25"/>
        <v>0</v>
      </c>
      <c r="H152" s="5">
        <v>836673.68</v>
      </c>
      <c r="I152" s="5">
        <f>INDEX('Revised 2018 Lockdown'!E$5:E$253,MATCH(B152,'Revised 2018 Lockdown'!B$5:B$253,0))</f>
        <v>836673.68</v>
      </c>
      <c r="J152" s="5">
        <f t="shared" si="26"/>
        <v>0</v>
      </c>
      <c r="K152" s="5">
        <v>180195.59000000003</v>
      </c>
      <c r="L152" s="5">
        <f>INDEX('Revised 2018 Lockdown'!F$5:F$253,MATCH(B152,'Revised 2018 Lockdown'!B$5:B$253,0))</f>
        <v>180195.59000000003</v>
      </c>
      <c r="M152" s="5">
        <f t="shared" si="27"/>
        <v>0</v>
      </c>
      <c r="N152" s="5">
        <v>656478.09000000008</v>
      </c>
      <c r="O152" s="97">
        <f t="shared" si="28"/>
        <v>656478.09000000008</v>
      </c>
      <c r="P152" s="97">
        <f t="shared" si="29"/>
        <v>0</v>
      </c>
      <c r="Q152" s="95">
        <f t="shared" si="30"/>
        <v>755.09327122153206</v>
      </c>
      <c r="R152" s="6">
        <f t="shared" si="17"/>
        <v>724.30462453114228</v>
      </c>
      <c r="S152" s="5">
        <f t="shared" si="31"/>
        <v>629710.44056737528</v>
      </c>
      <c r="T152" s="135">
        <v>0.55525000000000002</v>
      </c>
      <c r="U152" s="97">
        <f t="shared" si="18"/>
        <v>138665.20191514652</v>
      </c>
      <c r="V152" s="97">
        <f t="shared" si="19"/>
        <v>49144.964699033662</v>
      </c>
      <c r="W152" s="97">
        <f t="shared" si="20"/>
        <v>23098.156009015533</v>
      </c>
      <c r="X152" s="97">
        <f t="shared" si="21"/>
        <v>7895.5885801457562</v>
      </c>
      <c r="Y152" s="97">
        <f t="shared" si="22"/>
        <v>218803.9112033415</v>
      </c>
      <c r="Z152" s="104">
        <f t="shared" si="23"/>
        <v>0.34746749792840825</v>
      </c>
      <c r="AA152" s="96">
        <f t="shared" si="24"/>
        <v>218803.9112033415</v>
      </c>
      <c r="AB152" s="97"/>
      <c r="AC152" s="96">
        <f>INDEX('[2]2020 Funding'!$S$26:$S$274,MATCH(B152,'[2]2020 Funding'!$B$26:$B$274,0))</f>
        <v>219789.11392463662</v>
      </c>
      <c r="AD152" s="5">
        <f t="shared" si="32"/>
        <v>-985.20272129512159</v>
      </c>
      <c r="AF152" s="18"/>
      <c r="AG152" s="96"/>
    </row>
    <row r="153" spans="2:33" x14ac:dyDescent="0.25">
      <c r="B153">
        <v>301</v>
      </c>
      <c r="C153" s="28">
        <v>7</v>
      </c>
      <c r="D153" s="35" t="s">
        <v>183</v>
      </c>
      <c r="E153" s="154">
        <v>630.73820209822964</v>
      </c>
      <c r="F153" s="154">
        <f>INDEX('Revised 2018 Lockdown'!H$5:H$253,MATCH(B153,'Revised 2018 Lockdown'!B$5:B$253,0))</f>
        <v>630.73820209822964</v>
      </c>
      <c r="G153" s="154">
        <f t="shared" si="25"/>
        <v>0</v>
      </c>
      <c r="H153" s="5">
        <v>227243.7</v>
      </c>
      <c r="I153" s="5">
        <f>INDEX('Revised 2018 Lockdown'!E$5:E$253,MATCH(B153,'Revised 2018 Lockdown'!B$5:B$253,0))</f>
        <v>227243.71</v>
      </c>
      <c r="J153" s="5">
        <f t="shared" si="26"/>
        <v>-9.9999999802093953E-3</v>
      </c>
      <c r="K153" s="5">
        <v>424.62</v>
      </c>
      <c r="L153" s="5">
        <f>INDEX('Revised 2018 Lockdown'!F$5:F$253,MATCH(B153,'Revised 2018 Lockdown'!B$5:B$253,0))</f>
        <v>424.62</v>
      </c>
      <c r="M153" s="5">
        <f t="shared" si="27"/>
        <v>0</v>
      </c>
      <c r="N153" s="5">
        <v>226819.08000000002</v>
      </c>
      <c r="O153" s="97">
        <f t="shared" si="28"/>
        <v>226819.09</v>
      </c>
      <c r="P153" s="97">
        <f t="shared" si="29"/>
        <v>-9.9999999802093953E-3</v>
      </c>
      <c r="Q153" s="95">
        <f t="shared" si="30"/>
        <v>359.60893005284584</v>
      </c>
      <c r="R153" s="6">
        <f t="shared" si="17"/>
        <v>359.60893005284584</v>
      </c>
      <c r="S153" s="5">
        <f t="shared" si="31"/>
        <v>226819.09</v>
      </c>
      <c r="T153" s="135">
        <v>0.43376488095238097</v>
      </c>
      <c r="U153" s="97">
        <f t="shared" si="18"/>
        <v>49946.630843092433</v>
      </c>
      <c r="V153" s="97">
        <f t="shared" si="19"/>
        <v>35654.021942085863</v>
      </c>
      <c r="W153" s="97">
        <f t="shared" si="20"/>
        <v>6499.5283144879522</v>
      </c>
      <c r="X153" s="97">
        <f t="shared" si="21"/>
        <v>2843.9582725505725</v>
      </c>
      <c r="Y153" s="97">
        <f t="shared" si="22"/>
        <v>94944.139372216829</v>
      </c>
      <c r="Z153" s="104">
        <f t="shared" si="23"/>
        <v>0.41858971999321942</v>
      </c>
      <c r="AA153" s="96">
        <f t="shared" si="24"/>
        <v>94944.139372216829</v>
      </c>
      <c r="AB153" s="97"/>
      <c r="AC153" s="96">
        <f>INDEX('[2]2020 Funding'!$S$26:$S$274,MATCH(B153,'[2]2020 Funding'!$B$26:$B$274,0))</f>
        <v>94976.214620169354</v>
      </c>
      <c r="AD153" s="5">
        <f t="shared" si="32"/>
        <v>-32.075247952525388</v>
      </c>
      <c r="AF153" s="18"/>
      <c r="AG153" s="96"/>
    </row>
    <row r="154" spans="2:33" x14ac:dyDescent="0.25">
      <c r="B154">
        <v>321</v>
      </c>
      <c r="C154" s="28">
        <v>7</v>
      </c>
      <c r="D154" s="35" t="s">
        <v>184</v>
      </c>
      <c r="E154" s="154">
        <v>443.65</v>
      </c>
      <c r="F154" s="154">
        <f>INDEX('Revised 2018 Lockdown'!H$5:H$253,MATCH(B154,'Revised 2018 Lockdown'!B$5:B$253,0))</f>
        <v>435.74</v>
      </c>
      <c r="G154" s="154">
        <f t="shared" si="25"/>
        <v>7.9099999999999682</v>
      </c>
      <c r="H154" s="5">
        <v>483134.14</v>
      </c>
      <c r="I154" s="5">
        <f>INDEX('Revised 2018 Lockdown'!E$5:E$253,MATCH(B154,'Revised 2018 Lockdown'!B$5:B$253,0))</f>
        <v>480503.47</v>
      </c>
      <c r="J154" s="5">
        <f t="shared" si="26"/>
        <v>2630.6700000000419</v>
      </c>
      <c r="K154" s="5">
        <v>39768.860000000008</v>
      </c>
      <c r="L154" s="5">
        <f>INDEX('Revised 2018 Lockdown'!F$5:F$253,MATCH(B154,'Revised 2018 Lockdown'!B$5:B$253,0))</f>
        <v>39100.69</v>
      </c>
      <c r="M154" s="5">
        <f t="shared" si="27"/>
        <v>668.17000000000553</v>
      </c>
      <c r="N154" s="5">
        <v>443365.28</v>
      </c>
      <c r="O154" s="97">
        <f t="shared" si="28"/>
        <v>441402.77999999997</v>
      </c>
      <c r="P154" s="97">
        <f t="shared" si="29"/>
        <v>1962.5000000000582</v>
      </c>
      <c r="Q154" s="95">
        <f t="shared" si="30"/>
        <v>1012.9957772983888</v>
      </c>
      <c r="R154" s="6">
        <f t="shared" ref="R154:R217" si="33">MIN(Q154,INDEX($V$3:$V$11,MATCH(C154,$S$3:$S$11,0)))</f>
        <v>724.30462453114228</v>
      </c>
      <c r="S154" s="5">
        <f t="shared" si="31"/>
        <v>315608.49709319993</v>
      </c>
      <c r="T154" s="135">
        <v>0.42442708333333334</v>
      </c>
      <c r="U154" s="97">
        <f t="shared" ref="U154:U217" si="34">$E$14*(S154/$S$24)</f>
        <v>69498.476055332314</v>
      </c>
      <c r="V154" s="97">
        <f t="shared" ref="V154:V217" si="35">$E$15*(F154/$F$24)</f>
        <v>24631.270897120914</v>
      </c>
      <c r="W154" s="97">
        <f t="shared" ref="W154:W217" si="36">IFERROR(T154*$E$16*(S154/$S$24),0)</f>
        <v>8849.1106464828608</v>
      </c>
      <c r="X154" s="97">
        <f t="shared" ref="X154:X217" si="37">($W$23+$E$9)*(S154/$S$24)</f>
        <v>3957.2392085492411</v>
      </c>
      <c r="Y154" s="97">
        <f t="shared" ref="Y154:Y217" si="38">U154+V154+W154+X154</f>
        <v>106936.09680748533</v>
      </c>
      <c r="Z154" s="104">
        <f t="shared" ref="Z154:Z217" si="39">IFERROR((Y154/S154),0)</f>
        <v>0.33882515138971958</v>
      </c>
      <c r="AA154" s="96">
        <f t="shared" ref="AA154:AA217" si="40">IF(Z154&gt;$Z$19,$Z$19*S154,Y154+($Z$23*Y154/$Z$22))</f>
        <v>106936.09680748533</v>
      </c>
      <c r="AB154" s="97"/>
      <c r="AC154" s="96">
        <f>INDEX('[2]2020 Funding'!$S$26:$S$274,MATCH(B154,'[2]2020 Funding'!$B$26:$B$274,0))</f>
        <v>109363.86238516118</v>
      </c>
      <c r="AD154" s="5">
        <f t="shared" si="32"/>
        <v>-2427.7655776758475</v>
      </c>
      <c r="AF154" s="18"/>
      <c r="AG154" s="96"/>
    </row>
    <row r="155" spans="2:33" x14ac:dyDescent="0.25">
      <c r="B155">
        <v>325</v>
      </c>
      <c r="C155" s="28">
        <v>7</v>
      </c>
      <c r="D155" s="35" t="s">
        <v>185</v>
      </c>
      <c r="E155" s="154">
        <v>392.34692360749096</v>
      </c>
      <c r="F155" s="154">
        <f>INDEX('Revised 2018 Lockdown'!H$5:H$253,MATCH(B155,'Revised 2018 Lockdown'!B$5:B$253,0))</f>
        <v>394.42999008461817</v>
      </c>
      <c r="G155" s="154">
        <f t="shared" ref="G155:G218" si="41">E155-F155</f>
        <v>-2.0830664771272041</v>
      </c>
      <c r="H155" s="5">
        <v>173117.05</v>
      </c>
      <c r="I155" s="5">
        <f>INDEX('Revised 2018 Lockdown'!E$5:E$253,MATCH(B155,'Revised 2018 Lockdown'!B$5:B$253,0))</f>
        <v>182309.94</v>
      </c>
      <c r="J155" s="5">
        <f t="shared" ref="J155:J218" si="42">H155-I155</f>
        <v>-9192.890000000014</v>
      </c>
      <c r="K155" s="5">
        <v>304</v>
      </c>
      <c r="L155" s="5">
        <f>INDEX('Revised 2018 Lockdown'!F$5:F$253,MATCH(B155,'Revised 2018 Lockdown'!B$5:B$253,0))</f>
        <v>304</v>
      </c>
      <c r="M155" s="5">
        <f t="shared" ref="M155:M218" si="43">K155-L155</f>
        <v>0</v>
      </c>
      <c r="N155" s="5">
        <v>172813.05</v>
      </c>
      <c r="O155" s="97">
        <f t="shared" ref="O155:O218" si="44">I155-L155</f>
        <v>182005.94</v>
      </c>
      <c r="P155" s="97">
        <f t="shared" ref="P155:P218" si="45">N155-O155</f>
        <v>-9192.890000000014</v>
      </c>
      <c r="Q155" s="95">
        <f t="shared" ref="Q155:Q218" si="46">IFERROR(O155/F155,"n.a.")</f>
        <v>461.44041927682468</v>
      </c>
      <c r="R155" s="6">
        <f t="shared" si="33"/>
        <v>461.44041927682468</v>
      </c>
      <c r="S155" s="5">
        <f t="shared" ref="S155:S218" si="47">F155*R155</f>
        <v>182005.94</v>
      </c>
      <c r="T155" s="135">
        <v>0.24297321428571431</v>
      </c>
      <c r="U155" s="97">
        <f t="shared" si="34"/>
        <v>40078.564359067088</v>
      </c>
      <c r="V155" s="97">
        <f t="shared" si="35"/>
        <v>22296.121392855712</v>
      </c>
      <c r="W155" s="97">
        <f t="shared" si="36"/>
        <v>2921.4052818838195</v>
      </c>
      <c r="X155" s="97">
        <f t="shared" si="37"/>
        <v>2282.0711374705857</v>
      </c>
      <c r="Y155" s="97">
        <f t="shared" si="38"/>
        <v>67578.162171277203</v>
      </c>
      <c r="Z155" s="104">
        <f t="shared" si="39"/>
        <v>0.37129646522128457</v>
      </c>
      <c r="AA155" s="96">
        <f t="shared" si="40"/>
        <v>67578.162171277203</v>
      </c>
      <c r="AB155" s="97"/>
      <c r="AC155" s="96">
        <f>INDEX('[2]2020 Funding'!$S$26:$S$274,MATCH(B155,'[2]2020 Funding'!$B$26:$B$274,0))</f>
        <v>65197.64040988648</v>
      </c>
      <c r="AD155" s="5">
        <f t="shared" ref="AD155:AD218" si="48">AA155-AC155</f>
        <v>2380.5217613907225</v>
      </c>
      <c r="AF155" s="18"/>
      <c r="AG155" s="96"/>
    </row>
    <row r="156" spans="2:33" x14ac:dyDescent="0.25">
      <c r="B156">
        <v>346</v>
      </c>
      <c r="C156" s="28">
        <v>7</v>
      </c>
      <c r="D156" s="35" t="s">
        <v>186</v>
      </c>
      <c r="E156" s="154">
        <v>262.16879519273215</v>
      </c>
      <c r="F156" s="154">
        <f>INDEX('Revised 2018 Lockdown'!H$5:H$253,MATCH(B156,'Revised 2018 Lockdown'!B$5:B$253,0))</f>
        <v>262.16879519273215</v>
      </c>
      <c r="G156" s="154">
        <f t="shared" si="41"/>
        <v>0</v>
      </c>
      <c r="H156" s="5">
        <v>123092.65</v>
      </c>
      <c r="I156" s="5">
        <f>INDEX('Revised 2018 Lockdown'!E$5:E$253,MATCH(B156,'Revised 2018 Lockdown'!B$5:B$253,0))</f>
        <v>123092.65</v>
      </c>
      <c r="J156" s="5">
        <f t="shared" si="42"/>
        <v>0</v>
      </c>
      <c r="K156" s="5">
        <v>27381.15</v>
      </c>
      <c r="L156" s="5">
        <f>INDEX('Revised 2018 Lockdown'!F$5:F$253,MATCH(B156,'Revised 2018 Lockdown'!B$5:B$253,0))</f>
        <v>27381.15</v>
      </c>
      <c r="M156" s="5">
        <f t="shared" si="43"/>
        <v>0</v>
      </c>
      <c r="N156" s="5">
        <v>95711.5</v>
      </c>
      <c r="O156" s="97">
        <f t="shared" si="44"/>
        <v>95711.5</v>
      </c>
      <c r="P156" s="97">
        <f t="shared" si="45"/>
        <v>0</v>
      </c>
      <c r="Q156" s="95">
        <f t="shared" si="46"/>
        <v>365.07586621679422</v>
      </c>
      <c r="R156" s="6">
        <f t="shared" si="33"/>
        <v>365.07586621679422</v>
      </c>
      <c r="S156" s="5">
        <f t="shared" si="47"/>
        <v>95711.5</v>
      </c>
      <c r="T156" s="135">
        <v>0.51477380952380947</v>
      </c>
      <c r="U156" s="97">
        <f t="shared" si="34"/>
        <v>21076.122640024001</v>
      </c>
      <c r="V156" s="97">
        <f t="shared" si="35"/>
        <v>14819.733362014038</v>
      </c>
      <c r="W156" s="97">
        <f t="shared" si="36"/>
        <v>3254.8307824188487</v>
      </c>
      <c r="X156" s="97">
        <f t="shared" si="37"/>
        <v>1200.0732046108822</v>
      </c>
      <c r="Y156" s="97">
        <f t="shared" si="38"/>
        <v>40350.759989067774</v>
      </c>
      <c r="Z156" s="104">
        <f t="shared" si="39"/>
        <v>0.42158737444369565</v>
      </c>
      <c r="AA156" s="96">
        <f t="shared" si="40"/>
        <v>40350.759989067774</v>
      </c>
      <c r="AB156" s="97"/>
      <c r="AC156" s="96">
        <f>INDEX('[2]2020 Funding'!$S$26:$S$274,MATCH(B156,'[2]2020 Funding'!$B$26:$B$274,0))</f>
        <v>40364.687528515198</v>
      </c>
      <c r="AD156" s="5">
        <f t="shared" si="48"/>
        <v>-13.927539447424351</v>
      </c>
      <c r="AF156" s="18"/>
      <c r="AG156" s="96"/>
    </row>
    <row r="157" spans="2:33" x14ac:dyDescent="0.25">
      <c r="B157">
        <v>358</v>
      </c>
      <c r="C157" s="28">
        <v>7</v>
      </c>
      <c r="D157" s="35" t="s">
        <v>187</v>
      </c>
      <c r="E157" s="154">
        <v>379.12</v>
      </c>
      <c r="F157" s="154">
        <f>INDEX('Revised 2018 Lockdown'!H$5:H$253,MATCH(B157,'Revised 2018 Lockdown'!B$5:B$253,0))</f>
        <v>379.12</v>
      </c>
      <c r="G157" s="154">
        <f t="shared" si="41"/>
        <v>0</v>
      </c>
      <c r="H157" s="5">
        <v>241699.7</v>
      </c>
      <c r="I157" s="5">
        <f>INDEX('Revised 2018 Lockdown'!E$5:E$253,MATCH(B157,'Revised 2018 Lockdown'!B$5:B$253,0))</f>
        <v>241699.7</v>
      </c>
      <c r="J157" s="5">
        <f t="shared" si="42"/>
        <v>0</v>
      </c>
      <c r="K157" s="5">
        <v>48918.26</v>
      </c>
      <c r="L157" s="5">
        <f>INDEX('Revised 2018 Lockdown'!F$5:F$253,MATCH(B157,'Revised 2018 Lockdown'!B$5:B$253,0))</f>
        <v>48918.26</v>
      </c>
      <c r="M157" s="5">
        <f t="shared" si="43"/>
        <v>0</v>
      </c>
      <c r="N157" s="5">
        <v>192781.44</v>
      </c>
      <c r="O157" s="97">
        <f t="shared" si="44"/>
        <v>192781.44</v>
      </c>
      <c r="P157" s="97">
        <f t="shared" si="45"/>
        <v>0</v>
      </c>
      <c r="Q157" s="95">
        <f t="shared" si="46"/>
        <v>508.49715129774216</v>
      </c>
      <c r="R157" s="6">
        <f t="shared" si="33"/>
        <v>508.49715129774216</v>
      </c>
      <c r="S157" s="5">
        <f t="shared" si="47"/>
        <v>192781.44</v>
      </c>
      <c r="T157" s="135">
        <v>0.79221428571428565</v>
      </c>
      <c r="U157" s="97">
        <f t="shared" si="34"/>
        <v>42451.380159755397</v>
      </c>
      <c r="V157" s="97">
        <f t="shared" si="35"/>
        <v>21430.686699675221</v>
      </c>
      <c r="W157" s="97">
        <f t="shared" si="36"/>
        <v>10089.176943253864</v>
      </c>
      <c r="X157" s="97">
        <f t="shared" si="37"/>
        <v>2417.1791319778763</v>
      </c>
      <c r="Y157" s="97">
        <f t="shared" si="38"/>
        <v>76388.422934662347</v>
      </c>
      <c r="Z157" s="104">
        <f t="shared" si="39"/>
        <v>0.39624365776426584</v>
      </c>
      <c r="AA157" s="96">
        <f t="shared" si="40"/>
        <v>76388.422934662347</v>
      </c>
      <c r="AB157" s="97"/>
      <c r="AC157" s="96">
        <f>INDEX('[2]2020 Funding'!$S$26:$S$274,MATCH(B157,'[2]2020 Funding'!$B$26:$B$274,0))</f>
        <v>76421.015596682962</v>
      </c>
      <c r="AD157" s="5">
        <f t="shared" si="48"/>
        <v>-32.592662020615535</v>
      </c>
      <c r="AF157" s="18"/>
      <c r="AG157" s="96"/>
    </row>
    <row r="158" spans="2:33" x14ac:dyDescent="0.25">
      <c r="B158">
        <v>361</v>
      </c>
      <c r="C158" s="28">
        <v>7</v>
      </c>
      <c r="D158" s="35" t="s">
        <v>188</v>
      </c>
      <c r="E158" s="154">
        <v>1540.865013619775</v>
      </c>
      <c r="F158" s="154">
        <f>INDEX('Revised 2018 Lockdown'!H$5:H$253,MATCH(B158,'Revised 2018 Lockdown'!B$5:B$253,0))</f>
        <v>1540.865013619775</v>
      </c>
      <c r="G158" s="154">
        <f t="shared" si="41"/>
        <v>0</v>
      </c>
      <c r="H158" s="5">
        <v>911184.79</v>
      </c>
      <c r="I158" s="5">
        <f>INDEX('Revised 2018 Lockdown'!E$5:E$253,MATCH(B158,'Revised 2018 Lockdown'!B$5:B$253,0))</f>
        <v>911184.79</v>
      </c>
      <c r="J158" s="5">
        <f t="shared" si="42"/>
        <v>0</v>
      </c>
      <c r="K158" s="5">
        <v>7581.0599999999995</v>
      </c>
      <c r="L158" s="5">
        <f>INDEX('Revised 2018 Lockdown'!F$5:F$253,MATCH(B158,'Revised 2018 Lockdown'!B$5:B$253,0))</f>
        <v>7581.0599999999995</v>
      </c>
      <c r="M158" s="5">
        <f t="shared" si="43"/>
        <v>0</v>
      </c>
      <c r="N158" s="5">
        <v>903603.73</v>
      </c>
      <c r="O158" s="97">
        <f t="shared" si="44"/>
        <v>903603.73</v>
      </c>
      <c r="P158" s="97">
        <f t="shared" si="45"/>
        <v>0</v>
      </c>
      <c r="Q158" s="95">
        <f t="shared" si="46"/>
        <v>586.42627486055301</v>
      </c>
      <c r="R158" s="6">
        <f t="shared" si="33"/>
        <v>586.42627486055301</v>
      </c>
      <c r="S158" s="5">
        <f t="shared" si="47"/>
        <v>903603.73</v>
      </c>
      <c r="T158" s="135">
        <v>0.36721428571428572</v>
      </c>
      <c r="U158" s="97">
        <f t="shared" si="34"/>
        <v>198977.79296597728</v>
      </c>
      <c r="V158" s="97">
        <f t="shared" si="35"/>
        <v>87101.169427559071</v>
      </c>
      <c r="W158" s="97">
        <f t="shared" si="36"/>
        <v>21920.246435101908</v>
      </c>
      <c r="X158" s="97">
        <f t="shared" si="37"/>
        <v>11329.7840276189</v>
      </c>
      <c r="Y158" s="97">
        <f t="shared" si="38"/>
        <v>319328.99285625713</v>
      </c>
      <c r="Z158" s="104">
        <f t="shared" si="39"/>
        <v>0.35339494764619567</v>
      </c>
      <c r="AA158" s="96">
        <f t="shared" si="40"/>
        <v>319328.99285625713</v>
      </c>
      <c r="AB158" s="97"/>
      <c r="AC158" s="96">
        <f>INDEX('[2]2020 Funding'!$S$26:$S$274,MATCH(B158,'[2]2020 Funding'!$B$26:$B$274,0))</f>
        <v>319468.93206341349</v>
      </c>
      <c r="AD158" s="5">
        <f t="shared" si="48"/>
        <v>-139.93920715636341</v>
      </c>
      <c r="AF158" s="18"/>
      <c r="AG158" s="96"/>
    </row>
    <row r="159" spans="2:33" x14ac:dyDescent="0.25">
      <c r="B159">
        <v>376</v>
      </c>
      <c r="C159" s="28">
        <v>7</v>
      </c>
      <c r="D159" s="35" t="s">
        <v>189</v>
      </c>
      <c r="E159" s="154">
        <v>685.89220705089633</v>
      </c>
      <c r="F159" s="154">
        <f>INDEX('Revised 2018 Lockdown'!H$5:H$253,MATCH(B159,'Revised 2018 Lockdown'!B$5:B$253,0))</f>
        <v>685.89220705089633</v>
      </c>
      <c r="G159" s="154">
        <f t="shared" si="41"/>
        <v>0</v>
      </c>
      <c r="H159" s="5">
        <v>281309.96000000002</v>
      </c>
      <c r="I159" s="5">
        <f>INDEX('Revised 2018 Lockdown'!E$5:E$253,MATCH(B159,'Revised 2018 Lockdown'!B$5:B$253,0))</f>
        <v>281309.96000000002</v>
      </c>
      <c r="J159" s="5">
        <f t="shared" si="42"/>
        <v>0</v>
      </c>
      <c r="K159" s="5">
        <v>326</v>
      </c>
      <c r="L159" s="5">
        <f>INDEX('Revised 2018 Lockdown'!F$5:F$253,MATCH(B159,'Revised 2018 Lockdown'!B$5:B$253,0))</f>
        <v>326</v>
      </c>
      <c r="M159" s="5">
        <f t="shared" si="43"/>
        <v>0</v>
      </c>
      <c r="N159" s="5">
        <v>280983.96000000002</v>
      </c>
      <c r="O159" s="97">
        <f t="shared" si="44"/>
        <v>280983.96000000002</v>
      </c>
      <c r="P159" s="97">
        <f t="shared" si="45"/>
        <v>0</v>
      </c>
      <c r="Q159" s="95">
        <f t="shared" si="46"/>
        <v>409.6619805729178</v>
      </c>
      <c r="R159" s="6">
        <f t="shared" si="33"/>
        <v>409.6619805729178</v>
      </c>
      <c r="S159" s="5">
        <f t="shared" si="47"/>
        <v>280983.96000000002</v>
      </c>
      <c r="T159" s="135">
        <v>0.54914136904761901</v>
      </c>
      <c r="U159" s="97">
        <f t="shared" si="34"/>
        <v>61873.990072662098</v>
      </c>
      <c r="V159" s="97">
        <f t="shared" si="35"/>
        <v>38771.737178351257</v>
      </c>
      <c r="W159" s="97">
        <f t="shared" si="36"/>
        <v>10193.270285082133</v>
      </c>
      <c r="X159" s="97">
        <f t="shared" si="37"/>
        <v>3523.1014175042283</v>
      </c>
      <c r="Y159" s="97">
        <f t="shared" si="38"/>
        <v>114362.09895359972</v>
      </c>
      <c r="Z159" s="104">
        <f t="shared" si="39"/>
        <v>0.40700579119747515</v>
      </c>
      <c r="AA159" s="96">
        <f t="shared" si="40"/>
        <v>114362.09895359972</v>
      </c>
      <c r="AB159" s="97"/>
      <c r="AC159" s="96">
        <f>INDEX('[2]2020 Funding'!$S$26:$S$274,MATCH(B159,'[2]2020 Funding'!$B$26:$B$274,0))</f>
        <v>114404.66745428568</v>
      </c>
      <c r="AD159" s="5">
        <f t="shared" si="48"/>
        <v>-42.568500685956678</v>
      </c>
      <c r="AF159" s="18"/>
      <c r="AG159" s="96"/>
    </row>
    <row r="160" spans="2:33" x14ac:dyDescent="0.25">
      <c r="B160">
        <v>382</v>
      </c>
      <c r="C160" s="36">
        <v>7</v>
      </c>
      <c r="D160" s="35" t="s">
        <v>190</v>
      </c>
      <c r="E160" s="154">
        <v>185.27</v>
      </c>
      <c r="F160" s="154">
        <f>INDEX('Revised 2018 Lockdown'!H$5:H$253,MATCH(B160,'Revised 2018 Lockdown'!B$5:B$253,0))</f>
        <v>185.27</v>
      </c>
      <c r="G160" s="154">
        <f t="shared" si="41"/>
        <v>0</v>
      </c>
      <c r="H160" s="5">
        <v>98656.37</v>
      </c>
      <c r="I160" s="5">
        <f>INDEX('Revised 2018 Lockdown'!E$5:E$253,MATCH(B160,'Revised 2018 Lockdown'!B$5:B$253,0))</f>
        <v>98656.37</v>
      </c>
      <c r="J160" s="5">
        <f t="shared" si="42"/>
        <v>0</v>
      </c>
      <c r="K160" s="5">
        <v>22015.520000000004</v>
      </c>
      <c r="L160" s="5">
        <f>INDEX('Revised 2018 Lockdown'!F$5:F$253,MATCH(B160,'Revised 2018 Lockdown'!B$5:B$253,0))</f>
        <v>22015.520000000004</v>
      </c>
      <c r="M160" s="5">
        <f t="shared" si="43"/>
        <v>0</v>
      </c>
      <c r="N160" s="5">
        <v>76640.849999999991</v>
      </c>
      <c r="O160" s="97">
        <f t="shared" si="44"/>
        <v>76640.849999999991</v>
      </c>
      <c r="P160" s="97">
        <f t="shared" si="45"/>
        <v>0</v>
      </c>
      <c r="Q160" s="95">
        <f t="shared" si="46"/>
        <v>413.67112862309057</v>
      </c>
      <c r="R160" s="6">
        <f t="shared" si="33"/>
        <v>413.67112862309057</v>
      </c>
      <c r="S160" s="5">
        <f t="shared" si="47"/>
        <v>76640.849999999991</v>
      </c>
      <c r="T160" s="135">
        <v>0.64454761904761904</v>
      </c>
      <c r="U160" s="97">
        <f t="shared" si="34"/>
        <v>16876.675779145487</v>
      </c>
      <c r="V160" s="97">
        <f t="shared" si="35"/>
        <v>10472.840590970745</v>
      </c>
      <c r="W160" s="97">
        <f t="shared" si="36"/>
        <v>3263.3463572660535</v>
      </c>
      <c r="X160" s="97">
        <f t="shared" si="37"/>
        <v>960.95694314269372</v>
      </c>
      <c r="Y160" s="97">
        <f t="shared" si="38"/>
        <v>31573.819670524979</v>
      </c>
      <c r="Z160" s="104">
        <f t="shared" si="39"/>
        <v>0.41197115729438</v>
      </c>
      <c r="AA160" s="96">
        <f t="shared" si="40"/>
        <v>31573.819670524979</v>
      </c>
      <c r="AB160" s="97"/>
      <c r="AC160" s="96">
        <f>INDEX('[2]2020 Funding'!$S$26:$S$274,MATCH(B160,'[2]2020 Funding'!$B$26:$B$274,0))</f>
        <v>31585.770402452414</v>
      </c>
      <c r="AD160" s="5">
        <f t="shared" si="48"/>
        <v>-11.95073192743439</v>
      </c>
      <c r="AF160" s="18"/>
      <c r="AG160" s="96"/>
    </row>
    <row r="161" spans="2:33" x14ac:dyDescent="0.25">
      <c r="B161">
        <v>389</v>
      </c>
      <c r="C161" s="28">
        <v>7</v>
      </c>
      <c r="D161" s="35" t="s">
        <v>191</v>
      </c>
      <c r="E161" s="154">
        <v>971.31315779571287</v>
      </c>
      <c r="F161" s="154">
        <f>INDEX('Revised 2018 Lockdown'!H$5:H$253,MATCH(B161,'Revised 2018 Lockdown'!B$5:B$253,0))</f>
        <v>971.31315779571287</v>
      </c>
      <c r="G161" s="154">
        <f t="shared" si="41"/>
        <v>0</v>
      </c>
      <c r="H161" s="5">
        <v>166030.71</v>
      </c>
      <c r="I161" s="5">
        <f>INDEX('Revised 2018 Lockdown'!E$5:E$253,MATCH(B161,'Revised 2018 Lockdown'!B$5:B$253,0))</f>
        <v>166030.71</v>
      </c>
      <c r="J161" s="5">
        <f t="shared" si="42"/>
        <v>0</v>
      </c>
      <c r="K161" s="5">
        <v>944.5</v>
      </c>
      <c r="L161" s="5">
        <f>INDEX('Revised 2018 Lockdown'!F$5:F$253,MATCH(B161,'Revised 2018 Lockdown'!B$5:B$253,0))</f>
        <v>944.5</v>
      </c>
      <c r="M161" s="5">
        <f t="shared" si="43"/>
        <v>0</v>
      </c>
      <c r="N161" s="5">
        <v>165086.21</v>
      </c>
      <c r="O161" s="97">
        <f t="shared" si="44"/>
        <v>165086.21</v>
      </c>
      <c r="P161" s="97">
        <f t="shared" si="45"/>
        <v>0</v>
      </c>
      <c r="Q161" s="95">
        <f t="shared" si="46"/>
        <v>169.96187962144441</v>
      </c>
      <c r="R161" s="6">
        <f t="shared" si="33"/>
        <v>169.96187962144441</v>
      </c>
      <c r="S161" s="5">
        <f t="shared" si="47"/>
        <v>165086.21</v>
      </c>
      <c r="T161" s="135">
        <v>0.58776190476190471</v>
      </c>
      <c r="U161" s="97">
        <f t="shared" si="34"/>
        <v>36352.760202658581</v>
      </c>
      <c r="V161" s="97">
        <f t="shared" si="35"/>
        <v>54905.85559187625</v>
      </c>
      <c r="W161" s="97">
        <f t="shared" si="36"/>
        <v>6410.0302740202114</v>
      </c>
      <c r="X161" s="97">
        <f t="shared" si="37"/>
        <v>2069.9240642113546</v>
      </c>
      <c r="Y161" s="97">
        <f t="shared" si="38"/>
        <v>99738.570132766399</v>
      </c>
      <c r="Z161" s="104">
        <f t="shared" si="39"/>
        <v>0.60416051790616798</v>
      </c>
      <c r="AA161" s="96">
        <f t="shared" si="40"/>
        <v>99738.570132766399</v>
      </c>
      <c r="AB161" s="97"/>
      <c r="AC161" s="96">
        <f>INDEX('[2]2020 Funding'!$S$26:$S$274,MATCH(B161,'[2]2020 Funding'!$B$26:$B$274,0))</f>
        <v>99755.247147763643</v>
      </c>
      <c r="AD161" s="5">
        <f t="shared" si="48"/>
        <v>-16.677014997243532</v>
      </c>
      <c r="AF161" s="18"/>
      <c r="AG161" s="96"/>
    </row>
    <row r="162" spans="2:33" x14ac:dyDescent="0.25">
      <c r="B162">
        <v>420</v>
      </c>
      <c r="C162" s="28">
        <v>7</v>
      </c>
      <c r="D162" s="35" t="s">
        <v>283</v>
      </c>
      <c r="E162" s="154">
        <v>439.19048015518462</v>
      </c>
      <c r="F162" s="154">
        <f>INDEX('Revised 2018 Lockdown'!H$5:H$253,MATCH(B162,'Revised 2018 Lockdown'!B$5:B$253,0))</f>
        <v>439.19048015518462</v>
      </c>
      <c r="G162" s="154">
        <f t="shared" si="41"/>
        <v>0</v>
      </c>
      <c r="H162" s="5">
        <v>181392.42</v>
      </c>
      <c r="I162" s="5">
        <f>INDEX('Revised 2018 Lockdown'!E$5:E$253,MATCH(B162,'Revised 2018 Lockdown'!B$5:B$253,0))</f>
        <v>181392.42</v>
      </c>
      <c r="J162" s="5">
        <f t="shared" si="42"/>
        <v>0</v>
      </c>
      <c r="K162" s="5">
        <v>158.49</v>
      </c>
      <c r="L162" s="5">
        <f>INDEX('Revised 2018 Lockdown'!F$5:F$253,MATCH(B162,'Revised 2018 Lockdown'!B$5:B$253,0))</f>
        <v>158.49</v>
      </c>
      <c r="M162" s="5">
        <f t="shared" si="43"/>
        <v>0</v>
      </c>
      <c r="N162" s="5">
        <v>181233.93000000002</v>
      </c>
      <c r="O162" s="97">
        <f t="shared" si="44"/>
        <v>181233.93000000002</v>
      </c>
      <c r="P162" s="97">
        <f t="shared" si="45"/>
        <v>0</v>
      </c>
      <c r="Q162" s="95">
        <f t="shared" si="46"/>
        <v>412.65450456932126</v>
      </c>
      <c r="R162" s="6">
        <f t="shared" si="33"/>
        <v>412.65450456932126</v>
      </c>
      <c r="S162" s="5">
        <f t="shared" si="47"/>
        <v>181233.93000000002</v>
      </c>
      <c r="T162" s="135">
        <v>0.57561607142857141</v>
      </c>
      <c r="U162" s="97">
        <f t="shared" si="34"/>
        <v>39908.564124619559</v>
      </c>
      <c r="V162" s="97">
        <f t="shared" si="35"/>
        <v>24826.317740255567</v>
      </c>
      <c r="W162" s="97">
        <f t="shared" si="36"/>
        <v>6891.6032693306206</v>
      </c>
      <c r="X162" s="97">
        <f t="shared" si="37"/>
        <v>2272.3913339496748</v>
      </c>
      <c r="Y162" s="97">
        <f t="shared" si="38"/>
        <v>73898.876468155431</v>
      </c>
      <c r="Z162" s="104">
        <f t="shared" si="39"/>
        <v>0.40775409145602826</v>
      </c>
      <c r="AA162" s="96">
        <f t="shared" si="40"/>
        <v>73898.876468155431</v>
      </c>
      <c r="AB162" s="97"/>
      <c r="AC162" s="96">
        <f>INDEX('[2]2020 Funding'!$S$26:$S$274,MATCH(B162,'[2]2020 Funding'!$B$26:$B$274,0))</f>
        <v>73926.586578640534</v>
      </c>
      <c r="AD162" s="5">
        <f t="shared" si="48"/>
        <v>-27.710110485102632</v>
      </c>
      <c r="AF162" s="18"/>
      <c r="AG162" s="96"/>
    </row>
    <row r="163" spans="2:33" x14ac:dyDescent="0.25">
      <c r="B163">
        <v>434</v>
      </c>
      <c r="C163" s="28">
        <v>7</v>
      </c>
      <c r="D163" s="35" t="s">
        <v>192</v>
      </c>
      <c r="E163" s="154">
        <v>314.12901317026297</v>
      </c>
      <c r="F163" s="154">
        <f>INDEX('Revised 2018 Lockdown'!H$5:H$253,MATCH(B163,'Revised 2018 Lockdown'!B$5:B$253,0))</f>
        <v>314.12901317026297</v>
      </c>
      <c r="G163" s="154">
        <f t="shared" si="41"/>
        <v>0</v>
      </c>
      <c r="H163" s="5">
        <v>130973.72</v>
      </c>
      <c r="I163" s="5">
        <f>INDEX('Revised 2018 Lockdown'!E$5:E$253,MATCH(B163,'Revised 2018 Lockdown'!B$5:B$253,0))</f>
        <v>130973.72</v>
      </c>
      <c r="J163" s="5">
        <f t="shared" si="42"/>
        <v>0</v>
      </c>
      <c r="K163" s="5">
        <v>0</v>
      </c>
      <c r="L163" s="5">
        <f>INDEX('Revised 2018 Lockdown'!F$5:F$253,MATCH(B163,'Revised 2018 Lockdown'!B$5:B$253,0))</f>
        <v>0</v>
      </c>
      <c r="M163" s="5">
        <f t="shared" si="43"/>
        <v>0</v>
      </c>
      <c r="N163" s="5">
        <v>130973.72</v>
      </c>
      <c r="O163" s="97">
        <f t="shared" si="44"/>
        <v>130973.72</v>
      </c>
      <c r="P163" s="97">
        <f t="shared" si="45"/>
        <v>0</v>
      </c>
      <c r="Q163" s="95">
        <f t="shared" si="46"/>
        <v>416.94244883076158</v>
      </c>
      <c r="R163" s="6">
        <f t="shared" si="33"/>
        <v>416.94244883076158</v>
      </c>
      <c r="S163" s="5">
        <f t="shared" si="47"/>
        <v>130973.72</v>
      </c>
      <c r="T163" s="135">
        <v>0.35676785714285714</v>
      </c>
      <c r="U163" s="97">
        <f t="shared" si="34"/>
        <v>28841.029399185725</v>
      </c>
      <c r="V163" s="97">
        <f t="shared" si="35"/>
        <v>17756.911965947609</v>
      </c>
      <c r="W163" s="97">
        <f t="shared" si="36"/>
        <v>3086.8656769624904</v>
      </c>
      <c r="X163" s="97">
        <f t="shared" si="37"/>
        <v>1642.2065465509202</v>
      </c>
      <c r="Y163" s="97">
        <f t="shared" si="38"/>
        <v>51327.013588646747</v>
      </c>
      <c r="Z163" s="104">
        <f t="shared" si="39"/>
        <v>0.39188788093250115</v>
      </c>
      <c r="AA163" s="96">
        <f t="shared" si="40"/>
        <v>51327.013588646747</v>
      </c>
      <c r="AB163" s="97"/>
      <c r="AC163" s="96">
        <f>INDEX('[2]2020 Funding'!$S$26:$S$274,MATCH(B163,'[2]2020 Funding'!$B$26:$B$274,0))</f>
        <v>51345.864092234784</v>
      </c>
      <c r="AD163" s="5">
        <f t="shared" si="48"/>
        <v>-18.8505035880371</v>
      </c>
      <c r="AF163" s="18"/>
      <c r="AG163" s="96"/>
    </row>
    <row r="164" spans="2:33" x14ac:dyDescent="0.25">
      <c r="B164">
        <v>437</v>
      </c>
      <c r="C164" s="28">
        <v>7</v>
      </c>
      <c r="D164" s="35" t="s">
        <v>193</v>
      </c>
      <c r="E164" s="154">
        <v>381.25325546155779</v>
      </c>
      <c r="F164" s="154">
        <f>INDEX('Revised 2018 Lockdown'!H$5:H$253,MATCH(B164,'Revised 2018 Lockdown'!B$5:B$253,0))</f>
        <v>381.25325546155779</v>
      </c>
      <c r="G164" s="154">
        <f t="shared" si="41"/>
        <v>0</v>
      </c>
      <c r="H164" s="5">
        <v>233460.45</v>
      </c>
      <c r="I164" s="5">
        <f>INDEX('Revised 2018 Lockdown'!E$5:E$253,MATCH(B164,'Revised 2018 Lockdown'!B$5:B$253,0))</f>
        <v>234070.56</v>
      </c>
      <c r="J164" s="5">
        <f t="shared" si="42"/>
        <v>-610.10999999998603</v>
      </c>
      <c r="K164" s="5">
        <v>0</v>
      </c>
      <c r="L164" s="5">
        <f>INDEX('Revised 2018 Lockdown'!F$5:F$253,MATCH(B164,'Revised 2018 Lockdown'!B$5:B$253,0))</f>
        <v>0</v>
      </c>
      <c r="M164" s="5">
        <f t="shared" si="43"/>
        <v>0</v>
      </c>
      <c r="N164" s="5">
        <v>233460.45</v>
      </c>
      <c r="O164" s="97">
        <f t="shared" si="44"/>
        <v>234070.56</v>
      </c>
      <c r="P164" s="97">
        <f t="shared" si="45"/>
        <v>-610.10999999998603</v>
      </c>
      <c r="Q164" s="95">
        <f t="shared" si="46"/>
        <v>613.95032474313291</v>
      </c>
      <c r="R164" s="6">
        <f t="shared" si="33"/>
        <v>613.95032474313291</v>
      </c>
      <c r="S164" s="5">
        <f t="shared" si="47"/>
        <v>234070.56000000003</v>
      </c>
      <c r="T164" s="135">
        <v>0.35997619047619045</v>
      </c>
      <c r="U164" s="97">
        <f t="shared" si="34"/>
        <v>51543.438656578328</v>
      </c>
      <c r="V164" s="97">
        <f t="shared" si="35"/>
        <v>21551.27419030356</v>
      </c>
      <c r="W164" s="97">
        <f t="shared" si="36"/>
        <v>5566.3232074914831</v>
      </c>
      <c r="X164" s="97">
        <f t="shared" si="37"/>
        <v>2934.8804171313145</v>
      </c>
      <c r="Y164" s="97">
        <f t="shared" si="38"/>
        <v>81595.916471504679</v>
      </c>
      <c r="Z164" s="104">
        <f t="shared" si="39"/>
        <v>0.34859538282603619</v>
      </c>
      <c r="AA164" s="96">
        <f t="shared" si="40"/>
        <v>81595.916471504679</v>
      </c>
      <c r="AB164" s="97"/>
      <c r="AC164" s="96">
        <f>INDEX('[2]2020 Funding'!$S$26:$S$274,MATCH(B164,'[2]2020 Funding'!$B$26:$B$274,0))</f>
        <v>81475.747349474113</v>
      </c>
      <c r="AD164" s="5">
        <f t="shared" si="48"/>
        <v>120.16912203056563</v>
      </c>
      <c r="AF164" s="18"/>
      <c r="AG164" s="96"/>
    </row>
    <row r="165" spans="2:33" x14ac:dyDescent="0.25">
      <c r="B165">
        <v>502</v>
      </c>
      <c r="C165" s="28">
        <v>7</v>
      </c>
      <c r="D165" s="35" t="s">
        <v>194</v>
      </c>
      <c r="E165" s="154">
        <v>668.15033574141978</v>
      </c>
      <c r="F165" s="154">
        <f>INDEX('Revised 2018 Lockdown'!H$5:H$253,MATCH(B165,'Revised 2018 Lockdown'!B$5:B$253,0))</f>
        <v>668.15033574141978</v>
      </c>
      <c r="G165" s="154">
        <f t="shared" si="41"/>
        <v>0</v>
      </c>
      <c r="H165" s="5">
        <v>321308.17</v>
      </c>
      <c r="I165" s="5">
        <f>INDEX('Revised 2018 Lockdown'!E$5:E$253,MATCH(B165,'Revised 2018 Lockdown'!B$5:B$253,0))</f>
        <v>321308.17</v>
      </c>
      <c r="J165" s="5">
        <f t="shared" si="42"/>
        <v>0</v>
      </c>
      <c r="K165" s="5">
        <v>0</v>
      </c>
      <c r="L165" s="5">
        <f>INDEX('Revised 2018 Lockdown'!F$5:F$253,MATCH(B165,'Revised 2018 Lockdown'!B$5:B$253,0))</f>
        <v>0</v>
      </c>
      <c r="M165" s="5">
        <f t="shared" si="43"/>
        <v>0</v>
      </c>
      <c r="N165" s="5">
        <v>321308.17</v>
      </c>
      <c r="O165" s="97">
        <f t="shared" si="44"/>
        <v>321308.17</v>
      </c>
      <c r="P165" s="97">
        <f t="shared" si="45"/>
        <v>0</v>
      </c>
      <c r="Q165" s="95">
        <f t="shared" si="46"/>
        <v>480.89202805452027</v>
      </c>
      <c r="R165" s="6">
        <f t="shared" si="33"/>
        <v>480.89202805452027</v>
      </c>
      <c r="S165" s="5">
        <f t="shared" si="47"/>
        <v>321308.17</v>
      </c>
      <c r="T165" s="135">
        <v>0.36977678571428574</v>
      </c>
      <c r="U165" s="97">
        <f t="shared" si="34"/>
        <v>70753.570847407886</v>
      </c>
      <c r="V165" s="97">
        <f t="shared" si="35"/>
        <v>37768.834441752428</v>
      </c>
      <c r="W165" s="97">
        <f t="shared" si="36"/>
        <v>7848.9084017287432</v>
      </c>
      <c r="X165" s="97">
        <f t="shared" si="37"/>
        <v>4028.7042334469534</v>
      </c>
      <c r="Y165" s="97">
        <f t="shared" si="38"/>
        <v>120400.01792433602</v>
      </c>
      <c r="Z165" s="104">
        <f t="shared" si="39"/>
        <v>0.37471819631706227</v>
      </c>
      <c r="AA165" s="96">
        <f t="shared" si="40"/>
        <v>120400.01792433602</v>
      </c>
      <c r="AB165" s="97"/>
      <c r="AC165" s="96">
        <f>INDEX('[2]2020 Funding'!$S$26:$S$274,MATCH(B165,'[2]2020 Funding'!$B$26:$B$274,0))</f>
        <v>120447.99274378917</v>
      </c>
      <c r="AD165" s="5">
        <f t="shared" si="48"/>
        <v>-47.97481945315667</v>
      </c>
      <c r="AF165" s="18"/>
      <c r="AG165" s="96"/>
    </row>
    <row r="166" spans="2:33" x14ac:dyDescent="0.25">
      <c r="B166">
        <v>503</v>
      </c>
      <c r="C166" s="28">
        <v>7</v>
      </c>
      <c r="D166" s="35" t="s">
        <v>195</v>
      </c>
      <c r="E166" s="154">
        <v>362.80000000000007</v>
      </c>
      <c r="F166" s="154">
        <f>INDEX('Revised 2018 Lockdown'!H$5:H$253,MATCH(B166,'Revised 2018 Lockdown'!B$5:B$253,0))</f>
        <v>362.80000000000007</v>
      </c>
      <c r="G166" s="154">
        <f t="shared" si="41"/>
        <v>0</v>
      </c>
      <c r="H166" s="5">
        <v>200464.15</v>
      </c>
      <c r="I166" s="5">
        <f>INDEX('Revised 2018 Lockdown'!E$5:E$253,MATCH(B166,'Revised 2018 Lockdown'!B$5:B$253,0))</f>
        <v>200464.15</v>
      </c>
      <c r="J166" s="5">
        <f t="shared" si="42"/>
        <v>0</v>
      </c>
      <c r="K166" s="5">
        <v>51599.19000000001</v>
      </c>
      <c r="L166" s="5">
        <f>INDEX('Revised 2018 Lockdown'!F$5:F$253,MATCH(B166,'Revised 2018 Lockdown'!B$5:B$253,0))</f>
        <v>51599.19000000001</v>
      </c>
      <c r="M166" s="5">
        <f t="shared" si="43"/>
        <v>0</v>
      </c>
      <c r="N166" s="5">
        <v>148864.95999999999</v>
      </c>
      <c r="O166" s="97">
        <f t="shared" si="44"/>
        <v>148864.95999999999</v>
      </c>
      <c r="P166" s="97">
        <f t="shared" si="45"/>
        <v>0</v>
      </c>
      <c r="Q166" s="95">
        <f t="shared" si="46"/>
        <v>410.32238147739793</v>
      </c>
      <c r="R166" s="6">
        <f t="shared" si="33"/>
        <v>410.32238147739793</v>
      </c>
      <c r="S166" s="5">
        <f t="shared" si="47"/>
        <v>148864.95999999999</v>
      </c>
      <c r="T166" s="135">
        <v>0.75064285714285706</v>
      </c>
      <c r="U166" s="97">
        <f t="shared" si="34"/>
        <v>32780.76462872557</v>
      </c>
      <c r="V166" s="97">
        <f t="shared" si="35"/>
        <v>20508.158721887983</v>
      </c>
      <c r="W166" s="97">
        <f t="shared" si="36"/>
        <v>7381.9940460702201</v>
      </c>
      <c r="X166" s="97">
        <f t="shared" si="37"/>
        <v>1866.5348427458644</v>
      </c>
      <c r="Y166" s="97">
        <f t="shared" si="38"/>
        <v>62537.452239429636</v>
      </c>
      <c r="Z166" s="104">
        <f t="shared" si="39"/>
        <v>0.42009518048726602</v>
      </c>
      <c r="AA166" s="96">
        <f t="shared" si="40"/>
        <v>62537.452239429636</v>
      </c>
      <c r="AB166" s="97"/>
      <c r="AC166" s="96">
        <f>INDEX('[2]2020 Funding'!$S$26:$S$274,MATCH(B166,'[2]2020 Funding'!$B$26:$B$274,0))</f>
        <v>62561.295182994196</v>
      </c>
      <c r="AD166" s="5">
        <f t="shared" si="48"/>
        <v>-23.842943564559391</v>
      </c>
      <c r="AF166" s="18"/>
      <c r="AG166" s="96"/>
    </row>
    <row r="167" spans="2:33" x14ac:dyDescent="0.25">
      <c r="B167">
        <v>510</v>
      </c>
      <c r="C167" s="28">
        <v>7</v>
      </c>
      <c r="D167" s="35" t="s">
        <v>196</v>
      </c>
      <c r="E167" s="154">
        <v>488.33931602748999</v>
      </c>
      <c r="F167" s="154">
        <f>INDEX('Revised 2018 Lockdown'!H$5:H$253,MATCH(B167,'Revised 2018 Lockdown'!B$5:B$253,0))</f>
        <v>488.33931602748999</v>
      </c>
      <c r="G167" s="154">
        <f t="shared" si="41"/>
        <v>0</v>
      </c>
      <c r="H167" s="5">
        <v>225129.38</v>
      </c>
      <c r="I167" s="5">
        <f>INDEX('Revised 2018 Lockdown'!E$5:E$253,MATCH(B167,'Revised 2018 Lockdown'!B$5:B$253,0))</f>
        <v>225129.38</v>
      </c>
      <c r="J167" s="5">
        <f t="shared" si="42"/>
        <v>0</v>
      </c>
      <c r="K167" s="5">
        <v>1049</v>
      </c>
      <c r="L167" s="5">
        <f>INDEX('Revised 2018 Lockdown'!F$5:F$253,MATCH(B167,'Revised 2018 Lockdown'!B$5:B$253,0))</f>
        <v>1049</v>
      </c>
      <c r="M167" s="5">
        <f t="shared" si="43"/>
        <v>0</v>
      </c>
      <c r="N167" s="5">
        <v>224080.38</v>
      </c>
      <c r="O167" s="97">
        <f t="shared" si="44"/>
        <v>224080.38</v>
      </c>
      <c r="P167" s="97">
        <f t="shared" si="45"/>
        <v>0</v>
      </c>
      <c r="Q167" s="95">
        <f t="shared" si="46"/>
        <v>458.86205072086779</v>
      </c>
      <c r="R167" s="6">
        <f t="shared" si="33"/>
        <v>458.86205072086779</v>
      </c>
      <c r="S167" s="5">
        <f t="shared" si="47"/>
        <v>224080.38</v>
      </c>
      <c r="T167" s="135">
        <v>0.56185119047619048</v>
      </c>
      <c r="U167" s="97">
        <f t="shared" si="34"/>
        <v>49343.55401496352</v>
      </c>
      <c r="V167" s="97">
        <f t="shared" si="35"/>
        <v>27604.576083875352</v>
      </c>
      <c r="W167" s="97">
        <f t="shared" si="36"/>
        <v>8317.1203696900393</v>
      </c>
      <c r="X167" s="97">
        <f t="shared" si="37"/>
        <v>2809.619112823686</v>
      </c>
      <c r="Y167" s="97">
        <f t="shared" si="38"/>
        <v>88074.869581352585</v>
      </c>
      <c r="Z167" s="104">
        <f t="shared" si="39"/>
        <v>0.39305034015629831</v>
      </c>
      <c r="AA167" s="96">
        <f t="shared" si="40"/>
        <v>88074.869581352585</v>
      </c>
      <c r="AB167" s="97"/>
      <c r="AC167" s="96">
        <f>INDEX('[2]2020 Funding'!$S$26:$S$274,MATCH(B167,'[2]2020 Funding'!$B$26:$B$274,0))</f>
        <v>88109.827016026349</v>
      </c>
      <c r="AD167" s="5">
        <f t="shared" si="48"/>
        <v>-34.95743467376451</v>
      </c>
      <c r="AF167" s="18"/>
      <c r="AG167" s="96"/>
    </row>
    <row r="168" spans="2:33" x14ac:dyDescent="0.25">
      <c r="B168">
        <v>531</v>
      </c>
      <c r="C168" s="28">
        <v>7</v>
      </c>
      <c r="D168" s="35" t="s">
        <v>197</v>
      </c>
      <c r="E168" s="154">
        <v>2134.37</v>
      </c>
      <c r="F168" s="154">
        <f>INDEX('Revised 2018 Lockdown'!H$5:H$253,MATCH(B168,'Revised 2018 Lockdown'!B$5:B$253,0))</f>
        <v>2134.37</v>
      </c>
      <c r="G168" s="154">
        <f t="shared" si="41"/>
        <v>0</v>
      </c>
      <c r="H168" s="5">
        <v>619077.55000000005</v>
      </c>
      <c r="I168" s="5">
        <f>INDEX('Revised 2018 Lockdown'!E$5:E$253,MATCH(B168,'Revised 2018 Lockdown'!B$5:B$253,0))</f>
        <v>619077.55000000005</v>
      </c>
      <c r="J168" s="5">
        <f t="shared" si="42"/>
        <v>0</v>
      </c>
      <c r="K168" s="5">
        <v>5174.5599999999995</v>
      </c>
      <c r="L168" s="5">
        <f>INDEX('Revised 2018 Lockdown'!F$5:F$253,MATCH(B168,'Revised 2018 Lockdown'!B$5:B$253,0))</f>
        <v>5174.5599999999995</v>
      </c>
      <c r="M168" s="5">
        <f t="shared" si="43"/>
        <v>0</v>
      </c>
      <c r="N168" s="5">
        <v>613902.99</v>
      </c>
      <c r="O168" s="97">
        <f t="shared" si="44"/>
        <v>613902.99</v>
      </c>
      <c r="P168" s="97">
        <f t="shared" si="45"/>
        <v>0</v>
      </c>
      <c r="Q168" s="95">
        <f t="shared" si="46"/>
        <v>287.62725769196533</v>
      </c>
      <c r="R168" s="6">
        <f t="shared" si="33"/>
        <v>287.62725769196533</v>
      </c>
      <c r="S168" s="5">
        <f t="shared" si="47"/>
        <v>613902.99</v>
      </c>
      <c r="T168" s="135">
        <v>0.84754166666666664</v>
      </c>
      <c r="U168" s="97">
        <f t="shared" si="34"/>
        <v>135184.32692327912</v>
      </c>
      <c r="V168" s="97">
        <f t="shared" si="35"/>
        <v>120650.49264398028</v>
      </c>
      <c r="W168" s="97">
        <f t="shared" si="36"/>
        <v>34372.304924330252</v>
      </c>
      <c r="X168" s="97">
        <f t="shared" si="37"/>
        <v>7697.3877593549614</v>
      </c>
      <c r="Y168" s="97">
        <f t="shared" si="38"/>
        <v>297904.51225094462</v>
      </c>
      <c r="Z168" s="104">
        <f t="shared" si="39"/>
        <v>0.48526317203788927</v>
      </c>
      <c r="AA168" s="96">
        <f t="shared" si="40"/>
        <v>297904.51225094462</v>
      </c>
      <c r="AB168" s="97"/>
      <c r="AC168" s="96">
        <f>INDEX('[2]2020 Funding'!$S$26:$S$274,MATCH(B168,'[2]2020 Funding'!$B$26:$B$274,0))</f>
        <v>297995.71520201332</v>
      </c>
      <c r="AD168" s="5">
        <f t="shared" si="48"/>
        <v>-91.202951068698894</v>
      </c>
      <c r="AF168" s="18"/>
      <c r="AG168" s="96"/>
    </row>
    <row r="169" spans="2:33" x14ac:dyDescent="0.25">
      <c r="B169">
        <v>550</v>
      </c>
      <c r="C169" s="28">
        <v>7</v>
      </c>
      <c r="D169" s="35" t="s">
        <v>198</v>
      </c>
      <c r="E169" s="154">
        <v>257.69</v>
      </c>
      <c r="F169" s="154">
        <f>INDEX('Revised 2018 Lockdown'!H$5:H$253,MATCH(B169,'Revised 2018 Lockdown'!B$5:B$253,0))</f>
        <v>257.69</v>
      </c>
      <c r="G169" s="154">
        <f t="shared" si="41"/>
        <v>0</v>
      </c>
      <c r="H169" s="5">
        <v>412541.65</v>
      </c>
      <c r="I169" s="5">
        <f>INDEX('Revised 2018 Lockdown'!E$5:E$253,MATCH(B169,'Revised 2018 Lockdown'!B$5:B$253,0))</f>
        <v>412541.65</v>
      </c>
      <c r="J169" s="5">
        <f t="shared" si="42"/>
        <v>0</v>
      </c>
      <c r="K169" s="5">
        <v>100</v>
      </c>
      <c r="L169" s="5">
        <f>INDEX('Revised 2018 Lockdown'!F$5:F$253,MATCH(B169,'Revised 2018 Lockdown'!B$5:B$253,0))</f>
        <v>100</v>
      </c>
      <c r="M169" s="5">
        <f t="shared" si="43"/>
        <v>0</v>
      </c>
      <c r="N169" s="5">
        <v>412441.65</v>
      </c>
      <c r="O169" s="97">
        <f t="shared" si="44"/>
        <v>412441.65</v>
      </c>
      <c r="P169" s="97">
        <f t="shared" si="45"/>
        <v>0</v>
      </c>
      <c r="Q169" s="95">
        <f t="shared" si="46"/>
        <v>1600.5341689627073</v>
      </c>
      <c r="R169" s="6">
        <f t="shared" si="33"/>
        <v>724.30462453114228</v>
      </c>
      <c r="S169" s="5">
        <f t="shared" si="47"/>
        <v>186646.05869543005</v>
      </c>
      <c r="T169" s="135">
        <v>0.67488244047619039</v>
      </c>
      <c r="U169" s="97">
        <f t="shared" si="34"/>
        <v>41100.34032840361</v>
      </c>
      <c r="V169" s="97">
        <f t="shared" si="35"/>
        <v>14566.558492401635</v>
      </c>
      <c r="W169" s="97">
        <f t="shared" si="36"/>
        <v>8321.3693955705057</v>
      </c>
      <c r="X169" s="97">
        <f t="shared" si="37"/>
        <v>2340.2510020908207</v>
      </c>
      <c r="Y169" s="97">
        <f t="shared" si="38"/>
        <v>66328.519218466579</v>
      </c>
      <c r="Z169" s="104">
        <f t="shared" si="39"/>
        <v>0.35537058581398595</v>
      </c>
      <c r="AA169" s="96">
        <f t="shared" si="40"/>
        <v>66328.519218466579</v>
      </c>
      <c r="AB169" s="97"/>
      <c r="AC169" s="96">
        <f>INDEX('[2]2020 Funding'!$S$26:$S$274,MATCH(B169,'[2]2020 Funding'!$B$26:$B$274,0))</f>
        <v>66629.133479465963</v>
      </c>
      <c r="AD169" s="5">
        <f t="shared" si="48"/>
        <v>-300.61426099938399</v>
      </c>
      <c r="AF169" s="18"/>
      <c r="AG169" s="96"/>
    </row>
    <row r="170" spans="2:33" x14ac:dyDescent="0.25">
      <c r="B170">
        <v>551</v>
      </c>
      <c r="C170" s="28">
        <v>7</v>
      </c>
      <c r="D170" s="35" t="s">
        <v>199</v>
      </c>
      <c r="E170" s="154">
        <v>172.97</v>
      </c>
      <c r="F170" s="154">
        <f>INDEX('Revised 2018 Lockdown'!H$5:H$253,MATCH(B170,'Revised 2018 Lockdown'!B$5:B$253,0))</f>
        <v>172.97</v>
      </c>
      <c r="G170" s="154">
        <f t="shared" si="41"/>
        <v>0</v>
      </c>
      <c r="H170" s="5">
        <v>85940.14</v>
      </c>
      <c r="I170" s="5">
        <f>INDEX('Revised 2018 Lockdown'!E$5:E$253,MATCH(B170,'Revised 2018 Lockdown'!B$5:B$253,0))</f>
        <v>85940.15</v>
      </c>
      <c r="J170" s="5">
        <f t="shared" si="42"/>
        <v>-9.9999999947613105E-3</v>
      </c>
      <c r="K170" s="5">
        <v>201</v>
      </c>
      <c r="L170" s="5">
        <f>INDEX('Revised 2018 Lockdown'!F$5:F$253,MATCH(B170,'Revised 2018 Lockdown'!B$5:B$253,0))</f>
        <v>201</v>
      </c>
      <c r="M170" s="5">
        <f t="shared" si="43"/>
        <v>0</v>
      </c>
      <c r="N170" s="5">
        <v>85739.14</v>
      </c>
      <c r="O170" s="97">
        <f t="shared" si="44"/>
        <v>85739.15</v>
      </c>
      <c r="P170" s="97">
        <f t="shared" si="45"/>
        <v>-9.9999999947613105E-3</v>
      </c>
      <c r="Q170" s="95">
        <f t="shared" si="46"/>
        <v>495.68798057466608</v>
      </c>
      <c r="R170" s="133">
        <f t="shared" si="33"/>
        <v>495.68798057466608</v>
      </c>
      <c r="S170" s="5">
        <f t="shared" si="47"/>
        <v>85739.15</v>
      </c>
      <c r="T170" s="135">
        <v>0.59501488095238098</v>
      </c>
      <c r="U170" s="97">
        <f t="shared" si="34"/>
        <v>18880.164248302593</v>
      </c>
      <c r="V170" s="97">
        <f t="shared" si="35"/>
        <v>9777.5529606531527</v>
      </c>
      <c r="W170" s="97">
        <f t="shared" si="36"/>
        <v>3370.1936047695503</v>
      </c>
      <c r="X170" s="97">
        <f t="shared" si="37"/>
        <v>1075.0354607451886</v>
      </c>
      <c r="Y170" s="97">
        <f t="shared" si="38"/>
        <v>33102.946274470487</v>
      </c>
      <c r="Z170" s="104">
        <f t="shared" si="39"/>
        <v>0.38608904187259252</v>
      </c>
      <c r="AA170" s="96">
        <f t="shared" si="40"/>
        <v>33102.946274470487</v>
      </c>
      <c r="AB170" s="97"/>
      <c r="AC170" s="96">
        <f>INDEX('[2]2020 Funding'!$S$26:$S$274,MATCH(B170,'[2]2020 Funding'!$B$26:$B$274,0))</f>
        <v>33116.650857175518</v>
      </c>
      <c r="AD170" s="5">
        <f t="shared" si="48"/>
        <v>-13.704582705031498</v>
      </c>
      <c r="AF170" s="18"/>
      <c r="AG170" s="96"/>
    </row>
    <row r="171" spans="2:33" x14ac:dyDescent="0.25">
      <c r="B171">
        <v>555</v>
      </c>
      <c r="C171" s="28">
        <v>7</v>
      </c>
      <c r="D171" s="35" t="s">
        <v>200</v>
      </c>
      <c r="E171" s="154">
        <v>603.33664613851852</v>
      </c>
      <c r="F171" s="154">
        <f>INDEX('Revised 2018 Lockdown'!H$5:H$253,MATCH(B171,'Revised 2018 Lockdown'!B$5:B$253,0))</f>
        <v>603.33664613851852</v>
      </c>
      <c r="G171" s="154">
        <f t="shared" si="41"/>
        <v>0</v>
      </c>
      <c r="H171" s="5">
        <v>492787.09</v>
      </c>
      <c r="I171" s="5">
        <f>INDEX('Revised 2018 Lockdown'!E$5:E$253,MATCH(B171,'Revised 2018 Lockdown'!B$5:B$253,0))</f>
        <v>492787.09</v>
      </c>
      <c r="J171" s="5">
        <f t="shared" si="42"/>
        <v>0</v>
      </c>
      <c r="K171" s="5">
        <v>498</v>
      </c>
      <c r="L171" s="5">
        <f>INDEX('Revised 2018 Lockdown'!F$5:F$253,MATCH(B171,'Revised 2018 Lockdown'!B$5:B$253,0))</f>
        <v>498</v>
      </c>
      <c r="M171" s="5">
        <f t="shared" si="43"/>
        <v>0</v>
      </c>
      <c r="N171" s="5">
        <v>492289.09</v>
      </c>
      <c r="O171" s="97">
        <f t="shared" si="44"/>
        <v>492289.09</v>
      </c>
      <c r="P171" s="97">
        <f t="shared" si="45"/>
        <v>0</v>
      </c>
      <c r="Q171" s="95">
        <f t="shared" si="46"/>
        <v>815.94428773845209</v>
      </c>
      <c r="R171" s="6">
        <f t="shared" si="33"/>
        <v>724.30462453114228</v>
      </c>
      <c r="S171" s="5">
        <f t="shared" si="47"/>
        <v>436999.52294723829</v>
      </c>
      <c r="T171" s="135">
        <v>0.61139285714285707</v>
      </c>
      <c r="U171" s="97">
        <f t="shared" si="34"/>
        <v>96229.351115257581</v>
      </c>
      <c r="V171" s="97">
        <f t="shared" si="35"/>
        <v>34105.081868082416</v>
      </c>
      <c r="W171" s="97">
        <f t="shared" si="36"/>
        <v>17650.181375808155</v>
      </c>
      <c r="X171" s="97">
        <f t="shared" si="37"/>
        <v>5479.2936890208493</v>
      </c>
      <c r="Y171" s="97">
        <f t="shared" si="38"/>
        <v>153463.90804816899</v>
      </c>
      <c r="Z171" s="104">
        <f t="shared" si="39"/>
        <v>0.35117637431997301</v>
      </c>
      <c r="AA171" s="96">
        <f t="shared" si="40"/>
        <v>153463.90804816899</v>
      </c>
      <c r="AB171" s="97"/>
      <c r="AC171" s="96">
        <f>INDEX('[2]2020 Funding'!$S$26:$S$274,MATCH(B171,'[2]2020 Funding'!$B$26:$B$274,0))</f>
        <v>154157.0580249812</v>
      </c>
      <c r="AD171" s="5">
        <f t="shared" si="48"/>
        <v>-693.14997681221575</v>
      </c>
      <c r="AF171" s="18"/>
      <c r="AG171" s="96"/>
    </row>
    <row r="172" spans="2:33" x14ac:dyDescent="0.25">
      <c r="B172">
        <v>556</v>
      </c>
      <c r="C172" s="28">
        <v>7</v>
      </c>
      <c r="D172" s="35" t="s">
        <v>201</v>
      </c>
      <c r="E172" s="154">
        <v>391.24677594424628</v>
      </c>
      <c r="F172" s="154">
        <f>INDEX('Revised 2018 Lockdown'!H$5:H$253,MATCH(B172,'Revised 2018 Lockdown'!B$5:B$253,0))</f>
        <v>391.24677594424628</v>
      </c>
      <c r="G172" s="154">
        <f t="shared" si="41"/>
        <v>0</v>
      </c>
      <c r="H172" s="5">
        <v>144657.59</v>
      </c>
      <c r="I172" s="5">
        <f>INDEX('Revised 2018 Lockdown'!E$5:E$253,MATCH(B172,'Revised 2018 Lockdown'!B$5:B$253,0))</f>
        <v>144657.59</v>
      </c>
      <c r="J172" s="5">
        <f t="shared" si="42"/>
        <v>0</v>
      </c>
      <c r="K172" s="5">
        <v>350.51</v>
      </c>
      <c r="L172" s="5">
        <f>INDEX('Revised 2018 Lockdown'!F$5:F$253,MATCH(B172,'Revised 2018 Lockdown'!B$5:B$253,0))</f>
        <v>350.51</v>
      </c>
      <c r="M172" s="5">
        <f t="shared" si="43"/>
        <v>0</v>
      </c>
      <c r="N172" s="5">
        <v>144307.07999999999</v>
      </c>
      <c r="O172" s="97">
        <f t="shared" si="44"/>
        <v>144307.07999999999</v>
      </c>
      <c r="P172" s="97">
        <f t="shared" si="45"/>
        <v>0</v>
      </c>
      <c r="Q172" s="95">
        <f t="shared" si="46"/>
        <v>368.83902660085852</v>
      </c>
      <c r="R172" s="6">
        <f t="shared" si="33"/>
        <v>368.83902660085852</v>
      </c>
      <c r="S172" s="5">
        <f t="shared" si="47"/>
        <v>144307.07999999999</v>
      </c>
      <c r="T172" s="135">
        <v>0.80136904761904759</v>
      </c>
      <c r="U172" s="97">
        <f t="shared" si="34"/>
        <v>31777.098007070774</v>
      </c>
      <c r="V172" s="97">
        <f t="shared" si="35"/>
        <v>22116.182415908341</v>
      </c>
      <c r="W172" s="97">
        <f t="shared" si="36"/>
        <v>7639.5548298070316</v>
      </c>
      <c r="X172" s="97">
        <f t="shared" si="37"/>
        <v>1809.3861233356381</v>
      </c>
      <c r="Y172" s="97">
        <f t="shared" si="38"/>
        <v>63342.221376121779</v>
      </c>
      <c r="Z172" s="104">
        <f t="shared" si="39"/>
        <v>0.4389404967249132</v>
      </c>
      <c r="AA172" s="96">
        <f t="shared" si="40"/>
        <v>63342.221376121779</v>
      </c>
      <c r="AB172" s="97"/>
      <c r="AC172" s="96">
        <f>INDEX('[2]2020 Funding'!$S$26:$S$274,MATCH(B172,'[2]2020 Funding'!$B$26:$B$274,0))</f>
        <v>63365.048067884949</v>
      </c>
      <c r="AD172" s="5">
        <f t="shared" si="48"/>
        <v>-22.826691763169947</v>
      </c>
      <c r="AF172" s="18"/>
      <c r="AG172" s="96"/>
    </row>
    <row r="173" spans="2:33" x14ac:dyDescent="0.25">
      <c r="B173">
        <v>558</v>
      </c>
      <c r="C173" s="28">
        <v>7</v>
      </c>
      <c r="D173" s="35" t="s">
        <v>202</v>
      </c>
      <c r="E173" s="154">
        <v>347.54359974511453</v>
      </c>
      <c r="F173" s="154">
        <f>INDEX('Revised 2018 Lockdown'!H$5:H$253,MATCH(B173,'Revised 2018 Lockdown'!B$5:B$253,0))</f>
        <v>347.54359974511453</v>
      </c>
      <c r="G173" s="154">
        <f t="shared" si="41"/>
        <v>0</v>
      </c>
      <c r="H173" s="5">
        <v>230639.34</v>
      </c>
      <c r="I173" s="5">
        <f>INDEX('Revised 2018 Lockdown'!E$5:E$253,MATCH(B173,'Revised 2018 Lockdown'!B$5:B$253,0))</f>
        <v>230639.34</v>
      </c>
      <c r="J173" s="5">
        <f t="shared" si="42"/>
        <v>0</v>
      </c>
      <c r="K173" s="5">
        <v>26698.63</v>
      </c>
      <c r="L173" s="5">
        <f>INDEX('Revised 2018 Lockdown'!F$5:F$253,MATCH(B173,'Revised 2018 Lockdown'!B$5:B$253,0))</f>
        <v>26698.63</v>
      </c>
      <c r="M173" s="5">
        <f t="shared" si="43"/>
        <v>0</v>
      </c>
      <c r="N173" s="5">
        <v>203940.71</v>
      </c>
      <c r="O173" s="97">
        <f t="shared" si="44"/>
        <v>203940.71</v>
      </c>
      <c r="P173" s="97">
        <f t="shared" si="45"/>
        <v>0</v>
      </c>
      <c r="Q173" s="95">
        <f t="shared" si="46"/>
        <v>586.80611626733548</v>
      </c>
      <c r="R173" s="6">
        <f t="shared" si="33"/>
        <v>586.80611626733548</v>
      </c>
      <c r="S173" s="5">
        <f t="shared" si="47"/>
        <v>203940.71</v>
      </c>
      <c r="T173" s="135">
        <v>0.4269122023809524</v>
      </c>
      <c r="U173" s="97">
        <f t="shared" si="34"/>
        <v>44908.703920151383</v>
      </c>
      <c r="V173" s="97">
        <f t="shared" si="35"/>
        <v>19645.753325107817</v>
      </c>
      <c r="W173" s="97">
        <f t="shared" si="36"/>
        <v>5751.6221089877808</v>
      </c>
      <c r="X173" s="97">
        <f t="shared" si="37"/>
        <v>2557.0990048251106</v>
      </c>
      <c r="Y173" s="97">
        <f t="shared" si="38"/>
        <v>72863.178359072088</v>
      </c>
      <c r="Z173" s="104">
        <f t="shared" si="39"/>
        <v>0.35727628073410206</v>
      </c>
      <c r="AA173" s="96">
        <f t="shared" si="40"/>
        <v>72863.178359072088</v>
      </c>
      <c r="AB173" s="97"/>
      <c r="AC173" s="96">
        <f>INDEX('[2]2020 Funding'!$S$26:$S$274,MATCH(B173,'[2]2020 Funding'!$B$26:$B$274,0))</f>
        <v>72895.285703199028</v>
      </c>
      <c r="AD173" s="5">
        <f t="shared" si="48"/>
        <v>-32.107344126940006</v>
      </c>
      <c r="AF173" s="18"/>
      <c r="AG173" s="96"/>
    </row>
    <row r="174" spans="2:33" x14ac:dyDescent="0.25">
      <c r="B174">
        <v>600</v>
      </c>
      <c r="C174" s="28">
        <v>7</v>
      </c>
      <c r="D174" s="35" t="s">
        <v>203</v>
      </c>
      <c r="E174" s="154">
        <v>804.36</v>
      </c>
      <c r="F174" s="154">
        <f>INDEX('Revised 2018 Lockdown'!H$5:H$253,MATCH(B174,'Revised 2018 Lockdown'!B$5:B$253,0))</f>
        <v>804.36</v>
      </c>
      <c r="G174" s="154">
        <f t="shared" si="41"/>
        <v>0</v>
      </c>
      <c r="H174" s="5">
        <v>251152.74</v>
      </c>
      <c r="I174" s="5">
        <f>INDEX('Revised 2018 Lockdown'!E$5:E$253,MATCH(B174,'Revised 2018 Lockdown'!B$5:B$253,0))</f>
        <v>251152.74</v>
      </c>
      <c r="J174" s="5">
        <f t="shared" si="42"/>
        <v>0</v>
      </c>
      <c r="K174" s="5">
        <v>0</v>
      </c>
      <c r="L174" s="5">
        <f>INDEX('Revised 2018 Lockdown'!F$5:F$253,MATCH(B174,'Revised 2018 Lockdown'!B$5:B$253,0))</f>
        <v>0</v>
      </c>
      <c r="M174" s="5">
        <f t="shared" si="43"/>
        <v>0</v>
      </c>
      <c r="N174" s="5">
        <v>251152.74</v>
      </c>
      <c r="O174" s="97">
        <f t="shared" si="44"/>
        <v>251152.74</v>
      </c>
      <c r="P174" s="97">
        <f t="shared" si="45"/>
        <v>0</v>
      </c>
      <c r="Q174" s="95">
        <f t="shared" si="46"/>
        <v>312.23922124421898</v>
      </c>
      <c r="R174" s="6">
        <f t="shared" si="33"/>
        <v>312.23922124421898</v>
      </c>
      <c r="S174" s="5">
        <f t="shared" si="47"/>
        <v>251152.74</v>
      </c>
      <c r="T174" s="135">
        <v>0.80371726190476178</v>
      </c>
      <c r="U174" s="97">
        <f t="shared" si="34"/>
        <v>55305.015067343644</v>
      </c>
      <c r="V174" s="97">
        <f t="shared" si="35"/>
        <v>45468.419375793317</v>
      </c>
      <c r="W174" s="97">
        <f t="shared" si="36"/>
        <v>13334.878583858106</v>
      </c>
      <c r="X174" s="97">
        <f t="shared" si="37"/>
        <v>3149.0643604854554</v>
      </c>
      <c r="Y174" s="97">
        <f t="shared" si="38"/>
        <v>117257.37738748053</v>
      </c>
      <c r="Z174" s="104">
        <f t="shared" si="39"/>
        <v>0.46687675948699797</v>
      </c>
      <c r="AA174" s="96">
        <f t="shared" si="40"/>
        <v>117257.37738748053</v>
      </c>
      <c r="AB174" s="97"/>
      <c r="AC174" s="96">
        <f>INDEX('[2]2020 Funding'!$S$26:$S$274,MATCH(B174,'[2]2020 Funding'!$B$26:$B$274,0))</f>
        <v>117295.26127961944</v>
      </c>
      <c r="AD174" s="5">
        <f t="shared" si="48"/>
        <v>-37.883892138910596</v>
      </c>
      <c r="AF174" s="18"/>
      <c r="AG174" s="96"/>
    </row>
    <row r="175" spans="2:33" x14ac:dyDescent="0.25">
      <c r="B175">
        <v>604</v>
      </c>
      <c r="C175" s="28">
        <v>7</v>
      </c>
      <c r="D175" s="35" t="s">
        <v>204</v>
      </c>
      <c r="E175" s="154">
        <v>727.41720759868917</v>
      </c>
      <c r="F175" s="154">
        <f>INDEX('Revised 2018 Lockdown'!H$5:H$253,MATCH(B175,'Revised 2018 Lockdown'!B$5:B$253,0))</f>
        <v>727.41720759868917</v>
      </c>
      <c r="G175" s="154">
        <f t="shared" si="41"/>
        <v>0</v>
      </c>
      <c r="H175" s="5">
        <v>238868.16</v>
      </c>
      <c r="I175" s="5">
        <f>INDEX('Revised 2018 Lockdown'!E$5:E$253,MATCH(B175,'Revised 2018 Lockdown'!B$5:B$253,0))</f>
        <v>238868.16</v>
      </c>
      <c r="J175" s="5">
        <f t="shared" si="42"/>
        <v>0</v>
      </c>
      <c r="K175" s="5">
        <v>30079.71</v>
      </c>
      <c r="L175" s="5">
        <f>INDEX('Revised 2018 Lockdown'!F$5:F$253,MATCH(B175,'Revised 2018 Lockdown'!B$5:B$253,0))</f>
        <v>30079.71</v>
      </c>
      <c r="M175" s="5">
        <f t="shared" si="43"/>
        <v>0</v>
      </c>
      <c r="N175" s="5">
        <v>208788.45</v>
      </c>
      <c r="O175" s="97">
        <f t="shared" si="44"/>
        <v>208788.45</v>
      </c>
      <c r="P175" s="97">
        <f t="shared" si="45"/>
        <v>0</v>
      </c>
      <c r="Q175" s="95">
        <f t="shared" si="46"/>
        <v>287.02709781810262</v>
      </c>
      <c r="R175" s="6">
        <f t="shared" si="33"/>
        <v>287.02709781810262</v>
      </c>
      <c r="S175" s="5">
        <f t="shared" si="47"/>
        <v>208788.45</v>
      </c>
      <c r="T175" s="135">
        <v>0.64301190476190473</v>
      </c>
      <c r="U175" s="97">
        <f t="shared" si="34"/>
        <v>45976.199077650221</v>
      </c>
      <c r="V175" s="97">
        <f t="shared" si="35"/>
        <v>41119.039554758703</v>
      </c>
      <c r="W175" s="97">
        <f t="shared" si="36"/>
        <v>8868.9730027897185</v>
      </c>
      <c r="X175" s="97">
        <f t="shared" si="37"/>
        <v>2617.8821173760621</v>
      </c>
      <c r="Y175" s="97">
        <f t="shared" si="38"/>
        <v>98582.093752574714</v>
      </c>
      <c r="Z175" s="104">
        <f t="shared" si="39"/>
        <v>0.47216258252108634</v>
      </c>
      <c r="AA175" s="96">
        <f t="shared" si="40"/>
        <v>98582.093752574714</v>
      </c>
      <c r="AB175" s="97"/>
      <c r="AC175" s="96">
        <f>INDEX('[2]2020 Funding'!$S$26:$S$274,MATCH(B175,'[2]2020 Funding'!$B$26:$B$274,0))</f>
        <v>98611.264755285491</v>
      </c>
      <c r="AD175" s="5">
        <f t="shared" si="48"/>
        <v>-29.17100271077652</v>
      </c>
      <c r="AF175" s="18"/>
      <c r="AG175" s="96"/>
    </row>
    <row r="176" spans="2:33" x14ac:dyDescent="0.25">
      <c r="B176">
        <v>612</v>
      </c>
      <c r="C176" s="28">
        <v>7</v>
      </c>
      <c r="D176" s="35" t="s">
        <v>205</v>
      </c>
      <c r="E176" s="154">
        <v>488.86576888424196</v>
      </c>
      <c r="F176" s="154">
        <f>INDEX('Revised 2018 Lockdown'!H$5:H$253,MATCH(B176,'Revised 2018 Lockdown'!B$5:B$253,0))</f>
        <v>488.86576888424196</v>
      </c>
      <c r="G176" s="154">
        <f t="shared" si="41"/>
        <v>0</v>
      </c>
      <c r="H176" s="5">
        <v>278008.61</v>
      </c>
      <c r="I176" s="5">
        <f>INDEX('Revised 2018 Lockdown'!E$5:E$253,MATCH(B176,'Revised 2018 Lockdown'!B$5:B$253,0))</f>
        <v>278008.59999999998</v>
      </c>
      <c r="J176" s="5">
        <f t="shared" si="42"/>
        <v>1.0000000009313226E-2</v>
      </c>
      <c r="K176" s="5">
        <v>7776.44</v>
      </c>
      <c r="L176" s="5">
        <f>INDEX('Revised 2018 Lockdown'!F$5:F$253,MATCH(B176,'Revised 2018 Lockdown'!B$5:B$253,0))</f>
        <v>7776.44</v>
      </c>
      <c r="M176" s="5">
        <f t="shared" si="43"/>
        <v>0</v>
      </c>
      <c r="N176" s="5">
        <v>270232.17</v>
      </c>
      <c r="O176" s="97">
        <f t="shared" si="44"/>
        <v>270232.15999999997</v>
      </c>
      <c r="P176" s="97">
        <f t="shared" si="45"/>
        <v>1.0000000009313226E-2</v>
      </c>
      <c r="Q176" s="95">
        <f t="shared" si="46"/>
        <v>552.77374117799604</v>
      </c>
      <c r="R176" s="6">
        <f t="shared" si="33"/>
        <v>552.77374117799604</v>
      </c>
      <c r="S176" s="5">
        <f t="shared" si="47"/>
        <v>270232.15999999997</v>
      </c>
      <c r="T176" s="135">
        <v>0.79236904761904747</v>
      </c>
      <c r="U176" s="97">
        <f t="shared" si="34"/>
        <v>59506.393123486596</v>
      </c>
      <c r="V176" s="97">
        <f t="shared" si="35"/>
        <v>27634.335121212349</v>
      </c>
      <c r="W176" s="97">
        <f t="shared" si="36"/>
        <v>14145.307213950513</v>
      </c>
      <c r="X176" s="97">
        <f t="shared" si="37"/>
        <v>3388.2905841003499</v>
      </c>
      <c r="Y176" s="97">
        <f t="shared" si="38"/>
        <v>104674.3260427498</v>
      </c>
      <c r="Z176" s="104">
        <f t="shared" si="39"/>
        <v>0.38734962575420268</v>
      </c>
      <c r="AA176" s="96">
        <f t="shared" si="40"/>
        <v>104674.3260427498</v>
      </c>
      <c r="AB176" s="97"/>
      <c r="AC176" s="96">
        <f>INDEX('[2]2020 Funding'!$S$26:$S$274,MATCH(B176,'[2]2020 Funding'!$B$26:$B$274,0))</f>
        <v>104720.66212138144</v>
      </c>
      <c r="AD176" s="5">
        <f t="shared" si="48"/>
        <v>-46.336078631633427</v>
      </c>
      <c r="AF176" s="18"/>
      <c r="AG176" s="96"/>
    </row>
    <row r="177" spans="2:33" x14ac:dyDescent="0.25">
      <c r="B177">
        <v>635</v>
      </c>
      <c r="C177" s="28">
        <v>7</v>
      </c>
      <c r="D177" s="35" t="s">
        <v>312</v>
      </c>
      <c r="E177" s="154">
        <v>48.589999999999996</v>
      </c>
      <c r="F177" s="154">
        <f>INDEX('Revised 2018 Lockdown'!H$5:H$253,MATCH(B177,'Revised 2018 Lockdown'!B$5:B$253,0))</f>
        <v>48.589999999999996</v>
      </c>
      <c r="G177" s="154">
        <f t="shared" si="41"/>
        <v>0</v>
      </c>
      <c r="H177" s="5">
        <v>41866.43</v>
      </c>
      <c r="I177" s="5">
        <f>INDEX('Revised 2018 Lockdown'!E$5:E$253,MATCH(B177,'Revised 2018 Lockdown'!B$5:B$253,0))</f>
        <v>41866.43</v>
      </c>
      <c r="J177" s="5">
        <f t="shared" si="42"/>
        <v>0</v>
      </c>
      <c r="K177" s="5">
        <v>7688.1000000000013</v>
      </c>
      <c r="L177" s="5">
        <f>INDEX('Revised 2018 Lockdown'!F$5:F$253,MATCH(B177,'Revised 2018 Lockdown'!B$5:B$253,0))</f>
        <v>7688.1000000000013</v>
      </c>
      <c r="M177" s="5">
        <f t="shared" si="43"/>
        <v>0</v>
      </c>
      <c r="N177" s="5">
        <v>34178.33</v>
      </c>
      <c r="O177" s="97">
        <f t="shared" si="44"/>
        <v>34178.33</v>
      </c>
      <c r="P177" s="97">
        <f t="shared" si="45"/>
        <v>0</v>
      </c>
      <c r="Q177" s="95">
        <f t="shared" si="46"/>
        <v>703.40255196542512</v>
      </c>
      <c r="R177" s="6">
        <f t="shared" si="33"/>
        <v>703.40255196542512</v>
      </c>
      <c r="S177" s="5">
        <f t="shared" si="47"/>
        <v>34178.33</v>
      </c>
      <c r="T177" s="135">
        <v>0.54884226190476193</v>
      </c>
      <c r="U177" s="97">
        <f t="shared" si="34"/>
        <v>7526.2290812620377</v>
      </c>
      <c r="V177" s="97">
        <f t="shared" si="35"/>
        <v>2746.6687770025824</v>
      </c>
      <c r="W177" s="97">
        <f t="shared" si="36"/>
        <v>1239.2137777719763</v>
      </c>
      <c r="X177" s="97">
        <f t="shared" si="37"/>
        <v>428.54304875953522</v>
      </c>
      <c r="Y177" s="97">
        <f t="shared" si="38"/>
        <v>11940.654684796131</v>
      </c>
      <c r="Z177" s="104">
        <f t="shared" si="39"/>
        <v>0.34936331543396443</v>
      </c>
      <c r="AA177" s="96">
        <f t="shared" si="40"/>
        <v>11940.654684796131</v>
      </c>
      <c r="AB177" s="97"/>
      <c r="AC177" s="96">
        <f>INDEX('[2]2020 Funding'!$S$26:$S$274,MATCH(B177,'[2]2020 Funding'!$B$26:$B$274,0))</f>
        <v>11946.359744475221</v>
      </c>
      <c r="AD177" s="5">
        <f t="shared" si="48"/>
        <v>-5.7050596790904819</v>
      </c>
      <c r="AF177" s="18"/>
      <c r="AG177" s="96"/>
    </row>
    <row r="178" spans="2:33" x14ac:dyDescent="0.25">
      <c r="B178">
        <v>711</v>
      </c>
      <c r="C178" s="28">
        <v>7</v>
      </c>
      <c r="D178" s="35" t="s">
        <v>206</v>
      </c>
      <c r="E178" s="154">
        <v>420.12</v>
      </c>
      <c r="F178" s="154">
        <f>INDEX('Revised 2018 Lockdown'!H$5:H$253,MATCH(B178,'Revised 2018 Lockdown'!B$5:B$253,0))</f>
        <v>420.12</v>
      </c>
      <c r="G178" s="154">
        <f t="shared" si="41"/>
        <v>0</v>
      </c>
      <c r="H178" s="5">
        <v>219303.41</v>
      </c>
      <c r="I178" s="5">
        <f>INDEX('Revised 2018 Lockdown'!E$5:E$253,MATCH(B178,'Revised 2018 Lockdown'!B$5:B$253,0))</f>
        <v>219303.41</v>
      </c>
      <c r="J178" s="5">
        <f t="shared" si="42"/>
        <v>0</v>
      </c>
      <c r="K178" s="5">
        <v>15317.63</v>
      </c>
      <c r="L178" s="5">
        <f>INDEX('Revised 2018 Lockdown'!F$5:F$253,MATCH(B178,'Revised 2018 Lockdown'!B$5:B$253,0))</f>
        <v>15317.63</v>
      </c>
      <c r="M178" s="5">
        <f t="shared" si="43"/>
        <v>0</v>
      </c>
      <c r="N178" s="5">
        <v>203985.78</v>
      </c>
      <c r="O178" s="97">
        <f t="shared" si="44"/>
        <v>203985.78</v>
      </c>
      <c r="P178" s="97">
        <f t="shared" si="45"/>
        <v>0</v>
      </c>
      <c r="Q178" s="95">
        <f t="shared" si="46"/>
        <v>485.54170237075118</v>
      </c>
      <c r="R178" s="6">
        <f t="shared" si="33"/>
        <v>485.54170237075118</v>
      </c>
      <c r="S178" s="5">
        <f t="shared" si="47"/>
        <v>203985.78</v>
      </c>
      <c r="T178" s="135">
        <v>0.71113690476190472</v>
      </c>
      <c r="U178" s="97">
        <f t="shared" si="34"/>
        <v>44918.628546213935</v>
      </c>
      <c r="V178" s="97">
        <f t="shared" si="35"/>
        <v>23748.312134067197</v>
      </c>
      <c r="W178" s="97">
        <f t="shared" si="36"/>
        <v>9582.9883411512928</v>
      </c>
      <c r="X178" s="97">
        <f t="shared" si="37"/>
        <v>2557.664112459322</v>
      </c>
      <c r="Y178" s="97">
        <f t="shared" si="38"/>
        <v>80807.593133891729</v>
      </c>
      <c r="Z178" s="104">
        <f t="shared" si="39"/>
        <v>0.39614326613302031</v>
      </c>
      <c r="AA178" s="96">
        <f t="shared" si="40"/>
        <v>80807.593133891729</v>
      </c>
      <c r="AB178" s="97"/>
      <c r="AC178" s="96">
        <f>INDEX('[2]2020 Funding'!$S$26:$S$274,MATCH(B178,'[2]2020 Funding'!$B$26:$B$274,0))</f>
        <v>80841.086412134857</v>
      </c>
      <c r="AD178" s="5">
        <f t="shared" si="48"/>
        <v>-33.493278243127861</v>
      </c>
      <c r="AF178" s="18"/>
      <c r="AG178" s="96"/>
    </row>
    <row r="179" spans="2:33" x14ac:dyDescent="0.25">
      <c r="B179">
        <v>712</v>
      </c>
      <c r="C179" s="28">
        <v>7</v>
      </c>
      <c r="D179" s="35" t="s">
        <v>207</v>
      </c>
      <c r="E179" s="154">
        <v>743.30000000000007</v>
      </c>
      <c r="F179" s="154">
        <f>INDEX('Revised 2018 Lockdown'!H$5:H$253,MATCH(B179,'Revised 2018 Lockdown'!B$5:B$253,0))</f>
        <v>743.30000000000007</v>
      </c>
      <c r="G179" s="154">
        <f t="shared" si="41"/>
        <v>0</v>
      </c>
      <c r="H179" s="5">
        <v>285648.96000000002</v>
      </c>
      <c r="I179" s="5">
        <f>INDEX('Revised 2018 Lockdown'!E$5:E$253,MATCH(B179,'Revised 2018 Lockdown'!B$5:B$253,0))</f>
        <v>285648.96000000002</v>
      </c>
      <c r="J179" s="5">
        <f t="shared" si="42"/>
        <v>0</v>
      </c>
      <c r="K179" s="5">
        <v>0</v>
      </c>
      <c r="L179" s="5">
        <f>INDEX('Revised 2018 Lockdown'!F$5:F$253,MATCH(B179,'Revised 2018 Lockdown'!B$5:B$253,0))</f>
        <v>0</v>
      </c>
      <c r="M179" s="5">
        <f t="shared" si="43"/>
        <v>0</v>
      </c>
      <c r="N179" s="5">
        <v>285648.96000000002</v>
      </c>
      <c r="O179" s="97">
        <f t="shared" si="44"/>
        <v>285648.96000000002</v>
      </c>
      <c r="P179" s="97">
        <f t="shared" si="45"/>
        <v>0</v>
      </c>
      <c r="Q179" s="95">
        <f t="shared" si="46"/>
        <v>384.29834521727429</v>
      </c>
      <c r="R179" s="6">
        <f t="shared" si="33"/>
        <v>384.29834521727429</v>
      </c>
      <c r="S179" s="5">
        <f t="shared" si="47"/>
        <v>285648.96000000002</v>
      </c>
      <c r="T179" s="135">
        <v>0.80012499999999998</v>
      </c>
      <c r="U179" s="97">
        <f t="shared" si="34"/>
        <v>62901.245022335985</v>
      </c>
      <c r="V179" s="97">
        <f t="shared" si="35"/>
        <v>42016.85330203786</v>
      </c>
      <c r="W179" s="97">
        <f t="shared" si="36"/>
        <v>15098.65760204897</v>
      </c>
      <c r="X179" s="97">
        <f t="shared" si="37"/>
        <v>3581.5932549481067</v>
      </c>
      <c r="Y179" s="97">
        <f t="shared" si="38"/>
        <v>123598.34918137093</v>
      </c>
      <c r="Z179" s="104">
        <f t="shared" si="39"/>
        <v>0.43269315309732237</v>
      </c>
      <c r="AA179" s="96">
        <f t="shared" si="40"/>
        <v>123598.34918137093</v>
      </c>
      <c r="AB179" s="97"/>
      <c r="AC179" s="96">
        <f>INDEX('[2]2020 Funding'!$S$26:$S$274,MATCH(B179,'[2]2020 Funding'!$B$26:$B$274,0))</f>
        <v>123643.99007725436</v>
      </c>
      <c r="AD179" s="5">
        <f t="shared" si="48"/>
        <v>-45.640895883436315</v>
      </c>
      <c r="AF179" s="18"/>
      <c r="AG179" s="96"/>
    </row>
    <row r="180" spans="2:33" x14ac:dyDescent="0.25">
      <c r="B180">
        <v>718</v>
      </c>
      <c r="C180" s="28">
        <v>7</v>
      </c>
      <c r="D180" s="35" t="s">
        <v>208</v>
      </c>
      <c r="E180" s="154">
        <v>29.977429817390671</v>
      </c>
      <c r="F180" s="154">
        <f>INDEX('Revised 2018 Lockdown'!H$5:H$253,MATCH(B180,'Revised 2018 Lockdown'!B$5:B$253,0))</f>
        <v>29.977429817390671</v>
      </c>
      <c r="G180" s="154">
        <f t="shared" si="41"/>
        <v>0</v>
      </c>
      <c r="H180" s="5">
        <v>22733.55</v>
      </c>
      <c r="I180" s="5">
        <f>INDEX('Revised 2018 Lockdown'!E$5:E$253,MATCH(B180,'Revised 2018 Lockdown'!B$5:B$253,0))</f>
        <v>22733.55</v>
      </c>
      <c r="J180" s="5">
        <f t="shared" si="42"/>
        <v>0</v>
      </c>
      <c r="K180" s="5">
        <v>0</v>
      </c>
      <c r="L180" s="5">
        <f>INDEX('Revised 2018 Lockdown'!F$5:F$253,MATCH(B180,'Revised 2018 Lockdown'!B$5:B$253,0))</f>
        <v>0</v>
      </c>
      <c r="M180" s="5">
        <f t="shared" si="43"/>
        <v>0</v>
      </c>
      <c r="N180" s="5">
        <v>22733.55</v>
      </c>
      <c r="O180" s="97">
        <f t="shared" si="44"/>
        <v>22733.55</v>
      </c>
      <c r="P180" s="97">
        <f t="shared" si="45"/>
        <v>0</v>
      </c>
      <c r="Q180" s="95">
        <f t="shared" si="46"/>
        <v>758.35554076793096</v>
      </c>
      <c r="R180" s="6">
        <f t="shared" si="33"/>
        <v>724.30462453114228</v>
      </c>
      <c r="S180" s="5">
        <f t="shared" si="47"/>
        <v>21712.79104829382</v>
      </c>
      <c r="T180" s="135">
        <v>0.11225</v>
      </c>
      <c r="U180" s="97">
        <f t="shared" si="34"/>
        <v>4781.2587514672305</v>
      </c>
      <c r="V180" s="97">
        <f t="shared" si="35"/>
        <v>1694.5476537191437</v>
      </c>
      <c r="W180" s="97">
        <f t="shared" si="36"/>
        <v>161.00888845565899</v>
      </c>
      <c r="X180" s="97">
        <f t="shared" si="37"/>
        <v>272.24459688096459</v>
      </c>
      <c r="Y180" s="97">
        <f t="shared" si="38"/>
        <v>6909.0598905229972</v>
      </c>
      <c r="Z180" s="104">
        <f t="shared" si="39"/>
        <v>0.31820229260972449</v>
      </c>
      <c r="AA180" s="96">
        <f t="shared" si="40"/>
        <v>6909.0598905229972</v>
      </c>
      <c r="AB180" s="97"/>
      <c r="AC180" s="96">
        <f>INDEX('[2]2020 Funding'!$S$26:$S$274,MATCH(B180,'[2]2020 Funding'!$B$26:$B$274,0))</f>
        <v>6939.3254395059785</v>
      </c>
      <c r="AD180" s="5">
        <f t="shared" si="48"/>
        <v>-30.265548982981272</v>
      </c>
      <c r="AF180" s="18"/>
      <c r="AG180" s="96"/>
    </row>
    <row r="181" spans="2:33" x14ac:dyDescent="0.25">
      <c r="B181">
        <v>736</v>
      </c>
      <c r="C181" s="28">
        <v>7</v>
      </c>
      <c r="D181" s="35" t="s">
        <v>209</v>
      </c>
      <c r="E181" s="154">
        <v>138.56449994605035</v>
      </c>
      <c r="F181" s="154">
        <f>INDEX('Revised 2018 Lockdown'!H$5:H$253,MATCH(B181,'Revised 2018 Lockdown'!B$5:B$253,0))</f>
        <v>138.56449994605035</v>
      </c>
      <c r="G181" s="154">
        <f t="shared" si="41"/>
        <v>0</v>
      </c>
      <c r="H181" s="5">
        <v>55322.1</v>
      </c>
      <c r="I181" s="5">
        <f>INDEX('Revised 2018 Lockdown'!E$5:E$253,MATCH(B181,'Revised 2018 Lockdown'!B$5:B$253,0))</f>
        <v>55322.1</v>
      </c>
      <c r="J181" s="5">
        <f t="shared" si="42"/>
        <v>0</v>
      </c>
      <c r="K181" s="5">
        <v>161</v>
      </c>
      <c r="L181" s="5">
        <f>INDEX('Revised 2018 Lockdown'!F$5:F$253,MATCH(B181,'Revised 2018 Lockdown'!B$5:B$253,0))</f>
        <v>161</v>
      </c>
      <c r="M181" s="5">
        <f t="shared" si="43"/>
        <v>0</v>
      </c>
      <c r="N181" s="5">
        <v>55161.1</v>
      </c>
      <c r="O181" s="97">
        <f t="shared" si="44"/>
        <v>55161.1</v>
      </c>
      <c r="P181" s="97">
        <f t="shared" si="45"/>
        <v>0</v>
      </c>
      <c r="Q181" s="95">
        <f t="shared" si="46"/>
        <v>398.08969845434291</v>
      </c>
      <c r="R181" s="6">
        <f t="shared" si="33"/>
        <v>398.08969845434291</v>
      </c>
      <c r="S181" s="5">
        <f t="shared" si="47"/>
        <v>55161.1</v>
      </c>
      <c r="T181" s="135">
        <v>0.4411101190476191</v>
      </c>
      <c r="U181" s="97">
        <f t="shared" si="34"/>
        <v>12146.733763013095</v>
      </c>
      <c r="V181" s="97">
        <f t="shared" si="35"/>
        <v>7832.6977897261268</v>
      </c>
      <c r="W181" s="97">
        <f t="shared" si="36"/>
        <v>1607.4141528727321</v>
      </c>
      <c r="X181" s="97">
        <f t="shared" si="37"/>
        <v>691.63431820482731</v>
      </c>
      <c r="Y181" s="97">
        <f t="shared" si="38"/>
        <v>22278.480023816777</v>
      </c>
      <c r="Z181" s="104">
        <f t="shared" si="39"/>
        <v>0.40388027112977765</v>
      </c>
      <c r="AA181" s="96">
        <f t="shared" si="40"/>
        <v>22278.480023816777</v>
      </c>
      <c r="AB181" s="97"/>
      <c r="AC181" s="96">
        <f>INDEX('[2]2020 Funding'!$S$26:$S$274,MATCH(B181,'[2]2020 Funding'!$B$26:$B$274,0))</f>
        <v>22286.522997137239</v>
      </c>
      <c r="AD181" s="5">
        <f t="shared" si="48"/>
        <v>-8.0429733204618969</v>
      </c>
      <c r="AF181" s="18"/>
      <c r="AG181" s="96"/>
    </row>
    <row r="182" spans="2:33" x14ac:dyDescent="0.25">
      <c r="B182">
        <v>757</v>
      </c>
      <c r="C182" s="28">
        <v>7</v>
      </c>
      <c r="D182" s="35" t="s">
        <v>210</v>
      </c>
      <c r="E182" s="154">
        <v>535.91999999999996</v>
      </c>
      <c r="F182" s="154">
        <f>INDEX('Revised 2018 Lockdown'!H$5:H$253,MATCH(B182,'Revised 2018 Lockdown'!B$5:B$253,0))</f>
        <v>535.91999999999996</v>
      </c>
      <c r="G182" s="154">
        <f t="shared" si="41"/>
        <v>0</v>
      </c>
      <c r="H182" s="5">
        <v>325864.53000000003</v>
      </c>
      <c r="I182" s="5">
        <f>INDEX('Revised 2018 Lockdown'!E$5:E$253,MATCH(B182,'Revised 2018 Lockdown'!B$5:B$253,0))</f>
        <v>334652.7</v>
      </c>
      <c r="J182" s="5">
        <f t="shared" si="42"/>
        <v>-8788.1699999999837</v>
      </c>
      <c r="K182" s="5">
        <v>65666.5</v>
      </c>
      <c r="L182" s="5">
        <f>INDEX('Revised 2018 Lockdown'!F$5:F$253,MATCH(B182,'Revised 2018 Lockdown'!B$5:B$253,0))</f>
        <v>65666.5</v>
      </c>
      <c r="M182" s="5">
        <f t="shared" si="43"/>
        <v>0</v>
      </c>
      <c r="N182" s="5">
        <v>260198.03000000003</v>
      </c>
      <c r="O182" s="97">
        <f t="shared" si="44"/>
        <v>268986.2</v>
      </c>
      <c r="P182" s="97">
        <f t="shared" si="45"/>
        <v>-8788.1699999999837</v>
      </c>
      <c r="Q182" s="95">
        <f t="shared" si="46"/>
        <v>501.91483803552774</v>
      </c>
      <c r="R182" s="6">
        <f t="shared" si="33"/>
        <v>501.91483803552774</v>
      </c>
      <c r="S182" s="5">
        <f t="shared" si="47"/>
        <v>268986.2</v>
      </c>
      <c r="T182" s="135">
        <v>0.83378571428571413</v>
      </c>
      <c r="U182" s="97">
        <f t="shared" si="34"/>
        <v>59232.026869018082</v>
      </c>
      <c r="V182" s="97">
        <f t="shared" si="35"/>
        <v>30294.190799984026</v>
      </c>
      <c r="W182" s="97">
        <f t="shared" si="36"/>
        <v>14816.045349472453</v>
      </c>
      <c r="X182" s="97">
        <f t="shared" si="37"/>
        <v>3372.6681854333456</v>
      </c>
      <c r="Y182" s="97">
        <f t="shared" si="38"/>
        <v>107714.93120390789</v>
      </c>
      <c r="Z182" s="104">
        <f t="shared" si="39"/>
        <v>0.40044779696470634</v>
      </c>
      <c r="AA182" s="96">
        <f t="shared" si="40"/>
        <v>107714.93120390789</v>
      </c>
      <c r="AB182" s="97"/>
      <c r="AC182" s="96">
        <f>INDEX('[2]2020 Funding'!$S$26:$S$274,MATCH(B182,'[2]2020 Funding'!$B$26:$B$274,0))</f>
        <v>105229.56891511349</v>
      </c>
      <c r="AD182" s="5">
        <f t="shared" si="48"/>
        <v>2485.3622887944075</v>
      </c>
      <c r="AF182" s="18"/>
      <c r="AG182" s="96"/>
    </row>
    <row r="183" spans="2:33" x14ac:dyDescent="0.25">
      <c r="B183">
        <v>786</v>
      </c>
      <c r="C183" s="28">
        <v>7</v>
      </c>
      <c r="D183" s="35" t="s">
        <v>211</v>
      </c>
      <c r="E183" s="154">
        <v>3145.58</v>
      </c>
      <c r="F183" s="154">
        <f>INDEX('Revised 2018 Lockdown'!H$5:H$253,MATCH(B183,'Revised 2018 Lockdown'!B$5:B$253,0))</f>
        <v>3145.58</v>
      </c>
      <c r="G183" s="154">
        <f t="shared" si="41"/>
        <v>0</v>
      </c>
      <c r="H183" s="5">
        <v>1566858.3</v>
      </c>
      <c r="I183" s="5">
        <f>INDEX('Revised 2018 Lockdown'!E$5:E$253,MATCH(B183,'Revised 2018 Lockdown'!B$5:B$253,0))</f>
        <v>1566858.3</v>
      </c>
      <c r="J183" s="5">
        <f t="shared" si="42"/>
        <v>0</v>
      </c>
      <c r="K183" s="5">
        <v>287163.78999999998</v>
      </c>
      <c r="L183" s="5">
        <f>INDEX('Revised 2018 Lockdown'!F$5:F$253,MATCH(B183,'Revised 2018 Lockdown'!B$5:B$253,0))</f>
        <v>287163.78999999998</v>
      </c>
      <c r="M183" s="5">
        <f t="shared" si="43"/>
        <v>0</v>
      </c>
      <c r="N183" s="5">
        <v>1279694.51</v>
      </c>
      <c r="O183" s="97">
        <f t="shared" si="44"/>
        <v>1279694.51</v>
      </c>
      <c r="P183" s="97">
        <f t="shared" si="45"/>
        <v>0</v>
      </c>
      <c r="Q183" s="95">
        <f t="shared" si="46"/>
        <v>406.82306919550609</v>
      </c>
      <c r="R183" s="6">
        <f t="shared" si="33"/>
        <v>406.82306919550609</v>
      </c>
      <c r="S183" s="5">
        <f t="shared" si="47"/>
        <v>1279694.51</v>
      </c>
      <c r="T183" s="135">
        <v>0.83378571428571413</v>
      </c>
      <c r="U183" s="97">
        <f t="shared" si="34"/>
        <v>281794.75229753397</v>
      </c>
      <c r="V183" s="97">
        <f t="shared" si="35"/>
        <v>177811.61497352918</v>
      </c>
      <c r="W183" s="97">
        <f t="shared" si="36"/>
        <v>70486.931647909558</v>
      </c>
      <c r="X183" s="97">
        <f t="shared" si="37"/>
        <v>16045.376903910739</v>
      </c>
      <c r="Y183" s="97">
        <f t="shared" si="38"/>
        <v>546138.6758228835</v>
      </c>
      <c r="Z183" s="104">
        <f t="shared" si="39"/>
        <v>0.42677269579196953</v>
      </c>
      <c r="AA183" s="96">
        <f t="shared" si="40"/>
        <v>546138.6758228835</v>
      </c>
      <c r="AB183" s="97"/>
      <c r="AC183" s="96">
        <f>INDEX('[2]2020 Funding'!$S$26:$S$274,MATCH(B183,'[2]2020 Funding'!$B$26:$B$274,0))</f>
        <v>546347.77672255819</v>
      </c>
      <c r="AD183" s="5">
        <f t="shared" si="48"/>
        <v>-209.10089967469685</v>
      </c>
      <c r="AF183" s="18"/>
      <c r="AG183" s="96"/>
    </row>
    <row r="184" spans="2:33" x14ac:dyDescent="0.25">
      <c r="B184">
        <v>854</v>
      </c>
      <c r="C184" s="28">
        <v>7</v>
      </c>
      <c r="D184" s="35" t="s">
        <v>212</v>
      </c>
      <c r="E184" s="154">
        <v>839.93</v>
      </c>
      <c r="F184" s="154">
        <f>INDEX('Revised 2018 Lockdown'!H$5:H$253,MATCH(B184,'Revised 2018 Lockdown'!B$5:B$253,0))</f>
        <v>839.93</v>
      </c>
      <c r="G184" s="154">
        <f t="shared" si="41"/>
        <v>0</v>
      </c>
      <c r="H184" s="5">
        <v>490740.21</v>
      </c>
      <c r="I184" s="5">
        <f>INDEX('Revised 2018 Lockdown'!E$5:E$253,MATCH(B184,'Revised 2018 Lockdown'!B$5:B$253,0))</f>
        <v>490740.21</v>
      </c>
      <c r="J184" s="5">
        <f t="shared" si="42"/>
        <v>0</v>
      </c>
      <c r="K184" s="5">
        <v>37547.699999999997</v>
      </c>
      <c r="L184" s="5">
        <f>INDEX('Revised 2018 Lockdown'!F$5:F$253,MATCH(B184,'Revised 2018 Lockdown'!B$5:B$253,0))</f>
        <v>37547.699999999997</v>
      </c>
      <c r="M184" s="5">
        <f t="shared" si="43"/>
        <v>0</v>
      </c>
      <c r="N184" s="5">
        <v>453192.51</v>
      </c>
      <c r="O184" s="97">
        <f t="shared" si="44"/>
        <v>453192.51</v>
      </c>
      <c r="P184" s="97">
        <f t="shared" si="45"/>
        <v>0</v>
      </c>
      <c r="Q184" s="95">
        <f t="shared" si="46"/>
        <v>539.55985617849115</v>
      </c>
      <c r="R184" s="6">
        <f t="shared" si="33"/>
        <v>539.55985617849115</v>
      </c>
      <c r="S184" s="5">
        <f t="shared" si="47"/>
        <v>453192.51000000007</v>
      </c>
      <c r="T184" s="135">
        <v>0.73996279761904749</v>
      </c>
      <c r="U184" s="97">
        <f t="shared" si="34"/>
        <v>99795.123055226431</v>
      </c>
      <c r="V184" s="97">
        <f t="shared" si="35"/>
        <v>47479.100758752393</v>
      </c>
      <c r="W184" s="97">
        <f t="shared" si="36"/>
        <v>22153.403533404737</v>
      </c>
      <c r="X184" s="97">
        <f t="shared" si="37"/>
        <v>5682.3285371282373</v>
      </c>
      <c r="Y184" s="97">
        <f t="shared" si="38"/>
        <v>175109.95588451182</v>
      </c>
      <c r="Z184" s="104">
        <f t="shared" si="39"/>
        <v>0.38639199020414478</v>
      </c>
      <c r="AA184" s="96">
        <f t="shared" si="40"/>
        <v>175109.95588451182</v>
      </c>
      <c r="AB184" s="97"/>
      <c r="AC184" s="96">
        <f>INDEX('[2]2020 Funding'!$S$26:$S$274,MATCH(B184,'[2]2020 Funding'!$B$26:$B$274,0))</f>
        <v>175186.34041899326</v>
      </c>
      <c r="AD184" s="5">
        <f t="shared" si="48"/>
        <v>-76.38453448144719</v>
      </c>
      <c r="AF184" s="18"/>
      <c r="AG184" s="96"/>
    </row>
    <row r="185" spans="2:33" x14ac:dyDescent="0.25">
      <c r="B185">
        <v>855</v>
      </c>
      <c r="C185" s="28">
        <v>7</v>
      </c>
      <c r="D185" s="35" t="s">
        <v>213</v>
      </c>
      <c r="E185" s="154">
        <v>208.08754355551341</v>
      </c>
      <c r="F185" s="154">
        <f>INDEX('Revised 2018 Lockdown'!H$5:H$253,MATCH(B185,'Revised 2018 Lockdown'!B$5:B$253,0))</f>
        <v>208.08754355551341</v>
      </c>
      <c r="G185" s="154">
        <f t="shared" si="41"/>
        <v>0</v>
      </c>
      <c r="H185" s="5">
        <v>140079.48000000001</v>
      </c>
      <c r="I185" s="5">
        <f>INDEX('Revised 2018 Lockdown'!E$5:E$253,MATCH(B185,'Revised 2018 Lockdown'!B$5:B$253,0))</f>
        <v>140079.48000000001</v>
      </c>
      <c r="J185" s="5">
        <f t="shared" si="42"/>
        <v>0</v>
      </c>
      <c r="K185" s="5">
        <v>12090</v>
      </c>
      <c r="L185" s="5">
        <f>INDEX('Revised 2018 Lockdown'!F$5:F$253,MATCH(B185,'Revised 2018 Lockdown'!B$5:B$253,0))</f>
        <v>12090</v>
      </c>
      <c r="M185" s="5">
        <f t="shared" si="43"/>
        <v>0</v>
      </c>
      <c r="N185" s="5">
        <v>127989.48000000001</v>
      </c>
      <c r="O185" s="97">
        <f t="shared" si="44"/>
        <v>127989.48000000001</v>
      </c>
      <c r="P185" s="97">
        <f t="shared" si="45"/>
        <v>0</v>
      </c>
      <c r="Q185" s="95">
        <f t="shared" si="46"/>
        <v>615.07516410205062</v>
      </c>
      <c r="R185" s="6">
        <f t="shared" si="33"/>
        <v>615.07516410205062</v>
      </c>
      <c r="S185" s="5">
        <f t="shared" si="47"/>
        <v>127989.48000000001</v>
      </c>
      <c r="T185" s="135">
        <v>0.58269494047619053</v>
      </c>
      <c r="U185" s="97">
        <f t="shared" si="34"/>
        <v>28183.885709793485</v>
      </c>
      <c r="V185" s="97">
        <f t="shared" si="35"/>
        <v>11762.658134741585</v>
      </c>
      <c r="W185" s="97">
        <f t="shared" si="36"/>
        <v>4926.7822818167615</v>
      </c>
      <c r="X185" s="97">
        <f t="shared" si="37"/>
        <v>1604.7888228695656</v>
      </c>
      <c r="Y185" s="97">
        <f t="shared" si="38"/>
        <v>46478.114949221403</v>
      </c>
      <c r="Z185" s="104">
        <f t="shared" si="39"/>
        <v>0.36314011861929119</v>
      </c>
      <c r="AA185" s="96">
        <f t="shared" si="40"/>
        <v>46478.114949221403</v>
      </c>
      <c r="AB185" s="97"/>
      <c r="AC185" s="96">
        <f>INDEX('[2]2020 Funding'!$S$26:$S$274,MATCH(B185,'[2]2020 Funding'!$B$26:$B$274,0))</f>
        <v>46499.268429709664</v>
      </c>
      <c r="AD185" s="5">
        <f t="shared" si="48"/>
        <v>-21.153480488261266</v>
      </c>
      <c r="AF185" s="18"/>
      <c r="AG185" s="96"/>
    </row>
    <row r="186" spans="2:33" x14ac:dyDescent="0.25">
      <c r="B186">
        <v>862</v>
      </c>
      <c r="C186" s="28">
        <v>7</v>
      </c>
      <c r="D186" s="35" t="s">
        <v>214</v>
      </c>
      <c r="E186" s="154">
        <v>13.057490298183062</v>
      </c>
      <c r="F186" s="154">
        <f>INDEX('Revised 2018 Lockdown'!H$5:H$253,MATCH(B186,'Revised 2018 Lockdown'!B$5:B$253,0))</f>
        <v>13.057490298183062</v>
      </c>
      <c r="G186" s="154">
        <f t="shared" si="41"/>
        <v>0</v>
      </c>
      <c r="H186" s="5">
        <v>10884.05</v>
      </c>
      <c r="I186" s="5">
        <f>INDEX('Revised 2018 Lockdown'!E$5:E$253,MATCH(B186,'Revised 2018 Lockdown'!B$5:B$253,0))</f>
        <v>10884.05</v>
      </c>
      <c r="J186" s="5">
        <f t="shared" si="42"/>
        <v>0</v>
      </c>
      <c r="K186" s="5">
        <v>8152.2</v>
      </c>
      <c r="L186" s="5">
        <f>INDEX('Revised 2018 Lockdown'!F$5:F$253,MATCH(B186,'Revised 2018 Lockdown'!B$5:B$253,0))</f>
        <v>8152.2</v>
      </c>
      <c r="M186" s="5">
        <f t="shared" si="43"/>
        <v>0</v>
      </c>
      <c r="N186" s="5">
        <v>2731.8499999999995</v>
      </c>
      <c r="O186" s="97">
        <f t="shared" si="44"/>
        <v>2731.8499999999995</v>
      </c>
      <c r="P186" s="97">
        <f t="shared" si="45"/>
        <v>0</v>
      </c>
      <c r="Q186" s="95">
        <f t="shared" si="46"/>
        <v>209.2170805886131</v>
      </c>
      <c r="R186" s="6">
        <f t="shared" si="33"/>
        <v>209.2170805886131</v>
      </c>
      <c r="S186" s="5">
        <f t="shared" si="47"/>
        <v>2731.8499999999995</v>
      </c>
      <c r="T186" s="135">
        <v>0.33395238095238095</v>
      </c>
      <c r="U186" s="97">
        <f t="shared" si="34"/>
        <v>601.5662238513612</v>
      </c>
      <c r="V186" s="97">
        <f t="shared" si="35"/>
        <v>738.10662498525528</v>
      </c>
      <c r="W186" s="97">
        <f t="shared" si="36"/>
        <v>60.268341826708507</v>
      </c>
      <c r="X186" s="97">
        <f t="shared" si="37"/>
        <v>34.2531460066579</v>
      </c>
      <c r="Y186" s="97">
        <f t="shared" si="38"/>
        <v>1434.1943366699832</v>
      </c>
      <c r="Z186" s="104">
        <f t="shared" si="39"/>
        <v>0.52499014831340796</v>
      </c>
      <c r="AA186" s="96">
        <f t="shared" si="40"/>
        <v>1434.1943366699832</v>
      </c>
      <c r="AB186" s="97"/>
      <c r="AC186" s="96">
        <f>INDEX('[2]2020 Funding'!$S$26:$S$274,MATCH(B186,'[2]2020 Funding'!$B$26:$B$274,0))</f>
        <v>1434.4863548119063</v>
      </c>
      <c r="AD186" s="5">
        <f t="shared" si="48"/>
        <v>-0.29201814192310849</v>
      </c>
      <c r="AF186" s="18"/>
      <c r="AG186" s="96"/>
    </row>
    <row r="187" spans="2:33" x14ac:dyDescent="0.25">
      <c r="B187">
        <v>958</v>
      </c>
      <c r="C187" s="28">
        <v>7</v>
      </c>
      <c r="D187" s="35" t="s">
        <v>215</v>
      </c>
      <c r="E187" s="154">
        <v>510.68493823667342</v>
      </c>
      <c r="F187" s="154">
        <f>INDEX('Revised 2018 Lockdown'!H$5:H$253,MATCH(B187,'Revised 2018 Lockdown'!B$5:B$253,0))</f>
        <v>510.68493823667342</v>
      </c>
      <c r="G187" s="154">
        <f t="shared" si="41"/>
        <v>0</v>
      </c>
      <c r="H187" s="5">
        <v>165631.01</v>
      </c>
      <c r="I187" s="5">
        <f>INDEX('Revised 2018 Lockdown'!E$5:E$253,MATCH(B187,'Revised 2018 Lockdown'!B$5:B$253,0))</f>
        <v>165631.01</v>
      </c>
      <c r="J187" s="5">
        <f t="shared" si="42"/>
        <v>0</v>
      </c>
      <c r="K187" s="5">
        <v>290.27999999999997</v>
      </c>
      <c r="L187" s="5">
        <f>INDEX('Revised 2018 Lockdown'!F$5:F$253,MATCH(B187,'Revised 2018 Lockdown'!B$5:B$253,0))</f>
        <v>290.27999999999997</v>
      </c>
      <c r="M187" s="5">
        <f t="shared" si="43"/>
        <v>0</v>
      </c>
      <c r="N187" s="5">
        <v>165340.73000000001</v>
      </c>
      <c r="O187" s="97">
        <f t="shared" si="44"/>
        <v>165340.73000000001</v>
      </c>
      <c r="P187" s="97">
        <f t="shared" si="45"/>
        <v>0</v>
      </c>
      <c r="Q187" s="95">
        <f t="shared" si="46"/>
        <v>323.76269128065411</v>
      </c>
      <c r="R187" s="6">
        <f t="shared" si="33"/>
        <v>323.76269128065411</v>
      </c>
      <c r="S187" s="5">
        <f t="shared" si="47"/>
        <v>165340.73000000001</v>
      </c>
      <c r="T187" s="135">
        <v>0.82454166666666651</v>
      </c>
      <c r="U187" s="97">
        <f t="shared" si="34"/>
        <v>36408.806704221497</v>
      </c>
      <c r="V187" s="97">
        <f t="shared" si="35"/>
        <v>28867.717117517248</v>
      </c>
      <c r="W187" s="97">
        <f t="shared" si="36"/>
        <v>9006.173448372987</v>
      </c>
      <c r="X187" s="97">
        <f t="shared" si="37"/>
        <v>2073.115348770029</v>
      </c>
      <c r="Y187" s="97">
        <f t="shared" si="38"/>
        <v>76355.81261888177</v>
      </c>
      <c r="Z187" s="104">
        <f t="shared" si="39"/>
        <v>0.46180885144804773</v>
      </c>
      <c r="AA187" s="96">
        <f t="shared" si="40"/>
        <v>76355.81261888177</v>
      </c>
      <c r="AB187" s="97"/>
      <c r="AC187" s="96">
        <f>INDEX('[2]2020 Funding'!$S$26:$S$274,MATCH(B187,'[2]2020 Funding'!$B$26:$B$274,0))</f>
        <v>76381.185083149539</v>
      </c>
      <c r="AD187" s="5">
        <f t="shared" si="48"/>
        <v>-25.372464267769828</v>
      </c>
      <c r="AF187" s="18"/>
      <c r="AG187" s="96"/>
    </row>
    <row r="188" spans="2:33" x14ac:dyDescent="0.25">
      <c r="B188">
        <v>967</v>
      </c>
      <c r="C188" s="28">
        <v>7</v>
      </c>
      <c r="D188" s="35" t="s">
        <v>216</v>
      </c>
      <c r="E188" s="154">
        <v>180.72179769743559</v>
      </c>
      <c r="F188" s="154">
        <f>INDEX('Revised 2018 Lockdown'!H$5:H$253,MATCH(B188,'Revised 2018 Lockdown'!B$5:B$253,0))</f>
        <v>180.72179769743559</v>
      </c>
      <c r="G188" s="154">
        <f t="shared" si="41"/>
        <v>0</v>
      </c>
      <c r="H188" s="5">
        <v>79646.62</v>
      </c>
      <c r="I188" s="5">
        <f>INDEX('Revised 2018 Lockdown'!E$5:E$253,MATCH(B188,'Revised 2018 Lockdown'!B$5:B$253,0))</f>
        <v>79646.62</v>
      </c>
      <c r="J188" s="5">
        <f t="shared" si="42"/>
        <v>0</v>
      </c>
      <c r="K188" s="5">
        <v>0</v>
      </c>
      <c r="L188" s="5">
        <f>INDEX('Revised 2018 Lockdown'!F$5:F$253,MATCH(B188,'Revised 2018 Lockdown'!B$5:B$253,0))</f>
        <v>0</v>
      </c>
      <c r="M188" s="5">
        <f t="shared" si="43"/>
        <v>0</v>
      </c>
      <c r="N188" s="5">
        <v>79646.62</v>
      </c>
      <c r="O188" s="97">
        <f t="shared" si="44"/>
        <v>79646.62</v>
      </c>
      <c r="P188" s="97">
        <f t="shared" si="45"/>
        <v>0</v>
      </c>
      <c r="Q188" s="95">
        <f t="shared" si="46"/>
        <v>440.7139648607544</v>
      </c>
      <c r="R188" s="6">
        <f t="shared" si="33"/>
        <v>440.7139648607544</v>
      </c>
      <c r="S188" s="5">
        <f t="shared" si="47"/>
        <v>79646.62</v>
      </c>
      <c r="T188" s="135">
        <v>0.34667857142857139</v>
      </c>
      <c r="U188" s="97">
        <f t="shared" si="34"/>
        <v>17538.560475840295</v>
      </c>
      <c r="V188" s="97">
        <f t="shared" si="35"/>
        <v>10215.742314454075</v>
      </c>
      <c r="W188" s="97">
        <f t="shared" si="36"/>
        <v>1824.0729272033755</v>
      </c>
      <c r="X188" s="97">
        <f t="shared" si="37"/>
        <v>998.64461950575617</v>
      </c>
      <c r="Y188" s="97">
        <f t="shared" si="38"/>
        <v>30577.020337003505</v>
      </c>
      <c r="Z188" s="104">
        <f t="shared" si="39"/>
        <v>0.38390857436264725</v>
      </c>
      <c r="AA188" s="96">
        <f t="shared" si="40"/>
        <v>30577.020337003505</v>
      </c>
      <c r="AB188" s="97"/>
      <c r="AC188" s="96">
        <f>INDEX('[2]2020 Funding'!$S$26:$S$274,MATCH(B188,'[2]2020 Funding'!$B$26:$B$274,0))</f>
        <v>30588.605233991217</v>
      </c>
      <c r="AD188" s="5">
        <f t="shared" si="48"/>
        <v>-11.584896987711545</v>
      </c>
      <c r="AF188" s="18"/>
      <c r="AG188" s="96"/>
    </row>
    <row r="189" spans="2:33" x14ac:dyDescent="0.25">
      <c r="B189">
        <v>971</v>
      </c>
      <c r="C189" s="28">
        <v>7</v>
      </c>
      <c r="D189" s="35" t="s">
        <v>217</v>
      </c>
      <c r="E189" s="154">
        <v>976</v>
      </c>
      <c r="F189" s="154">
        <f>INDEX('Revised 2018 Lockdown'!H$5:H$253,MATCH(B189,'Revised 2018 Lockdown'!B$5:B$253,0))</f>
        <v>976</v>
      </c>
      <c r="G189" s="154">
        <f t="shared" si="41"/>
        <v>0</v>
      </c>
      <c r="H189" s="5">
        <v>536513.62</v>
      </c>
      <c r="I189" s="5">
        <f>INDEX('Revised 2018 Lockdown'!E$5:E$253,MATCH(B189,'Revised 2018 Lockdown'!B$5:B$253,0))</f>
        <v>536513.62</v>
      </c>
      <c r="J189" s="5">
        <f t="shared" si="42"/>
        <v>0</v>
      </c>
      <c r="K189" s="5">
        <v>137200.55999999997</v>
      </c>
      <c r="L189" s="5">
        <f>INDEX('Revised 2018 Lockdown'!F$5:F$253,MATCH(B189,'Revised 2018 Lockdown'!B$5:B$253,0))</f>
        <v>137200.55999999997</v>
      </c>
      <c r="M189" s="5">
        <f t="shared" si="43"/>
        <v>0</v>
      </c>
      <c r="N189" s="5">
        <v>399313.06000000006</v>
      </c>
      <c r="O189" s="97">
        <f t="shared" si="44"/>
        <v>399313.06000000006</v>
      </c>
      <c r="P189" s="97">
        <f t="shared" si="45"/>
        <v>0</v>
      </c>
      <c r="Q189" s="95">
        <f t="shared" si="46"/>
        <v>409.13223360655741</v>
      </c>
      <c r="R189" s="6">
        <f t="shared" si="33"/>
        <v>409.13223360655741</v>
      </c>
      <c r="S189" s="5">
        <f t="shared" si="47"/>
        <v>399313.06000000006</v>
      </c>
      <c r="T189" s="135">
        <v>0.55844345238095239</v>
      </c>
      <c r="U189" s="97">
        <f t="shared" si="34"/>
        <v>87930.614652609802</v>
      </c>
      <c r="V189" s="97">
        <f t="shared" si="35"/>
        <v>55170.79082845278</v>
      </c>
      <c r="W189" s="97">
        <f t="shared" si="36"/>
        <v>14731.282804974771</v>
      </c>
      <c r="X189" s="97">
        <f t="shared" si="37"/>
        <v>5006.7641146275791</v>
      </c>
      <c r="Y189" s="97">
        <f t="shared" si="38"/>
        <v>162839.45240066494</v>
      </c>
      <c r="Z189" s="104">
        <f t="shared" si="39"/>
        <v>0.40779896455343817</v>
      </c>
      <c r="AA189" s="96">
        <f t="shared" si="40"/>
        <v>162839.45240066494</v>
      </c>
      <c r="AB189" s="97"/>
      <c r="AC189" s="96">
        <f>INDEX('[2]2020 Funding'!$S$26:$S$274,MATCH(B189,'[2]2020 Funding'!$B$26:$B$274,0))</f>
        <v>162900.08707813147</v>
      </c>
      <c r="AD189" s="5">
        <f t="shared" si="48"/>
        <v>-60.634677466528956</v>
      </c>
      <c r="AF189" s="18"/>
      <c r="AG189" s="96"/>
    </row>
    <row r="190" spans="2:33" x14ac:dyDescent="0.25">
      <c r="B190">
        <v>975</v>
      </c>
      <c r="C190" s="28">
        <v>7</v>
      </c>
      <c r="D190" s="35" t="s">
        <v>218</v>
      </c>
      <c r="E190" s="154">
        <v>19.270619314376521</v>
      </c>
      <c r="F190" s="154">
        <f>INDEX('Revised 2018 Lockdown'!H$5:H$253,MATCH(B190,'Revised 2018 Lockdown'!B$5:B$253,0))</f>
        <v>19.270619314376521</v>
      </c>
      <c r="G190" s="154">
        <f t="shared" si="41"/>
        <v>0</v>
      </c>
      <c r="H190" s="5">
        <v>55760.17</v>
      </c>
      <c r="I190" s="5">
        <f>INDEX('Revised 2018 Lockdown'!E$5:E$253,MATCH(B190,'Revised 2018 Lockdown'!B$5:B$253,0))</f>
        <v>55760.17</v>
      </c>
      <c r="J190" s="5">
        <f t="shared" si="42"/>
        <v>0</v>
      </c>
      <c r="K190" s="5">
        <v>0</v>
      </c>
      <c r="L190" s="5">
        <f>INDEX('Revised 2018 Lockdown'!F$5:F$253,MATCH(B190,'Revised 2018 Lockdown'!B$5:B$253,0))</f>
        <v>0</v>
      </c>
      <c r="M190" s="5">
        <f t="shared" si="43"/>
        <v>0</v>
      </c>
      <c r="N190" s="5">
        <v>55760.17</v>
      </c>
      <c r="O190" s="97">
        <f t="shared" si="44"/>
        <v>55760.17</v>
      </c>
      <c r="P190" s="97">
        <f t="shared" si="45"/>
        <v>0</v>
      </c>
      <c r="Q190" s="95">
        <f t="shared" si="46"/>
        <v>2893.5328486511621</v>
      </c>
      <c r="R190" s="6">
        <f t="shared" si="33"/>
        <v>724.30462453114228</v>
      </c>
      <c r="S190" s="5">
        <f t="shared" si="47"/>
        <v>13957.798686982065</v>
      </c>
      <c r="T190" s="135">
        <v>0.20508333333333334</v>
      </c>
      <c r="U190" s="97">
        <f t="shared" si="34"/>
        <v>3073.572944856156</v>
      </c>
      <c r="V190" s="97">
        <f t="shared" si="35"/>
        <v>1089.3189624264437</v>
      </c>
      <c r="W190" s="97">
        <f t="shared" si="36"/>
        <v>189.10157543227498</v>
      </c>
      <c r="X190" s="97">
        <f t="shared" si="37"/>
        <v>175.00906578206516</v>
      </c>
      <c r="Y190" s="97">
        <f t="shared" si="38"/>
        <v>4527.0025484969401</v>
      </c>
      <c r="Z190" s="104">
        <f t="shared" si="39"/>
        <v>0.32433499364904239</v>
      </c>
      <c r="AA190" s="96">
        <f t="shared" si="40"/>
        <v>4527.0025484969401</v>
      </c>
      <c r="AB190" s="97"/>
      <c r="AC190" s="96">
        <f>INDEX('[2]2020 Funding'!$S$26:$S$274,MATCH(B190,'[2]2020 Funding'!$B$26:$B$274,0))</f>
        <v>4546.9574608851344</v>
      </c>
      <c r="AD190" s="5">
        <f t="shared" si="48"/>
        <v>-19.954912388194316</v>
      </c>
      <c r="AF190" s="18"/>
      <c r="AG190" s="96"/>
    </row>
    <row r="191" spans="2:33" x14ac:dyDescent="0.25">
      <c r="B191">
        <v>976</v>
      </c>
      <c r="C191" s="28">
        <v>7</v>
      </c>
      <c r="D191" s="35" t="s">
        <v>219</v>
      </c>
      <c r="E191" s="154">
        <v>29.487564416476946</v>
      </c>
      <c r="F191" s="154">
        <f>INDEX('Revised 2018 Lockdown'!H$5:H$253,MATCH(B191,'Revised 2018 Lockdown'!B$5:B$253,0))</f>
        <v>29.487564416476946</v>
      </c>
      <c r="G191" s="154">
        <f t="shared" si="41"/>
        <v>0</v>
      </c>
      <c r="H191" s="5">
        <v>25941.279999999999</v>
      </c>
      <c r="I191" s="5">
        <f>INDEX('Revised 2018 Lockdown'!E$5:E$253,MATCH(B191,'Revised 2018 Lockdown'!B$5:B$253,0))</f>
        <v>25941.279999999999</v>
      </c>
      <c r="J191" s="5">
        <f t="shared" si="42"/>
        <v>0</v>
      </c>
      <c r="K191" s="5">
        <v>0</v>
      </c>
      <c r="L191" s="5">
        <f>INDEX('Revised 2018 Lockdown'!F$5:F$253,MATCH(B191,'Revised 2018 Lockdown'!B$5:B$253,0))</f>
        <v>0</v>
      </c>
      <c r="M191" s="5">
        <f t="shared" si="43"/>
        <v>0</v>
      </c>
      <c r="N191" s="5">
        <v>25941.279999999999</v>
      </c>
      <c r="O191" s="97">
        <f t="shared" si="44"/>
        <v>25941.279999999999</v>
      </c>
      <c r="P191" s="97">
        <f t="shared" si="45"/>
        <v>0</v>
      </c>
      <c r="Q191" s="95">
        <f t="shared" si="46"/>
        <v>879.73627233535206</v>
      </c>
      <c r="R191" s="6">
        <f t="shared" si="33"/>
        <v>724.30462453114228</v>
      </c>
      <c r="S191" s="5">
        <f t="shared" si="47"/>
        <v>21357.979273014207</v>
      </c>
      <c r="T191" s="135">
        <v>0.32545833333333335</v>
      </c>
      <c r="U191" s="97">
        <f t="shared" si="34"/>
        <v>4703.1275290966923</v>
      </c>
      <c r="V191" s="97">
        <f t="shared" si="35"/>
        <v>1666.8568119487466</v>
      </c>
      <c r="W191" s="97">
        <f t="shared" si="36"/>
        <v>459.20161412217823</v>
      </c>
      <c r="X191" s="97">
        <f t="shared" si="37"/>
        <v>267.79580959632813</v>
      </c>
      <c r="Y191" s="97">
        <f t="shared" si="38"/>
        <v>7096.9817647639447</v>
      </c>
      <c r="Z191" s="104">
        <f t="shared" si="39"/>
        <v>0.33228713606492616</v>
      </c>
      <c r="AA191" s="96">
        <f t="shared" si="40"/>
        <v>7096.9817647639447</v>
      </c>
      <c r="AB191" s="97"/>
      <c r="AC191" s="96">
        <f>INDEX('[2]2020 Funding'!$S$26:$S$274,MATCH(B191,'[2]2020 Funding'!$B$26:$B$274,0))</f>
        <v>7128.5066730094013</v>
      </c>
      <c r="AD191" s="5">
        <f t="shared" si="48"/>
        <v>-31.524908245456572</v>
      </c>
      <c r="AF191" s="18"/>
      <c r="AG191" s="96"/>
    </row>
    <row r="192" spans="2:33" x14ac:dyDescent="0.25">
      <c r="B192">
        <v>977</v>
      </c>
      <c r="C192" s="28">
        <v>7</v>
      </c>
      <c r="D192" s="35" t="s">
        <v>220</v>
      </c>
      <c r="E192" s="154">
        <v>40.759415747987155</v>
      </c>
      <c r="F192" s="154">
        <f>INDEX('Revised 2018 Lockdown'!H$5:H$253,MATCH(B192,'Revised 2018 Lockdown'!B$5:B$253,0))</f>
        <v>40.759415747987155</v>
      </c>
      <c r="G192" s="154">
        <f t="shared" si="41"/>
        <v>0</v>
      </c>
      <c r="H192" s="5">
        <v>31893.51</v>
      </c>
      <c r="I192" s="5">
        <f>INDEX('Revised 2018 Lockdown'!E$5:E$253,MATCH(B192,'Revised 2018 Lockdown'!B$5:B$253,0))</f>
        <v>31893.51</v>
      </c>
      <c r="J192" s="5">
        <f t="shared" si="42"/>
        <v>0</v>
      </c>
      <c r="K192" s="5">
        <v>0</v>
      </c>
      <c r="L192" s="5">
        <f>INDEX('Revised 2018 Lockdown'!F$5:F$253,MATCH(B192,'Revised 2018 Lockdown'!B$5:B$253,0))</f>
        <v>0</v>
      </c>
      <c r="M192" s="5">
        <f t="shared" si="43"/>
        <v>0</v>
      </c>
      <c r="N192" s="5">
        <v>31893.51</v>
      </c>
      <c r="O192" s="97">
        <f t="shared" si="44"/>
        <v>31893.51</v>
      </c>
      <c r="P192" s="97">
        <f t="shared" si="45"/>
        <v>0</v>
      </c>
      <c r="Q192" s="95">
        <f t="shared" si="46"/>
        <v>782.4820207727098</v>
      </c>
      <c r="R192" s="6">
        <f t="shared" si="33"/>
        <v>724.30462453114228</v>
      </c>
      <c r="S192" s="5">
        <f t="shared" si="47"/>
        <v>29522.233319454564</v>
      </c>
      <c r="T192" s="135">
        <v>0.36066071428571428</v>
      </c>
      <c r="U192" s="97">
        <f t="shared" si="34"/>
        <v>6500.9346844237871</v>
      </c>
      <c r="V192" s="97">
        <f t="shared" si="35"/>
        <v>2304.0258202071141</v>
      </c>
      <c r="W192" s="97">
        <f t="shared" si="36"/>
        <v>703.3895240427172</v>
      </c>
      <c r="X192" s="97">
        <f t="shared" si="37"/>
        <v>370.16284508076876</v>
      </c>
      <c r="Y192" s="97">
        <f t="shared" si="38"/>
        <v>9878.5128737543873</v>
      </c>
      <c r="Z192" s="104">
        <f t="shared" si="39"/>
        <v>0.33461265504072296</v>
      </c>
      <c r="AA192" s="96">
        <f t="shared" si="40"/>
        <v>9878.5128737543873</v>
      </c>
      <c r="AB192" s="97"/>
      <c r="AC192" s="96">
        <f>INDEX('[2]2020 Funding'!$S$26:$S$274,MATCH(B192,'[2]2020 Funding'!$B$26:$B$274,0))</f>
        <v>9922.4887094049936</v>
      </c>
      <c r="AD192" s="5">
        <f t="shared" si="48"/>
        <v>-43.975835650606314</v>
      </c>
      <c r="AF192" s="18"/>
      <c r="AG192" s="96"/>
    </row>
    <row r="193" spans="2:33" x14ac:dyDescent="0.25">
      <c r="B193">
        <v>979</v>
      </c>
      <c r="C193" s="28">
        <v>7</v>
      </c>
      <c r="D193" s="35" t="s">
        <v>305</v>
      </c>
      <c r="E193" s="154">
        <v>68.082908668012507</v>
      </c>
      <c r="F193" s="154">
        <f>INDEX('Revised 2018 Lockdown'!H$5:H$253,MATCH(B193,'Revised 2018 Lockdown'!B$5:B$253,0))</f>
        <v>68.082908668012507</v>
      </c>
      <c r="G193" s="154">
        <f t="shared" si="41"/>
        <v>0</v>
      </c>
      <c r="H193" s="5">
        <v>116196.12</v>
      </c>
      <c r="I193" s="5">
        <f>INDEX('Revised 2018 Lockdown'!E$5:E$253,MATCH(B193,'Revised 2018 Lockdown'!B$5:B$253,0))</f>
        <v>116196.12</v>
      </c>
      <c r="J193" s="5">
        <f t="shared" si="42"/>
        <v>0</v>
      </c>
      <c r="K193" s="5">
        <v>0</v>
      </c>
      <c r="L193" s="5">
        <f>INDEX('Revised 2018 Lockdown'!F$5:F$253,MATCH(B193,'Revised 2018 Lockdown'!B$5:B$253,0))</f>
        <v>0</v>
      </c>
      <c r="M193" s="5">
        <f t="shared" si="43"/>
        <v>0</v>
      </c>
      <c r="N193" s="5">
        <v>116196.12</v>
      </c>
      <c r="O193" s="97">
        <f t="shared" si="44"/>
        <v>116196.12</v>
      </c>
      <c r="P193" s="97">
        <f t="shared" si="45"/>
        <v>0</v>
      </c>
      <c r="Q193" s="95">
        <f t="shared" si="46"/>
        <v>1706.6856024997151</v>
      </c>
      <c r="R193" s="6">
        <f t="shared" si="33"/>
        <v>724.30462453114228</v>
      </c>
      <c r="S193" s="5">
        <f t="shared" si="47"/>
        <v>49312.765599772851</v>
      </c>
      <c r="T193" s="135">
        <v>0.77766071428571415</v>
      </c>
      <c r="U193" s="97">
        <f t="shared" si="34"/>
        <v>10858.903010605509</v>
      </c>
      <c r="V193" s="97">
        <f t="shared" si="35"/>
        <v>3848.5531896675943</v>
      </c>
      <c r="W193" s="97">
        <f t="shared" si="36"/>
        <v>2533.3626814760314</v>
      </c>
      <c r="X193" s="97">
        <f t="shared" si="37"/>
        <v>618.30530961843317</v>
      </c>
      <c r="Y193" s="97">
        <f t="shared" si="38"/>
        <v>17859.124191367569</v>
      </c>
      <c r="Z193" s="104">
        <f t="shared" si="39"/>
        <v>0.36216026365898718</v>
      </c>
      <c r="AA193" s="96">
        <f t="shared" si="40"/>
        <v>17859.124191367569</v>
      </c>
      <c r="AB193" s="97"/>
      <c r="AC193" s="96">
        <f>INDEX('[2]2020 Funding'!$S$26:$S$274,MATCH(B193,'[2]2020 Funding'!$B$26:$B$274,0))</f>
        <v>17940.50002402698</v>
      </c>
      <c r="AD193" s="5">
        <f t="shared" si="48"/>
        <v>-81.375832659410662</v>
      </c>
      <c r="AF193" s="18"/>
      <c r="AG193" s="96"/>
    </row>
    <row r="194" spans="2:33" x14ac:dyDescent="0.25">
      <c r="B194">
        <v>983</v>
      </c>
      <c r="C194" s="28">
        <v>7</v>
      </c>
      <c r="D194" s="35" t="s">
        <v>222</v>
      </c>
      <c r="E194" s="154">
        <v>86.136151469782178</v>
      </c>
      <c r="F194" s="154">
        <f>INDEX('Revised 2018 Lockdown'!H$5:H$253,MATCH(B194,'Revised 2018 Lockdown'!B$5:B$253,0))</f>
        <v>86.136151469782178</v>
      </c>
      <c r="G194" s="154">
        <f t="shared" si="41"/>
        <v>0</v>
      </c>
      <c r="H194" s="5">
        <v>30825.599999999999</v>
      </c>
      <c r="I194" s="5">
        <f>INDEX('Revised 2018 Lockdown'!E$5:E$253,MATCH(B194,'Revised 2018 Lockdown'!B$5:B$253,0))</f>
        <v>30825.599999999999</v>
      </c>
      <c r="J194" s="5">
        <f t="shared" si="42"/>
        <v>0</v>
      </c>
      <c r="K194" s="5">
        <v>250</v>
      </c>
      <c r="L194" s="5">
        <f>INDEX('Revised 2018 Lockdown'!F$5:F$253,MATCH(B194,'Revised 2018 Lockdown'!B$5:B$253,0))</f>
        <v>250</v>
      </c>
      <c r="M194" s="5">
        <f t="shared" si="43"/>
        <v>0</v>
      </c>
      <c r="N194" s="5">
        <v>30575.599999999999</v>
      </c>
      <c r="O194" s="97">
        <f t="shared" si="44"/>
        <v>30575.599999999999</v>
      </c>
      <c r="P194" s="97">
        <f t="shared" si="45"/>
        <v>0</v>
      </c>
      <c r="Q194" s="95">
        <f t="shared" si="46"/>
        <v>354.96826220203684</v>
      </c>
      <c r="R194" s="6">
        <f t="shared" si="33"/>
        <v>354.96826220203684</v>
      </c>
      <c r="S194" s="5">
        <f t="shared" si="47"/>
        <v>30575.600000000002</v>
      </c>
      <c r="T194" s="135">
        <v>0.37552380952380954</v>
      </c>
      <c r="U194" s="97">
        <f t="shared" si="34"/>
        <v>6732.8909837618039</v>
      </c>
      <c r="V194" s="97">
        <f t="shared" si="35"/>
        <v>4869.0569626099159</v>
      </c>
      <c r="W194" s="97">
        <f t="shared" si="36"/>
        <v>758.50826139922265</v>
      </c>
      <c r="X194" s="97">
        <f t="shared" si="37"/>
        <v>383.37042335456545</v>
      </c>
      <c r="Y194" s="97">
        <f t="shared" si="38"/>
        <v>12743.826631125507</v>
      </c>
      <c r="Z194" s="104">
        <f t="shared" si="39"/>
        <v>0.41679727073632261</v>
      </c>
      <c r="AA194" s="96">
        <f t="shared" si="40"/>
        <v>12743.826631125507</v>
      </c>
      <c r="AB194" s="97"/>
      <c r="AC194" s="96">
        <f>INDEX('[2]2020 Funding'!$S$26:$S$274,MATCH(B194,'[2]2020 Funding'!$B$26:$B$274,0))</f>
        <v>12748.057882966292</v>
      </c>
      <c r="AD194" s="5">
        <f t="shared" si="48"/>
        <v>-4.2312518407852622</v>
      </c>
      <c r="AF194" s="18"/>
      <c r="AG194" s="96"/>
    </row>
    <row r="195" spans="2:33" x14ac:dyDescent="0.25">
      <c r="B195">
        <v>188</v>
      </c>
      <c r="C195" s="28">
        <v>8</v>
      </c>
      <c r="D195" s="35" t="s">
        <v>223</v>
      </c>
      <c r="E195" s="154">
        <v>287.33</v>
      </c>
      <c r="F195" s="154">
        <f>INDEX('Revised 2018 Lockdown'!H$5:H$253,MATCH(B195,'Revised 2018 Lockdown'!B$5:B$253,0))</f>
        <v>187.63</v>
      </c>
      <c r="G195" s="154">
        <f t="shared" si="41"/>
        <v>99.699999999999989</v>
      </c>
      <c r="H195" s="5">
        <v>125246.14</v>
      </c>
      <c r="I195" s="5">
        <f>INDEX('Revised 2018 Lockdown'!E$5:E$253,MATCH(B195,'Revised 2018 Lockdown'!B$5:B$253,0))</f>
        <v>125246.14</v>
      </c>
      <c r="J195" s="5">
        <f t="shared" si="42"/>
        <v>0</v>
      </c>
      <c r="K195" s="5">
        <v>23903.22</v>
      </c>
      <c r="L195" s="5">
        <f>INDEX('Revised 2018 Lockdown'!F$5:F$253,MATCH(B195,'Revised 2018 Lockdown'!B$5:B$253,0))</f>
        <v>23903.22</v>
      </c>
      <c r="M195" s="5">
        <f t="shared" si="43"/>
        <v>0</v>
      </c>
      <c r="N195" s="5">
        <v>101342.92</v>
      </c>
      <c r="O195" s="97">
        <f t="shared" si="44"/>
        <v>101342.92</v>
      </c>
      <c r="P195" s="97">
        <f t="shared" si="45"/>
        <v>0</v>
      </c>
      <c r="Q195" s="95">
        <f t="shared" si="46"/>
        <v>540.12108937803123</v>
      </c>
      <c r="R195" s="6">
        <f t="shared" si="33"/>
        <v>540.12108937803123</v>
      </c>
      <c r="S195" s="5">
        <f t="shared" si="47"/>
        <v>101342.92</v>
      </c>
      <c r="T195" s="135">
        <v>0.79112499999999997</v>
      </c>
      <c r="U195" s="97">
        <f t="shared" si="34"/>
        <v>22316.187820879841</v>
      </c>
      <c r="V195" s="97">
        <f t="shared" si="35"/>
        <v>10606.245372072332</v>
      </c>
      <c r="W195" s="97">
        <f t="shared" si="36"/>
        <v>5296.4682269380683</v>
      </c>
      <c r="X195" s="97">
        <f t="shared" si="37"/>
        <v>1270.6824443146775</v>
      </c>
      <c r="Y195" s="97">
        <f t="shared" si="38"/>
        <v>39489.58386420492</v>
      </c>
      <c r="Z195" s="104">
        <f t="shared" si="39"/>
        <v>0.38966297659673632</v>
      </c>
      <c r="AA195" s="96">
        <f t="shared" si="40"/>
        <v>39489.58386420492</v>
      </c>
      <c r="AB195" s="97"/>
      <c r="AC195" s="96">
        <f>INDEX('[2]2020 Funding'!$S$26:$S$274,MATCH(B195,'[2]2020 Funding'!$B$26:$B$274,0))</f>
        <v>45141.166503343193</v>
      </c>
      <c r="AD195" s="5">
        <f t="shared" si="48"/>
        <v>-5651.5826391382725</v>
      </c>
      <c r="AF195" s="18"/>
      <c r="AG195" s="96"/>
    </row>
    <row r="196" spans="2:33" x14ac:dyDescent="0.25">
      <c r="B196">
        <v>232</v>
      </c>
      <c r="C196" s="28">
        <v>8</v>
      </c>
      <c r="D196" s="35" t="s">
        <v>224</v>
      </c>
      <c r="E196" s="154">
        <v>97.381103404750618</v>
      </c>
      <c r="F196" s="154">
        <f>INDEX('Revised 2018 Lockdown'!H$5:H$253,MATCH(B196,'Revised 2018 Lockdown'!B$5:B$253,0))</f>
        <v>97.381103404750618</v>
      </c>
      <c r="G196" s="154">
        <f t="shared" si="41"/>
        <v>0</v>
      </c>
      <c r="H196" s="5">
        <v>101873.03</v>
      </c>
      <c r="I196" s="5">
        <f>INDEX('Revised 2018 Lockdown'!E$5:E$253,MATCH(B196,'Revised 2018 Lockdown'!B$5:B$253,0))</f>
        <v>101873.03</v>
      </c>
      <c r="J196" s="5">
        <f t="shared" si="42"/>
        <v>0</v>
      </c>
      <c r="K196" s="5">
        <v>0</v>
      </c>
      <c r="L196" s="5">
        <f>INDEX('Revised 2018 Lockdown'!F$5:F$253,MATCH(B196,'Revised 2018 Lockdown'!B$5:B$253,0))</f>
        <v>0</v>
      </c>
      <c r="M196" s="5">
        <f t="shared" si="43"/>
        <v>0</v>
      </c>
      <c r="N196" s="5">
        <v>101873.03</v>
      </c>
      <c r="O196" s="97">
        <f t="shared" si="44"/>
        <v>101873.03</v>
      </c>
      <c r="P196" s="97">
        <f t="shared" si="45"/>
        <v>0</v>
      </c>
      <c r="Q196" s="95">
        <f t="shared" si="46"/>
        <v>1046.1272920330275</v>
      </c>
      <c r="R196" s="6">
        <f t="shared" si="33"/>
        <v>1046.1272920330275</v>
      </c>
      <c r="S196" s="5">
        <f t="shared" si="47"/>
        <v>101873.03</v>
      </c>
      <c r="T196" s="135">
        <v>0.27853571428571428</v>
      </c>
      <c r="U196" s="97">
        <f t="shared" si="34"/>
        <v>22432.920537143855</v>
      </c>
      <c r="V196" s="97">
        <f t="shared" si="35"/>
        <v>5504.7054165854779</v>
      </c>
      <c r="W196" s="97">
        <f t="shared" si="36"/>
        <v>1874.5108635984095</v>
      </c>
      <c r="X196" s="97">
        <f t="shared" si="37"/>
        <v>1277.3291984298703</v>
      </c>
      <c r="Y196" s="97">
        <f t="shared" si="38"/>
        <v>31089.466015757615</v>
      </c>
      <c r="Z196" s="104">
        <f t="shared" si="39"/>
        <v>0.30517857391458381</v>
      </c>
      <c r="AA196" s="96">
        <f t="shared" si="40"/>
        <v>31089.466015757615</v>
      </c>
      <c r="AB196" s="97"/>
      <c r="AC196" s="96">
        <f>INDEX('[2]2020 Funding'!$S$26:$S$274,MATCH(B196,'[2]2020 Funding'!$B$26:$B$274,0))</f>
        <v>31106.012861361993</v>
      </c>
      <c r="AD196" s="5">
        <f t="shared" si="48"/>
        <v>-16.546845604378177</v>
      </c>
      <c r="AF196" s="18"/>
      <c r="AG196" s="96"/>
    </row>
    <row r="197" spans="2:33" x14ac:dyDescent="0.25">
      <c r="B197">
        <v>245</v>
      </c>
      <c r="C197" s="28">
        <v>8</v>
      </c>
      <c r="D197" s="35" t="s">
        <v>225</v>
      </c>
      <c r="E197" s="154">
        <v>182.45317762647645</v>
      </c>
      <c r="F197" s="154">
        <f>INDEX('Revised 2018 Lockdown'!H$5:H$253,MATCH(B197,'Revised 2018 Lockdown'!B$5:B$253,0))</f>
        <v>182.45317762647645</v>
      </c>
      <c r="G197" s="154">
        <f t="shared" si="41"/>
        <v>0</v>
      </c>
      <c r="H197" s="5">
        <v>620305.29</v>
      </c>
      <c r="I197" s="5">
        <f>INDEX('Revised 2018 Lockdown'!E$5:E$253,MATCH(B197,'Revised 2018 Lockdown'!B$5:B$253,0))</f>
        <v>620305.29</v>
      </c>
      <c r="J197" s="5">
        <f t="shared" si="42"/>
        <v>0</v>
      </c>
      <c r="K197" s="5">
        <v>0</v>
      </c>
      <c r="L197" s="5">
        <f>INDEX('Revised 2018 Lockdown'!F$5:F$253,MATCH(B197,'Revised 2018 Lockdown'!B$5:B$253,0))</f>
        <v>0</v>
      </c>
      <c r="M197" s="5">
        <f t="shared" si="43"/>
        <v>0</v>
      </c>
      <c r="N197" s="5">
        <v>620305.29</v>
      </c>
      <c r="O197" s="97">
        <f t="shared" si="44"/>
        <v>620305.29</v>
      </c>
      <c r="P197" s="97">
        <f t="shared" si="45"/>
        <v>0</v>
      </c>
      <c r="Q197" s="95">
        <f t="shared" si="46"/>
        <v>3399.8053531844066</v>
      </c>
      <c r="R197" s="6">
        <f t="shared" si="33"/>
        <v>1731.1011367314745</v>
      </c>
      <c r="S197" s="5">
        <f t="shared" si="47"/>
        <v>315844.90318946302</v>
      </c>
      <c r="T197" s="135">
        <v>0.61271428571428577</v>
      </c>
      <c r="U197" s="97">
        <f t="shared" si="34"/>
        <v>69550.533790063157</v>
      </c>
      <c r="V197" s="97">
        <f t="shared" si="35"/>
        <v>10313.612806164827</v>
      </c>
      <c r="W197" s="97">
        <f t="shared" si="36"/>
        <v>12784.381689667753</v>
      </c>
      <c r="X197" s="97">
        <f t="shared" si="37"/>
        <v>3960.2033729551067</v>
      </c>
      <c r="Y197" s="97">
        <f t="shared" si="38"/>
        <v>96608.73165885084</v>
      </c>
      <c r="Z197" s="104">
        <f t="shared" si="39"/>
        <v>0.30587396118562354</v>
      </c>
      <c r="AA197" s="96">
        <f t="shared" si="40"/>
        <v>96608.73165885084</v>
      </c>
      <c r="AB197" s="97"/>
      <c r="AC197" s="96">
        <f>INDEX('[2]2020 Funding'!$S$26:$S$274,MATCH(B197,'[2]2020 Funding'!$B$26:$B$274,0))</f>
        <v>95814.429057713176</v>
      </c>
      <c r="AD197" s="5">
        <f t="shared" si="48"/>
        <v>794.30260113766417</v>
      </c>
      <c r="AF197" s="18"/>
      <c r="AG197" s="96"/>
    </row>
    <row r="198" spans="2:33" x14ac:dyDescent="0.25">
      <c r="B198">
        <v>372</v>
      </c>
      <c r="C198" s="28">
        <v>8</v>
      </c>
      <c r="D198" s="35" t="s">
        <v>226</v>
      </c>
      <c r="E198" s="154">
        <v>120.44</v>
      </c>
      <c r="F198" s="154">
        <f>INDEX('Revised 2018 Lockdown'!H$5:H$253,MATCH(B198,'Revised 2018 Lockdown'!B$5:B$253,0))</f>
        <v>120.44</v>
      </c>
      <c r="G198" s="154">
        <f t="shared" si="41"/>
        <v>0</v>
      </c>
      <c r="H198" s="5">
        <v>83312.27</v>
      </c>
      <c r="I198" s="5">
        <f>INDEX('Revised 2018 Lockdown'!E$5:E$253,MATCH(B198,'Revised 2018 Lockdown'!B$5:B$253,0))</f>
        <v>83312.27</v>
      </c>
      <c r="J198" s="5">
        <f t="shared" si="42"/>
        <v>0</v>
      </c>
      <c r="K198" s="5">
        <v>0</v>
      </c>
      <c r="L198" s="5">
        <f>INDEX('Revised 2018 Lockdown'!F$5:F$253,MATCH(B198,'Revised 2018 Lockdown'!B$5:B$253,0))</f>
        <v>0</v>
      </c>
      <c r="M198" s="5">
        <f t="shared" si="43"/>
        <v>0</v>
      </c>
      <c r="N198" s="5">
        <v>83312.27</v>
      </c>
      <c r="O198" s="97">
        <f t="shared" si="44"/>
        <v>83312.27</v>
      </c>
      <c r="P198" s="97">
        <f t="shared" si="45"/>
        <v>0</v>
      </c>
      <c r="Q198" s="95">
        <f t="shared" si="46"/>
        <v>691.73256393224847</v>
      </c>
      <c r="R198" s="6">
        <f t="shared" si="33"/>
        <v>691.73256393224847</v>
      </c>
      <c r="S198" s="5">
        <f t="shared" si="47"/>
        <v>83312.27</v>
      </c>
      <c r="T198" s="135">
        <v>0.34667857142857139</v>
      </c>
      <c r="U198" s="97">
        <f t="shared" si="34"/>
        <v>18345.753853390579</v>
      </c>
      <c r="V198" s="97">
        <f t="shared" si="35"/>
        <v>6808.1660321504642</v>
      </c>
      <c r="W198" s="97">
        <f t="shared" si="36"/>
        <v>1908.0239213020964</v>
      </c>
      <c r="X198" s="97">
        <f t="shared" si="37"/>
        <v>1044.6061637557355</v>
      </c>
      <c r="Y198" s="97">
        <f t="shared" si="38"/>
        <v>28106.549970598877</v>
      </c>
      <c r="Z198" s="104">
        <f t="shared" si="39"/>
        <v>0.33736387173940735</v>
      </c>
      <c r="AA198" s="96">
        <f t="shared" si="40"/>
        <v>28106.549970598877</v>
      </c>
      <c r="AB198" s="97"/>
      <c r="AC198" s="96">
        <f>INDEX('[2]2020 Funding'!$S$26:$S$274,MATCH(B198,'[2]2020 Funding'!$B$26:$B$274,0))</f>
        <v>28119.706766796731</v>
      </c>
      <c r="AD198" s="5">
        <f t="shared" si="48"/>
        <v>-13.156796197854419</v>
      </c>
      <c r="AF198" s="18"/>
      <c r="AG198" s="96"/>
    </row>
    <row r="199" spans="2:33" x14ac:dyDescent="0.25">
      <c r="B199">
        <v>375</v>
      </c>
      <c r="C199" s="36">
        <v>8</v>
      </c>
      <c r="D199" s="35" t="s">
        <v>227</v>
      </c>
      <c r="E199" s="154">
        <v>165.84</v>
      </c>
      <c r="F199" s="154">
        <f>INDEX('Revised 2018 Lockdown'!H$5:H$253,MATCH(B199,'Revised 2018 Lockdown'!B$5:B$253,0))</f>
        <v>165.84</v>
      </c>
      <c r="G199" s="154">
        <f t="shared" si="41"/>
        <v>0</v>
      </c>
      <c r="H199" s="5">
        <v>245447.76</v>
      </c>
      <c r="I199" s="5">
        <f>INDEX('Revised 2018 Lockdown'!E$5:E$253,MATCH(B199,'Revised 2018 Lockdown'!B$5:B$253,0))</f>
        <v>245447.76</v>
      </c>
      <c r="J199" s="5">
        <f t="shared" si="42"/>
        <v>0</v>
      </c>
      <c r="K199" s="5">
        <v>0</v>
      </c>
      <c r="L199" s="5">
        <f>INDEX('Revised 2018 Lockdown'!F$5:F$253,MATCH(B199,'Revised 2018 Lockdown'!B$5:B$253,0))</f>
        <v>0</v>
      </c>
      <c r="M199" s="5">
        <f t="shared" si="43"/>
        <v>0</v>
      </c>
      <c r="N199" s="5">
        <v>245447.76</v>
      </c>
      <c r="O199" s="97">
        <f t="shared" si="44"/>
        <v>245447.76</v>
      </c>
      <c r="P199" s="97">
        <f t="shared" si="45"/>
        <v>0</v>
      </c>
      <c r="Q199" s="95">
        <f t="shared" si="46"/>
        <v>1480.027496382055</v>
      </c>
      <c r="R199" s="6">
        <f t="shared" si="33"/>
        <v>1480.027496382055</v>
      </c>
      <c r="S199" s="5">
        <f t="shared" si="47"/>
        <v>245447.76</v>
      </c>
      <c r="T199" s="135">
        <v>0.41974702380952378</v>
      </c>
      <c r="U199" s="97">
        <f t="shared" si="34"/>
        <v>54048.751628374623</v>
      </c>
      <c r="V199" s="97">
        <f t="shared" si="35"/>
        <v>9374.5122448674283</v>
      </c>
      <c r="W199" s="97">
        <f t="shared" si="36"/>
        <v>6806.0407909891192</v>
      </c>
      <c r="X199" s="97">
        <f t="shared" si="37"/>
        <v>3077.5327929011946</v>
      </c>
      <c r="Y199" s="97">
        <f t="shared" si="38"/>
        <v>73306.837457132366</v>
      </c>
      <c r="Z199" s="104">
        <f t="shared" si="39"/>
        <v>0.298665742384988</v>
      </c>
      <c r="AA199" s="96">
        <f t="shared" si="40"/>
        <v>73306.837457132366</v>
      </c>
      <c r="AB199" s="97"/>
      <c r="AC199" s="96">
        <f>INDEX('[2]2020 Funding'!$S$26:$S$274,MATCH(B199,'[2]2020 Funding'!$B$26:$B$274,0))</f>
        <v>73349.226682058506</v>
      </c>
      <c r="AD199" s="5">
        <f t="shared" si="48"/>
        <v>-42.389224926140741</v>
      </c>
      <c r="AF199" s="18"/>
      <c r="AG199" s="96"/>
    </row>
    <row r="200" spans="2:33" x14ac:dyDescent="0.25">
      <c r="B200">
        <v>404</v>
      </c>
      <c r="C200" s="28">
        <v>8</v>
      </c>
      <c r="D200" s="35" t="s">
        <v>228</v>
      </c>
      <c r="E200" s="154">
        <v>471.43130890795055</v>
      </c>
      <c r="F200" s="154">
        <f>INDEX('Revised 2018 Lockdown'!H$5:H$253,MATCH(B200,'Revised 2018 Lockdown'!B$5:B$253,0))</f>
        <v>471.43130890795055</v>
      </c>
      <c r="G200" s="154">
        <f t="shared" si="41"/>
        <v>0</v>
      </c>
      <c r="H200" s="5">
        <v>260768.05</v>
      </c>
      <c r="I200" s="5">
        <f>INDEX('Revised 2018 Lockdown'!E$5:E$253,MATCH(B200,'Revised 2018 Lockdown'!B$5:B$253,0))</f>
        <v>260768.05</v>
      </c>
      <c r="J200" s="5">
        <f t="shared" si="42"/>
        <v>0</v>
      </c>
      <c r="K200" s="5">
        <v>28484.19</v>
      </c>
      <c r="L200" s="5">
        <f>INDEX('Revised 2018 Lockdown'!F$5:F$253,MATCH(B200,'Revised 2018 Lockdown'!B$5:B$253,0))</f>
        <v>28484.19</v>
      </c>
      <c r="M200" s="5">
        <f t="shared" si="43"/>
        <v>0</v>
      </c>
      <c r="N200" s="5">
        <v>232283.86</v>
      </c>
      <c r="O200" s="97">
        <f t="shared" si="44"/>
        <v>232283.86</v>
      </c>
      <c r="P200" s="97">
        <f t="shared" si="45"/>
        <v>0</v>
      </c>
      <c r="Q200" s="95">
        <f t="shared" si="46"/>
        <v>492.72047827725976</v>
      </c>
      <c r="R200" s="6">
        <f t="shared" si="33"/>
        <v>492.72047827725976</v>
      </c>
      <c r="S200" s="5">
        <f t="shared" si="47"/>
        <v>232283.86</v>
      </c>
      <c r="T200" s="135">
        <v>0.3676875</v>
      </c>
      <c r="U200" s="97">
        <f t="shared" si="34"/>
        <v>51149.998909829701</v>
      </c>
      <c r="V200" s="97">
        <f t="shared" si="35"/>
        <v>26648.809563262548</v>
      </c>
      <c r="W200" s="97">
        <f t="shared" si="36"/>
        <v>5642.1645672474015</v>
      </c>
      <c r="X200" s="97">
        <f t="shared" si="37"/>
        <v>2912.4779806980928</v>
      </c>
      <c r="Y200" s="97">
        <f t="shared" si="38"/>
        <v>86353.451021037734</v>
      </c>
      <c r="Z200" s="104">
        <f t="shared" si="39"/>
        <v>0.37175829186340253</v>
      </c>
      <c r="AA200" s="96">
        <f t="shared" si="40"/>
        <v>86353.451021037734</v>
      </c>
      <c r="AB200" s="97"/>
      <c r="AC200" s="96">
        <f>INDEX('[2]2020 Funding'!$S$26:$S$274,MATCH(B200,'[2]2020 Funding'!$B$26:$B$274,0))</f>
        <v>86388.288388314191</v>
      </c>
      <c r="AD200" s="5">
        <f t="shared" si="48"/>
        <v>-34.837367276457371</v>
      </c>
      <c r="AF200" s="18"/>
      <c r="AG200" s="96"/>
    </row>
    <row r="201" spans="2:33" x14ac:dyDescent="0.25">
      <c r="B201">
        <v>413</v>
      </c>
      <c r="C201" s="28">
        <v>8</v>
      </c>
      <c r="D201" s="35" t="s">
        <v>229</v>
      </c>
      <c r="E201" s="154">
        <v>73.969999999999985</v>
      </c>
      <c r="F201" s="154">
        <f>INDEX('Revised 2018 Lockdown'!H$5:H$253,MATCH(B201,'Revised 2018 Lockdown'!B$5:B$253,0))</f>
        <v>73.969999999999985</v>
      </c>
      <c r="G201" s="154">
        <f t="shared" si="41"/>
        <v>0</v>
      </c>
      <c r="H201" s="5">
        <v>59936.91</v>
      </c>
      <c r="I201" s="5">
        <f>INDEX('Revised 2018 Lockdown'!E$5:E$253,MATCH(B201,'Revised 2018 Lockdown'!B$5:B$253,0))</f>
        <v>59936.91</v>
      </c>
      <c r="J201" s="5">
        <f t="shared" si="42"/>
        <v>0</v>
      </c>
      <c r="K201" s="5">
        <v>95</v>
      </c>
      <c r="L201" s="5">
        <f>INDEX('Revised 2018 Lockdown'!F$5:F$253,MATCH(B201,'Revised 2018 Lockdown'!B$5:B$253,0))</f>
        <v>95</v>
      </c>
      <c r="M201" s="5">
        <f t="shared" si="43"/>
        <v>0</v>
      </c>
      <c r="N201" s="5">
        <v>59841.91</v>
      </c>
      <c r="O201" s="97">
        <f t="shared" si="44"/>
        <v>59841.91</v>
      </c>
      <c r="P201" s="97">
        <f t="shared" si="45"/>
        <v>0</v>
      </c>
      <c r="Q201" s="95">
        <f t="shared" si="46"/>
        <v>809.00243341895384</v>
      </c>
      <c r="R201" s="6">
        <f t="shared" si="33"/>
        <v>809.00243341895384</v>
      </c>
      <c r="S201" s="5">
        <f t="shared" si="47"/>
        <v>59841.91</v>
      </c>
      <c r="T201" s="135">
        <v>0.46349404761904761</v>
      </c>
      <c r="U201" s="97">
        <f t="shared" si="34"/>
        <v>13177.470149075909</v>
      </c>
      <c r="V201" s="97">
        <f t="shared" si="35"/>
        <v>4181.3354483408311</v>
      </c>
      <c r="W201" s="97">
        <f t="shared" si="36"/>
        <v>1832.3036930323103</v>
      </c>
      <c r="X201" s="97">
        <f t="shared" si="37"/>
        <v>750.32438843541274</v>
      </c>
      <c r="Y201" s="97">
        <f t="shared" si="38"/>
        <v>19941.433678884463</v>
      </c>
      <c r="Z201" s="104">
        <f t="shared" si="39"/>
        <v>0.3332352473188851</v>
      </c>
      <c r="AA201" s="96">
        <f t="shared" si="40"/>
        <v>19941.433678884463</v>
      </c>
      <c r="AB201" s="97"/>
      <c r="AC201" s="96">
        <f>INDEX('[2]2020 Funding'!$S$26:$S$274,MATCH(B201,'[2]2020 Funding'!$B$26:$B$274,0))</f>
        <v>19951.372490657635</v>
      </c>
      <c r="AD201" s="5">
        <f t="shared" si="48"/>
        <v>-9.9388117731723469</v>
      </c>
      <c r="AF201" s="18"/>
      <c r="AG201" s="96"/>
    </row>
    <row r="202" spans="2:33" x14ac:dyDescent="0.25">
      <c r="B202">
        <v>537</v>
      </c>
      <c r="C202" s="28">
        <v>8</v>
      </c>
      <c r="D202" s="35" t="s">
        <v>230</v>
      </c>
      <c r="E202" s="154">
        <v>21.43637439455869</v>
      </c>
      <c r="F202" s="154">
        <f>INDEX('Revised 2018 Lockdown'!H$5:H$253,MATCH(B202,'Revised 2018 Lockdown'!B$5:B$253,0))</f>
        <v>21.43637439455869</v>
      </c>
      <c r="G202" s="154">
        <f t="shared" si="41"/>
        <v>0</v>
      </c>
      <c r="H202" s="5">
        <v>7779.28</v>
      </c>
      <c r="I202" s="5">
        <f>INDEX('Revised 2018 Lockdown'!E$5:E$253,MATCH(B202,'Revised 2018 Lockdown'!B$5:B$253,0))</f>
        <v>7779.28</v>
      </c>
      <c r="J202" s="5">
        <f t="shared" si="42"/>
        <v>0</v>
      </c>
      <c r="K202" s="5">
        <v>0</v>
      </c>
      <c r="L202" s="5">
        <f>INDEX('Revised 2018 Lockdown'!F$5:F$253,MATCH(B202,'Revised 2018 Lockdown'!B$5:B$253,0))</f>
        <v>0</v>
      </c>
      <c r="M202" s="5">
        <f t="shared" si="43"/>
        <v>0</v>
      </c>
      <c r="N202" s="5">
        <v>7779.28</v>
      </c>
      <c r="O202" s="97">
        <f t="shared" si="44"/>
        <v>7779.28</v>
      </c>
      <c r="P202" s="97">
        <f t="shared" si="45"/>
        <v>0</v>
      </c>
      <c r="Q202" s="95">
        <f t="shared" si="46"/>
        <v>362.90092050149377</v>
      </c>
      <c r="R202" s="6">
        <f t="shared" si="33"/>
        <v>362.90092050149377</v>
      </c>
      <c r="S202" s="5">
        <f t="shared" si="47"/>
        <v>7779.28</v>
      </c>
      <c r="T202" s="135">
        <v>0.50063690476190481</v>
      </c>
      <c r="U202" s="97">
        <f t="shared" si="34"/>
        <v>1713.0340589279856</v>
      </c>
      <c r="V202" s="97">
        <f t="shared" si="35"/>
        <v>1211.7435736092198</v>
      </c>
      <c r="W202" s="97">
        <f t="shared" si="36"/>
        <v>257.28242070402877</v>
      </c>
      <c r="X202" s="97">
        <f t="shared" si="37"/>
        <v>97.540060276616117</v>
      </c>
      <c r="Y202" s="97">
        <f t="shared" si="38"/>
        <v>3279.6001135178503</v>
      </c>
      <c r="Z202" s="104">
        <f t="shared" si="39"/>
        <v>0.42158144629295391</v>
      </c>
      <c r="AA202" s="96">
        <f t="shared" si="40"/>
        <v>3279.6001135178503</v>
      </c>
      <c r="AB202" s="97"/>
      <c r="AC202" s="96">
        <f>INDEX('[2]2020 Funding'!$S$26:$S$274,MATCH(B202,'[2]2020 Funding'!$B$26:$B$274,0))</f>
        <v>3280.7254905185996</v>
      </c>
      <c r="AD202" s="5">
        <f t="shared" si="48"/>
        <v>-1.1253770007492676</v>
      </c>
      <c r="AF202" s="18"/>
      <c r="AG202" s="96"/>
    </row>
    <row r="203" spans="2:33" x14ac:dyDescent="0.25">
      <c r="B203">
        <v>545</v>
      </c>
      <c r="C203" s="28">
        <v>8</v>
      </c>
      <c r="D203" s="35" t="s">
        <v>231</v>
      </c>
      <c r="E203" s="154">
        <v>14.770835019629734</v>
      </c>
      <c r="F203" s="154">
        <f>INDEX('Revised 2018 Lockdown'!H$5:H$253,MATCH(B203,'Revised 2018 Lockdown'!B$5:B$253,0))</f>
        <v>14.770835019629734</v>
      </c>
      <c r="G203" s="154">
        <f t="shared" si="41"/>
        <v>0</v>
      </c>
      <c r="H203" s="5">
        <v>6792.3</v>
      </c>
      <c r="I203" s="5">
        <f>INDEX('Revised 2018 Lockdown'!E$5:E$253,MATCH(B203,'Revised 2018 Lockdown'!B$5:B$253,0))</f>
        <v>6792.3</v>
      </c>
      <c r="J203" s="5">
        <f t="shared" si="42"/>
        <v>0</v>
      </c>
      <c r="K203" s="5">
        <v>0</v>
      </c>
      <c r="L203" s="5">
        <f>INDEX('Revised 2018 Lockdown'!F$5:F$253,MATCH(B203,'Revised 2018 Lockdown'!B$5:B$253,0))</f>
        <v>0</v>
      </c>
      <c r="M203" s="5">
        <f t="shared" si="43"/>
        <v>0</v>
      </c>
      <c r="N203" s="5">
        <v>6792.3</v>
      </c>
      <c r="O203" s="97">
        <f t="shared" si="44"/>
        <v>6792.3</v>
      </c>
      <c r="P203" s="97">
        <f t="shared" si="45"/>
        <v>0</v>
      </c>
      <c r="Q203" s="95">
        <f t="shared" si="46"/>
        <v>459.84536358123006</v>
      </c>
      <c r="R203" s="6">
        <f t="shared" si="33"/>
        <v>459.84536358123006</v>
      </c>
      <c r="S203" s="5">
        <f t="shared" si="47"/>
        <v>6792.3</v>
      </c>
      <c r="T203" s="135">
        <v>0.55693238095238096</v>
      </c>
      <c r="U203" s="97">
        <f t="shared" si="34"/>
        <v>1495.6964190074862</v>
      </c>
      <c r="V203" s="97">
        <f t="shared" si="35"/>
        <v>834.95763240735369</v>
      </c>
      <c r="W203" s="97">
        <f t="shared" si="36"/>
        <v>249.90053034593677</v>
      </c>
      <c r="X203" s="97">
        <f t="shared" si="37"/>
        <v>85.164867624877829</v>
      </c>
      <c r="Y203" s="97">
        <f t="shared" si="38"/>
        <v>2665.7194493856546</v>
      </c>
      <c r="Z203" s="104">
        <f t="shared" si="39"/>
        <v>0.39246197155391466</v>
      </c>
      <c r="AA203" s="96">
        <f t="shared" si="40"/>
        <v>2665.7194493856546</v>
      </c>
      <c r="AB203" s="97"/>
      <c r="AC203" s="96">
        <f>INDEX('[2]2020 Funding'!$S$26:$S$274,MATCH(B203,'[2]2020 Funding'!$B$26:$B$274,0))</f>
        <v>2666.7781274478916</v>
      </c>
      <c r="AD203" s="5">
        <f t="shared" si="48"/>
        <v>-1.0586780622370497</v>
      </c>
      <c r="AF203" s="18"/>
      <c r="AG203" s="96"/>
    </row>
    <row r="204" spans="2:33" x14ac:dyDescent="0.25">
      <c r="B204">
        <v>602</v>
      </c>
      <c r="C204" s="28">
        <v>8</v>
      </c>
      <c r="D204" s="35" t="s">
        <v>232</v>
      </c>
      <c r="E204" s="154">
        <v>12.767721505092435</v>
      </c>
      <c r="F204" s="154">
        <f>INDEX('Revised 2018 Lockdown'!H$5:H$253,MATCH(B204,'Revised 2018 Lockdown'!B$5:B$253,0))</f>
        <v>19.642035020014156</v>
      </c>
      <c r="G204" s="154">
        <f t="shared" si="41"/>
        <v>-6.8743135149217203</v>
      </c>
      <c r="H204" s="5">
        <v>15846.15</v>
      </c>
      <c r="I204" s="5">
        <f>INDEX('Revised 2018 Lockdown'!E$5:E$253,MATCH(B204,'Revised 2018 Lockdown'!B$5:B$253,0))</f>
        <v>28173.42</v>
      </c>
      <c r="J204" s="5">
        <f t="shared" si="42"/>
        <v>-12327.269999999999</v>
      </c>
      <c r="K204" s="5">
        <v>0</v>
      </c>
      <c r="L204" s="5">
        <f>INDEX('Revised 2018 Lockdown'!F$5:F$253,MATCH(B204,'Revised 2018 Lockdown'!B$5:B$253,0))</f>
        <v>0</v>
      </c>
      <c r="M204" s="5">
        <f t="shared" si="43"/>
        <v>0</v>
      </c>
      <c r="N204" s="5">
        <v>15846.15</v>
      </c>
      <c r="O204" s="97">
        <f t="shared" si="44"/>
        <v>28173.42</v>
      </c>
      <c r="P204" s="97">
        <f t="shared" si="45"/>
        <v>-12327.269999999999</v>
      </c>
      <c r="Q204" s="95">
        <f t="shared" si="46"/>
        <v>1434.3432323225586</v>
      </c>
      <c r="R204" s="6">
        <f t="shared" si="33"/>
        <v>1434.3432323225586</v>
      </c>
      <c r="S204" s="5">
        <f t="shared" si="47"/>
        <v>28173.419999999995</v>
      </c>
      <c r="T204" s="135">
        <v>0.611375</v>
      </c>
      <c r="U204" s="97">
        <f t="shared" si="34"/>
        <v>6203.91964506778</v>
      </c>
      <c r="V204" s="97">
        <f t="shared" si="35"/>
        <v>1110.3141450146979</v>
      </c>
      <c r="W204" s="97">
        <f t="shared" si="36"/>
        <v>1137.8764119009941</v>
      </c>
      <c r="X204" s="97">
        <f t="shared" si="37"/>
        <v>353.25082591170667</v>
      </c>
      <c r="Y204" s="97">
        <f t="shared" si="38"/>
        <v>8805.3610278951783</v>
      </c>
      <c r="Z204" s="104">
        <f t="shared" si="39"/>
        <v>0.31254143188491779</v>
      </c>
      <c r="AA204" s="96">
        <f t="shared" si="40"/>
        <v>8805.3610278951783</v>
      </c>
      <c r="AB204" s="97"/>
      <c r="AC204" s="96">
        <f>INDEX('[2]2020 Funding'!$S$26:$S$274,MATCH(B204,'[2]2020 Funding'!$B$26:$B$274,0))</f>
        <v>5052.6437223440062</v>
      </c>
      <c r="AD204" s="5">
        <f t="shared" si="48"/>
        <v>3752.7173055511721</v>
      </c>
      <c r="AF204" s="18"/>
      <c r="AG204" s="96"/>
    </row>
    <row r="205" spans="2:33" x14ac:dyDescent="0.25">
      <c r="B205">
        <v>605</v>
      </c>
      <c r="C205" s="28">
        <v>8</v>
      </c>
      <c r="D205" s="35" t="s">
        <v>233</v>
      </c>
      <c r="E205" s="154">
        <v>10.431092897352221</v>
      </c>
      <c r="F205" s="154">
        <f>INDEX('Revised 2018 Lockdown'!H$5:H$253,MATCH(B205,'Revised 2018 Lockdown'!B$5:B$253,0))</f>
        <v>10.431092897352221</v>
      </c>
      <c r="G205" s="154">
        <f t="shared" si="41"/>
        <v>0</v>
      </c>
      <c r="H205" s="5">
        <v>7392.31</v>
      </c>
      <c r="I205" s="5">
        <f>INDEX('Revised 2018 Lockdown'!E$5:E$253,MATCH(B205,'Revised 2018 Lockdown'!B$5:B$253,0))</f>
        <v>7392.31</v>
      </c>
      <c r="J205" s="5">
        <f t="shared" si="42"/>
        <v>0</v>
      </c>
      <c r="K205" s="5">
        <v>0</v>
      </c>
      <c r="L205" s="5">
        <f>INDEX('Revised 2018 Lockdown'!F$5:F$253,MATCH(B205,'Revised 2018 Lockdown'!B$5:B$253,0))</f>
        <v>0</v>
      </c>
      <c r="M205" s="5">
        <f t="shared" si="43"/>
        <v>0</v>
      </c>
      <c r="N205" s="5">
        <v>7392.31</v>
      </c>
      <c r="O205" s="97">
        <f t="shared" si="44"/>
        <v>7392.31</v>
      </c>
      <c r="P205" s="97">
        <f t="shared" si="45"/>
        <v>0</v>
      </c>
      <c r="Q205" s="95">
        <f t="shared" si="46"/>
        <v>708.68029579876804</v>
      </c>
      <c r="R205" s="6">
        <f t="shared" si="33"/>
        <v>708.68029579876804</v>
      </c>
      <c r="S205" s="5">
        <f t="shared" si="47"/>
        <v>7392.31</v>
      </c>
      <c r="T205" s="135">
        <v>0.30421428571428571</v>
      </c>
      <c r="U205" s="97">
        <f t="shared" si="34"/>
        <v>1627.8214441637194</v>
      </c>
      <c r="V205" s="97">
        <f t="shared" si="35"/>
        <v>589.64307822948649</v>
      </c>
      <c r="W205" s="97">
        <f t="shared" si="36"/>
        <v>148.56196137199885</v>
      </c>
      <c r="X205" s="97">
        <f t="shared" si="37"/>
        <v>92.688058918490157</v>
      </c>
      <c r="Y205" s="97">
        <f t="shared" si="38"/>
        <v>2458.7145426836946</v>
      </c>
      <c r="Z205" s="104">
        <f t="shared" si="39"/>
        <v>0.3326043608403455</v>
      </c>
      <c r="AA205" s="96">
        <f t="shared" si="40"/>
        <v>2458.7145426836946</v>
      </c>
      <c r="AB205" s="97"/>
      <c r="AC205" s="96">
        <f>INDEX('[2]2020 Funding'!$S$26:$S$274,MATCH(B205,'[2]2020 Funding'!$B$26:$B$274,0))</f>
        <v>2459.8724077570209</v>
      </c>
      <c r="AD205" s="5">
        <f t="shared" si="48"/>
        <v>-1.1578650733263203</v>
      </c>
      <c r="AF205" s="18"/>
      <c r="AG205" s="96"/>
    </row>
    <row r="206" spans="2:33" x14ac:dyDescent="0.25">
      <c r="B206">
        <v>607</v>
      </c>
      <c r="C206" s="28">
        <v>8</v>
      </c>
      <c r="D206" s="35" t="s">
        <v>234</v>
      </c>
      <c r="E206" s="154">
        <v>15.646639346028332</v>
      </c>
      <c r="F206" s="154">
        <f>INDEX('Revised 2018 Lockdown'!H$5:H$253,MATCH(B206,'Revised 2018 Lockdown'!B$5:B$253,0))</f>
        <v>15.646639346028332</v>
      </c>
      <c r="G206" s="154">
        <f t="shared" si="41"/>
        <v>0</v>
      </c>
      <c r="H206" s="5">
        <v>11273.44</v>
      </c>
      <c r="I206" s="5">
        <f>INDEX('Revised 2018 Lockdown'!E$5:E$253,MATCH(B206,'Revised 2018 Lockdown'!B$5:B$253,0))</f>
        <v>11273.44</v>
      </c>
      <c r="J206" s="5">
        <f t="shared" si="42"/>
        <v>0</v>
      </c>
      <c r="K206" s="5">
        <v>0</v>
      </c>
      <c r="L206" s="5">
        <f>INDEX('Revised 2018 Lockdown'!F$5:F$253,MATCH(B206,'Revised 2018 Lockdown'!B$5:B$253,0))</f>
        <v>0</v>
      </c>
      <c r="M206" s="5">
        <f t="shared" si="43"/>
        <v>0</v>
      </c>
      <c r="N206" s="5">
        <v>11273.44</v>
      </c>
      <c r="O206" s="97">
        <f t="shared" si="44"/>
        <v>11273.44</v>
      </c>
      <c r="P206" s="97">
        <f t="shared" si="45"/>
        <v>0</v>
      </c>
      <c r="Q206" s="95">
        <f t="shared" si="46"/>
        <v>720.50232325841887</v>
      </c>
      <c r="R206" s="6">
        <f t="shared" si="33"/>
        <v>720.50232325841887</v>
      </c>
      <c r="S206" s="5">
        <f t="shared" si="47"/>
        <v>11273.44</v>
      </c>
      <c r="T206" s="135">
        <v>0.26264285714285712</v>
      </c>
      <c r="U206" s="97">
        <f t="shared" si="34"/>
        <v>2482.4645315866137</v>
      </c>
      <c r="V206" s="97">
        <f t="shared" si="35"/>
        <v>884.46461734422985</v>
      </c>
      <c r="W206" s="97">
        <f t="shared" si="36"/>
        <v>195.60047319951377</v>
      </c>
      <c r="X206" s="97">
        <f t="shared" si="37"/>
        <v>141.35138690531969</v>
      </c>
      <c r="Y206" s="97">
        <f t="shared" si="38"/>
        <v>3703.8810090356765</v>
      </c>
      <c r="Z206" s="104">
        <f t="shared" si="39"/>
        <v>0.32854931671572085</v>
      </c>
      <c r="AA206" s="96">
        <f t="shared" si="40"/>
        <v>3703.8810090356765</v>
      </c>
      <c r="AB206" s="97"/>
      <c r="AC206" s="96">
        <f>INDEX('[2]2020 Funding'!$S$26:$S$274,MATCH(B206,'[2]2020 Funding'!$B$26:$B$274,0))</f>
        <v>3705.6307124318323</v>
      </c>
      <c r="AD206" s="5">
        <f t="shared" si="48"/>
        <v>-1.7497033961558373</v>
      </c>
      <c r="AF206" s="18"/>
      <c r="AG206" s="96"/>
    </row>
    <row r="207" spans="2:33" x14ac:dyDescent="0.25">
      <c r="B207">
        <v>610</v>
      </c>
      <c r="C207" s="28">
        <v>8</v>
      </c>
      <c r="D207" s="35" t="s">
        <v>235</v>
      </c>
      <c r="E207" s="154">
        <v>73.259013247540878</v>
      </c>
      <c r="F207" s="154">
        <f>INDEX('Revised 2018 Lockdown'!H$5:H$253,MATCH(B207,'Revised 2018 Lockdown'!B$5:B$253,0))</f>
        <v>73.259013247540878</v>
      </c>
      <c r="G207" s="154">
        <f t="shared" si="41"/>
        <v>0</v>
      </c>
      <c r="H207" s="5">
        <v>31778.68</v>
      </c>
      <c r="I207" s="5">
        <f>INDEX('Revised 2018 Lockdown'!E$5:E$253,MATCH(B207,'Revised 2018 Lockdown'!B$5:B$253,0))</f>
        <v>31778.68</v>
      </c>
      <c r="J207" s="5">
        <f t="shared" si="42"/>
        <v>0</v>
      </c>
      <c r="K207" s="5">
        <v>0</v>
      </c>
      <c r="L207" s="5">
        <f>INDEX('Revised 2018 Lockdown'!F$5:F$253,MATCH(B207,'Revised 2018 Lockdown'!B$5:B$253,0))</f>
        <v>0</v>
      </c>
      <c r="M207" s="5">
        <f t="shared" si="43"/>
        <v>0</v>
      </c>
      <c r="N207" s="5">
        <v>31778.68</v>
      </c>
      <c r="O207" s="97">
        <f t="shared" si="44"/>
        <v>31778.68</v>
      </c>
      <c r="P207" s="97">
        <f t="shared" si="45"/>
        <v>0</v>
      </c>
      <c r="Q207" s="95">
        <f t="shared" si="46"/>
        <v>433.78525851311178</v>
      </c>
      <c r="R207" s="6">
        <f t="shared" si="33"/>
        <v>433.78525851311178</v>
      </c>
      <c r="S207" s="5">
        <f t="shared" si="47"/>
        <v>31778.68</v>
      </c>
      <c r="T207" s="135">
        <v>0.24982738095238097</v>
      </c>
      <c r="U207" s="97">
        <f t="shared" si="34"/>
        <v>6997.8148604721264</v>
      </c>
      <c r="V207" s="97">
        <f t="shared" si="35"/>
        <v>4141.1451805111974</v>
      </c>
      <c r="W207" s="97">
        <f t="shared" si="36"/>
        <v>524.47372769442063</v>
      </c>
      <c r="X207" s="97">
        <f t="shared" si="37"/>
        <v>398.45517357792687</v>
      </c>
      <c r="Y207" s="97">
        <f t="shared" si="38"/>
        <v>12061.888942255671</v>
      </c>
      <c r="Z207" s="104">
        <f t="shared" si="39"/>
        <v>0.37955915545440122</v>
      </c>
      <c r="AA207" s="96">
        <f t="shared" si="40"/>
        <v>12061.888942255671</v>
      </c>
      <c r="AB207" s="97"/>
      <c r="AC207" s="96">
        <f>INDEX('[2]2020 Funding'!$S$26:$S$274,MATCH(B207,'[2]2020 Funding'!$B$26:$B$274,0))</f>
        <v>12066.362356745711</v>
      </c>
      <c r="AD207" s="5">
        <f t="shared" si="48"/>
        <v>-4.4734144900394313</v>
      </c>
      <c r="AF207" s="18"/>
      <c r="AG207" s="96"/>
    </row>
    <row r="208" spans="2:33" x14ac:dyDescent="0.25">
      <c r="B208">
        <v>611</v>
      </c>
      <c r="C208" s="28">
        <v>8</v>
      </c>
      <c r="D208" s="35" t="s">
        <v>236</v>
      </c>
      <c r="E208" s="154">
        <v>19.550165032086241</v>
      </c>
      <c r="F208" s="154">
        <f>INDEX('Revised 2018 Lockdown'!H$5:H$253,MATCH(B208,'Revised 2018 Lockdown'!B$5:B$253,0))</f>
        <v>19.550165032086241</v>
      </c>
      <c r="G208" s="154">
        <f t="shared" si="41"/>
        <v>0</v>
      </c>
      <c r="H208" s="5">
        <v>31143.71</v>
      </c>
      <c r="I208" s="5">
        <f>INDEX('Revised 2018 Lockdown'!E$5:E$253,MATCH(B208,'Revised 2018 Lockdown'!B$5:B$253,0))</f>
        <v>31143.71</v>
      </c>
      <c r="J208" s="5">
        <f t="shared" si="42"/>
        <v>0</v>
      </c>
      <c r="K208" s="5">
        <v>0</v>
      </c>
      <c r="L208" s="5">
        <f>INDEX('Revised 2018 Lockdown'!F$5:F$253,MATCH(B208,'Revised 2018 Lockdown'!B$5:B$253,0))</f>
        <v>0</v>
      </c>
      <c r="M208" s="5">
        <f t="shared" si="43"/>
        <v>0</v>
      </c>
      <c r="N208" s="5">
        <v>31143.71</v>
      </c>
      <c r="O208" s="97">
        <f t="shared" si="44"/>
        <v>31143.71</v>
      </c>
      <c r="P208" s="97">
        <f t="shared" si="45"/>
        <v>0</v>
      </c>
      <c r="Q208" s="95">
        <f t="shared" si="46"/>
        <v>1593.0151970014642</v>
      </c>
      <c r="R208" s="6">
        <f t="shared" si="33"/>
        <v>1593.0151970014642</v>
      </c>
      <c r="S208" s="5">
        <f t="shared" si="47"/>
        <v>31143.71</v>
      </c>
      <c r="T208" s="135">
        <v>0.53668749999999998</v>
      </c>
      <c r="U208" s="97">
        <f t="shared" si="34"/>
        <v>6857.9914788227316</v>
      </c>
      <c r="V208" s="97">
        <f t="shared" si="35"/>
        <v>1105.1209689005757</v>
      </c>
      <c r="W208" s="97">
        <f t="shared" si="36"/>
        <v>1104.1794905372024</v>
      </c>
      <c r="X208" s="97">
        <f t="shared" si="37"/>
        <v>390.49363831067296</v>
      </c>
      <c r="Y208" s="97">
        <f t="shared" si="38"/>
        <v>9457.7855765711811</v>
      </c>
      <c r="Z208" s="104">
        <f t="shared" si="39"/>
        <v>0.30368204612010519</v>
      </c>
      <c r="AA208" s="96">
        <f t="shared" si="40"/>
        <v>9457.7855765711811</v>
      </c>
      <c r="AB208" s="97"/>
      <c r="AC208" s="96">
        <f>INDEX('[2]2020 Funding'!$S$26:$S$274,MATCH(B208,'[2]2020 Funding'!$B$26:$B$274,0))</f>
        <v>9463.3423166646135</v>
      </c>
      <c r="AD208" s="5">
        <f t="shared" si="48"/>
        <v>-5.5567400934323814</v>
      </c>
      <c r="AF208" s="18"/>
      <c r="AG208" s="96"/>
    </row>
    <row r="209" spans="2:33" x14ac:dyDescent="0.25">
      <c r="B209">
        <v>616</v>
      </c>
      <c r="C209" s="28">
        <v>8</v>
      </c>
      <c r="D209" s="35" t="s">
        <v>237</v>
      </c>
      <c r="E209" s="154">
        <v>186.85</v>
      </c>
      <c r="F209" s="154">
        <f>INDEX('Revised 2018 Lockdown'!H$5:H$253,MATCH(B209,'Revised 2018 Lockdown'!B$5:B$253,0))</f>
        <v>186.85</v>
      </c>
      <c r="G209" s="154">
        <f t="shared" si="41"/>
        <v>0</v>
      </c>
      <c r="H209" s="5">
        <v>256312.37</v>
      </c>
      <c r="I209" s="5">
        <f>INDEX('Revised 2018 Lockdown'!E$5:E$253,MATCH(B209,'Revised 2018 Lockdown'!B$5:B$253,0))</f>
        <v>256312.37</v>
      </c>
      <c r="J209" s="5">
        <f t="shared" si="42"/>
        <v>0</v>
      </c>
      <c r="K209" s="5">
        <v>0</v>
      </c>
      <c r="L209" s="5">
        <f>INDEX('Revised 2018 Lockdown'!F$5:F$253,MATCH(B209,'Revised 2018 Lockdown'!B$5:B$253,0))</f>
        <v>0</v>
      </c>
      <c r="M209" s="5">
        <f t="shared" si="43"/>
        <v>0</v>
      </c>
      <c r="N209" s="5">
        <v>256312.37</v>
      </c>
      <c r="O209" s="97">
        <f t="shared" si="44"/>
        <v>256312.37</v>
      </c>
      <c r="P209" s="97">
        <f t="shared" si="45"/>
        <v>0</v>
      </c>
      <c r="Q209" s="95">
        <f t="shared" si="46"/>
        <v>1371.7547230398716</v>
      </c>
      <c r="R209" s="6">
        <f t="shared" si="33"/>
        <v>1371.7547230398716</v>
      </c>
      <c r="S209" s="5">
        <f t="shared" si="47"/>
        <v>256312.37</v>
      </c>
      <c r="T209" s="135">
        <v>0.43639285714285708</v>
      </c>
      <c r="U209" s="97">
        <f t="shared" si="34"/>
        <v>56441.189870341681</v>
      </c>
      <c r="V209" s="97">
        <f t="shared" si="35"/>
        <v>10562.153961369264</v>
      </c>
      <c r="W209" s="97">
        <f t="shared" si="36"/>
        <v>7389.1596324182665</v>
      </c>
      <c r="X209" s="97">
        <f t="shared" si="37"/>
        <v>3213.7580880804303</v>
      </c>
      <c r="Y209" s="97">
        <f t="shared" si="38"/>
        <v>77606.261552209631</v>
      </c>
      <c r="Z209" s="104">
        <f t="shared" si="39"/>
        <v>0.3027800084413001</v>
      </c>
      <c r="AA209" s="96">
        <f t="shared" si="40"/>
        <v>77606.261552209631</v>
      </c>
      <c r="AB209" s="97"/>
      <c r="AC209" s="96">
        <f>INDEX('[2]2020 Funding'!$S$26:$S$274,MATCH(B209,'[2]2020 Funding'!$B$26:$B$274,0))</f>
        <v>77650.502388528956</v>
      </c>
      <c r="AD209" s="5">
        <f t="shared" si="48"/>
        <v>-44.240836319324444</v>
      </c>
      <c r="AF209" s="18"/>
      <c r="AG209" s="96"/>
    </row>
    <row r="210" spans="2:33" x14ac:dyDescent="0.25">
      <c r="B210">
        <v>637</v>
      </c>
      <c r="C210" s="36">
        <v>8</v>
      </c>
      <c r="D210" s="35" t="s">
        <v>314</v>
      </c>
      <c r="E210" s="154">
        <v>2.2728298744230755</v>
      </c>
      <c r="F210" s="154">
        <f>INDEX('Revised 2018 Lockdown'!H$5:H$253,MATCH(B210,'Revised 2018 Lockdown'!B$5:B$253,0))</f>
        <v>2.2728298744230755</v>
      </c>
      <c r="G210" s="154">
        <f t="shared" si="41"/>
        <v>0</v>
      </c>
      <c r="H210" s="5">
        <v>7158.52</v>
      </c>
      <c r="I210" s="5">
        <f>INDEX('Revised 2018 Lockdown'!E$5:E$253,MATCH(B210,'Revised 2018 Lockdown'!B$5:B$253,0))</f>
        <v>7158.52</v>
      </c>
      <c r="J210" s="5">
        <f t="shared" si="42"/>
        <v>0</v>
      </c>
      <c r="K210" s="5">
        <v>0</v>
      </c>
      <c r="L210" s="5">
        <f>INDEX('Revised 2018 Lockdown'!F$5:F$253,MATCH(B210,'Revised 2018 Lockdown'!B$5:B$253,0))</f>
        <v>0</v>
      </c>
      <c r="M210" s="5">
        <f t="shared" si="43"/>
        <v>0</v>
      </c>
      <c r="N210" s="5">
        <v>7158.52</v>
      </c>
      <c r="O210" s="97">
        <f t="shared" si="44"/>
        <v>7158.52</v>
      </c>
      <c r="P210" s="97">
        <f t="shared" si="45"/>
        <v>0</v>
      </c>
      <c r="Q210" s="95">
        <f t="shared" si="46"/>
        <v>3149.6066118090275</v>
      </c>
      <c r="R210" s="6">
        <f t="shared" si="33"/>
        <v>1731.1011367314745</v>
      </c>
      <c r="S210" s="5">
        <f t="shared" si="47"/>
        <v>3934.4983792110406</v>
      </c>
      <c r="T210" s="135">
        <v>0.19537500000000002</v>
      </c>
      <c r="U210" s="97">
        <f t="shared" si="34"/>
        <v>866.39505563310104</v>
      </c>
      <c r="V210" s="97">
        <f t="shared" si="35"/>
        <v>128.47727621972754</v>
      </c>
      <c r="W210" s="97">
        <f t="shared" si="36"/>
        <v>50.781580198295138</v>
      </c>
      <c r="X210" s="97">
        <f t="shared" si="37"/>
        <v>49.332484377280842</v>
      </c>
      <c r="Y210" s="97">
        <f t="shared" si="38"/>
        <v>1094.9863964284045</v>
      </c>
      <c r="Z210" s="104">
        <f t="shared" si="39"/>
        <v>0.27830393887415328</v>
      </c>
      <c r="AA210" s="96">
        <f t="shared" si="40"/>
        <v>1094.9863964284045</v>
      </c>
      <c r="AB210" s="97"/>
      <c r="AC210" s="96">
        <f>INDEX('[2]2020 Funding'!$S$26:$S$274,MATCH(B210,'[2]2020 Funding'!$B$26:$B$274,0))</f>
        <v>1086.0924021110336</v>
      </c>
      <c r="AD210" s="5">
        <f t="shared" si="48"/>
        <v>8.8939943173709253</v>
      </c>
      <c r="AF210" s="18"/>
      <c r="AG210" s="96"/>
    </row>
    <row r="211" spans="2:33" x14ac:dyDescent="0.25">
      <c r="B211">
        <v>638</v>
      </c>
      <c r="C211" s="28">
        <v>8</v>
      </c>
      <c r="D211" s="35" t="s">
        <v>315</v>
      </c>
      <c r="E211" s="154">
        <v>10.470967105675433</v>
      </c>
      <c r="F211" s="154">
        <f>INDEX('Revised 2018 Lockdown'!H$5:H$253,MATCH(B211,'Revised 2018 Lockdown'!B$5:B$253,0))</f>
        <v>10.470967105675433</v>
      </c>
      <c r="G211" s="154">
        <f t="shared" si="41"/>
        <v>0</v>
      </c>
      <c r="H211" s="5">
        <v>20375.98</v>
      </c>
      <c r="I211" s="5">
        <f>INDEX('Revised 2018 Lockdown'!E$5:E$253,MATCH(B211,'Revised 2018 Lockdown'!B$5:B$253,0))</f>
        <v>20375.98</v>
      </c>
      <c r="J211" s="5">
        <f t="shared" si="42"/>
        <v>0</v>
      </c>
      <c r="K211" s="5">
        <v>0</v>
      </c>
      <c r="L211" s="5">
        <f>INDEX('Revised 2018 Lockdown'!F$5:F$253,MATCH(B211,'Revised 2018 Lockdown'!B$5:B$253,0))</f>
        <v>0</v>
      </c>
      <c r="M211" s="5">
        <f t="shared" si="43"/>
        <v>0</v>
      </c>
      <c r="N211" s="5">
        <v>20375.98</v>
      </c>
      <c r="O211" s="97">
        <f t="shared" si="44"/>
        <v>20375.98</v>
      </c>
      <c r="P211" s="97">
        <f t="shared" si="45"/>
        <v>0</v>
      </c>
      <c r="Q211" s="95">
        <f t="shared" si="46"/>
        <v>1945.9501490512648</v>
      </c>
      <c r="R211" s="6">
        <f t="shared" si="33"/>
        <v>1731.1011367314745</v>
      </c>
      <c r="S211" s="5">
        <f t="shared" si="47"/>
        <v>18126.30305931262</v>
      </c>
      <c r="T211" s="135">
        <v>0.53468749999999998</v>
      </c>
      <c r="U211" s="97">
        <f t="shared" si="34"/>
        <v>3991.4972212149537</v>
      </c>
      <c r="V211" s="97">
        <f t="shared" si="35"/>
        <v>591.89706553158692</v>
      </c>
      <c r="W211" s="97">
        <f t="shared" si="36"/>
        <v>640.26110114051119</v>
      </c>
      <c r="X211" s="97">
        <f t="shared" si="37"/>
        <v>227.27562100831494</v>
      </c>
      <c r="Y211" s="97">
        <f t="shared" si="38"/>
        <v>5450.9310088953671</v>
      </c>
      <c r="Z211" s="104">
        <f t="shared" si="39"/>
        <v>0.30071940158227034</v>
      </c>
      <c r="AA211" s="96">
        <f t="shared" si="40"/>
        <v>5450.9310088953671</v>
      </c>
      <c r="AB211" s="97"/>
      <c r="AC211" s="96">
        <f>INDEX('[2]2020 Funding'!$S$26:$S$274,MATCH(B211,'[2]2020 Funding'!$B$26:$B$274,0))</f>
        <v>5406.2079976761415</v>
      </c>
      <c r="AD211" s="5">
        <f t="shared" si="48"/>
        <v>44.723011219225555</v>
      </c>
      <c r="AF211" s="18"/>
      <c r="AG211" s="96"/>
    </row>
    <row r="212" spans="2:33" x14ac:dyDescent="0.25">
      <c r="B212">
        <v>639</v>
      </c>
      <c r="C212" s="28">
        <v>8</v>
      </c>
      <c r="D212" s="35" t="s">
        <v>316</v>
      </c>
      <c r="E212" s="154">
        <v>21.173204619625494</v>
      </c>
      <c r="F212" s="154">
        <f>INDEX('Revised 2018 Lockdown'!H$5:H$253,MATCH(B212,'Revised 2018 Lockdown'!B$5:B$253,0))</f>
        <v>21.173204619625494</v>
      </c>
      <c r="G212" s="154">
        <f t="shared" si="41"/>
        <v>0</v>
      </c>
      <c r="H212" s="5">
        <v>17243.23</v>
      </c>
      <c r="I212" s="5">
        <f>INDEX('Revised 2018 Lockdown'!E$5:E$253,MATCH(B212,'Revised 2018 Lockdown'!B$5:B$253,0))</f>
        <v>17243.23</v>
      </c>
      <c r="J212" s="5">
        <f t="shared" si="42"/>
        <v>0</v>
      </c>
      <c r="K212" s="5">
        <v>0</v>
      </c>
      <c r="L212" s="5">
        <f>INDEX('Revised 2018 Lockdown'!F$5:F$253,MATCH(B212,'Revised 2018 Lockdown'!B$5:B$253,0))</f>
        <v>0</v>
      </c>
      <c r="M212" s="5">
        <f t="shared" si="43"/>
        <v>0</v>
      </c>
      <c r="N212" s="5">
        <v>17243.23</v>
      </c>
      <c r="O212" s="97">
        <f t="shared" si="44"/>
        <v>17243.23</v>
      </c>
      <c r="P212" s="97">
        <f t="shared" si="45"/>
        <v>0</v>
      </c>
      <c r="Q212" s="95">
        <f t="shared" si="46"/>
        <v>814.3892391243038</v>
      </c>
      <c r="R212" s="6">
        <f t="shared" si="33"/>
        <v>814.3892391243038</v>
      </c>
      <c r="S212" s="5">
        <f t="shared" si="47"/>
        <v>17243.23</v>
      </c>
      <c r="T212" s="135">
        <v>0.67771130952380954</v>
      </c>
      <c r="U212" s="97">
        <f t="shared" si="34"/>
        <v>3797.0403785348785</v>
      </c>
      <c r="V212" s="97">
        <f t="shared" si="35"/>
        <v>1196.8672574153568</v>
      </c>
      <c r="W212" s="97">
        <f t="shared" si="36"/>
        <v>771.98916217549606</v>
      </c>
      <c r="X212" s="97">
        <f t="shared" si="37"/>
        <v>216.20325962859741</v>
      </c>
      <c r="Y212" s="97">
        <f t="shared" si="38"/>
        <v>5982.1000577543282</v>
      </c>
      <c r="Z212" s="104">
        <f t="shared" si="39"/>
        <v>0.34692456446700115</v>
      </c>
      <c r="AA212" s="96">
        <f t="shared" si="40"/>
        <v>5982.1000577543282</v>
      </c>
      <c r="AB212" s="97"/>
      <c r="AC212" s="96">
        <f>INDEX('[2]2020 Funding'!$S$26:$S$274,MATCH(B212,'[2]2020 Funding'!$B$26:$B$274,0))</f>
        <v>5985.1238115189308</v>
      </c>
      <c r="AD212" s="5">
        <f t="shared" si="48"/>
        <v>-3.0237537646025885</v>
      </c>
      <c r="AF212" s="18"/>
      <c r="AG212" s="96"/>
    </row>
    <row r="213" spans="2:33" x14ac:dyDescent="0.25">
      <c r="B213">
        <v>709</v>
      </c>
      <c r="C213" s="28">
        <v>8</v>
      </c>
      <c r="D213" s="35" t="s">
        <v>240</v>
      </c>
      <c r="E213" s="154">
        <v>74.93628755379919</v>
      </c>
      <c r="F213" s="154">
        <f>INDEX('Revised 2018 Lockdown'!H$5:H$253,MATCH(B213,'Revised 2018 Lockdown'!B$5:B$253,0))</f>
        <v>74.93628755379919</v>
      </c>
      <c r="G213" s="154">
        <f t="shared" si="41"/>
        <v>0</v>
      </c>
      <c r="H213" s="5">
        <v>45634.17</v>
      </c>
      <c r="I213" s="5">
        <f>INDEX('Revised 2018 Lockdown'!E$5:E$253,MATCH(B213,'Revised 2018 Lockdown'!B$5:B$253,0))</f>
        <v>45634.17</v>
      </c>
      <c r="J213" s="5">
        <f t="shared" si="42"/>
        <v>0</v>
      </c>
      <c r="K213" s="5">
        <v>0</v>
      </c>
      <c r="L213" s="5">
        <f>INDEX('Revised 2018 Lockdown'!F$5:F$253,MATCH(B213,'Revised 2018 Lockdown'!B$5:B$253,0))</f>
        <v>0</v>
      </c>
      <c r="M213" s="5">
        <f t="shared" si="43"/>
        <v>0</v>
      </c>
      <c r="N213" s="5">
        <v>45634.17</v>
      </c>
      <c r="O213" s="97">
        <f t="shared" si="44"/>
        <v>45634.17</v>
      </c>
      <c r="P213" s="97">
        <f t="shared" si="45"/>
        <v>0</v>
      </c>
      <c r="Q213" s="95">
        <f t="shared" si="46"/>
        <v>608.97292206046029</v>
      </c>
      <c r="R213" s="6">
        <f t="shared" si="33"/>
        <v>608.97292206046029</v>
      </c>
      <c r="S213" s="5">
        <f t="shared" si="47"/>
        <v>45634.169999999991</v>
      </c>
      <c r="T213" s="135">
        <v>0.40323214285714287</v>
      </c>
      <c r="U213" s="97">
        <f t="shared" si="34"/>
        <v>10048.85895107384</v>
      </c>
      <c r="V213" s="97">
        <f t="shared" si="35"/>
        <v>4235.9572193559879</v>
      </c>
      <c r="W213" s="97">
        <f t="shared" si="36"/>
        <v>1215.6068784332056</v>
      </c>
      <c r="X213" s="97">
        <f t="shared" si="37"/>
        <v>572.18144770124559</v>
      </c>
      <c r="Y213" s="97">
        <f t="shared" si="38"/>
        <v>16072.60449656428</v>
      </c>
      <c r="Z213" s="104">
        <f t="shared" si="39"/>
        <v>0.35220547446276074</v>
      </c>
      <c r="AA213" s="96">
        <f t="shared" si="40"/>
        <v>16072.60449656428</v>
      </c>
      <c r="AB213" s="97"/>
      <c r="AC213" s="96">
        <f>INDEX('[2]2020 Funding'!$S$26:$S$274,MATCH(B213,'[2]2020 Funding'!$B$26:$B$274,0))</f>
        <v>16079.785600522575</v>
      </c>
      <c r="AD213" s="5">
        <f t="shared" si="48"/>
        <v>-7.1811039582953526</v>
      </c>
      <c r="AF213" s="18"/>
      <c r="AG213" s="96"/>
    </row>
    <row r="214" spans="2:33" x14ac:dyDescent="0.25">
      <c r="B214">
        <v>714</v>
      </c>
      <c r="C214" s="28">
        <v>8</v>
      </c>
      <c r="D214" s="35" t="s">
        <v>241</v>
      </c>
      <c r="E214" s="154">
        <v>57.802840339332469</v>
      </c>
      <c r="F214" s="154">
        <f>INDEX('Revised 2018 Lockdown'!H$5:H$253,MATCH(B214,'Revised 2018 Lockdown'!B$5:B$253,0))</f>
        <v>57.802840339332469</v>
      </c>
      <c r="G214" s="154">
        <f t="shared" si="41"/>
        <v>0</v>
      </c>
      <c r="H214" s="5">
        <v>49120.9</v>
      </c>
      <c r="I214" s="5">
        <f>INDEX('Revised 2018 Lockdown'!E$5:E$253,MATCH(B214,'Revised 2018 Lockdown'!B$5:B$253,0))</f>
        <v>49120.9</v>
      </c>
      <c r="J214" s="5">
        <f t="shared" si="42"/>
        <v>0</v>
      </c>
      <c r="K214" s="5">
        <v>0</v>
      </c>
      <c r="L214" s="5">
        <f>INDEX('Revised 2018 Lockdown'!F$5:F$253,MATCH(B214,'Revised 2018 Lockdown'!B$5:B$253,0))</f>
        <v>0</v>
      </c>
      <c r="M214" s="5">
        <f t="shared" si="43"/>
        <v>0</v>
      </c>
      <c r="N214" s="5">
        <v>49120.9</v>
      </c>
      <c r="O214" s="97">
        <f t="shared" si="44"/>
        <v>49120.9</v>
      </c>
      <c r="P214" s="97">
        <f t="shared" si="45"/>
        <v>0</v>
      </c>
      <c r="Q214" s="95">
        <f t="shared" si="46"/>
        <v>849.80080064638685</v>
      </c>
      <c r="R214" s="6">
        <f t="shared" si="33"/>
        <v>849.80080064638685</v>
      </c>
      <c r="S214" s="5">
        <f t="shared" si="47"/>
        <v>49120.9</v>
      </c>
      <c r="T214" s="135">
        <v>0.39608630952380952</v>
      </c>
      <c r="U214" s="97">
        <f t="shared" si="34"/>
        <v>10816.653302772969</v>
      </c>
      <c r="V214" s="97">
        <f t="shared" si="35"/>
        <v>3267.4471451350041</v>
      </c>
      <c r="W214" s="97">
        <f t="shared" si="36"/>
        <v>1285.2984864281611</v>
      </c>
      <c r="X214" s="97">
        <f t="shared" si="37"/>
        <v>615.89961369710727</v>
      </c>
      <c r="Y214" s="97">
        <f t="shared" si="38"/>
        <v>15985.298548033241</v>
      </c>
      <c r="Z214" s="104">
        <f t="shared" si="39"/>
        <v>0.32542763972226163</v>
      </c>
      <c r="AA214" s="96">
        <f t="shared" si="40"/>
        <v>15985.298548033241</v>
      </c>
      <c r="AB214" s="97"/>
      <c r="AC214" s="96">
        <f>INDEX('[2]2020 Funding'!$S$26:$S$274,MATCH(B214,'[2]2020 Funding'!$B$26:$B$274,0))</f>
        <v>15993.359465207373</v>
      </c>
      <c r="AD214" s="5">
        <f t="shared" si="48"/>
        <v>-8.0609171741325554</v>
      </c>
      <c r="AF214" s="18"/>
      <c r="AG214" s="96"/>
    </row>
    <row r="215" spans="2:33" x14ac:dyDescent="0.25">
      <c r="B215">
        <v>749</v>
      </c>
      <c r="C215" s="28">
        <v>8</v>
      </c>
      <c r="D215" s="35" t="s">
        <v>242</v>
      </c>
      <c r="E215" s="154">
        <v>22.43579824715432</v>
      </c>
      <c r="F215" s="154">
        <f>INDEX('Revised 2018 Lockdown'!H$5:H$253,MATCH(B215,'Revised 2018 Lockdown'!B$5:B$253,0))</f>
        <v>22.43579824715432</v>
      </c>
      <c r="G215" s="154">
        <f t="shared" si="41"/>
        <v>0</v>
      </c>
      <c r="H215" s="5">
        <v>4850.01</v>
      </c>
      <c r="I215" s="5">
        <f>INDEX('Revised 2018 Lockdown'!E$5:E$253,MATCH(B215,'Revised 2018 Lockdown'!B$5:B$253,0))</f>
        <v>4850.01</v>
      </c>
      <c r="J215" s="5">
        <f t="shared" si="42"/>
        <v>0</v>
      </c>
      <c r="K215" s="5">
        <v>0</v>
      </c>
      <c r="L215" s="5">
        <f>INDEX('Revised 2018 Lockdown'!F$5:F$253,MATCH(B215,'Revised 2018 Lockdown'!B$5:B$253,0))</f>
        <v>0</v>
      </c>
      <c r="M215" s="5">
        <f t="shared" si="43"/>
        <v>0</v>
      </c>
      <c r="N215" s="5">
        <v>4850.01</v>
      </c>
      <c r="O215" s="97">
        <f t="shared" si="44"/>
        <v>4850.01</v>
      </c>
      <c r="P215" s="97">
        <f t="shared" si="45"/>
        <v>0</v>
      </c>
      <c r="Q215" s="95">
        <f t="shared" si="46"/>
        <v>216.1728299823323</v>
      </c>
      <c r="R215" s="6">
        <f t="shared" si="33"/>
        <v>216.1728299823323</v>
      </c>
      <c r="S215" s="5">
        <f t="shared" si="47"/>
        <v>4850.01</v>
      </c>
      <c r="T215" s="135">
        <v>0.33324404761904758</v>
      </c>
      <c r="U215" s="97">
        <f t="shared" si="34"/>
        <v>1067.9950221796003</v>
      </c>
      <c r="V215" s="97">
        <f t="shared" si="35"/>
        <v>1268.2384550851625</v>
      </c>
      <c r="W215" s="97">
        <f t="shared" si="36"/>
        <v>106.77089520843735</v>
      </c>
      <c r="X215" s="97">
        <f t="shared" si="37"/>
        <v>60.811574816974193</v>
      </c>
      <c r="Y215" s="97">
        <f t="shared" si="38"/>
        <v>2503.8159472901743</v>
      </c>
      <c r="Z215" s="104">
        <f t="shared" si="39"/>
        <v>0.51624964634921866</v>
      </c>
      <c r="AA215" s="96">
        <f t="shared" si="40"/>
        <v>2503.8159472901743</v>
      </c>
      <c r="AB215" s="97"/>
      <c r="AC215" s="96">
        <f>INDEX('[2]2020 Funding'!$S$26:$S$274,MATCH(B215,'[2]2020 Funding'!$B$26:$B$274,0))</f>
        <v>2504.3455315618921</v>
      </c>
      <c r="AD215" s="5">
        <f t="shared" si="48"/>
        <v>-0.52958427171779476</v>
      </c>
      <c r="AF215" s="18"/>
      <c r="AG215" s="96"/>
    </row>
    <row r="216" spans="2:33" x14ac:dyDescent="0.25">
      <c r="B216">
        <v>764</v>
      </c>
      <c r="C216" s="28">
        <v>8</v>
      </c>
      <c r="D216" s="35" t="s">
        <v>243</v>
      </c>
      <c r="E216" s="154">
        <v>34.6</v>
      </c>
      <c r="F216" s="154">
        <f>INDEX('Revised 2018 Lockdown'!H$5:H$253,MATCH(B216,'Revised 2018 Lockdown'!B$5:B$253,0))</f>
        <v>34.6</v>
      </c>
      <c r="G216" s="154">
        <f t="shared" si="41"/>
        <v>0</v>
      </c>
      <c r="H216" s="5">
        <v>12986.28</v>
      </c>
      <c r="I216" s="5">
        <f>INDEX('Revised 2018 Lockdown'!E$5:E$253,MATCH(B216,'Revised 2018 Lockdown'!B$5:B$253,0))</f>
        <v>12986.28</v>
      </c>
      <c r="J216" s="5">
        <f t="shared" si="42"/>
        <v>0</v>
      </c>
      <c r="K216" s="5">
        <v>0</v>
      </c>
      <c r="L216" s="5">
        <f>INDEX('Revised 2018 Lockdown'!F$5:F$253,MATCH(B216,'Revised 2018 Lockdown'!B$5:B$253,0))</f>
        <v>0</v>
      </c>
      <c r="M216" s="5">
        <f t="shared" si="43"/>
        <v>0</v>
      </c>
      <c r="N216" s="5">
        <v>12986.28</v>
      </c>
      <c r="O216" s="97">
        <f t="shared" si="44"/>
        <v>12986.28</v>
      </c>
      <c r="P216" s="97">
        <f t="shared" si="45"/>
        <v>0</v>
      </c>
      <c r="Q216" s="95">
        <f t="shared" si="46"/>
        <v>375.32601156069364</v>
      </c>
      <c r="R216" s="6">
        <f t="shared" si="33"/>
        <v>375.32601156069364</v>
      </c>
      <c r="S216" s="5">
        <f t="shared" si="47"/>
        <v>12986.28</v>
      </c>
      <c r="T216" s="135">
        <v>0.24982738095238097</v>
      </c>
      <c r="U216" s="97">
        <f t="shared" si="34"/>
        <v>2859.6399588104969</v>
      </c>
      <c r="V216" s="97">
        <f t="shared" si="35"/>
        <v>1955.8497568283465</v>
      </c>
      <c r="W216" s="97">
        <f t="shared" si="36"/>
        <v>214.32490841292028</v>
      </c>
      <c r="X216" s="97">
        <f t="shared" si="37"/>
        <v>162.82773392512087</v>
      </c>
      <c r="Y216" s="97">
        <f t="shared" si="38"/>
        <v>5192.6423579768843</v>
      </c>
      <c r="Z216" s="104">
        <f t="shared" si="39"/>
        <v>0.39985602943852161</v>
      </c>
      <c r="AA216" s="96">
        <f t="shared" si="40"/>
        <v>5192.6423579768843</v>
      </c>
      <c r="AB216" s="97"/>
      <c r="AC216" s="96">
        <f>INDEX('[2]2020 Funding'!$S$26:$S$274,MATCH(B216,'[2]2020 Funding'!$B$26:$B$274,0))</f>
        <v>5194.3998034750048</v>
      </c>
      <c r="AD216" s="5">
        <f t="shared" si="48"/>
        <v>-1.7574454981204326</v>
      </c>
      <c r="AF216" s="18"/>
      <c r="AG216" s="96"/>
    </row>
    <row r="217" spans="2:33" x14ac:dyDescent="0.25">
      <c r="B217">
        <v>775</v>
      </c>
      <c r="C217" s="28">
        <v>8</v>
      </c>
      <c r="D217" s="35" t="s">
        <v>244</v>
      </c>
      <c r="E217" s="154">
        <v>125.81110210139802</v>
      </c>
      <c r="F217" s="154">
        <f>INDEX('Revised 2018 Lockdown'!H$5:H$253,MATCH(B217,'Revised 2018 Lockdown'!B$5:B$253,0))</f>
        <v>125.81110210139802</v>
      </c>
      <c r="G217" s="154">
        <f t="shared" si="41"/>
        <v>0</v>
      </c>
      <c r="H217" s="5">
        <v>62319.01</v>
      </c>
      <c r="I217" s="5">
        <f>INDEX('Revised 2018 Lockdown'!E$5:E$253,MATCH(B217,'Revised 2018 Lockdown'!B$5:B$253,0))</f>
        <v>62319.01</v>
      </c>
      <c r="J217" s="5">
        <f t="shared" si="42"/>
        <v>0</v>
      </c>
      <c r="K217" s="5">
        <v>0</v>
      </c>
      <c r="L217" s="5">
        <f>INDEX('Revised 2018 Lockdown'!F$5:F$253,MATCH(B217,'Revised 2018 Lockdown'!B$5:B$253,0))</f>
        <v>0</v>
      </c>
      <c r="M217" s="5">
        <f t="shared" si="43"/>
        <v>0</v>
      </c>
      <c r="N217" s="5">
        <v>62319.01</v>
      </c>
      <c r="O217" s="97">
        <f t="shared" si="44"/>
        <v>62319.01</v>
      </c>
      <c r="P217" s="97">
        <f t="shared" si="45"/>
        <v>0</v>
      </c>
      <c r="Q217" s="95">
        <f t="shared" si="46"/>
        <v>495.33792295829119</v>
      </c>
      <c r="R217" s="6">
        <f t="shared" si="33"/>
        <v>495.33792295829119</v>
      </c>
      <c r="S217" s="5">
        <f t="shared" si="47"/>
        <v>62319.01</v>
      </c>
      <c r="T217" s="135">
        <v>0.68297321428571423</v>
      </c>
      <c r="U217" s="97">
        <f t="shared" si="34"/>
        <v>13722.939224282161</v>
      </c>
      <c r="V217" s="97">
        <f t="shared" si="35"/>
        <v>7111.7807355874438</v>
      </c>
      <c r="W217" s="97">
        <f t="shared" si="36"/>
        <v>2811.7199734366477</v>
      </c>
      <c r="X217" s="97">
        <f t="shared" si="37"/>
        <v>781.38336604146434</v>
      </c>
      <c r="Y217" s="97">
        <f t="shared" si="38"/>
        <v>24427.823299347718</v>
      </c>
      <c r="Z217" s="104">
        <f t="shared" si="39"/>
        <v>0.39198028497801418</v>
      </c>
      <c r="AA217" s="96">
        <f t="shared" si="40"/>
        <v>24427.823299347718</v>
      </c>
      <c r="AB217" s="97"/>
      <c r="AC217" s="96">
        <f>INDEX('[2]2020 Funding'!$S$26:$S$274,MATCH(B217,'[2]2020 Funding'!$B$26:$B$274,0))</f>
        <v>24438.019180061958</v>
      </c>
      <c r="AD217" s="5">
        <f t="shared" si="48"/>
        <v>-10.195880714240047</v>
      </c>
      <c r="AF217" s="18"/>
      <c r="AG217" s="96"/>
    </row>
    <row r="218" spans="2:33" x14ac:dyDescent="0.25">
      <c r="B218">
        <v>790</v>
      </c>
      <c r="C218" s="28">
        <v>8</v>
      </c>
      <c r="D218" s="35" t="s">
        <v>245</v>
      </c>
      <c r="E218" s="154">
        <v>21.43637439455869</v>
      </c>
      <c r="F218" s="154">
        <f>INDEX('Revised 2018 Lockdown'!H$5:H$253,MATCH(B218,'Revised 2018 Lockdown'!B$5:B$253,0))</f>
        <v>21.43637439455869</v>
      </c>
      <c r="G218" s="154">
        <f t="shared" si="41"/>
        <v>0</v>
      </c>
      <c r="H218" s="5">
        <v>7906.08</v>
      </c>
      <c r="I218" s="5">
        <f>INDEX('Revised 2018 Lockdown'!E$5:E$253,MATCH(B218,'Revised 2018 Lockdown'!B$5:B$253,0))</f>
        <v>7906.08</v>
      </c>
      <c r="J218" s="5">
        <f t="shared" si="42"/>
        <v>0</v>
      </c>
      <c r="K218" s="5">
        <v>0</v>
      </c>
      <c r="L218" s="5">
        <f>INDEX('Revised 2018 Lockdown'!F$5:F$253,MATCH(B218,'Revised 2018 Lockdown'!B$5:B$253,0))</f>
        <v>0</v>
      </c>
      <c r="M218" s="5">
        <f t="shared" si="43"/>
        <v>0</v>
      </c>
      <c r="N218" s="5">
        <v>7906.08</v>
      </c>
      <c r="O218" s="97">
        <f t="shared" si="44"/>
        <v>7906.08</v>
      </c>
      <c r="P218" s="97">
        <f t="shared" si="45"/>
        <v>0</v>
      </c>
      <c r="Q218" s="95">
        <f t="shared" si="46"/>
        <v>368.81609989079323</v>
      </c>
      <c r="R218" s="6">
        <f t="shared" ref="R218:R266" si="49">MIN(Q218,INDEX($V$3:$V$11,MATCH(C218,$S$3:$S$11,0)))</f>
        <v>368.81609989079323</v>
      </c>
      <c r="S218" s="5">
        <f t="shared" si="47"/>
        <v>7906.08</v>
      </c>
      <c r="T218" s="135">
        <v>0.24982738095238097</v>
      </c>
      <c r="U218" s="97">
        <f t="shared" ref="U218:U266" si="50">$E$14*(S218/$S$24)</f>
        <v>1740.9560155450592</v>
      </c>
      <c r="V218" s="97">
        <f t="shared" ref="V218:V266" si="51">$E$15*(F218/$F$24)</f>
        <v>1211.7435736092198</v>
      </c>
      <c r="W218" s="97">
        <f t="shared" ref="W218:W266" si="52">IFERROR(T218*$E$16*(S218/$S$24),0)</f>
        <v>130.48154451507443</v>
      </c>
      <c r="X218" s="97">
        <f t="shared" ref="X218:X266" si="53">($W$23+$E$9)*(S218/$S$24)</f>
        <v>99.129934872089592</v>
      </c>
      <c r="Y218" s="97">
        <f t="shared" ref="Y218:Y266" si="54">U218+V218+W218+X218</f>
        <v>3182.3110685414431</v>
      </c>
      <c r="Z218" s="104">
        <f t="shared" ref="Z218:Z266" si="55">IFERROR((Y218/S218),0)</f>
        <v>0.40251440265484834</v>
      </c>
      <c r="AA218" s="96">
        <f t="shared" ref="AA218:AA266" si="56">IF(Z218&gt;$Z$19,$Z$19*S218,Y218+($Z$23*Y218/$Z$22))</f>
        <v>3182.3110685414431</v>
      </c>
      <c r="AB218" s="97"/>
      <c r="AC218" s="96">
        <f>INDEX('[2]2020 Funding'!$S$26:$S$274,MATCH(B218,'[2]2020 Funding'!$B$26:$B$274,0))</f>
        <v>3183.3753759634837</v>
      </c>
      <c r="AD218" s="5">
        <f t="shared" si="48"/>
        <v>-1.0643074220406561</v>
      </c>
      <c r="AF218" s="18"/>
      <c r="AG218" s="96"/>
    </row>
    <row r="219" spans="2:33" x14ac:dyDescent="0.25">
      <c r="B219">
        <v>795</v>
      </c>
      <c r="C219" s="28">
        <v>8</v>
      </c>
      <c r="D219" s="35" t="s">
        <v>317</v>
      </c>
      <c r="E219" s="154">
        <v>330.20629396618199</v>
      </c>
      <c r="F219" s="154">
        <f>INDEX('Revised 2018 Lockdown'!H$5:H$253,MATCH(B219,'Revised 2018 Lockdown'!B$5:B$253,0))</f>
        <v>330.20629396618199</v>
      </c>
      <c r="G219" s="154">
        <f t="shared" ref="G219:G266" si="57">E219-F219</f>
        <v>0</v>
      </c>
      <c r="H219" s="5">
        <v>328034.84000000003</v>
      </c>
      <c r="I219" s="5">
        <f>INDEX('Revised 2018 Lockdown'!E$5:E$253,MATCH(B219,'Revised 2018 Lockdown'!B$5:B$253,0))</f>
        <v>328034.84000000003</v>
      </c>
      <c r="J219" s="5">
        <f t="shared" ref="J219:J266" si="58">H219-I219</f>
        <v>0</v>
      </c>
      <c r="K219" s="5">
        <v>121984.66</v>
      </c>
      <c r="L219" s="5">
        <f>INDEX('Revised 2018 Lockdown'!F$5:F$253,MATCH(B219,'Revised 2018 Lockdown'!B$5:B$253,0))</f>
        <v>121984.66</v>
      </c>
      <c r="M219" s="5">
        <f t="shared" ref="M219:M266" si="59">K219-L219</f>
        <v>0</v>
      </c>
      <c r="N219" s="5">
        <v>206050.18000000002</v>
      </c>
      <c r="O219" s="97">
        <f t="shared" ref="O219:O266" si="60">I219-L219</f>
        <v>206050.18000000002</v>
      </c>
      <c r="P219" s="97">
        <f t="shared" ref="P219:P266" si="61">N219-O219</f>
        <v>0</v>
      </c>
      <c r="Q219" s="95">
        <f t="shared" ref="Q219:Q266" si="62">IFERROR(O219/F219,"n.a.")</f>
        <v>624.00439896249407</v>
      </c>
      <c r="R219" s="6">
        <f t="shared" si="49"/>
        <v>624.00439896249407</v>
      </c>
      <c r="S219" s="5">
        <f t="shared" ref="S219:S274" si="63">F219*R219</f>
        <v>206050.18000000002</v>
      </c>
      <c r="T219" s="135">
        <v>0.68104464285714283</v>
      </c>
      <c r="U219" s="97">
        <f t="shared" si="50"/>
        <v>45373.219139591594</v>
      </c>
      <c r="V219" s="97">
        <f t="shared" si="51"/>
        <v>18665.719646154525</v>
      </c>
      <c r="W219" s="97">
        <f t="shared" si="52"/>
        <v>9270.3563472606093</v>
      </c>
      <c r="X219" s="97">
        <f t="shared" si="53"/>
        <v>2583.5484745641761</v>
      </c>
      <c r="Y219" s="97">
        <f t="shared" si="54"/>
        <v>75892.843607570903</v>
      </c>
      <c r="Z219" s="104">
        <f t="shared" si="55"/>
        <v>0.36832214175969608</v>
      </c>
      <c r="AA219" s="96">
        <f t="shared" si="56"/>
        <v>75892.843607570903</v>
      </c>
      <c r="AB219" s="97"/>
      <c r="AC219" s="96">
        <f>INDEX('[2]2020 Funding'!$S$26:$S$274,MATCH(B219,'[2]2020 Funding'!$B$26:$B$274,0))</f>
        <v>75927.836817350573</v>
      </c>
      <c r="AD219" s="5">
        <f t="shared" ref="AD219:AD266" si="64">AA219-AC219</f>
        <v>-34.993209779669996</v>
      </c>
      <c r="AF219" s="18"/>
      <c r="AG219" s="96"/>
    </row>
    <row r="220" spans="2:33" x14ac:dyDescent="0.25">
      <c r="B220">
        <v>796</v>
      </c>
      <c r="C220" s="28">
        <v>8</v>
      </c>
      <c r="D220" s="35" t="s">
        <v>246</v>
      </c>
      <c r="E220" s="154">
        <v>23.924524993927111</v>
      </c>
      <c r="F220" s="154">
        <f>INDEX('Revised 2018 Lockdown'!H$5:H$253,MATCH(B220,'Revised 2018 Lockdown'!B$5:B$253,0))</f>
        <v>23.924524993927111</v>
      </c>
      <c r="G220" s="154">
        <f t="shared" si="57"/>
        <v>0</v>
      </c>
      <c r="H220" s="5">
        <v>19423.14</v>
      </c>
      <c r="I220" s="5">
        <f>INDEX('Revised 2018 Lockdown'!E$5:E$253,MATCH(B220,'Revised 2018 Lockdown'!B$5:B$253,0))</f>
        <v>19423.14</v>
      </c>
      <c r="J220" s="5">
        <f t="shared" si="58"/>
        <v>0</v>
      </c>
      <c r="K220" s="5">
        <v>0</v>
      </c>
      <c r="L220" s="5">
        <f>INDEX('Revised 2018 Lockdown'!F$5:F$253,MATCH(B220,'Revised 2018 Lockdown'!B$5:B$253,0))</f>
        <v>0</v>
      </c>
      <c r="M220" s="5">
        <f t="shared" si="59"/>
        <v>0</v>
      </c>
      <c r="N220" s="5">
        <v>19423.14</v>
      </c>
      <c r="O220" s="97">
        <f t="shared" si="60"/>
        <v>19423.14</v>
      </c>
      <c r="P220" s="97">
        <f t="shared" si="61"/>
        <v>0</v>
      </c>
      <c r="Q220" s="95">
        <f t="shared" si="62"/>
        <v>811.85060121069398</v>
      </c>
      <c r="R220" s="6">
        <f t="shared" si="49"/>
        <v>811.85060121069398</v>
      </c>
      <c r="S220" s="5">
        <f t="shared" si="63"/>
        <v>19423.14</v>
      </c>
      <c r="T220" s="135">
        <v>0.30553571428571424</v>
      </c>
      <c r="U220" s="97">
        <f t="shared" si="50"/>
        <v>4277.0668174081047</v>
      </c>
      <c r="V220" s="97">
        <f t="shared" si="51"/>
        <v>1352.39238126029</v>
      </c>
      <c r="W220" s="97">
        <f t="shared" si="52"/>
        <v>392.03899953135351</v>
      </c>
      <c r="X220" s="97">
        <f t="shared" si="53"/>
        <v>243.53593730540021</v>
      </c>
      <c r="Y220" s="97">
        <f t="shared" si="54"/>
        <v>6265.0341355051478</v>
      </c>
      <c r="Z220" s="104">
        <f t="shared" si="55"/>
        <v>0.32255516541121304</v>
      </c>
      <c r="AA220" s="96">
        <f t="shared" si="56"/>
        <v>6265.0341355051478</v>
      </c>
      <c r="AB220" s="97"/>
      <c r="AC220" s="96">
        <f>INDEX('[2]2020 Funding'!$S$26:$S$274,MATCH(B220,'[2]2020 Funding'!$B$26:$B$274,0))</f>
        <v>6268.1302363207024</v>
      </c>
      <c r="AD220" s="5">
        <f t="shared" si="64"/>
        <v>-3.0961008155545642</v>
      </c>
      <c r="AF220" s="18"/>
      <c r="AG220" s="96"/>
    </row>
    <row r="221" spans="2:33" x14ac:dyDescent="0.25">
      <c r="B221">
        <v>797</v>
      </c>
      <c r="C221" s="28">
        <v>8</v>
      </c>
      <c r="D221" s="35" t="s">
        <v>247</v>
      </c>
      <c r="E221" s="154">
        <v>27.819307714015707</v>
      </c>
      <c r="F221" s="154">
        <f>INDEX('Revised 2018 Lockdown'!H$5:H$253,MATCH(B221,'Revised 2018 Lockdown'!B$5:B$253,0))</f>
        <v>27.819307714015707</v>
      </c>
      <c r="G221" s="154">
        <f t="shared" si="57"/>
        <v>0</v>
      </c>
      <c r="H221" s="5">
        <v>39509.410000000003</v>
      </c>
      <c r="I221" s="5">
        <f>INDEX('Revised 2018 Lockdown'!E$5:E$253,MATCH(B221,'Revised 2018 Lockdown'!B$5:B$253,0))</f>
        <v>39509.410000000003</v>
      </c>
      <c r="J221" s="5">
        <f t="shared" si="58"/>
        <v>0</v>
      </c>
      <c r="K221" s="5">
        <v>1800</v>
      </c>
      <c r="L221" s="5">
        <f>INDEX('Revised 2018 Lockdown'!F$5:F$253,MATCH(B221,'Revised 2018 Lockdown'!B$5:B$253,0))</f>
        <v>1800</v>
      </c>
      <c r="M221" s="5">
        <f t="shared" si="59"/>
        <v>0</v>
      </c>
      <c r="N221" s="5">
        <v>37709.410000000003</v>
      </c>
      <c r="O221" s="97">
        <f t="shared" si="60"/>
        <v>37709.410000000003</v>
      </c>
      <c r="P221" s="97">
        <f t="shared" si="61"/>
        <v>0</v>
      </c>
      <c r="Q221" s="95">
        <f t="shared" si="62"/>
        <v>1355.5121639853583</v>
      </c>
      <c r="R221" s="6">
        <f t="shared" si="49"/>
        <v>1355.5121639853583</v>
      </c>
      <c r="S221" s="5">
        <f t="shared" si="63"/>
        <v>37709.410000000003</v>
      </c>
      <c r="T221" s="135">
        <v>0.13926785714285714</v>
      </c>
      <c r="U221" s="97">
        <f t="shared" si="50"/>
        <v>8303.789511635985</v>
      </c>
      <c r="V221" s="97">
        <f t="shared" si="51"/>
        <v>1572.5545152482821</v>
      </c>
      <c r="W221" s="97">
        <f t="shared" si="52"/>
        <v>346.93529143526268</v>
      </c>
      <c r="X221" s="97">
        <f t="shared" si="53"/>
        <v>472.81729471051705</v>
      </c>
      <c r="Y221" s="97">
        <f t="shared" si="54"/>
        <v>10696.096613030048</v>
      </c>
      <c r="Z221" s="104">
        <f t="shared" si="55"/>
        <v>0.28364529206450184</v>
      </c>
      <c r="AA221" s="96">
        <f t="shared" si="56"/>
        <v>10696.096613030048</v>
      </c>
      <c r="AB221" s="97"/>
      <c r="AC221" s="96">
        <f>INDEX('[2]2020 Funding'!$S$26:$S$274,MATCH(B221,'[2]2020 Funding'!$B$26:$B$274,0))</f>
        <v>10702.121850015819</v>
      </c>
      <c r="AD221" s="5">
        <f t="shared" si="64"/>
        <v>-6.0252369857716985</v>
      </c>
      <c r="AF221" s="18"/>
      <c r="AG221" s="96"/>
    </row>
    <row r="222" spans="2:33" x14ac:dyDescent="0.25">
      <c r="B222">
        <v>801</v>
      </c>
      <c r="C222" s="28">
        <v>8</v>
      </c>
      <c r="D222" s="35" t="s">
        <v>248</v>
      </c>
      <c r="E222" s="154">
        <v>143.33481235470978</v>
      </c>
      <c r="F222" s="154">
        <f>INDEX('Revised 2018 Lockdown'!H$5:H$253,MATCH(B222,'Revised 2018 Lockdown'!B$5:B$253,0))</f>
        <v>143.33481235470978</v>
      </c>
      <c r="G222" s="154">
        <f t="shared" si="57"/>
        <v>0</v>
      </c>
      <c r="H222" s="5">
        <v>102578.78</v>
      </c>
      <c r="I222" s="5">
        <f>INDEX('Revised 2018 Lockdown'!E$5:E$253,MATCH(B222,'Revised 2018 Lockdown'!B$5:B$253,0))</f>
        <v>102578.78</v>
      </c>
      <c r="J222" s="5">
        <f t="shared" si="58"/>
        <v>0</v>
      </c>
      <c r="K222" s="5">
        <v>0</v>
      </c>
      <c r="L222" s="5">
        <f>INDEX('Revised 2018 Lockdown'!F$5:F$253,MATCH(B222,'Revised 2018 Lockdown'!B$5:B$253,0))</f>
        <v>0</v>
      </c>
      <c r="M222" s="5">
        <f t="shared" si="59"/>
        <v>0</v>
      </c>
      <c r="N222" s="5">
        <v>102578.78</v>
      </c>
      <c r="O222" s="97">
        <f t="shared" si="60"/>
        <v>102578.78</v>
      </c>
      <c r="P222" s="97">
        <f t="shared" si="61"/>
        <v>0</v>
      </c>
      <c r="Q222" s="95">
        <f t="shared" si="62"/>
        <v>715.65852227265577</v>
      </c>
      <c r="R222" s="6">
        <f t="shared" si="49"/>
        <v>715.65852227265577</v>
      </c>
      <c r="S222" s="5">
        <f t="shared" si="63"/>
        <v>102578.78000000001</v>
      </c>
      <c r="T222" s="135">
        <v>0.62729464285714287</v>
      </c>
      <c r="U222" s="97">
        <f t="shared" si="50"/>
        <v>22588.330007826033</v>
      </c>
      <c r="V222" s="97">
        <f t="shared" si="51"/>
        <v>8102.351384075022</v>
      </c>
      <c r="W222" s="97">
        <f t="shared" si="52"/>
        <v>4250.8615214995534</v>
      </c>
      <c r="X222" s="97">
        <f t="shared" si="53"/>
        <v>1286.178204705544</v>
      </c>
      <c r="Y222" s="97">
        <f t="shared" si="54"/>
        <v>36227.72111810615</v>
      </c>
      <c r="Z222" s="104">
        <f t="shared" si="55"/>
        <v>0.35316974054581413</v>
      </c>
      <c r="AA222" s="96">
        <f t="shared" si="56"/>
        <v>36227.72111810615</v>
      </c>
      <c r="AB222" s="97"/>
      <c r="AC222" s="96">
        <f>INDEX('[2]2020 Funding'!$S$26:$S$274,MATCH(B222,'[2]2020 Funding'!$B$26:$B$274,0))</f>
        <v>36245.225186020311</v>
      </c>
      <c r="AD222" s="5">
        <f t="shared" si="64"/>
        <v>-17.50406791416026</v>
      </c>
      <c r="AF222" s="18"/>
      <c r="AG222" s="96"/>
    </row>
    <row r="223" spans="2:33" x14ac:dyDescent="0.25">
      <c r="B223">
        <v>810</v>
      </c>
      <c r="C223" s="28">
        <v>8</v>
      </c>
      <c r="D223" s="35" t="s">
        <v>249</v>
      </c>
      <c r="E223" s="154">
        <v>129.91</v>
      </c>
      <c r="F223" s="154">
        <f>INDEX('Revised 2018 Lockdown'!H$5:H$253,MATCH(B223,'Revised 2018 Lockdown'!B$5:B$253,0))</f>
        <v>129.91</v>
      </c>
      <c r="G223" s="154">
        <f t="shared" si="57"/>
        <v>0</v>
      </c>
      <c r="H223" s="5">
        <v>133935.18</v>
      </c>
      <c r="I223" s="5">
        <f>INDEX('Revised 2018 Lockdown'!E$5:E$253,MATCH(B223,'Revised 2018 Lockdown'!B$5:B$253,0))</f>
        <v>133935.18</v>
      </c>
      <c r="J223" s="5">
        <f t="shared" si="58"/>
        <v>0</v>
      </c>
      <c r="K223" s="5">
        <v>0</v>
      </c>
      <c r="L223" s="5">
        <f>INDEX('Revised 2018 Lockdown'!F$5:F$253,MATCH(B223,'Revised 2018 Lockdown'!B$5:B$253,0))</f>
        <v>0</v>
      </c>
      <c r="M223" s="5">
        <f t="shared" si="59"/>
        <v>0</v>
      </c>
      <c r="N223" s="5">
        <v>133935.18</v>
      </c>
      <c r="O223" s="97">
        <f t="shared" si="60"/>
        <v>133935.18</v>
      </c>
      <c r="P223" s="97">
        <f t="shared" si="61"/>
        <v>0</v>
      </c>
      <c r="Q223" s="95">
        <f t="shared" si="62"/>
        <v>1030.9843737972442</v>
      </c>
      <c r="R223" s="6">
        <f t="shared" si="49"/>
        <v>1030.9843737972442</v>
      </c>
      <c r="S223" s="5">
        <f t="shared" si="63"/>
        <v>133935.18</v>
      </c>
      <c r="T223" s="135">
        <v>0.61243154761904761</v>
      </c>
      <c r="U223" s="97">
        <f t="shared" si="50"/>
        <v>29493.156825393915</v>
      </c>
      <c r="V223" s="97">
        <f t="shared" si="51"/>
        <v>7343.4809800453895</v>
      </c>
      <c r="W223" s="97">
        <f t="shared" si="52"/>
        <v>5418.7619036241813</v>
      </c>
      <c r="X223" s="97">
        <f t="shared" si="53"/>
        <v>1679.3386444965895</v>
      </c>
      <c r="Y223" s="97">
        <f t="shared" si="54"/>
        <v>43934.738353560075</v>
      </c>
      <c r="Z223" s="104">
        <f t="shared" si="55"/>
        <v>0.32802986006783341</v>
      </c>
      <c r="AA223" s="96">
        <f t="shared" si="56"/>
        <v>43934.738353560075</v>
      </c>
      <c r="AB223" s="97"/>
      <c r="AC223" s="96">
        <f>INDEX('[2]2020 Funding'!$S$26:$S$274,MATCH(B223,'[2]2020 Funding'!$B$26:$B$274,0))</f>
        <v>43958.374759324281</v>
      </c>
      <c r="AD223" s="5">
        <f t="shared" si="64"/>
        <v>-23.636405764205847</v>
      </c>
      <c r="AF223" s="18"/>
      <c r="AG223" s="96"/>
    </row>
    <row r="224" spans="2:33" x14ac:dyDescent="0.25">
      <c r="B224">
        <v>812</v>
      </c>
      <c r="C224" s="28">
        <v>8</v>
      </c>
      <c r="D224" s="35" t="s">
        <v>250</v>
      </c>
      <c r="E224" s="154">
        <v>52.402684578365019</v>
      </c>
      <c r="F224" s="154">
        <f>INDEX('Revised 2018 Lockdown'!H$5:H$253,MATCH(B224,'Revised 2018 Lockdown'!B$5:B$253,0))</f>
        <v>52.402684578365019</v>
      </c>
      <c r="G224" s="154">
        <f t="shared" si="57"/>
        <v>0</v>
      </c>
      <c r="H224" s="5">
        <v>75414.47</v>
      </c>
      <c r="I224" s="5">
        <f>INDEX('Revised 2018 Lockdown'!E$5:E$253,MATCH(B224,'Revised 2018 Lockdown'!B$5:B$253,0))</f>
        <v>75414.47</v>
      </c>
      <c r="J224" s="5">
        <f t="shared" si="58"/>
        <v>0</v>
      </c>
      <c r="K224" s="5">
        <v>196</v>
      </c>
      <c r="L224" s="5">
        <f>INDEX('Revised 2018 Lockdown'!F$5:F$253,MATCH(B224,'Revised 2018 Lockdown'!B$5:B$253,0))</f>
        <v>196</v>
      </c>
      <c r="M224" s="5">
        <f t="shared" si="59"/>
        <v>0</v>
      </c>
      <c r="N224" s="5">
        <v>75218.47</v>
      </c>
      <c r="O224" s="97">
        <f t="shared" si="60"/>
        <v>75218.47</v>
      </c>
      <c r="P224" s="97">
        <f t="shared" si="61"/>
        <v>0</v>
      </c>
      <c r="Q224" s="95">
        <f t="shared" si="62"/>
        <v>1435.3934460650651</v>
      </c>
      <c r="R224" s="6">
        <f t="shared" si="49"/>
        <v>1435.3934460650651</v>
      </c>
      <c r="S224" s="5">
        <f t="shared" si="63"/>
        <v>75218.47</v>
      </c>
      <c r="T224" s="135">
        <v>0.5734434523809524</v>
      </c>
      <c r="U224" s="97">
        <f t="shared" si="50"/>
        <v>16563.461010588762</v>
      </c>
      <c r="V224" s="97">
        <f t="shared" si="51"/>
        <v>2962.1901124204555</v>
      </c>
      <c r="W224" s="97">
        <f t="shared" si="52"/>
        <v>2849.4624795867953</v>
      </c>
      <c r="X224" s="97">
        <f t="shared" si="53"/>
        <v>943.12251232952678</v>
      </c>
      <c r="Y224" s="97">
        <f t="shared" si="54"/>
        <v>23318.236114925541</v>
      </c>
      <c r="Z224" s="104">
        <f t="shared" si="55"/>
        <v>0.310006785765857</v>
      </c>
      <c r="AA224" s="96">
        <f t="shared" si="56"/>
        <v>23318.236114925541</v>
      </c>
      <c r="AB224" s="97"/>
      <c r="AC224" s="96">
        <f>INDEX('[2]2020 Funding'!$S$26:$S$274,MATCH(B224,'[2]2020 Funding'!$B$26:$B$274,0))</f>
        <v>23331.696375243941</v>
      </c>
      <c r="AD224" s="5">
        <f t="shared" si="64"/>
        <v>-13.460260318399378</v>
      </c>
      <c r="AF224" s="18"/>
      <c r="AG224" s="96"/>
    </row>
    <row r="225" spans="2:33" x14ac:dyDescent="0.25">
      <c r="B225">
        <v>818</v>
      </c>
      <c r="C225" s="28">
        <v>8</v>
      </c>
      <c r="D225" s="35" t="s">
        <v>251</v>
      </c>
      <c r="E225" s="154">
        <v>39.084698998412264</v>
      </c>
      <c r="F225" s="154">
        <f>INDEX('Revised 2018 Lockdown'!H$5:H$253,MATCH(B225,'Revised 2018 Lockdown'!B$5:B$253,0))</f>
        <v>39.084698998412264</v>
      </c>
      <c r="G225" s="154">
        <f t="shared" si="57"/>
        <v>0</v>
      </c>
      <c r="H225" s="5">
        <v>16701.97</v>
      </c>
      <c r="I225" s="5">
        <f>INDEX('Revised 2018 Lockdown'!E$5:E$253,MATCH(B225,'Revised 2018 Lockdown'!B$5:B$253,0))</f>
        <v>16701.97</v>
      </c>
      <c r="J225" s="5">
        <f t="shared" si="58"/>
        <v>0</v>
      </c>
      <c r="K225" s="5">
        <v>0</v>
      </c>
      <c r="L225" s="5">
        <f>INDEX('Revised 2018 Lockdown'!F$5:F$253,MATCH(B225,'Revised 2018 Lockdown'!B$5:B$253,0))</f>
        <v>0</v>
      </c>
      <c r="M225" s="5">
        <f t="shared" si="59"/>
        <v>0</v>
      </c>
      <c r="N225" s="5">
        <v>16701.97</v>
      </c>
      <c r="O225" s="97">
        <f t="shared" si="60"/>
        <v>16701.97</v>
      </c>
      <c r="P225" s="97">
        <f t="shared" si="61"/>
        <v>0</v>
      </c>
      <c r="Q225" s="95">
        <f t="shared" si="62"/>
        <v>427.32758414433442</v>
      </c>
      <c r="R225" s="6">
        <f t="shared" si="49"/>
        <v>427.32758414433442</v>
      </c>
      <c r="S225" s="5">
        <f t="shared" si="63"/>
        <v>16701.97</v>
      </c>
      <c r="T225" s="135">
        <v>0.22241071428571429</v>
      </c>
      <c r="U225" s="97">
        <f t="shared" si="50"/>
        <v>3677.8523798080864</v>
      </c>
      <c r="V225" s="97">
        <f t="shared" si="51"/>
        <v>2209.3583535188941</v>
      </c>
      <c r="W225" s="97">
        <f t="shared" si="52"/>
        <v>245.39813244915919</v>
      </c>
      <c r="X225" s="97">
        <f t="shared" si="53"/>
        <v>209.41670187192571</v>
      </c>
      <c r="Y225" s="97">
        <f t="shared" si="54"/>
        <v>6342.0255676480647</v>
      </c>
      <c r="Z225" s="104">
        <f t="shared" si="55"/>
        <v>0.37971721704972911</v>
      </c>
      <c r="AA225" s="96">
        <f t="shared" si="56"/>
        <v>6342.0255676480647</v>
      </c>
      <c r="AB225" s="97"/>
      <c r="AC225" s="96">
        <f>INDEX('[2]2020 Funding'!$S$26:$S$274,MATCH(B225,'[2]2020 Funding'!$B$26:$B$274,0))</f>
        <v>6344.3482963844654</v>
      </c>
      <c r="AD225" s="5">
        <f t="shared" si="64"/>
        <v>-2.322728736400677</v>
      </c>
      <c r="AF225" s="18"/>
      <c r="AG225" s="96"/>
    </row>
    <row r="226" spans="2:33" x14ac:dyDescent="0.25">
      <c r="B226">
        <v>833</v>
      </c>
      <c r="C226" s="36">
        <v>8</v>
      </c>
      <c r="D226" s="35" t="s">
        <v>252</v>
      </c>
      <c r="E226" s="154">
        <v>68.497718442678561</v>
      </c>
      <c r="F226" s="154">
        <f>INDEX('Revised 2018 Lockdown'!H$5:H$253,MATCH(B226,'Revised 2018 Lockdown'!B$5:B$253,0))</f>
        <v>68.497718442678561</v>
      </c>
      <c r="G226" s="154">
        <f t="shared" si="57"/>
        <v>0</v>
      </c>
      <c r="H226" s="5">
        <v>53144.45</v>
      </c>
      <c r="I226" s="5">
        <f>INDEX('Revised 2018 Lockdown'!E$5:E$253,MATCH(B226,'Revised 2018 Lockdown'!B$5:B$253,0))</f>
        <v>37369.64</v>
      </c>
      <c r="J226" s="5">
        <f t="shared" si="58"/>
        <v>15774.809999999998</v>
      </c>
      <c r="K226" s="5">
        <v>0</v>
      </c>
      <c r="L226" s="5">
        <f>INDEX('Revised 2018 Lockdown'!F$5:F$253,MATCH(B226,'Revised 2018 Lockdown'!B$5:B$253,0))</f>
        <v>0</v>
      </c>
      <c r="M226" s="5">
        <f t="shared" si="59"/>
        <v>0</v>
      </c>
      <c r="N226" s="5">
        <v>53144.45</v>
      </c>
      <c r="O226" s="97">
        <f t="shared" si="60"/>
        <v>37369.64</v>
      </c>
      <c r="P226" s="97">
        <f t="shared" si="61"/>
        <v>15774.809999999998</v>
      </c>
      <c r="Q226" s="95">
        <f t="shared" si="62"/>
        <v>545.56036098154573</v>
      </c>
      <c r="R226" s="6">
        <f t="shared" si="49"/>
        <v>545.56036098154573</v>
      </c>
      <c r="S226" s="5">
        <f t="shared" si="63"/>
        <v>37369.64</v>
      </c>
      <c r="T226" s="135">
        <v>0.25010119047619045</v>
      </c>
      <c r="U226" s="97">
        <f t="shared" si="50"/>
        <v>8228.9705589563055</v>
      </c>
      <c r="V226" s="97">
        <f t="shared" si="51"/>
        <v>3872.0013283066301</v>
      </c>
      <c r="W226" s="97">
        <f t="shared" si="52"/>
        <v>617.42259995654831</v>
      </c>
      <c r="X226" s="97">
        <f t="shared" si="53"/>
        <v>468.5571078705799</v>
      </c>
      <c r="Y226" s="97">
        <f t="shared" si="54"/>
        <v>13186.951595090062</v>
      </c>
      <c r="Z226" s="104">
        <f t="shared" si="55"/>
        <v>0.35287874314791534</v>
      </c>
      <c r="AA226" s="96">
        <f t="shared" si="56"/>
        <v>13186.951595090062</v>
      </c>
      <c r="AB226" s="97"/>
      <c r="AC226" s="96">
        <f>INDEX('[2]2020 Funding'!$S$26:$S$274,MATCH(B226,'[2]2020 Funding'!$B$26:$B$274,0))</f>
        <v>17127.362085022323</v>
      </c>
      <c r="AD226" s="5">
        <f t="shared" si="64"/>
        <v>-3940.410489932261</v>
      </c>
      <c r="AF226" s="18"/>
      <c r="AG226" s="96"/>
    </row>
    <row r="227" spans="2:33" x14ac:dyDescent="0.25">
      <c r="B227">
        <v>834</v>
      </c>
      <c r="C227" s="28">
        <v>8</v>
      </c>
      <c r="D227" s="35" t="s">
        <v>253</v>
      </c>
      <c r="E227" s="154">
        <v>93.830000000000013</v>
      </c>
      <c r="F227" s="154">
        <f>INDEX('Revised 2018 Lockdown'!H$5:H$253,MATCH(B227,'Revised 2018 Lockdown'!B$5:B$253,0))</f>
        <v>93.830000000000013</v>
      </c>
      <c r="G227" s="154">
        <f t="shared" si="57"/>
        <v>0</v>
      </c>
      <c r="H227" s="5">
        <v>64791.31</v>
      </c>
      <c r="I227" s="5">
        <f>INDEX('Revised 2018 Lockdown'!E$5:E$253,MATCH(B227,'Revised 2018 Lockdown'!B$5:B$253,0))</f>
        <v>64791.31</v>
      </c>
      <c r="J227" s="5">
        <f t="shared" si="58"/>
        <v>0</v>
      </c>
      <c r="K227" s="5">
        <v>5551.2800000000007</v>
      </c>
      <c r="L227" s="5">
        <f>INDEX('Revised 2018 Lockdown'!F$5:F$253,MATCH(B227,'Revised 2018 Lockdown'!B$5:B$253,0))</f>
        <v>5551.2800000000007</v>
      </c>
      <c r="M227" s="5">
        <f t="shared" si="59"/>
        <v>0</v>
      </c>
      <c r="N227" s="5">
        <v>59240.03</v>
      </c>
      <c r="O227" s="97">
        <f t="shared" si="60"/>
        <v>59240.03</v>
      </c>
      <c r="P227" s="97">
        <f t="shared" si="61"/>
        <v>0</v>
      </c>
      <c r="Q227" s="95">
        <f t="shared" si="62"/>
        <v>631.35489715442816</v>
      </c>
      <c r="R227" s="6">
        <f t="shared" si="49"/>
        <v>631.35489715442816</v>
      </c>
      <c r="S227" s="5">
        <f t="shared" si="63"/>
        <v>59240.03</v>
      </c>
      <c r="T227" s="135">
        <v>0.66815773809523804</v>
      </c>
      <c r="U227" s="97">
        <f t="shared" si="50"/>
        <v>13044.933341120985</v>
      </c>
      <c r="V227" s="97">
        <f t="shared" si="51"/>
        <v>5303.970597780456</v>
      </c>
      <c r="W227" s="97">
        <f t="shared" si="52"/>
        <v>2614.8219464419653</v>
      </c>
      <c r="X227" s="97">
        <f t="shared" si="53"/>
        <v>742.77775025305004</v>
      </c>
      <c r="Y227" s="97">
        <f t="shared" si="54"/>
        <v>21706.503635596455</v>
      </c>
      <c r="Z227" s="104">
        <f t="shared" si="55"/>
        <v>0.36641614860081023</v>
      </c>
      <c r="AA227" s="96">
        <f t="shared" si="56"/>
        <v>21706.503635596455</v>
      </c>
      <c r="AB227" s="97"/>
      <c r="AC227" s="96">
        <f>INDEX('[2]2020 Funding'!$S$26:$S$274,MATCH(B227,'[2]2020 Funding'!$B$26:$B$274,0))</f>
        <v>21716.548411014406</v>
      </c>
      <c r="AD227" s="5">
        <f t="shared" si="64"/>
        <v>-10.044775417951314</v>
      </c>
      <c r="AF227" s="18"/>
      <c r="AG227" s="96"/>
    </row>
    <row r="228" spans="2:33" x14ac:dyDescent="0.25">
      <c r="B228">
        <v>837</v>
      </c>
      <c r="C228" s="28">
        <v>8</v>
      </c>
      <c r="D228" s="35" t="s">
        <v>254</v>
      </c>
      <c r="E228" s="154">
        <v>191.19000000000003</v>
      </c>
      <c r="F228" s="154">
        <f>INDEX('Revised 2018 Lockdown'!H$5:H$253,MATCH(B228,'Revised 2018 Lockdown'!B$5:B$253,0))</f>
        <v>191.19000000000003</v>
      </c>
      <c r="G228" s="154">
        <f t="shared" si="57"/>
        <v>0</v>
      </c>
      <c r="H228" s="5">
        <v>133882.48000000001</v>
      </c>
      <c r="I228" s="5">
        <f>INDEX('Revised 2018 Lockdown'!E$5:E$253,MATCH(B228,'Revised 2018 Lockdown'!B$5:B$253,0))</f>
        <v>133882.48000000001</v>
      </c>
      <c r="J228" s="5">
        <f t="shared" si="58"/>
        <v>0</v>
      </c>
      <c r="K228" s="5">
        <v>0</v>
      </c>
      <c r="L228" s="5">
        <f>INDEX('Revised 2018 Lockdown'!F$5:F$253,MATCH(B228,'Revised 2018 Lockdown'!B$5:B$253,0))</f>
        <v>0</v>
      </c>
      <c r="M228" s="5">
        <f t="shared" si="59"/>
        <v>0</v>
      </c>
      <c r="N228" s="5">
        <v>133882.48000000001</v>
      </c>
      <c r="O228" s="97">
        <f t="shared" si="60"/>
        <v>133882.48000000001</v>
      </c>
      <c r="P228" s="97">
        <f t="shared" si="61"/>
        <v>0</v>
      </c>
      <c r="Q228" s="95">
        <f t="shared" si="62"/>
        <v>700.25880014645111</v>
      </c>
      <c r="R228" s="6">
        <f t="shared" si="49"/>
        <v>700.25880014645111</v>
      </c>
      <c r="S228" s="5">
        <f t="shared" si="63"/>
        <v>133882.48000000001</v>
      </c>
      <c r="T228" s="135">
        <v>0.58590773809523811</v>
      </c>
      <c r="U228" s="97">
        <f t="shared" si="50"/>
        <v>29481.552037430825</v>
      </c>
      <c r="V228" s="97">
        <f t="shared" si="51"/>
        <v>10807.483092717097</v>
      </c>
      <c r="W228" s="97">
        <f t="shared" si="52"/>
        <v>5182.0408409364454</v>
      </c>
      <c r="X228" s="97">
        <f t="shared" si="53"/>
        <v>1678.6778685408999</v>
      </c>
      <c r="Y228" s="97">
        <f t="shared" si="54"/>
        <v>47149.753839625271</v>
      </c>
      <c r="Z228" s="104">
        <f t="shared" si="55"/>
        <v>0.3521726953341861</v>
      </c>
      <c r="AA228" s="96">
        <f t="shared" si="56"/>
        <v>47149.753839625271</v>
      </c>
      <c r="AB228" s="97"/>
      <c r="AC228" s="96">
        <f>INDEX('[2]2020 Funding'!$S$26:$S$274,MATCH(B228,'[2]2020 Funding'!$B$26:$B$274,0))</f>
        <v>47172.300592330619</v>
      </c>
      <c r="AD228" s="5">
        <f t="shared" si="64"/>
        <v>-22.546752705347899</v>
      </c>
      <c r="AF228" s="18"/>
      <c r="AG228" s="96"/>
    </row>
    <row r="229" spans="2:33" x14ac:dyDescent="0.25">
      <c r="B229">
        <v>845</v>
      </c>
      <c r="C229" s="28">
        <v>8</v>
      </c>
      <c r="D229" s="35" t="s">
        <v>319</v>
      </c>
      <c r="E229" s="154">
        <v>5.5265652735971607</v>
      </c>
      <c r="F229" s="154">
        <f>INDEX('Revised 2018 Lockdown'!H$5:H$253,MATCH(B229,'Revised 2018 Lockdown'!B$5:B$253,0))</f>
        <v>5.5265652735971607</v>
      </c>
      <c r="G229" s="154">
        <f t="shared" si="57"/>
        <v>0</v>
      </c>
      <c r="H229" s="5">
        <v>9336.9500000000007</v>
      </c>
      <c r="I229" s="5">
        <f>INDEX('Revised 2018 Lockdown'!E$5:E$253,MATCH(B229,'Revised 2018 Lockdown'!B$5:B$253,0))</f>
        <v>9336.9500000000007</v>
      </c>
      <c r="J229" s="5">
        <f t="shared" si="58"/>
        <v>0</v>
      </c>
      <c r="K229" s="5">
        <v>0</v>
      </c>
      <c r="L229" s="5">
        <f>INDEX('Revised 2018 Lockdown'!F$5:F$253,MATCH(B229,'Revised 2018 Lockdown'!B$5:B$253,0))</f>
        <v>0</v>
      </c>
      <c r="M229" s="5">
        <f t="shared" si="59"/>
        <v>0</v>
      </c>
      <c r="N229" s="5">
        <v>9336.9500000000007</v>
      </c>
      <c r="O229" s="97">
        <f t="shared" si="60"/>
        <v>9336.9500000000007</v>
      </c>
      <c r="P229" s="97">
        <f t="shared" si="61"/>
        <v>0</v>
      </c>
      <c r="Q229" s="95">
        <f t="shared" si="62"/>
        <v>1689.4670627716509</v>
      </c>
      <c r="R229" s="6">
        <f t="shared" si="49"/>
        <v>1689.4670627716509</v>
      </c>
      <c r="S229" s="5">
        <f t="shared" si="63"/>
        <v>9336.9500000000007</v>
      </c>
      <c r="T229" s="135">
        <v>0.2215</v>
      </c>
      <c r="U229" s="97">
        <f t="shared" si="50"/>
        <v>2056.0403220487829</v>
      </c>
      <c r="V229" s="97">
        <f t="shared" si="51"/>
        <v>312.40264007112688</v>
      </c>
      <c r="W229" s="97">
        <f t="shared" si="52"/>
        <v>136.62387940014162</v>
      </c>
      <c r="X229" s="97">
        <f t="shared" si="53"/>
        <v>117.07081706787143</v>
      </c>
      <c r="Y229" s="97">
        <f t="shared" si="54"/>
        <v>2622.1376585879225</v>
      </c>
      <c r="Z229" s="104">
        <f t="shared" si="55"/>
        <v>0.28083449719532849</v>
      </c>
      <c r="AA229" s="96">
        <f t="shared" si="56"/>
        <v>2622.1376585879225</v>
      </c>
      <c r="AB229" s="97"/>
      <c r="AC229" s="96">
        <f>INDEX('[2]2020 Funding'!$S$26:$S$274,MATCH(B229,'[2]2020 Funding'!$B$26:$B$274,0))</f>
        <v>2623.682937524391</v>
      </c>
      <c r="AD229" s="5">
        <f t="shared" si="64"/>
        <v>-1.5452789364685486</v>
      </c>
      <c r="AF229" s="18"/>
      <c r="AG229" s="96"/>
    </row>
    <row r="230" spans="2:33" x14ac:dyDescent="0.25">
      <c r="B230">
        <v>847</v>
      </c>
      <c r="C230" s="28">
        <v>8</v>
      </c>
      <c r="D230" s="35" t="s">
        <v>255</v>
      </c>
      <c r="E230" s="154">
        <v>70.589802523602913</v>
      </c>
      <c r="F230" s="154">
        <f>INDEX('Revised 2018 Lockdown'!H$5:H$253,MATCH(B230,'Revised 2018 Lockdown'!B$5:B$253,0))</f>
        <v>70.589802523602913</v>
      </c>
      <c r="G230" s="154">
        <f t="shared" si="57"/>
        <v>0</v>
      </c>
      <c r="H230" s="5">
        <v>114871.03</v>
      </c>
      <c r="I230" s="5">
        <f>INDEX('Revised 2018 Lockdown'!E$5:E$253,MATCH(B230,'Revised 2018 Lockdown'!B$5:B$253,0))</f>
        <v>114871.03</v>
      </c>
      <c r="J230" s="5">
        <f t="shared" si="58"/>
        <v>0</v>
      </c>
      <c r="K230" s="5">
        <v>0</v>
      </c>
      <c r="L230" s="5">
        <f>INDEX('Revised 2018 Lockdown'!F$5:F$253,MATCH(B230,'Revised 2018 Lockdown'!B$5:B$253,0))</f>
        <v>0</v>
      </c>
      <c r="M230" s="5">
        <f t="shared" si="59"/>
        <v>0</v>
      </c>
      <c r="N230" s="5">
        <v>114871.03</v>
      </c>
      <c r="O230" s="97">
        <f t="shared" si="60"/>
        <v>114871.03</v>
      </c>
      <c r="P230" s="97">
        <f t="shared" si="61"/>
        <v>0</v>
      </c>
      <c r="Q230" s="95">
        <f t="shared" si="62"/>
        <v>1627.3034615954748</v>
      </c>
      <c r="R230" s="6">
        <f t="shared" si="49"/>
        <v>1627.3034615954748</v>
      </c>
      <c r="S230" s="5">
        <f t="shared" si="63"/>
        <v>114871.03</v>
      </c>
      <c r="T230" s="135">
        <v>0.3290892857142857</v>
      </c>
      <c r="U230" s="97">
        <f t="shared" si="50"/>
        <v>25295.141295099085</v>
      </c>
      <c r="V230" s="97">
        <f t="shared" si="51"/>
        <v>3990.2615057904554</v>
      </c>
      <c r="W230" s="97">
        <f t="shared" si="52"/>
        <v>2497.3079942538266</v>
      </c>
      <c r="X230" s="97">
        <f t="shared" si="53"/>
        <v>1440.303882909084</v>
      </c>
      <c r="Y230" s="97">
        <f t="shared" si="54"/>
        <v>33223.014678052452</v>
      </c>
      <c r="Z230" s="104">
        <f t="shared" si="55"/>
        <v>0.28922013390192858</v>
      </c>
      <c r="AA230" s="96">
        <f t="shared" si="56"/>
        <v>33223.014678052452</v>
      </c>
      <c r="AB230" s="97"/>
      <c r="AC230" s="96">
        <f>INDEX('[2]2020 Funding'!$S$26:$S$274,MATCH(B230,'[2]2020 Funding'!$B$26:$B$274,0))</f>
        <v>33242.514603286385</v>
      </c>
      <c r="AD230" s="5">
        <f t="shared" si="64"/>
        <v>-19.499925233933027</v>
      </c>
      <c r="AF230" s="18"/>
      <c r="AG230" s="96"/>
    </row>
    <row r="231" spans="2:33" x14ac:dyDescent="0.25">
      <c r="B231">
        <v>866</v>
      </c>
      <c r="C231" s="28">
        <v>8</v>
      </c>
      <c r="D231" s="35" t="s">
        <v>256</v>
      </c>
      <c r="E231" s="154">
        <v>160.53138279575614</v>
      </c>
      <c r="F231" s="154">
        <f>INDEX('Revised 2018 Lockdown'!H$5:H$253,MATCH(B231,'Revised 2018 Lockdown'!B$5:B$253,0))</f>
        <v>160.53138279575614</v>
      </c>
      <c r="G231" s="154">
        <f t="shared" si="57"/>
        <v>0</v>
      </c>
      <c r="H231" s="5">
        <v>63164.800000000003</v>
      </c>
      <c r="I231" s="5">
        <f>INDEX('Revised 2018 Lockdown'!E$5:E$253,MATCH(B231,'Revised 2018 Lockdown'!B$5:B$253,0))</f>
        <v>63164.800000000003</v>
      </c>
      <c r="J231" s="5">
        <f t="shared" si="58"/>
        <v>0</v>
      </c>
      <c r="K231" s="5">
        <v>0</v>
      </c>
      <c r="L231" s="5">
        <f>INDEX('Revised 2018 Lockdown'!F$5:F$253,MATCH(B231,'Revised 2018 Lockdown'!B$5:B$253,0))</f>
        <v>0</v>
      </c>
      <c r="M231" s="5">
        <f t="shared" si="59"/>
        <v>0</v>
      </c>
      <c r="N231" s="5">
        <v>63164.800000000003</v>
      </c>
      <c r="O231" s="97">
        <f t="shared" si="60"/>
        <v>63164.800000000003</v>
      </c>
      <c r="P231" s="97">
        <f t="shared" si="61"/>
        <v>0</v>
      </c>
      <c r="Q231" s="95">
        <f t="shared" si="62"/>
        <v>393.47321937894532</v>
      </c>
      <c r="R231" s="6">
        <f t="shared" si="49"/>
        <v>393.47321937894532</v>
      </c>
      <c r="S231" s="5">
        <f t="shared" si="63"/>
        <v>63164.800000000003</v>
      </c>
      <c r="T231" s="135">
        <v>0.68916666666666659</v>
      </c>
      <c r="U231" s="97">
        <f t="shared" si="50"/>
        <v>13909.186161878019</v>
      </c>
      <c r="V231" s="97">
        <f t="shared" si="51"/>
        <v>9074.429653306297</v>
      </c>
      <c r="W231" s="97">
        <f t="shared" si="52"/>
        <v>2875.7242389682801</v>
      </c>
      <c r="X231" s="97">
        <f t="shared" si="53"/>
        <v>791.98825590034062</v>
      </c>
      <c r="Y231" s="97">
        <f t="shared" si="54"/>
        <v>26651.328310052937</v>
      </c>
      <c r="Z231" s="104">
        <f t="shared" si="55"/>
        <v>0.42193323354230416</v>
      </c>
      <c r="AA231" s="96">
        <f t="shared" si="56"/>
        <v>26651.328310052937</v>
      </c>
      <c r="AB231" s="97"/>
      <c r="AC231" s="96">
        <f>INDEX('[2]2020 Funding'!$S$26:$S$274,MATCH(B231,'[2]2020 Funding'!$B$26:$B$274,0))</f>
        <v>26661.179407052012</v>
      </c>
      <c r="AD231" s="5">
        <f t="shared" si="64"/>
        <v>-9.8510969990747981</v>
      </c>
      <c r="AF231" s="18"/>
      <c r="AG231" s="96"/>
    </row>
    <row r="232" spans="2:33" x14ac:dyDescent="0.25">
      <c r="B232">
        <v>871</v>
      </c>
      <c r="C232" s="36">
        <v>8</v>
      </c>
      <c r="D232" s="35" t="s">
        <v>257</v>
      </c>
      <c r="E232" s="154">
        <v>16.078387570207461</v>
      </c>
      <c r="F232" s="154">
        <f>INDEX('Revised 2018 Lockdown'!H$5:H$253,MATCH(B232,'Revised 2018 Lockdown'!B$5:B$253,0))</f>
        <v>16.078387570207461</v>
      </c>
      <c r="G232" s="154">
        <f t="shared" si="57"/>
        <v>0</v>
      </c>
      <c r="H232" s="5">
        <v>11872.16</v>
      </c>
      <c r="I232" s="5">
        <f>INDEX('Revised 2018 Lockdown'!E$5:E$253,MATCH(B232,'Revised 2018 Lockdown'!B$5:B$253,0))</f>
        <v>11872.16</v>
      </c>
      <c r="J232" s="5">
        <f t="shared" si="58"/>
        <v>0</v>
      </c>
      <c r="K232" s="5">
        <v>0</v>
      </c>
      <c r="L232" s="5">
        <f>INDEX('Revised 2018 Lockdown'!F$5:F$253,MATCH(B232,'Revised 2018 Lockdown'!B$5:B$253,0))</f>
        <v>0</v>
      </c>
      <c r="M232" s="5">
        <f t="shared" si="59"/>
        <v>0</v>
      </c>
      <c r="N232" s="5">
        <v>11872.16</v>
      </c>
      <c r="O232" s="97">
        <f t="shared" si="60"/>
        <v>11872.16</v>
      </c>
      <c r="P232" s="97">
        <f t="shared" si="61"/>
        <v>0</v>
      </c>
      <c r="Q232" s="95">
        <f t="shared" si="62"/>
        <v>738.39245062101782</v>
      </c>
      <c r="R232" s="6">
        <f t="shared" si="49"/>
        <v>738.39245062101782</v>
      </c>
      <c r="S232" s="5">
        <f t="shared" si="63"/>
        <v>11872.16</v>
      </c>
      <c r="T232" s="135">
        <v>0.22280952380952382</v>
      </c>
      <c r="U232" s="97">
        <f t="shared" si="50"/>
        <v>2614.305492673162</v>
      </c>
      <c r="V232" s="97">
        <f t="shared" si="51"/>
        <v>908.87024333474483</v>
      </c>
      <c r="W232" s="97">
        <f t="shared" si="52"/>
        <v>174.74764857453891</v>
      </c>
      <c r="X232" s="97">
        <f t="shared" si="53"/>
        <v>148.85840360722725</v>
      </c>
      <c r="Y232" s="97">
        <f t="shared" si="54"/>
        <v>3846.7817881896726</v>
      </c>
      <c r="Z232" s="104">
        <f t="shared" si="55"/>
        <v>0.324017010231472</v>
      </c>
      <c r="AA232" s="96">
        <f t="shared" si="56"/>
        <v>3846.7817881896726</v>
      </c>
      <c r="AB232" s="97"/>
      <c r="AC232" s="96">
        <f>INDEX('[2]2020 Funding'!$S$26:$S$274,MATCH(B232,'[2]2020 Funding'!$B$26:$B$274,0))</f>
        <v>3848.6102604372259</v>
      </c>
      <c r="AD232" s="5">
        <f t="shared" si="64"/>
        <v>-1.8284722475532362</v>
      </c>
      <c r="AF232" s="18"/>
      <c r="AG232" s="96"/>
    </row>
    <row r="233" spans="2:33" x14ac:dyDescent="0.25">
      <c r="B233">
        <v>873</v>
      </c>
      <c r="C233" s="36">
        <v>8</v>
      </c>
      <c r="D233" s="35" t="s">
        <v>258</v>
      </c>
      <c r="E233" s="154">
        <v>159.24</v>
      </c>
      <c r="F233" s="154">
        <f>INDEX('Revised 2018 Lockdown'!H$5:H$253,MATCH(B233,'Revised 2018 Lockdown'!B$5:B$253,0))</f>
        <v>159.24</v>
      </c>
      <c r="G233" s="154">
        <f t="shared" si="57"/>
        <v>0</v>
      </c>
      <c r="H233" s="5">
        <v>68071.05</v>
      </c>
      <c r="I233" s="5">
        <f>INDEX('Revised 2018 Lockdown'!E$5:E$253,MATCH(B233,'Revised 2018 Lockdown'!B$5:B$253,0))</f>
        <v>68071.05</v>
      </c>
      <c r="J233" s="5">
        <f t="shared" si="58"/>
        <v>0</v>
      </c>
      <c r="K233" s="5">
        <v>0</v>
      </c>
      <c r="L233" s="5">
        <f>INDEX('Revised 2018 Lockdown'!F$5:F$253,MATCH(B233,'Revised 2018 Lockdown'!B$5:B$253,0))</f>
        <v>0</v>
      </c>
      <c r="M233" s="5">
        <f t="shared" si="59"/>
        <v>0</v>
      </c>
      <c r="N233" s="5">
        <v>68071.05</v>
      </c>
      <c r="O233" s="97">
        <f t="shared" si="60"/>
        <v>68071.05</v>
      </c>
      <c r="P233" s="97">
        <f t="shared" si="61"/>
        <v>0</v>
      </c>
      <c r="Q233" s="95">
        <f t="shared" si="62"/>
        <v>427.47456669178598</v>
      </c>
      <c r="R233" s="6">
        <f t="shared" si="49"/>
        <v>427.47456669178598</v>
      </c>
      <c r="S233" s="5">
        <f t="shared" si="63"/>
        <v>68071.05</v>
      </c>
      <c r="T233" s="135">
        <v>0.47672363095238091</v>
      </c>
      <c r="U233" s="97">
        <f t="shared" si="50"/>
        <v>14989.565496677053</v>
      </c>
      <c r="V233" s="97">
        <f t="shared" si="51"/>
        <v>9001.4310773799389</v>
      </c>
      <c r="W233" s="97">
        <f t="shared" si="52"/>
        <v>2143.764026992324</v>
      </c>
      <c r="X233" s="97">
        <f t="shared" si="53"/>
        <v>853.50499276186861</v>
      </c>
      <c r="Y233" s="97">
        <f t="shared" si="54"/>
        <v>26988.265593811182</v>
      </c>
      <c r="Z233" s="104">
        <f t="shared" si="55"/>
        <v>0.39647200379325986</v>
      </c>
      <c r="AA233" s="96">
        <f t="shared" si="56"/>
        <v>26988.265593811182</v>
      </c>
      <c r="AB233" s="97"/>
      <c r="AC233" s="96">
        <f>INDEX('[2]2020 Funding'!$S$26:$S$274,MATCH(B233,'[2]2020 Funding'!$B$26:$B$274,0))</f>
        <v>26998.472487383002</v>
      </c>
      <c r="AD233" s="5">
        <f t="shared" si="64"/>
        <v>-10.206893571819819</v>
      </c>
      <c r="AF233" s="18"/>
      <c r="AG233" s="96"/>
    </row>
    <row r="234" spans="2:33" x14ac:dyDescent="0.25">
      <c r="B234">
        <v>895</v>
      </c>
      <c r="C234" s="28">
        <v>8</v>
      </c>
      <c r="D234" s="35" t="s">
        <v>259</v>
      </c>
      <c r="E234" s="154">
        <v>9.8090552475101163</v>
      </c>
      <c r="F234" s="154">
        <f>INDEX('Revised 2018 Lockdown'!H$5:H$253,MATCH(B234,'Revised 2018 Lockdown'!B$5:B$253,0))</f>
        <v>9.8090552475101163</v>
      </c>
      <c r="G234" s="154">
        <f t="shared" si="57"/>
        <v>0</v>
      </c>
      <c r="H234" s="5">
        <v>4417.1099999999997</v>
      </c>
      <c r="I234" s="5">
        <f>INDEX('Revised 2018 Lockdown'!E$5:E$253,MATCH(B234,'Revised 2018 Lockdown'!B$5:B$253,0))</f>
        <v>4417.1099999999997</v>
      </c>
      <c r="J234" s="5">
        <f t="shared" si="58"/>
        <v>0</v>
      </c>
      <c r="K234" s="5">
        <v>0</v>
      </c>
      <c r="L234" s="5">
        <f>INDEX('Revised 2018 Lockdown'!F$5:F$253,MATCH(B234,'Revised 2018 Lockdown'!B$5:B$253,0))</f>
        <v>0</v>
      </c>
      <c r="M234" s="5">
        <f t="shared" si="59"/>
        <v>0</v>
      </c>
      <c r="N234" s="5">
        <v>4417.1099999999997</v>
      </c>
      <c r="O234" s="97">
        <f t="shared" si="60"/>
        <v>4417.1099999999997</v>
      </c>
      <c r="P234" s="97">
        <f t="shared" si="61"/>
        <v>0</v>
      </c>
      <c r="Q234" s="95">
        <f t="shared" si="62"/>
        <v>450.30942211496034</v>
      </c>
      <c r="R234" s="6">
        <f t="shared" si="49"/>
        <v>450.30942211496034</v>
      </c>
      <c r="S234" s="5">
        <f t="shared" si="63"/>
        <v>4417.1099999999997</v>
      </c>
      <c r="T234" s="135">
        <v>0.16628571428571429</v>
      </c>
      <c r="U234" s="97">
        <f t="shared" si="50"/>
        <v>972.66840530632589</v>
      </c>
      <c r="V234" s="97">
        <f t="shared" si="51"/>
        <v>554.48087631671899</v>
      </c>
      <c r="W234" s="97">
        <f t="shared" si="52"/>
        <v>48.522258161852712</v>
      </c>
      <c r="X234" s="97">
        <f t="shared" si="53"/>
        <v>55.383682763500452</v>
      </c>
      <c r="Y234" s="97">
        <f t="shared" si="54"/>
        <v>1631.055222548398</v>
      </c>
      <c r="Z234" s="104">
        <f t="shared" si="55"/>
        <v>0.36925845689792602</v>
      </c>
      <c r="AA234" s="96">
        <f t="shared" si="56"/>
        <v>1631.055222548398</v>
      </c>
      <c r="AB234" s="97"/>
      <c r="AC234" s="96">
        <f>INDEX('[2]2020 Funding'!$S$26:$S$274,MATCH(B234,'[2]2020 Funding'!$B$26:$B$274,0))</f>
        <v>1631.6669042167639</v>
      </c>
      <c r="AD234" s="5">
        <f t="shared" si="64"/>
        <v>-0.61168166836591809</v>
      </c>
      <c r="AF234" s="18"/>
      <c r="AG234" s="96"/>
    </row>
    <row r="235" spans="2:33" x14ac:dyDescent="0.25">
      <c r="B235">
        <v>905</v>
      </c>
      <c r="C235" s="28">
        <v>8</v>
      </c>
      <c r="D235" s="35" t="s">
        <v>261</v>
      </c>
      <c r="E235" s="154">
        <v>92.836231091018377</v>
      </c>
      <c r="F235" s="154">
        <f>INDEX('Revised 2018 Lockdown'!H$5:H$253,MATCH(B235,'Revised 2018 Lockdown'!B$5:B$253,0))</f>
        <v>92.836231091018377</v>
      </c>
      <c r="G235" s="154">
        <f t="shared" si="57"/>
        <v>0</v>
      </c>
      <c r="H235" s="5">
        <v>57092.91</v>
      </c>
      <c r="I235" s="5">
        <f>INDEX('Revised 2018 Lockdown'!E$5:E$253,MATCH(B235,'Revised 2018 Lockdown'!B$5:B$253,0))</f>
        <v>57092.91</v>
      </c>
      <c r="J235" s="5">
        <f t="shared" si="58"/>
        <v>0</v>
      </c>
      <c r="K235" s="5">
        <v>0</v>
      </c>
      <c r="L235" s="5">
        <f>INDEX('Revised 2018 Lockdown'!F$5:F$253,MATCH(B235,'Revised 2018 Lockdown'!B$5:B$253,0))</f>
        <v>0</v>
      </c>
      <c r="M235" s="5">
        <f t="shared" si="59"/>
        <v>0</v>
      </c>
      <c r="N235" s="5">
        <v>57092.91</v>
      </c>
      <c r="O235" s="97">
        <f t="shared" si="60"/>
        <v>57092.91</v>
      </c>
      <c r="P235" s="97">
        <f t="shared" si="61"/>
        <v>0</v>
      </c>
      <c r="Q235" s="95">
        <f t="shared" si="62"/>
        <v>614.98521998404965</v>
      </c>
      <c r="R235" s="6">
        <f t="shared" si="49"/>
        <v>614.98521998404965</v>
      </c>
      <c r="S235" s="5">
        <f t="shared" si="63"/>
        <v>57092.91</v>
      </c>
      <c r="T235" s="135">
        <v>0.2362559523809524</v>
      </c>
      <c r="U235" s="97">
        <f t="shared" si="50"/>
        <v>12572.127414530676</v>
      </c>
      <c r="V235" s="97">
        <f t="shared" si="51"/>
        <v>5247.7953758447529</v>
      </c>
      <c r="W235" s="97">
        <f t="shared" si="52"/>
        <v>891.0719807323876</v>
      </c>
      <c r="X235" s="97">
        <f t="shared" si="53"/>
        <v>715.85620812818399</v>
      </c>
      <c r="Y235" s="97">
        <f t="shared" si="54"/>
        <v>19426.850979236002</v>
      </c>
      <c r="Z235" s="104">
        <f t="shared" si="55"/>
        <v>0.34026731128674298</v>
      </c>
      <c r="AA235" s="96">
        <f t="shared" si="56"/>
        <v>19426.850979236002</v>
      </c>
      <c r="AB235" s="97"/>
      <c r="AC235" s="96">
        <f>INDEX('[2]2020 Funding'!$S$26:$S$274,MATCH(B235,'[2]2020 Funding'!$B$26:$B$274,0))</f>
        <v>19435.441913004903</v>
      </c>
      <c r="AD235" s="5">
        <f t="shared" si="64"/>
        <v>-8.590933768900868</v>
      </c>
      <c r="AF235" s="18"/>
      <c r="AG235" s="96"/>
    </row>
    <row r="236" spans="2:33" x14ac:dyDescent="0.25">
      <c r="B236">
        <v>907</v>
      </c>
      <c r="C236" s="28">
        <v>8</v>
      </c>
      <c r="D236" s="35" t="s">
        <v>262</v>
      </c>
      <c r="E236" s="154">
        <v>17.277728875220131</v>
      </c>
      <c r="F236" s="154">
        <f>INDEX('Revised 2018 Lockdown'!H$5:H$253,MATCH(B236,'Revised 2018 Lockdown'!B$5:B$253,0))</f>
        <v>17.277728875220131</v>
      </c>
      <c r="G236" s="154">
        <f t="shared" si="57"/>
        <v>0</v>
      </c>
      <c r="H236" s="5">
        <v>19453.25</v>
      </c>
      <c r="I236" s="5">
        <f>INDEX('Revised 2018 Lockdown'!E$5:E$253,MATCH(B236,'Revised 2018 Lockdown'!B$5:B$253,0))</f>
        <v>19453.25</v>
      </c>
      <c r="J236" s="5">
        <f t="shared" si="58"/>
        <v>0</v>
      </c>
      <c r="K236" s="5">
        <v>0</v>
      </c>
      <c r="L236" s="5">
        <f>INDEX('Revised 2018 Lockdown'!F$5:F$253,MATCH(B236,'Revised 2018 Lockdown'!B$5:B$253,0))</f>
        <v>0</v>
      </c>
      <c r="M236" s="5">
        <f t="shared" si="59"/>
        <v>0</v>
      </c>
      <c r="N236" s="5">
        <v>19453.25</v>
      </c>
      <c r="O236" s="97">
        <f t="shared" si="60"/>
        <v>19453.25</v>
      </c>
      <c r="P236" s="97">
        <f t="shared" si="61"/>
        <v>0</v>
      </c>
      <c r="Q236" s="95">
        <f t="shared" si="62"/>
        <v>1125.9147623215699</v>
      </c>
      <c r="R236" s="6">
        <f t="shared" si="49"/>
        <v>1125.9147623215699</v>
      </c>
      <c r="S236" s="5">
        <f t="shared" si="63"/>
        <v>19453.25</v>
      </c>
      <c r="T236" s="135">
        <v>0.168375</v>
      </c>
      <c r="U236" s="97">
        <f t="shared" si="50"/>
        <v>4283.6971810811337</v>
      </c>
      <c r="V236" s="97">
        <f t="shared" si="51"/>
        <v>976.66594853021365</v>
      </c>
      <c r="W236" s="97">
        <f t="shared" si="52"/>
        <v>216.38025385936075</v>
      </c>
      <c r="X236" s="97">
        <f t="shared" si="53"/>
        <v>243.91346982960926</v>
      </c>
      <c r="Y236" s="97">
        <f t="shared" si="54"/>
        <v>5720.6568533003174</v>
      </c>
      <c r="Z236" s="104">
        <f t="shared" si="55"/>
        <v>0.294072036975843</v>
      </c>
      <c r="AA236" s="96">
        <f t="shared" si="56"/>
        <v>5720.6568533003174</v>
      </c>
      <c r="AB236" s="97"/>
      <c r="AC236" s="96">
        <f>INDEX('[2]2020 Funding'!$S$26:$S$274,MATCH(B236,'[2]2020 Funding'!$B$26:$B$274,0))</f>
        <v>5723.7449824580099</v>
      </c>
      <c r="AD236" s="5">
        <f t="shared" si="64"/>
        <v>-3.0881291576924923</v>
      </c>
      <c r="AF236" s="18"/>
      <c r="AG236" s="96"/>
    </row>
    <row r="237" spans="2:33" x14ac:dyDescent="0.25">
      <c r="B237">
        <v>918</v>
      </c>
      <c r="C237" s="28">
        <v>8</v>
      </c>
      <c r="D237" s="35" t="s">
        <v>263</v>
      </c>
      <c r="E237" s="154">
        <v>63.790529260598753</v>
      </c>
      <c r="F237" s="154">
        <f>INDEX('Revised 2018 Lockdown'!H$5:H$253,MATCH(B237,'Revised 2018 Lockdown'!B$5:B$253,0))</f>
        <v>63.790529260598753</v>
      </c>
      <c r="G237" s="154">
        <f t="shared" si="57"/>
        <v>0</v>
      </c>
      <c r="H237" s="5">
        <v>58594.77</v>
      </c>
      <c r="I237" s="5">
        <f>INDEX('Revised 2018 Lockdown'!E$5:E$253,MATCH(B237,'Revised 2018 Lockdown'!B$5:B$253,0))</f>
        <v>58594.77</v>
      </c>
      <c r="J237" s="5">
        <f t="shared" si="58"/>
        <v>0</v>
      </c>
      <c r="K237" s="5">
        <v>0</v>
      </c>
      <c r="L237" s="5">
        <f>INDEX('Revised 2018 Lockdown'!F$5:F$253,MATCH(B237,'Revised 2018 Lockdown'!B$5:B$253,0))</f>
        <v>0</v>
      </c>
      <c r="M237" s="5">
        <f t="shared" si="59"/>
        <v>0</v>
      </c>
      <c r="N237" s="5">
        <v>58594.77</v>
      </c>
      <c r="O237" s="97">
        <f t="shared" si="60"/>
        <v>58594.77</v>
      </c>
      <c r="P237" s="97">
        <f t="shared" si="61"/>
        <v>0</v>
      </c>
      <c r="Q237" s="95">
        <f t="shared" si="62"/>
        <v>918.54967624781887</v>
      </c>
      <c r="R237" s="6">
        <f t="shared" si="49"/>
        <v>918.54967624781887</v>
      </c>
      <c r="S237" s="5">
        <f t="shared" si="63"/>
        <v>58594.77</v>
      </c>
      <c r="T237" s="135">
        <v>0.43569345238095236</v>
      </c>
      <c r="U237" s="97">
        <f t="shared" si="50"/>
        <v>12902.844053055265</v>
      </c>
      <c r="V237" s="97">
        <f t="shared" si="51"/>
        <v>3605.9159289680229</v>
      </c>
      <c r="W237" s="97">
        <f t="shared" si="52"/>
        <v>1686.5054013026065</v>
      </c>
      <c r="X237" s="97">
        <f t="shared" si="53"/>
        <v>734.68719440545362</v>
      </c>
      <c r="Y237" s="97">
        <f t="shared" si="54"/>
        <v>18929.952577731347</v>
      </c>
      <c r="Z237" s="104">
        <f t="shared" si="55"/>
        <v>0.3230655667345626</v>
      </c>
      <c r="AA237" s="96">
        <f t="shared" si="56"/>
        <v>18929.952577731347</v>
      </c>
      <c r="AB237" s="97"/>
      <c r="AC237" s="96">
        <f>INDEX('[2]2020 Funding'!$S$26:$S$274,MATCH(B237,'[2]2020 Funding'!$B$26:$B$274,0))</f>
        <v>18939.745468132602</v>
      </c>
      <c r="AD237" s="5">
        <f t="shared" si="64"/>
        <v>-9.7928904012551357</v>
      </c>
      <c r="AF237" s="18"/>
      <c r="AG237" s="96"/>
    </row>
    <row r="238" spans="2:33" x14ac:dyDescent="0.25">
      <c r="B238">
        <v>922</v>
      </c>
      <c r="C238" s="28">
        <v>8</v>
      </c>
      <c r="D238" s="35" t="s">
        <v>264</v>
      </c>
      <c r="E238" s="154">
        <v>137.06999999999996</v>
      </c>
      <c r="F238" s="154">
        <f>INDEX('Revised 2018 Lockdown'!H$5:H$253,MATCH(B238,'Revised 2018 Lockdown'!B$5:B$253,0))</f>
        <v>137.07</v>
      </c>
      <c r="G238" s="154">
        <f t="shared" si="57"/>
        <v>0</v>
      </c>
      <c r="H238" s="5">
        <v>138545.48000000001</v>
      </c>
      <c r="I238" s="5">
        <f>INDEX('Revised 2018 Lockdown'!E$5:E$253,MATCH(B238,'Revised 2018 Lockdown'!B$5:B$253,0))</f>
        <v>138545.48000000001</v>
      </c>
      <c r="J238" s="5">
        <f t="shared" si="58"/>
        <v>0</v>
      </c>
      <c r="K238" s="5">
        <v>12389.89</v>
      </c>
      <c r="L238" s="5">
        <f>INDEX('Revised 2018 Lockdown'!F$5:F$253,MATCH(B238,'Revised 2018 Lockdown'!B$5:B$253,0))</f>
        <v>12389.89</v>
      </c>
      <c r="M238" s="5">
        <f t="shared" si="59"/>
        <v>0</v>
      </c>
      <c r="N238" s="5">
        <v>126155.59000000001</v>
      </c>
      <c r="O238" s="97">
        <f t="shared" si="60"/>
        <v>126155.59000000001</v>
      </c>
      <c r="P238" s="97">
        <f t="shared" si="61"/>
        <v>0</v>
      </c>
      <c r="Q238" s="95">
        <f t="shared" si="62"/>
        <v>920.37345881666317</v>
      </c>
      <c r="R238" s="6">
        <f t="shared" si="49"/>
        <v>920.37345881666317</v>
      </c>
      <c r="S238" s="5">
        <f t="shared" si="63"/>
        <v>126155.59000000001</v>
      </c>
      <c r="T238" s="135">
        <v>0.41308630952380954</v>
      </c>
      <c r="U238" s="97">
        <f t="shared" si="50"/>
        <v>27780.054503007326</v>
      </c>
      <c r="V238" s="97">
        <f t="shared" si="51"/>
        <v>7748.2175193196945</v>
      </c>
      <c r="W238" s="97">
        <f t="shared" si="52"/>
        <v>3442.6680579052745</v>
      </c>
      <c r="X238" s="97">
        <f t="shared" si="53"/>
        <v>1581.7946973025871</v>
      </c>
      <c r="Y238" s="97">
        <f t="shared" si="54"/>
        <v>40552.73477753489</v>
      </c>
      <c r="Z238" s="104">
        <f t="shared" si="55"/>
        <v>0.32145016148341016</v>
      </c>
      <c r="AA238" s="96">
        <f t="shared" si="56"/>
        <v>40552.73477753489</v>
      </c>
      <c r="AB238" s="97"/>
      <c r="AC238" s="96">
        <f>INDEX('[2]2020 Funding'!$S$26:$S$274,MATCH(B238,'[2]2020 Funding'!$B$26:$B$274,0))</f>
        <v>40573.701338576378</v>
      </c>
      <c r="AD238" s="5">
        <f t="shared" si="64"/>
        <v>-20.966561041488603</v>
      </c>
      <c r="AF238" s="18"/>
      <c r="AG238" s="96"/>
    </row>
    <row r="239" spans="2:33" x14ac:dyDescent="0.25">
      <c r="B239">
        <v>924</v>
      </c>
      <c r="C239" s="28">
        <v>8</v>
      </c>
      <c r="D239" s="35" t="s">
        <v>265</v>
      </c>
      <c r="E239" s="154">
        <v>101.88088769949739</v>
      </c>
      <c r="F239" s="154">
        <f>INDEX('Revised 2018 Lockdown'!H$5:H$253,MATCH(B239,'Revised 2018 Lockdown'!B$5:B$253,0))</f>
        <v>101.88088769949739</v>
      </c>
      <c r="G239" s="154">
        <f t="shared" si="57"/>
        <v>0</v>
      </c>
      <c r="H239" s="5">
        <v>59433.15</v>
      </c>
      <c r="I239" s="5">
        <f>INDEX('Revised 2018 Lockdown'!E$5:E$253,MATCH(B239,'Revised 2018 Lockdown'!B$5:B$253,0))</f>
        <v>59433.15</v>
      </c>
      <c r="J239" s="5">
        <f t="shared" si="58"/>
        <v>0</v>
      </c>
      <c r="K239" s="5">
        <v>0</v>
      </c>
      <c r="L239" s="5">
        <f>INDEX('Revised 2018 Lockdown'!F$5:F$253,MATCH(B239,'Revised 2018 Lockdown'!B$5:B$253,0))</f>
        <v>0</v>
      </c>
      <c r="M239" s="5">
        <f t="shared" si="59"/>
        <v>0</v>
      </c>
      <c r="N239" s="5">
        <v>59433.15</v>
      </c>
      <c r="O239" s="97">
        <f t="shared" si="60"/>
        <v>59433.15</v>
      </c>
      <c r="P239" s="97">
        <f t="shared" si="61"/>
        <v>0</v>
      </c>
      <c r="Q239" s="95">
        <f t="shared" si="62"/>
        <v>583.35916914368624</v>
      </c>
      <c r="R239" s="6">
        <f t="shared" si="49"/>
        <v>583.35916914368624</v>
      </c>
      <c r="S239" s="5">
        <f t="shared" si="63"/>
        <v>59433.15</v>
      </c>
      <c r="T239" s="135">
        <v>0.30095238095238092</v>
      </c>
      <c r="U239" s="97">
        <f t="shared" si="50"/>
        <v>13087.459273785726</v>
      </c>
      <c r="V239" s="97">
        <f t="shared" si="51"/>
        <v>5759.0667466045679</v>
      </c>
      <c r="W239" s="97">
        <f t="shared" si="52"/>
        <v>1181.6106087189394</v>
      </c>
      <c r="X239" s="97">
        <f t="shared" si="53"/>
        <v>745.19917440035158</v>
      </c>
      <c r="Y239" s="97">
        <f t="shared" si="54"/>
        <v>20773.335803509584</v>
      </c>
      <c r="Z239" s="104">
        <f t="shared" si="55"/>
        <v>0.34952439511467226</v>
      </c>
      <c r="AA239" s="96">
        <f t="shared" si="56"/>
        <v>20773.335803509584</v>
      </c>
      <c r="AB239" s="97"/>
      <c r="AC239" s="96">
        <f>INDEX('[2]2020 Funding'!$S$26:$S$274,MATCH(B239,'[2]2020 Funding'!$B$26:$B$274,0))</f>
        <v>20782.363797550395</v>
      </c>
      <c r="AD239" s="5">
        <f t="shared" si="64"/>
        <v>-9.0279940408108814</v>
      </c>
      <c r="AF239" s="18"/>
      <c r="AG239" s="96"/>
    </row>
    <row r="240" spans="2:33" x14ac:dyDescent="0.25">
      <c r="B240">
        <v>929</v>
      </c>
      <c r="C240" s="28">
        <v>8</v>
      </c>
      <c r="D240" s="35" t="s">
        <v>266</v>
      </c>
      <c r="E240" s="154">
        <v>63.123226579614247</v>
      </c>
      <c r="F240" s="154">
        <f>INDEX('Revised 2018 Lockdown'!H$5:H$253,MATCH(B240,'Revised 2018 Lockdown'!B$5:B$253,0))</f>
        <v>63.123226579614247</v>
      </c>
      <c r="G240" s="154">
        <f t="shared" si="57"/>
        <v>0</v>
      </c>
      <c r="H240" s="5">
        <v>48337.61</v>
      </c>
      <c r="I240" s="5">
        <f>INDEX('Revised 2018 Lockdown'!E$5:E$253,MATCH(B240,'Revised 2018 Lockdown'!B$5:B$253,0))</f>
        <v>48337.61</v>
      </c>
      <c r="J240" s="5">
        <f t="shared" si="58"/>
        <v>0</v>
      </c>
      <c r="K240" s="5">
        <v>0</v>
      </c>
      <c r="L240" s="5">
        <f>INDEX('Revised 2018 Lockdown'!F$5:F$253,MATCH(B240,'Revised 2018 Lockdown'!B$5:B$253,0))</f>
        <v>0</v>
      </c>
      <c r="M240" s="5">
        <f t="shared" si="59"/>
        <v>0</v>
      </c>
      <c r="N240" s="5">
        <v>48337.61</v>
      </c>
      <c r="O240" s="97">
        <f t="shared" si="60"/>
        <v>48337.61</v>
      </c>
      <c r="P240" s="97">
        <f t="shared" si="61"/>
        <v>0</v>
      </c>
      <c r="Q240" s="95">
        <f t="shared" si="62"/>
        <v>765.76583009479293</v>
      </c>
      <c r="R240" s="6">
        <f t="shared" si="49"/>
        <v>765.76583009479293</v>
      </c>
      <c r="S240" s="5">
        <f t="shared" si="63"/>
        <v>48337.61</v>
      </c>
      <c r="T240" s="135">
        <v>0.38105952380952385</v>
      </c>
      <c r="U240" s="97">
        <f t="shared" si="50"/>
        <v>10644.169159250985</v>
      </c>
      <c r="V240" s="97">
        <f t="shared" si="51"/>
        <v>3568.1950102878368</v>
      </c>
      <c r="W240" s="97">
        <f t="shared" si="52"/>
        <v>1216.8186093516599</v>
      </c>
      <c r="X240" s="97">
        <f t="shared" si="53"/>
        <v>606.07837653710396</v>
      </c>
      <c r="Y240" s="97">
        <f t="shared" si="54"/>
        <v>16035.261155427585</v>
      </c>
      <c r="Z240" s="104">
        <f t="shared" si="55"/>
        <v>0.33173467110656868</v>
      </c>
      <c r="AA240" s="96">
        <f t="shared" si="56"/>
        <v>16035.261155427585</v>
      </c>
      <c r="AB240" s="97"/>
      <c r="AC240" s="96">
        <f>INDEX('[2]2020 Funding'!$S$26:$S$274,MATCH(B240,'[2]2020 Funding'!$B$26:$B$274,0))</f>
        <v>16043.067987434661</v>
      </c>
      <c r="AD240" s="5">
        <f t="shared" si="64"/>
        <v>-7.8068320070760819</v>
      </c>
      <c r="AF240" s="18"/>
      <c r="AG240" s="96"/>
    </row>
    <row r="241" spans="2:33" x14ac:dyDescent="0.25">
      <c r="B241">
        <v>955</v>
      </c>
      <c r="C241" s="28">
        <v>8</v>
      </c>
      <c r="D241" s="35" t="s">
        <v>267</v>
      </c>
      <c r="E241" s="154">
        <v>40.67169248967609</v>
      </c>
      <c r="F241" s="154">
        <f>INDEX('Revised 2018 Lockdown'!H$5:H$253,MATCH(B241,'Revised 2018 Lockdown'!B$5:B$253,0))</f>
        <v>40.67169248967609</v>
      </c>
      <c r="G241" s="154">
        <f t="shared" si="57"/>
        <v>0</v>
      </c>
      <c r="H241" s="5">
        <v>22678.11</v>
      </c>
      <c r="I241" s="5">
        <f>INDEX('Revised 2018 Lockdown'!E$5:E$253,MATCH(B241,'Revised 2018 Lockdown'!B$5:B$253,0))</f>
        <v>22678.11</v>
      </c>
      <c r="J241" s="5">
        <f t="shared" si="58"/>
        <v>0</v>
      </c>
      <c r="K241" s="5">
        <v>0</v>
      </c>
      <c r="L241" s="5">
        <f>INDEX('Revised 2018 Lockdown'!F$5:F$253,MATCH(B241,'Revised 2018 Lockdown'!B$5:B$253,0))</f>
        <v>0</v>
      </c>
      <c r="M241" s="5">
        <f t="shared" si="59"/>
        <v>0</v>
      </c>
      <c r="N241" s="5">
        <v>22678.11</v>
      </c>
      <c r="O241" s="97">
        <f t="shared" si="60"/>
        <v>22678.11</v>
      </c>
      <c r="P241" s="97">
        <f t="shared" si="61"/>
        <v>0</v>
      </c>
      <c r="Q241" s="95">
        <f t="shared" si="62"/>
        <v>557.58953246798137</v>
      </c>
      <c r="R241" s="6">
        <f t="shared" si="49"/>
        <v>557.58953246798137</v>
      </c>
      <c r="S241" s="5">
        <f t="shared" si="63"/>
        <v>22678.11</v>
      </c>
      <c r="T241" s="135">
        <v>0.16628571428571429</v>
      </c>
      <c r="U241" s="97">
        <f t="shared" si="50"/>
        <v>4993.8265266342569</v>
      </c>
      <c r="V241" s="97">
        <f t="shared" si="51"/>
        <v>2299.0670481424931</v>
      </c>
      <c r="W241" s="97">
        <f t="shared" si="52"/>
        <v>249.12060330009749</v>
      </c>
      <c r="X241" s="97">
        <f t="shared" si="53"/>
        <v>284.34819370940892</v>
      </c>
      <c r="Y241" s="97">
        <f t="shared" si="54"/>
        <v>7826.3623717862565</v>
      </c>
      <c r="Z241" s="104">
        <f t="shared" si="55"/>
        <v>0.34510646485911994</v>
      </c>
      <c r="AA241" s="96">
        <f t="shared" si="56"/>
        <v>7826.3623717862565</v>
      </c>
      <c r="AB241" s="97"/>
      <c r="AC241" s="96">
        <f>INDEX('[2]2020 Funding'!$S$26:$S$274,MATCH(B241,'[2]2020 Funding'!$B$26:$B$274,0))</f>
        <v>7829.6495539617144</v>
      </c>
      <c r="AD241" s="5">
        <f t="shared" si="64"/>
        <v>-3.2871821754579287</v>
      </c>
      <c r="AF241" s="18"/>
      <c r="AG241" s="96"/>
    </row>
    <row r="242" spans="2:33" x14ac:dyDescent="0.25">
      <c r="B242">
        <v>973</v>
      </c>
      <c r="C242" s="28">
        <v>8</v>
      </c>
      <c r="D242" s="35" t="s">
        <v>268</v>
      </c>
      <c r="E242" s="154">
        <v>7.5601498980809678</v>
      </c>
      <c r="F242" s="154">
        <f>INDEX('Revised 2018 Lockdown'!H$5:H$253,MATCH(B242,'Revised 2018 Lockdown'!B$5:B$253,0))</f>
        <v>7.5601498980809678</v>
      </c>
      <c r="G242" s="154">
        <f t="shared" si="57"/>
        <v>0</v>
      </c>
      <c r="H242" s="5">
        <v>10497.69</v>
      </c>
      <c r="I242" s="5">
        <f>INDEX('Revised 2018 Lockdown'!E$5:E$253,MATCH(B242,'Revised 2018 Lockdown'!B$5:B$253,0))</f>
        <v>10497.69</v>
      </c>
      <c r="J242" s="5">
        <f t="shared" si="58"/>
        <v>0</v>
      </c>
      <c r="K242" s="5">
        <v>0</v>
      </c>
      <c r="L242" s="5">
        <f>INDEX('Revised 2018 Lockdown'!F$5:F$253,MATCH(B242,'Revised 2018 Lockdown'!B$5:B$253,0))</f>
        <v>0</v>
      </c>
      <c r="M242" s="5">
        <f t="shared" si="59"/>
        <v>0</v>
      </c>
      <c r="N242" s="5">
        <v>10497.69</v>
      </c>
      <c r="O242" s="97">
        <f t="shared" si="60"/>
        <v>10497.69</v>
      </c>
      <c r="P242" s="97">
        <f t="shared" si="61"/>
        <v>0</v>
      </c>
      <c r="Q242" s="95">
        <f t="shared" si="62"/>
        <v>1388.5558013426009</v>
      </c>
      <c r="R242" s="6">
        <f t="shared" si="49"/>
        <v>1388.5558013426009</v>
      </c>
      <c r="S242" s="5">
        <f t="shared" si="63"/>
        <v>10497.69</v>
      </c>
      <c r="T242" s="135">
        <v>0.11225</v>
      </c>
      <c r="U242" s="97">
        <f t="shared" si="50"/>
        <v>2311.6407315417014</v>
      </c>
      <c r="V242" s="97">
        <f t="shared" si="51"/>
        <v>427.35599247825172</v>
      </c>
      <c r="W242" s="97">
        <f t="shared" si="52"/>
        <v>77.844501634666798</v>
      </c>
      <c r="X242" s="97">
        <f t="shared" si="53"/>
        <v>131.62468960690839</v>
      </c>
      <c r="Y242" s="97">
        <f t="shared" si="54"/>
        <v>2948.4659152615282</v>
      </c>
      <c r="Z242" s="104">
        <f t="shared" si="55"/>
        <v>0.28086806861905123</v>
      </c>
      <c r="AA242" s="96">
        <f t="shared" si="56"/>
        <v>2948.4659152615282</v>
      </c>
      <c r="AB242" s="97"/>
      <c r="AC242" s="96">
        <f>INDEX('[2]2020 Funding'!$S$26:$S$274,MATCH(B242,'[2]2020 Funding'!$B$26:$B$274,0))</f>
        <v>2950.1339188882603</v>
      </c>
      <c r="AD242" s="5">
        <f t="shared" si="64"/>
        <v>-1.6680036267321157</v>
      </c>
      <c r="AF242" s="18"/>
      <c r="AG242" s="96"/>
    </row>
    <row r="243" spans="2:33" x14ac:dyDescent="0.25">
      <c r="B243">
        <v>974</v>
      </c>
      <c r="C243" s="28">
        <v>8</v>
      </c>
      <c r="D243" s="35" t="s">
        <v>269</v>
      </c>
      <c r="E243" s="154">
        <v>15.839999999999998</v>
      </c>
      <c r="F243" s="154">
        <f>INDEX('Revised 2018 Lockdown'!H$5:H$253,MATCH(B243,'Revised 2018 Lockdown'!B$5:B$253,0))</f>
        <v>15.839999999999998</v>
      </c>
      <c r="G243" s="154">
        <f t="shared" si="57"/>
        <v>0</v>
      </c>
      <c r="H243" s="5">
        <v>14226.72</v>
      </c>
      <c r="I243" s="5">
        <f>INDEX('Revised 2018 Lockdown'!E$5:E$253,MATCH(B243,'Revised 2018 Lockdown'!B$5:B$253,0))</f>
        <v>14226.72</v>
      </c>
      <c r="J243" s="5">
        <f t="shared" si="58"/>
        <v>0</v>
      </c>
      <c r="K243" s="5">
        <v>0</v>
      </c>
      <c r="L243" s="5">
        <f>INDEX('Revised 2018 Lockdown'!F$5:F$253,MATCH(B243,'Revised 2018 Lockdown'!B$5:B$253,0))</f>
        <v>0</v>
      </c>
      <c r="M243" s="5">
        <f t="shared" si="59"/>
        <v>0</v>
      </c>
      <c r="N243" s="5">
        <v>14226.72</v>
      </c>
      <c r="O243" s="97">
        <f t="shared" si="60"/>
        <v>14226.72</v>
      </c>
      <c r="P243" s="97">
        <f t="shared" si="61"/>
        <v>0</v>
      </c>
      <c r="Q243" s="95">
        <f t="shared" si="62"/>
        <v>898.15151515151524</v>
      </c>
      <c r="R243" s="6">
        <f t="shared" si="49"/>
        <v>898.15151515151524</v>
      </c>
      <c r="S243" s="5">
        <f t="shared" si="63"/>
        <v>14226.72</v>
      </c>
      <c r="T243" s="135">
        <v>0.28751785714285716</v>
      </c>
      <c r="U243" s="97">
        <f t="shared" si="50"/>
        <v>3132.790683306418</v>
      </c>
      <c r="V243" s="97">
        <f t="shared" si="51"/>
        <v>895.39480196997113</v>
      </c>
      <c r="W243" s="97">
        <f t="shared" si="52"/>
        <v>270.21997924241055</v>
      </c>
      <c r="X243" s="97">
        <f t="shared" si="53"/>
        <v>178.38092038576065</v>
      </c>
      <c r="Y243" s="97">
        <f t="shared" si="54"/>
        <v>4476.7863849045607</v>
      </c>
      <c r="Z243" s="104">
        <f t="shared" si="55"/>
        <v>0.31467452686947944</v>
      </c>
      <c r="AA243" s="96">
        <f t="shared" si="56"/>
        <v>4476.7863849045607</v>
      </c>
      <c r="AB243" s="97"/>
      <c r="AC243" s="96">
        <f>INDEX('[2]2020 Funding'!$S$26:$S$274,MATCH(B243,'[2]2020 Funding'!$B$26:$B$274,0))</f>
        <v>4479.0687086123107</v>
      </c>
      <c r="AD243" s="5">
        <f t="shared" si="64"/>
        <v>-2.282323707750038</v>
      </c>
      <c r="AF243" s="18"/>
      <c r="AG243" s="96"/>
    </row>
    <row r="244" spans="2:33" x14ac:dyDescent="0.25">
      <c r="B244">
        <v>985</v>
      </c>
      <c r="C244" s="28">
        <v>8</v>
      </c>
      <c r="D244" s="35" t="s">
        <v>271</v>
      </c>
      <c r="E244" s="154">
        <v>44.348575474077556</v>
      </c>
      <c r="F244" s="154">
        <f>INDEX('Revised 2018 Lockdown'!H$5:H$253,MATCH(B244,'Revised 2018 Lockdown'!B$5:B$253,0))</f>
        <v>44.348575474077556</v>
      </c>
      <c r="G244" s="154">
        <f t="shared" si="57"/>
        <v>0</v>
      </c>
      <c r="H244" s="5">
        <v>97273.34</v>
      </c>
      <c r="I244" s="5">
        <f>INDEX('Revised 2018 Lockdown'!E$5:E$253,MATCH(B244,'Revised 2018 Lockdown'!B$5:B$253,0))</f>
        <v>97273.34</v>
      </c>
      <c r="J244" s="5">
        <f t="shared" si="58"/>
        <v>0</v>
      </c>
      <c r="K244" s="5">
        <v>0</v>
      </c>
      <c r="L244" s="5">
        <f>INDEX('Revised 2018 Lockdown'!F$5:F$253,MATCH(B244,'Revised 2018 Lockdown'!B$5:B$253,0))</f>
        <v>0</v>
      </c>
      <c r="M244" s="5">
        <f t="shared" si="59"/>
        <v>0</v>
      </c>
      <c r="N244" s="5">
        <v>97273.34</v>
      </c>
      <c r="O244" s="97">
        <f t="shared" si="60"/>
        <v>97273.34</v>
      </c>
      <c r="P244" s="97">
        <f t="shared" si="61"/>
        <v>0</v>
      </c>
      <c r="Q244" s="95">
        <f t="shared" si="62"/>
        <v>2193.3813873425947</v>
      </c>
      <c r="R244" s="6">
        <f t="shared" si="49"/>
        <v>1731.1011367314745</v>
      </c>
      <c r="S244" s="5">
        <f t="shared" si="63"/>
        <v>76771.869415597248</v>
      </c>
      <c r="T244" s="135">
        <v>0.28862500000000002</v>
      </c>
      <c r="U244" s="97">
        <f t="shared" si="50"/>
        <v>16905.526870930193</v>
      </c>
      <c r="V244" s="97">
        <f t="shared" si="51"/>
        <v>2506.9118657993686</v>
      </c>
      <c r="W244" s="97">
        <f t="shared" si="52"/>
        <v>1463.8073079366682</v>
      </c>
      <c r="X244" s="97">
        <f t="shared" si="53"/>
        <v>962.59972264089436</v>
      </c>
      <c r="Y244" s="97">
        <f t="shared" si="54"/>
        <v>21838.845767307124</v>
      </c>
      <c r="Z244" s="104">
        <f t="shared" si="55"/>
        <v>0.28446416550161885</v>
      </c>
      <c r="AA244" s="96">
        <f t="shared" si="56"/>
        <v>21838.845767307124</v>
      </c>
      <c r="AB244" s="97"/>
      <c r="AC244" s="96">
        <f>INDEX('[2]2020 Funding'!$S$26:$S$274,MATCH(B244,'[2]2020 Funding'!$B$26:$B$274,0))</f>
        <v>21660.938951188615</v>
      </c>
      <c r="AD244" s="5">
        <f t="shared" si="64"/>
        <v>177.9068161185096</v>
      </c>
      <c r="AF244" s="18"/>
      <c r="AG244" s="96"/>
    </row>
    <row r="245" spans="2:33" x14ac:dyDescent="0.25">
      <c r="B245">
        <v>159</v>
      </c>
      <c r="C245" s="28">
        <v>9</v>
      </c>
      <c r="D245" s="35" t="s">
        <v>273</v>
      </c>
      <c r="E245" s="154">
        <v>836.31061134951221</v>
      </c>
      <c r="F245" s="154">
        <f>INDEX('Revised 2018 Lockdown'!H$5:H$253,MATCH(B245,'Revised 2018 Lockdown'!B$5:B$253,0))</f>
        <v>836.31061134951221</v>
      </c>
      <c r="G245" s="154">
        <f t="shared" si="57"/>
        <v>0</v>
      </c>
      <c r="H245" s="5">
        <v>185850.32</v>
      </c>
      <c r="I245" s="5">
        <f>INDEX('Revised 2018 Lockdown'!E$5:E$253,MATCH(B245,'Revised 2018 Lockdown'!B$5:B$253,0))</f>
        <v>185850.32</v>
      </c>
      <c r="J245" s="5">
        <f t="shared" si="58"/>
        <v>0</v>
      </c>
      <c r="K245" s="5">
        <v>0</v>
      </c>
      <c r="L245" s="5">
        <f>INDEX('Revised 2018 Lockdown'!F$5:F$253,MATCH(B245,'Revised 2018 Lockdown'!B$5:B$253,0))</f>
        <v>0</v>
      </c>
      <c r="M245" s="5">
        <f t="shared" si="59"/>
        <v>0</v>
      </c>
      <c r="N245" s="5">
        <v>185850.32</v>
      </c>
      <c r="O245" s="97">
        <f t="shared" si="60"/>
        <v>185850.32</v>
      </c>
      <c r="P245" s="97">
        <f t="shared" si="61"/>
        <v>0</v>
      </c>
      <c r="Q245" s="95">
        <f t="shared" si="62"/>
        <v>222.22642816895834</v>
      </c>
      <c r="R245" s="6">
        <f t="shared" si="49"/>
        <v>222.22642816895834</v>
      </c>
      <c r="S245" s="5">
        <f t="shared" si="63"/>
        <v>185850.32</v>
      </c>
      <c r="T245" s="135">
        <v>0.77770833333333333</v>
      </c>
      <c r="U245" s="97">
        <f t="shared" si="50"/>
        <v>40925.114923574554</v>
      </c>
      <c r="V245" s="97">
        <f t="shared" si="51"/>
        <v>47274.505949159226</v>
      </c>
      <c r="W245" s="97">
        <f t="shared" si="52"/>
        <v>9548.3408756064855</v>
      </c>
      <c r="X245" s="97">
        <f t="shared" si="53"/>
        <v>2330.2736776704778</v>
      </c>
      <c r="Y245" s="97">
        <f t="shared" si="54"/>
        <v>100078.23542601075</v>
      </c>
      <c r="Z245" s="104">
        <f t="shared" si="55"/>
        <v>0.53848836755304352</v>
      </c>
      <c r="AA245" s="96">
        <f t="shared" si="56"/>
        <v>100078.23542601075</v>
      </c>
      <c r="AB245" s="97"/>
      <c r="AC245" s="96">
        <f>INDEX('[2]2020 Funding'!$S$26:$S$274,MATCH(B245,'[2]2020 Funding'!$B$26:$B$274,0))</f>
        <v>100102.41203720622</v>
      </c>
      <c r="AD245" s="5">
        <f t="shared" si="64"/>
        <v>-24.17661119546392</v>
      </c>
      <c r="AF245" s="18"/>
      <c r="AG245" s="96"/>
    </row>
    <row r="246" spans="2:33" x14ac:dyDescent="0.25">
      <c r="B246">
        <v>173</v>
      </c>
      <c r="C246" s="28">
        <v>9</v>
      </c>
      <c r="D246" s="35" t="s">
        <v>274</v>
      </c>
      <c r="E246" s="154">
        <v>331.48</v>
      </c>
      <c r="F246" s="154">
        <f>INDEX('Revised 2018 Lockdown'!H$5:H$253,MATCH(B246,'Revised 2018 Lockdown'!B$5:B$253,0))</f>
        <v>331.48</v>
      </c>
      <c r="G246" s="154">
        <f t="shared" si="57"/>
        <v>0</v>
      </c>
      <c r="H246" s="5">
        <v>163416.66</v>
      </c>
      <c r="I246" s="5">
        <f>INDEX('Revised 2018 Lockdown'!E$5:E$253,MATCH(B246,'Revised 2018 Lockdown'!B$5:B$253,0))</f>
        <v>163416.66</v>
      </c>
      <c r="J246" s="5">
        <f t="shared" si="58"/>
        <v>0</v>
      </c>
      <c r="K246" s="5">
        <v>8.85</v>
      </c>
      <c r="L246" s="5">
        <f>INDEX('Revised 2018 Lockdown'!F$5:F$253,MATCH(B246,'Revised 2018 Lockdown'!B$5:B$253,0))</f>
        <v>8.85</v>
      </c>
      <c r="M246" s="5">
        <f t="shared" si="59"/>
        <v>0</v>
      </c>
      <c r="N246" s="5">
        <v>163407.81</v>
      </c>
      <c r="O246" s="97">
        <f t="shared" si="60"/>
        <v>163407.81</v>
      </c>
      <c r="P246" s="97">
        <f t="shared" si="61"/>
        <v>0</v>
      </c>
      <c r="Q246" s="95">
        <f t="shared" si="62"/>
        <v>492.96431157234218</v>
      </c>
      <c r="R246" s="6">
        <f t="shared" si="49"/>
        <v>492.96431157234218</v>
      </c>
      <c r="S246" s="5">
        <f t="shared" si="63"/>
        <v>163407.81</v>
      </c>
      <c r="T246" s="135">
        <v>0.83794047619047607</v>
      </c>
      <c r="U246" s="97">
        <f t="shared" si="50"/>
        <v>35983.168625481165</v>
      </c>
      <c r="V246" s="97">
        <f t="shared" si="51"/>
        <v>18737.718999810993</v>
      </c>
      <c r="W246" s="97">
        <f t="shared" si="52"/>
        <v>9045.5260358633659</v>
      </c>
      <c r="X246" s="97">
        <f t="shared" si="53"/>
        <v>2048.8795411747406</v>
      </c>
      <c r="Y246" s="97">
        <f t="shared" si="54"/>
        <v>65815.293202330271</v>
      </c>
      <c r="Z246" s="104">
        <f t="shared" si="55"/>
        <v>0.40276712112065066</v>
      </c>
      <c r="AA246" s="96">
        <f t="shared" si="56"/>
        <v>65815.293202330271</v>
      </c>
      <c r="AB246" s="97"/>
      <c r="AC246" s="96">
        <f>INDEX('[2]2020 Funding'!$S$26:$S$274,MATCH(B246,'[2]2020 Funding'!$B$26:$B$274,0))</f>
        <v>65843.085660791519</v>
      </c>
      <c r="AD246" s="5">
        <f t="shared" si="64"/>
        <v>-27.792458461248316</v>
      </c>
      <c r="AF246" s="18"/>
      <c r="AG246" s="96"/>
    </row>
    <row r="247" spans="2:33" x14ac:dyDescent="0.25">
      <c r="B247">
        <v>204</v>
      </c>
      <c r="C247" s="28">
        <v>9</v>
      </c>
      <c r="D247" s="35" t="s">
        <v>275</v>
      </c>
      <c r="E247" s="154">
        <v>580.96721526919669</v>
      </c>
      <c r="F247" s="154">
        <f>INDEX('Revised 2018 Lockdown'!H$5:H$253,MATCH(B247,'Revised 2018 Lockdown'!B$5:B$253,0))</f>
        <v>581.54937871071559</v>
      </c>
      <c r="G247" s="154">
        <f t="shared" si="57"/>
        <v>-0.58216344151890098</v>
      </c>
      <c r="H247" s="5">
        <v>537687.29</v>
      </c>
      <c r="I247" s="5">
        <f>INDEX('Revised 2018 Lockdown'!E$5:E$253,MATCH(B247,'Revised 2018 Lockdown'!B$5:B$253,0))</f>
        <v>440563.7</v>
      </c>
      <c r="J247" s="5">
        <f t="shared" si="58"/>
        <v>97123.590000000026</v>
      </c>
      <c r="K247" s="5">
        <v>13863.43</v>
      </c>
      <c r="L247" s="5">
        <f>INDEX('Revised 2018 Lockdown'!F$5:F$253,MATCH(B247,'Revised 2018 Lockdown'!B$5:B$253,0))</f>
        <v>14024.64</v>
      </c>
      <c r="M247" s="5">
        <f t="shared" si="59"/>
        <v>-161.20999999999913</v>
      </c>
      <c r="N247" s="5">
        <v>523823.86000000004</v>
      </c>
      <c r="O247" s="97">
        <f t="shared" si="60"/>
        <v>426539.06</v>
      </c>
      <c r="P247" s="97">
        <f t="shared" si="61"/>
        <v>97284.800000000047</v>
      </c>
      <c r="Q247" s="95">
        <f t="shared" si="62"/>
        <v>733.45286851759579</v>
      </c>
      <c r="R247" s="6">
        <f t="shared" si="49"/>
        <v>733.45286851759579</v>
      </c>
      <c r="S247" s="5">
        <f t="shared" si="63"/>
        <v>426539.06</v>
      </c>
      <c r="T247" s="135">
        <v>0.38543303571428572</v>
      </c>
      <c r="U247" s="97">
        <f t="shared" si="50"/>
        <v>93925.907955894072</v>
      </c>
      <c r="V247" s="97">
        <f t="shared" si="51"/>
        <v>32873.503206214707</v>
      </c>
      <c r="W247" s="97">
        <f t="shared" si="52"/>
        <v>10860.64435069825</v>
      </c>
      <c r="X247" s="97">
        <f t="shared" si="53"/>
        <v>5348.1357686998263</v>
      </c>
      <c r="Y247" s="97">
        <f t="shared" si="54"/>
        <v>143008.19128150688</v>
      </c>
      <c r="Z247" s="104">
        <f t="shared" si="55"/>
        <v>0.33527572195031069</v>
      </c>
      <c r="AA247" s="96">
        <f t="shared" si="56"/>
        <v>143008.19128150688</v>
      </c>
      <c r="AB247" s="97"/>
      <c r="AC247" s="96">
        <f>INDEX('[2]2020 Funding'!$S$26:$S$274,MATCH(B247,'[2]2020 Funding'!$B$26:$B$274,0))</f>
        <v>168181.00328972714</v>
      </c>
      <c r="AD247" s="5">
        <f t="shared" si="64"/>
        <v>-25172.812008220266</v>
      </c>
      <c r="AF247" s="18"/>
      <c r="AG247" s="96"/>
    </row>
    <row r="248" spans="2:33" x14ac:dyDescent="0.25">
      <c r="B248">
        <v>230</v>
      </c>
      <c r="C248" s="28">
        <v>9</v>
      </c>
      <c r="D248" s="35" t="s">
        <v>277</v>
      </c>
      <c r="E248" s="154">
        <v>138.87109847515134</v>
      </c>
      <c r="F248" s="154">
        <f>INDEX('Revised 2018 Lockdown'!H$5:H$253,MATCH(B248,'Revised 2018 Lockdown'!B$5:B$253,0))</f>
        <v>138.87109847515134</v>
      </c>
      <c r="G248" s="154">
        <f t="shared" si="57"/>
        <v>0</v>
      </c>
      <c r="H248" s="5">
        <v>74126.899999999994</v>
      </c>
      <c r="I248" s="5">
        <f>INDEX('Revised 2018 Lockdown'!E$5:E$253,MATCH(B248,'Revised 2018 Lockdown'!B$5:B$253,0))</f>
        <v>74126.899999999994</v>
      </c>
      <c r="J248" s="5">
        <f t="shared" si="58"/>
        <v>0</v>
      </c>
      <c r="K248" s="5">
        <v>2183.36</v>
      </c>
      <c r="L248" s="5">
        <f>INDEX('Revised 2018 Lockdown'!F$5:F$253,MATCH(B248,'Revised 2018 Lockdown'!B$5:B$253,0))</f>
        <v>2183.36</v>
      </c>
      <c r="M248" s="5">
        <f t="shared" si="59"/>
        <v>0</v>
      </c>
      <c r="N248" s="5">
        <v>71943.539999999994</v>
      </c>
      <c r="O248" s="97">
        <f t="shared" si="60"/>
        <v>71943.539999999994</v>
      </c>
      <c r="P248" s="97">
        <f t="shared" si="61"/>
        <v>0</v>
      </c>
      <c r="Q248" s="95">
        <f t="shared" si="62"/>
        <v>518.05984679290975</v>
      </c>
      <c r="R248" s="6">
        <f t="shared" si="49"/>
        <v>518.05984679290975</v>
      </c>
      <c r="S248" s="5">
        <f t="shared" si="63"/>
        <v>71943.539999999994</v>
      </c>
      <c r="T248" s="135">
        <v>0.28373511904761906</v>
      </c>
      <c r="U248" s="97">
        <f t="shared" si="50"/>
        <v>15842.306015447173</v>
      </c>
      <c r="V248" s="97">
        <f t="shared" si="51"/>
        <v>7850.0290226332399</v>
      </c>
      <c r="W248" s="97">
        <f t="shared" si="52"/>
        <v>1348.5055749845144</v>
      </c>
      <c r="X248" s="97">
        <f t="shared" si="53"/>
        <v>902.05998859960584</v>
      </c>
      <c r="Y248" s="97">
        <f t="shared" si="54"/>
        <v>25942.900601664533</v>
      </c>
      <c r="Z248" s="104">
        <f t="shared" si="55"/>
        <v>0.36060083506683899</v>
      </c>
      <c r="AA248" s="96">
        <f t="shared" si="56"/>
        <v>25942.900601664533</v>
      </c>
      <c r="AB248" s="97"/>
      <c r="AC248" s="96">
        <f>INDEX('[2]2020 Funding'!$S$26:$S$274,MATCH(B248,'[2]2020 Funding'!$B$26:$B$274,0))</f>
        <v>25953.540657117726</v>
      </c>
      <c r="AD248" s="5">
        <f t="shared" si="64"/>
        <v>-10.640055453193781</v>
      </c>
      <c r="AF248" s="18"/>
      <c r="AG248" s="96"/>
    </row>
    <row r="249" spans="2:33" x14ac:dyDescent="0.25">
      <c r="B249">
        <v>277</v>
      </c>
      <c r="C249" s="28">
        <v>9</v>
      </c>
      <c r="D249" s="35" t="s">
        <v>278</v>
      </c>
      <c r="E249" s="154">
        <v>116.68788323704716</v>
      </c>
      <c r="F249" s="154">
        <f>INDEX('Revised 2018 Lockdown'!H$5:H$253,MATCH(B249,'Revised 2018 Lockdown'!B$5:B$253,0))</f>
        <v>116.68788323704716</v>
      </c>
      <c r="G249" s="154">
        <f t="shared" si="57"/>
        <v>0</v>
      </c>
      <c r="H249" s="5">
        <v>80836.320000000007</v>
      </c>
      <c r="I249" s="5">
        <f>INDEX('Revised 2018 Lockdown'!E$5:E$253,MATCH(B249,'Revised 2018 Lockdown'!B$5:B$253,0))</f>
        <v>80836.320000000007</v>
      </c>
      <c r="J249" s="5">
        <f t="shared" si="58"/>
        <v>0</v>
      </c>
      <c r="K249" s="5">
        <v>0</v>
      </c>
      <c r="L249" s="5">
        <f>INDEX('Revised 2018 Lockdown'!F$5:F$253,MATCH(B249,'Revised 2018 Lockdown'!B$5:B$253,0))</f>
        <v>0</v>
      </c>
      <c r="M249" s="5">
        <f t="shared" si="59"/>
        <v>0</v>
      </c>
      <c r="N249" s="5">
        <v>80836.320000000007</v>
      </c>
      <c r="O249" s="97">
        <f t="shared" si="60"/>
        <v>80836.320000000007</v>
      </c>
      <c r="P249" s="97">
        <f t="shared" si="61"/>
        <v>0</v>
      </c>
      <c r="Q249" s="95">
        <f t="shared" si="62"/>
        <v>692.75676066369272</v>
      </c>
      <c r="R249" s="6">
        <f t="shared" si="49"/>
        <v>692.75676066369272</v>
      </c>
      <c r="S249" s="5">
        <f t="shared" si="63"/>
        <v>80836.320000000007</v>
      </c>
      <c r="T249" s="135">
        <v>0.35522321428571429</v>
      </c>
      <c r="U249" s="97">
        <f t="shared" si="50"/>
        <v>17800.538013595284</v>
      </c>
      <c r="V249" s="97">
        <f t="shared" si="51"/>
        <v>6596.068440866854</v>
      </c>
      <c r="W249" s="97">
        <f t="shared" si="52"/>
        <v>1896.9492987613082</v>
      </c>
      <c r="X249" s="97">
        <f t="shared" si="53"/>
        <v>1013.5616053593429</v>
      </c>
      <c r="Y249" s="97">
        <f t="shared" si="54"/>
        <v>27307.117358582789</v>
      </c>
      <c r="Z249" s="104">
        <f t="shared" si="55"/>
        <v>0.33780752709404371</v>
      </c>
      <c r="AA249" s="96">
        <f t="shared" si="56"/>
        <v>27307.117358582789</v>
      </c>
      <c r="AB249" s="97"/>
      <c r="AC249" s="96">
        <f>INDEX('[2]2020 Funding'!$S$26:$S$274,MATCH(B249,'[2]2020 Funding'!$B$26:$B$274,0))</f>
        <v>27319.915270257741</v>
      </c>
      <c r="AD249" s="5">
        <f t="shared" si="64"/>
        <v>-12.797911674952047</v>
      </c>
      <c r="AF249" s="18"/>
      <c r="AG249" s="96"/>
    </row>
    <row r="250" spans="2:33" x14ac:dyDescent="0.25">
      <c r="B250">
        <v>279</v>
      </c>
      <c r="C250" s="36">
        <v>9</v>
      </c>
      <c r="D250" s="35" t="s">
        <v>279</v>
      </c>
      <c r="E250" s="154">
        <v>433.73772503612372</v>
      </c>
      <c r="F250" s="154">
        <f>INDEX('Revised 2018 Lockdown'!H$5:H$253,MATCH(B250,'Revised 2018 Lockdown'!B$5:B$253,0))</f>
        <v>433.73772503612372</v>
      </c>
      <c r="G250" s="154">
        <f t="shared" si="57"/>
        <v>0</v>
      </c>
      <c r="H250" s="5">
        <v>169004.5</v>
      </c>
      <c r="I250" s="5">
        <f>INDEX('Revised 2018 Lockdown'!E$5:E$253,MATCH(B250,'Revised 2018 Lockdown'!B$5:B$253,0))</f>
        <v>170142.93</v>
      </c>
      <c r="J250" s="5">
        <f t="shared" si="58"/>
        <v>-1138.429999999993</v>
      </c>
      <c r="K250" s="5">
        <v>672</v>
      </c>
      <c r="L250" s="5">
        <f>INDEX('Revised 2018 Lockdown'!F$5:F$253,MATCH(B250,'Revised 2018 Lockdown'!B$5:B$253,0))</f>
        <v>671.56</v>
      </c>
      <c r="M250" s="5">
        <f t="shared" si="59"/>
        <v>0.44000000000005457</v>
      </c>
      <c r="N250" s="5">
        <v>168332.5</v>
      </c>
      <c r="O250" s="97">
        <f t="shared" si="60"/>
        <v>169471.37</v>
      </c>
      <c r="P250" s="97">
        <f t="shared" si="61"/>
        <v>-1138.8699999999953</v>
      </c>
      <c r="Q250" s="95">
        <f t="shared" si="62"/>
        <v>390.72314953901144</v>
      </c>
      <c r="R250" s="6">
        <f t="shared" si="49"/>
        <v>390.72314953901144</v>
      </c>
      <c r="S250" s="5">
        <f t="shared" si="63"/>
        <v>169471.37</v>
      </c>
      <c r="T250" s="135">
        <v>0.39679464285714283</v>
      </c>
      <c r="U250" s="97">
        <f t="shared" si="50"/>
        <v>37318.393067634337</v>
      </c>
      <c r="V250" s="97">
        <f t="shared" si="51"/>
        <v>24518.087399976379</v>
      </c>
      <c r="W250" s="97">
        <f t="shared" si="52"/>
        <v>4442.3215347823325</v>
      </c>
      <c r="X250" s="97">
        <f t="shared" si="53"/>
        <v>2124.9071437151911</v>
      </c>
      <c r="Y250" s="97">
        <f t="shared" si="54"/>
        <v>68403.709146108231</v>
      </c>
      <c r="Z250" s="104">
        <f t="shared" si="55"/>
        <v>0.40362988241676595</v>
      </c>
      <c r="AA250" s="96">
        <f t="shared" si="56"/>
        <v>68403.709146108231</v>
      </c>
      <c r="AB250" s="97"/>
      <c r="AC250" s="96">
        <f>INDEX('[2]2020 Funding'!$S$26:$S$274,MATCH(B250,'[2]2020 Funding'!$B$26:$B$274,0))</f>
        <v>68132.852823755282</v>
      </c>
      <c r="AD250" s="5">
        <f t="shared" si="64"/>
        <v>270.85632235294906</v>
      </c>
      <c r="AF250" s="18"/>
      <c r="AG250" s="96"/>
    </row>
    <row r="251" spans="2:33" x14ac:dyDescent="0.25">
      <c r="B251">
        <v>331</v>
      </c>
      <c r="C251" s="28">
        <v>9</v>
      </c>
      <c r="D251" s="35" t="s">
        <v>280</v>
      </c>
      <c r="E251" s="154">
        <v>394.99809912383472</v>
      </c>
      <c r="F251" s="154">
        <f>INDEX('Revised 2018 Lockdown'!H$5:H$253,MATCH(B251,'Revised 2018 Lockdown'!B$5:B$253,0))</f>
        <v>394.99809912383472</v>
      </c>
      <c r="G251" s="154">
        <f t="shared" si="57"/>
        <v>0</v>
      </c>
      <c r="H251" s="5">
        <v>154031.09</v>
      </c>
      <c r="I251" s="5">
        <f>INDEX('Revised 2018 Lockdown'!E$5:E$253,MATCH(B251,'Revised 2018 Lockdown'!B$5:B$253,0))</f>
        <v>154031.09</v>
      </c>
      <c r="J251" s="5">
        <f t="shared" si="58"/>
        <v>0</v>
      </c>
      <c r="K251" s="5">
        <v>1052.98</v>
      </c>
      <c r="L251" s="5">
        <f>INDEX('Revised 2018 Lockdown'!F$5:F$253,MATCH(B251,'Revised 2018 Lockdown'!B$5:B$253,0))</f>
        <v>1052.98</v>
      </c>
      <c r="M251" s="5">
        <f t="shared" si="59"/>
        <v>0</v>
      </c>
      <c r="N251" s="5">
        <v>152978.10999999999</v>
      </c>
      <c r="O251" s="97">
        <f t="shared" si="60"/>
        <v>152978.10999999999</v>
      </c>
      <c r="P251" s="97">
        <f t="shared" si="61"/>
        <v>0</v>
      </c>
      <c r="Q251" s="95">
        <f t="shared" si="62"/>
        <v>387.28821819479253</v>
      </c>
      <c r="R251" s="6">
        <f t="shared" si="49"/>
        <v>387.28821819479253</v>
      </c>
      <c r="S251" s="5">
        <f t="shared" si="63"/>
        <v>152978.10999999999</v>
      </c>
      <c r="T251" s="135">
        <v>0.47747172619047623</v>
      </c>
      <c r="U251" s="97">
        <f t="shared" si="50"/>
        <v>33686.499611844782</v>
      </c>
      <c r="V251" s="97">
        <f t="shared" si="51"/>
        <v>22328.235147948304</v>
      </c>
      <c r="W251" s="97">
        <f t="shared" si="52"/>
        <v>4825.3053356947003</v>
      </c>
      <c r="X251" s="97">
        <f t="shared" si="53"/>
        <v>1918.1073403197738</v>
      </c>
      <c r="Y251" s="97">
        <f t="shared" si="54"/>
        <v>62758.147435807557</v>
      </c>
      <c r="Z251" s="104">
        <f t="shared" si="55"/>
        <v>0.41024266436425161</v>
      </c>
      <c r="AA251" s="96">
        <f t="shared" si="56"/>
        <v>62758.147435807557</v>
      </c>
      <c r="AB251" s="97"/>
      <c r="AC251" s="96">
        <f>INDEX('[2]2020 Funding'!$S$26:$S$274,MATCH(B251,'[2]2020 Funding'!$B$26:$B$274,0))</f>
        <v>62780.528317697172</v>
      </c>
      <c r="AD251" s="5">
        <f t="shared" si="64"/>
        <v>-22.380881889614102</v>
      </c>
      <c r="AF251" s="18"/>
      <c r="AG251" s="96"/>
    </row>
    <row r="252" spans="2:33" x14ac:dyDescent="0.25">
      <c r="B252">
        <v>369</v>
      </c>
      <c r="C252" s="38">
        <v>9</v>
      </c>
      <c r="D252" s="35" t="s">
        <v>281</v>
      </c>
      <c r="E252" s="154">
        <v>361.24999999999994</v>
      </c>
      <c r="F252" s="154">
        <f>INDEX('Revised 2018 Lockdown'!H$5:H$253,MATCH(B252,'Revised 2018 Lockdown'!B$5:B$253,0))</f>
        <v>361.24999999999994</v>
      </c>
      <c r="G252" s="154">
        <f t="shared" si="57"/>
        <v>0</v>
      </c>
      <c r="H252" s="5">
        <v>450151.28</v>
      </c>
      <c r="I252" s="5">
        <f>INDEX('Revised 2018 Lockdown'!E$5:E$253,MATCH(B252,'Revised 2018 Lockdown'!B$5:B$253,0))</f>
        <v>450151.28</v>
      </c>
      <c r="J252" s="5">
        <f t="shared" si="58"/>
        <v>0</v>
      </c>
      <c r="K252" s="5">
        <v>0</v>
      </c>
      <c r="L252" s="5">
        <f>INDEX('Revised 2018 Lockdown'!F$5:F$253,MATCH(B252,'Revised 2018 Lockdown'!B$5:B$253,0))</f>
        <v>0</v>
      </c>
      <c r="M252" s="5">
        <f t="shared" si="59"/>
        <v>0</v>
      </c>
      <c r="N252" s="5">
        <v>450151.28</v>
      </c>
      <c r="O252" s="97">
        <f t="shared" si="60"/>
        <v>450151.28</v>
      </c>
      <c r="P252" s="97">
        <f t="shared" si="61"/>
        <v>0</v>
      </c>
      <c r="Q252" s="95">
        <f t="shared" si="62"/>
        <v>1246.0935086505192</v>
      </c>
      <c r="R252" s="6">
        <f t="shared" si="49"/>
        <v>1246.0935086505192</v>
      </c>
      <c r="S252" s="5">
        <f t="shared" si="63"/>
        <v>450151.27999999997</v>
      </c>
      <c r="T252" s="135">
        <v>0.58527678571428576</v>
      </c>
      <c r="U252" s="97">
        <f t="shared" si="50"/>
        <v>99125.429899685856</v>
      </c>
      <c r="V252" s="97">
        <f t="shared" si="51"/>
        <v>20420.541174978036</v>
      </c>
      <c r="W252" s="97">
        <f t="shared" si="52"/>
        <v>17404.743898270466</v>
      </c>
      <c r="X252" s="97">
        <f t="shared" si="53"/>
        <v>5644.196247569942</v>
      </c>
      <c r="Y252" s="97">
        <f t="shared" si="54"/>
        <v>142594.91122050432</v>
      </c>
      <c r="Z252" s="104">
        <f t="shared" si="55"/>
        <v>0.31677108908921536</v>
      </c>
      <c r="AA252" s="96">
        <f t="shared" si="56"/>
        <v>142594.91122050432</v>
      </c>
      <c r="AB252" s="97"/>
      <c r="AC252" s="96">
        <f>INDEX('[2]2020 Funding'!$S$26:$S$274,MATCH(B252,'[2]2020 Funding'!$B$26:$B$274,0))</f>
        <v>142674.97144525114</v>
      </c>
      <c r="AD252" s="5">
        <f t="shared" si="64"/>
        <v>-80.060224746819586</v>
      </c>
      <c r="AF252" s="18"/>
      <c r="AG252" s="96"/>
    </row>
    <row r="253" spans="2:33" x14ac:dyDescent="0.25">
      <c r="B253">
        <v>416</v>
      </c>
      <c r="C253" s="38">
        <v>9</v>
      </c>
      <c r="D253" s="35" t="s">
        <v>282</v>
      </c>
      <c r="E253" s="154">
        <v>77.118547672694447</v>
      </c>
      <c r="F253" s="154">
        <f>INDEX('Revised 2018 Lockdown'!H$5:H$253,MATCH(B253,'Revised 2018 Lockdown'!B$5:B$253,0))</f>
        <v>77.118547672694447</v>
      </c>
      <c r="G253" s="154">
        <f t="shared" si="57"/>
        <v>0</v>
      </c>
      <c r="H253" s="5">
        <v>53379.53</v>
      </c>
      <c r="I253" s="5">
        <f>INDEX('Revised 2018 Lockdown'!E$5:E$253,MATCH(B253,'Revised 2018 Lockdown'!B$5:B$253,0))</f>
        <v>53379.53</v>
      </c>
      <c r="J253" s="5">
        <f t="shared" si="58"/>
        <v>0</v>
      </c>
      <c r="K253" s="5">
        <v>735</v>
      </c>
      <c r="L253" s="5">
        <f>INDEX('Revised 2018 Lockdown'!F$5:F$253,MATCH(B253,'Revised 2018 Lockdown'!B$5:B$253,0))</f>
        <v>735</v>
      </c>
      <c r="M253" s="5">
        <f t="shared" si="59"/>
        <v>0</v>
      </c>
      <c r="N253" s="5">
        <v>52644.53</v>
      </c>
      <c r="O253" s="97">
        <f t="shared" si="60"/>
        <v>52644.53</v>
      </c>
      <c r="P253" s="97">
        <f t="shared" si="61"/>
        <v>0</v>
      </c>
      <c r="Q253" s="95">
        <f t="shared" si="62"/>
        <v>682.6442093208658</v>
      </c>
      <c r="R253" s="6">
        <f t="shared" si="49"/>
        <v>682.6442093208658</v>
      </c>
      <c r="S253" s="5">
        <f t="shared" si="63"/>
        <v>52644.53</v>
      </c>
      <c r="T253" s="135">
        <v>0.66196428571428567</v>
      </c>
      <c r="U253" s="97">
        <f t="shared" si="50"/>
        <v>11592.573208093308</v>
      </c>
      <c r="V253" s="97">
        <f t="shared" si="51"/>
        <v>4359.3148182830828</v>
      </c>
      <c r="W253" s="97">
        <f t="shared" si="52"/>
        <v>2302.1608329858159</v>
      </c>
      <c r="X253" s="97">
        <f t="shared" si="53"/>
        <v>660.08044824638341</v>
      </c>
      <c r="Y253" s="97">
        <f t="shared" si="54"/>
        <v>18914.129307608589</v>
      </c>
      <c r="Z253" s="104">
        <f t="shared" si="55"/>
        <v>0.35928004880295428</v>
      </c>
      <c r="AA253" s="96">
        <f t="shared" si="56"/>
        <v>18914.129307608589</v>
      </c>
      <c r="AB253" s="97"/>
      <c r="AC253" s="96">
        <f>INDEX('[2]2020 Funding'!$S$26:$S$274,MATCH(B253,'[2]2020 Funding'!$B$26:$B$274,0))</f>
        <v>18923.136679639327</v>
      </c>
      <c r="AD253" s="5">
        <f t="shared" si="64"/>
        <v>-9.0073720307373151</v>
      </c>
      <c r="AF253" s="18"/>
      <c r="AG253" s="96"/>
    </row>
    <row r="254" spans="2:33" x14ac:dyDescent="0.25">
      <c r="B254">
        <v>508</v>
      </c>
      <c r="C254" s="38">
        <v>9</v>
      </c>
      <c r="D254" s="35" t="s">
        <v>284</v>
      </c>
      <c r="E254" s="154">
        <v>97.534402669301102</v>
      </c>
      <c r="F254" s="154">
        <f>INDEX('Revised 2018 Lockdown'!H$5:H$253,MATCH(B254,'Revised 2018 Lockdown'!B$5:B$253,0))</f>
        <v>97.534402669301102</v>
      </c>
      <c r="G254" s="154">
        <f t="shared" si="57"/>
        <v>0</v>
      </c>
      <c r="H254" s="5">
        <v>70511.86</v>
      </c>
      <c r="I254" s="5">
        <f>INDEX('Revised 2018 Lockdown'!E$5:E$253,MATCH(B254,'Revised 2018 Lockdown'!B$5:B$253,0))</f>
        <v>70511.86</v>
      </c>
      <c r="J254" s="5">
        <f t="shared" si="58"/>
        <v>0</v>
      </c>
      <c r="K254" s="5">
        <v>0</v>
      </c>
      <c r="L254" s="5">
        <f>INDEX('Revised 2018 Lockdown'!F$5:F$253,MATCH(B254,'Revised 2018 Lockdown'!B$5:B$253,0))</f>
        <v>0</v>
      </c>
      <c r="M254" s="5">
        <f t="shared" si="59"/>
        <v>0</v>
      </c>
      <c r="N254" s="5">
        <v>70511.86</v>
      </c>
      <c r="O254" s="97">
        <f t="shared" si="60"/>
        <v>70511.86</v>
      </c>
      <c r="P254" s="97">
        <f t="shared" si="61"/>
        <v>0</v>
      </c>
      <c r="Q254" s="95">
        <f t="shared" si="62"/>
        <v>722.94347502261962</v>
      </c>
      <c r="R254" s="6">
        <f t="shared" si="49"/>
        <v>722.94347502261962</v>
      </c>
      <c r="S254" s="5">
        <f t="shared" si="63"/>
        <v>70511.86</v>
      </c>
      <c r="T254" s="135">
        <v>0.53788839285714285</v>
      </c>
      <c r="U254" s="97">
        <f t="shared" si="50"/>
        <v>15527.043343132254</v>
      </c>
      <c r="V254" s="97">
        <f t="shared" si="51"/>
        <v>5513.371033039034</v>
      </c>
      <c r="W254" s="97">
        <f t="shared" si="52"/>
        <v>2505.5449168981813</v>
      </c>
      <c r="X254" s="97">
        <f t="shared" si="53"/>
        <v>884.10895026484673</v>
      </c>
      <c r="Y254" s="97">
        <f t="shared" si="54"/>
        <v>24430.068243334317</v>
      </c>
      <c r="Z254" s="104">
        <f t="shared" si="55"/>
        <v>0.34646750551374361</v>
      </c>
      <c r="AA254" s="96">
        <f t="shared" si="56"/>
        <v>24430.068243334317</v>
      </c>
      <c r="AB254" s="97"/>
      <c r="AC254" s="96">
        <f>INDEX('[2]2020 Funding'!$S$26:$S$274,MATCH(B254,'[2]2020 Funding'!$B$26:$B$274,0))</f>
        <v>24441.846143779432</v>
      </c>
      <c r="AD254" s="5">
        <f t="shared" si="64"/>
        <v>-11.777900445114938</v>
      </c>
      <c r="AF254" s="18"/>
      <c r="AG254" s="96"/>
    </row>
    <row r="255" spans="2:33" x14ac:dyDescent="0.25">
      <c r="B255">
        <v>512</v>
      </c>
      <c r="C255" s="38">
        <v>9</v>
      </c>
      <c r="D255" s="35" t="s">
        <v>285</v>
      </c>
      <c r="E255" s="154">
        <v>240.71591575946039</v>
      </c>
      <c r="F255" s="154">
        <f>INDEX('Revised 2018 Lockdown'!H$5:H$253,MATCH(B255,'Revised 2018 Lockdown'!B$5:B$253,0))</f>
        <v>240.71591575946039</v>
      </c>
      <c r="G255" s="154">
        <f t="shared" si="57"/>
        <v>0</v>
      </c>
      <c r="H255" s="5">
        <v>289506.95</v>
      </c>
      <c r="I255" s="5">
        <f>INDEX('Revised 2018 Lockdown'!E$5:E$253,MATCH(B255,'Revised 2018 Lockdown'!B$5:B$253,0))</f>
        <v>292037.07</v>
      </c>
      <c r="J255" s="5">
        <f t="shared" si="58"/>
        <v>-2530.1199999999953</v>
      </c>
      <c r="K255" s="5">
        <v>6673.84</v>
      </c>
      <c r="L255" s="5">
        <f>INDEX('Revised 2018 Lockdown'!F$5:F$253,MATCH(B255,'Revised 2018 Lockdown'!B$5:B$253,0))</f>
        <v>6673.84</v>
      </c>
      <c r="M255" s="5">
        <f t="shared" si="59"/>
        <v>0</v>
      </c>
      <c r="N255" s="5">
        <v>282833.11</v>
      </c>
      <c r="O255" s="97">
        <f t="shared" si="60"/>
        <v>285363.23</v>
      </c>
      <c r="P255" s="97">
        <f t="shared" si="61"/>
        <v>-2530.1199999999953</v>
      </c>
      <c r="Q255" s="95">
        <f t="shared" si="62"/>
        <v>1185.4772007894742</v>
      </c>
      <c r="R255" s="6">
        <f t="shared" si="49"/>
        <v>1185.4772007894742</v>
      </c>
      <c r="S255" s="5">
        <f t="shared" si="63"/>
        <v>285363.23</v>
      </c>
      <c r="T255" s="135">
        <v>0.57025000000000003</v>
      </c>
      <c r="U255" s="97">
        <f t="shared" si="50"/>
        <v>62838.32593192433</v>
      </c>
      <c r="V255" s="97">
        <f t="shared" si="51"/>
        <v>13607.056800660499</v>
      </c>
      <c r="W255" s="97">
        <f t="shared" si="52"/>
        <v>10750.066608803956</v>
      </c>
      <c r="X255" s="97">
        <f t="shared" si="53"/>
        <v>3578.0106455777227</v>
      </c>
      <c r="Y255" s="97">
        <f t="shared" si="54"/>
        <v>90773.459986966511</v>
      </c>
      <c r="Z255" s="104">
        <f t="shared" si="55"/>
        <v>0.31809795532159668</v>
      </c>
      <c r="AA255" s="96">
        <f t="shared" si="56"/>
        <v>90773.459986966511</v>
      </c>
      <c r="AB255" s="97"/>
      <c r="AC255" s="96">
        <f>INDEX('[2]2020 Funding'!$S$26:$S$274,MATCH(B255,'[2]2020 Funding'!$B$26:$B$274,0))</f>
        <v>90139.191211949204</v>
      </c>
      <c r="AD255" s="5">
        <f t="shared" si="64"/>
        <v>634.26877501730633</v>
      </c>
      <c r="AF255" s="18"/>
      <c r="AG255" s="96"/>
    </row>
    <row r="256" spans="2:33" x14ac:dyDescent="0.25">
      <c r="B256">
        <v>516</v>
      </c>
      <c r="C256" s="38">
        <v>9</v>
      </c>
      <c r="D256" s="35" t="s">
        <v>286</v>
      </c>
      <c r="E256" s="154">
        <v>342.01065921214706</v>
      </c>
      <c r="F256" s="154">
        <f>INDEX('Revised 2018 Lockdown'!H$5:H$253,MATCH(B256,'Revised 2018 Lockdown'!B$5:B$253,0))</f>
        <v>342.01065921214706</v>
      </c>
      <c r="G256" s="154">
        <f t="shared" si="57"/>
        <v>0</v>
      </c>
      <c r="H256" s="5">
        <v>167497.34</v>
      </c>
      <c r="I256" s="5">
        <f>INDEX('Revised 2018 Lockdown'!E$5:E$253,MATCH(B256,'Revised 2018 Lockdown'!B$5:B$253,0))</f>
        <v>167497.34</v>
      </c>
      <c r="J256" s="5">
        <f t="shared" si="58"/>
        <v>0</v>
      </c>
      <c r="K256" s="5">
        <v>180.64</v>
      </c>
      <c r="L256" s="5">
        <f>INDEX('Revised 2018 Lockdown'!F$5:F$253,MATCH(B256,'Revised 2018 Lockdown'!B$5:B$253,0))</f>
        <v>180.64</v>
      </c>
      <c r="M256" s="5">
        <f t="shared" si="59"/>
        <v>0</v>
      </c>
      <c r="N256" s="5">
        <v>167316.69999999998</v>
      </c>
      <c r="O256" s="97">
        <f t="shared" si="60"/>
        <v>167316.69999999998</v>
      </c>
      <c r="P256" s="97">
        <f t="shared" si="61"/>
        <v>0</v>
      </c>
      <c r="Q256" s="95">
        <f t="shared" si="62"/>
        <v>489.21486945883311</v>
      </c>
      <c r="R256" s="6">
        <f t="shared" si="49"/>
        <v>489.21486945883311</v>
      </c>
      <c r="S256" s="5">
        <f t="shared" si="63"/>
        <v>167316.69999999998</v>
      </c>
      <c r="T256" s="135">
        <v>0.44861904761904758</v>
      </c>
      <c r="U256" s="97">
        <f t="shared" si="50"/>
        <v>36843.924595519908</v>
      </c>
      <c r="V256" s="97">
        <f t="shared" si="51"/>
        <v>19332.990307883822</v>
      </c>
      <c r="W256" s="97">
        <f t="shared" si="52"/>
        <v>4958.6659087770422</v>
      </c>
      <c r="X256" s="97">
        <f t="shared" si="53"/>
        <v>2097.8909363443013</v>
      </c>
      <c r="Y256" s="97">
        <f t="shared" si="54"/>
        <v>63233.471748525066</v>
      </c>
      <c r="Z256" s="104">
        <f t="shared" si="55"/>
        <v>0.37792684022888973</v>
      </c>
      <c r="AA256" s="96">
        <f t="shared" si="56"/>
        <v>63233.471748525066</v>
      </c>
      <c r="AB256" s="97"/>
      <c r="AC256" s="96">
        <f>INDEX('[2]2020 Funding'!$S$26:$S$274,MATCH(B256,'[2]2020 Funding'!$B$26:$B$274,0))</f>
        <v>63259.1070878971</v>
      </c>
      <c r="AD256" s="5">
        <f t="shared" si="64"/>
        <v>-25.63533937203465</v>
      </c>
      <c r="AF256" s="18"/>
      <c r="AG256" s="96"/>
    </row>
    <row r="257" spans="2:33" x14ac:dyDescent="0.25">
      <c r="B257">
        <v>521</v>
      </c>
      <c r="C257" s="38">
        <v>9</v>
      </c>
      <c r="D257" s="35" t="s">
        <v>287</v>
      </c>
      <c r="E257" s="154">
        <v>150.54889539237996</v>
      </c>
      <c r="F257" s="154">
        <f>INDEX('Revised 2018 Lockdown'!H$5:H$253,MATCH(B257,'Revised 2018 Lockdown'!B$5:B$253,0))</f>
        <v>150.54889539237996</v>
      </c>
      <c r="G257" s="154">
        <f t="shared" si="57"/>
        <v>0</v>
      </c>
      <c r="H257" s="5">
        <v>373633.01</v>
      </c>
      <c r="I257" s="5">
        <f>INDEX('Revised 2018 Lockdown'!E$5:E$253,MATCH(B257,'Revised 2018 Lockdown'!B$5:B$253,0))</f>
        <v>373633.01</v>
      </c>
      <c r="J257" s="5">
        <f t="shared" si="58"/>
        <v>0</v>
      </c>
      <c r="K257" s="5">
        <v>8.85</v>
      </c>
      <c r="L257" s="5">
        <f>INDEX('Revised 2018 Lockdown'!F$5:F$253,MATCH(B257,'Revised 2018 Lockdown'!B$5:B$253,0))</f>
        <v>8.85</v>
      </c>
      <c r="M257" s="5">
        <f t="shared" si="59"/>
        <v>0</v>
      </c>
      <c r="N257" s="5">
        <v>373624.16000000003</v>
      </c>
      <c r="O257" s="97">
        <f t="shared" si="60"/>
        <v>373624.16000000003</v>
      </c>
      <c r="P257" s="97">
        <f t="shared" si="61"/>
        <v>0</v>
      </c>
      <c r="Q257" s="95">
        <f t="shared" si="62"/>
        <v>2481.746272705705</v>
      </c>
      <c r="R257" s="6">
        <f t="shared" si="49"/>
        <v>1358.81013164245</v>
      </c>
      <c r="S257" s="5">
        <f t="shared" si="63"/>
        <v>204567.36436674526</v>
      </c>
      <c r="T257" s="135">
        <v>0.51000595238095248</v>
      </c>
      <c r="U257" s="97">
        <f t="shared" si="50"/>
        <v>45046.69616023152</v>
      </c>
      <c r="V257" s="97">
        <f t="shared" si="51"/>
        <v>8510.1450995364885</v>
      </c>
      <c r="W257" s="97">
        <f t="shared" si="52"/>
        <v>6892.2249530442814</v>
      </c>
      <c r="X257" s="97">
        <f t="shared" si="53"/>
        <v>2564.9562749972779</v>
      </c>
      <c r="Y257" s="97">
        <f t="shared" si="54"/>
        <v>63014.022487809561</v>
      </c>
      <c r="Z257" s="104">
        <f t="shared" si="55"/>
        <v>0.30803555925391396</v>
      </c>
      <c r="AA257" s="96">
        <f t="shared" si="56"/>
        <v>63014.022487809561</v>
      </c>
      <c r="AB257" s="97"/>
      <c r="AC257" s="96">
        <f>INDEX('[2]2020 Funding'!$S$26:$S$274,MATCH(B257,'[2]2020 Funding'!$B$26:$B$274,0))</f>
        <v>59714.507901291785</v>
      </c>
      <c r="AD257" s="5">
        <f t="shared" si="64"/>
        <v>3299.5145865177765</v>
      </c>
      <c r="AF257" s="18"/>
      <c r="AG257" s="96"/>
    </row>
    <row r="258" spans="2:33" x14ac:dyDescent="0.25">
      <c r="B258">
        <v>522</v>
      </c>
      <c r="C258" s="38">
        <v>9</v>
      </c>
      <c r="D258" s="35" t="s">
        <v>288</v>
      </c>
      <c r="E258" s="154">
        <v>107.92268224354619</v>
      </c>
      <c r="F258" s="154">
        <f>INDEX('Revised 2018 Lockdown'!H$5:H$253,MATCH(B258,'Revised 2018 Lockdown'!B$5:B$253,0))</f>
        <v>107.92268224354619</v>
      </c>
      <c r="G258" s="154">
        <f t="shared" si="57"/>
        <v>0</v>
      </c>
      <c r="H258" s="5">
        <v>93639.74</v>
      </c>
      <c r="I258" s="5">
        <f>INDEX('Revised 2018 Lockdown'!E$5:E$253,MATCH(B258,'Revised 2018 Lockdown'!B$5:B$253,0))</f>
        <v>93639.74</v>
      </c>
      <c r="J258" s="5">
        <f t="shared" si="58"/>
        <v>0</v>
      </c>
      <c r="K258" s="5">
        <v>36</v>
      </c>
      <c r="L258" s="5">
        <f>INDEX('Revised 2018 Lockdown'!F$5:F$253,MATCH(B258,'Revised 2018 Lockdown'!B$5:B$253,0))</f>
        <v>36</v>
      </c>
      <c r="M258" s="5">
        <f t="shared" si="59"/>
        <v>0</v>
      </c>
      <c r="N258" s="5">
        <v>93603.74</v>
      </c>
      <c r="O258" s="97">
        <f t="shared" si="60"/>
        <v>93603.74</v>
      </c>
      <c r="P258" s="97">
        <f t="shared" si="61"/>
        <v>0</v>
      </c>
      <c r="Q258" s="95">
        <f t="shared" si="62"/>
        <v>867.32221674000823</v>
      </c>
      <c r="R258" s="6">
        <f t="shared" si="49"/>
        <v>867.32221674000823</v>
      </c>
      <c r="S258" s="5">
        <f t="shared" si="63"/>
        <v>93603.74</v>
      </c>
      <c r="T258" s="135">
        <v>0.62838392857142855</v>
      </c>
      <c r="U258" s="97">
        <f t="shared" si="50"/>
        <v>20611.983970629655</v>
      </c>
      <c r="V258" s="97">
        <f t="shared" si="51"/>
        <v>6100.5939833035463</v>
      </c>
      <c r="W258" s="97">
        <f t="shared" si="52"/>
        <v>3885.6718389346725</v>
      </c>
      <c r="X258" s="97">
        <f t="shared" si="53"/>
        <v>1173.6451756096585</v>
      </c>
      <c r="Y258" s="97">
        <f t="shared" si="54"/>
        <v>31771.894968477529</v>
      </c>
      <c r="Z258" s="104">
        <f t="shared" si="55"/>
        <v>0.33942975962795424</v>
      </c>
      <c r="AA258" s="96">
        <f t="shared" si="56"/>
        <v>31771.894968477529</v>
      </c>
      <c r="AB258" s="97"/>
      <c r="AC258" s="96">
        <f>INDEX('[2]2020 Funding'!$S$26:$S$274,MATCH(B258,'[2]2020 Funding'!$B$26:$B$274,0))</f>
        <v>31788.218199456638</v>
      </c>
      <c r="AD258" s="5">
        <f t="shared" si="64"/>
        <v>-16.323230979109212</v>
      </c>
      <c r="AF258" s="18"/>
      <c r="AG258" s="96"/>
    </row>
    <row r="259" spans="2:33" x14ac:dyDescent="0.25">
      <c r="B259">
        <v>523</v>
      </c>
      <c r="C259" s="38">
        <v>9</v>
      </c>
      <c r="D259" s="35" t="s">
        <v>289</v>
      </c>
      <c r="E259" s="154">
        <v>909.72292386160336</v>
      </c>
      <c r="F259" s="154">
        <f>INDEX('Revised 2018 Lockdown'!H$5:H$253,MATCH(B259,'Revised 2018 Lockdown'!B$5:B$253,0))</f>
        <v>909.72292386160336</v>
      </c>
      <c r="G259" s="154">
        <f t="shared" si="57"/>
        <v>0</v>
      </c>
      <c r="H259" s="5">
        <v>285802.86</v>
      </c>
      <c r="I259" s="5">
        <f>INDEX('Revised 2018 Lockdown'!E$5:E$253,MATCH(B259,'Revised 2018 Lockdown'!B$5:B$253,0))</f>
        <v>285802.86</v>
      </c>
      <c r="J259" s="5">
        <f t="shared" si="58"/>
        <v>0</v>
      </c>
      <c r="K259" s="5">
        <v>321.60000000000002</v>
      </c>
      <c r="L259" s="5">
        <f>INDEX('Revised 2018 Lockdown'!F$5:F$253,MATCH(B259,'Revised 2018 Lockdown'!B$5:B$253,0))</f>
        <v>321.60000000000002</v>
      </c>
      <c r="M259" s="5">
        <f t="shared" si="59"/>
        <v>0</v>
      </c>
      <c r="N259" s="5">
        <v>285481.26</v>
      </c>
      <c r="O259" s="97">
        <f t="shared" si="60"/>
        <v>285481.26</v>
      </c>
      <c r="P259" s="97">
        <f t="shared" si="61"/>
        <v>0</v>
      </c>
      <c r="Q259" s="95">
        <f t="shared" si="62"/>
        <v>313.81121934158318</v>
      </c>
      <c r="R259" s="6">
        <f t="shared" si="49"/>
        <v>313.81121934158318</v>
      </c>
      <c r="S259" s="5">
        <f t="shared" si="63"/>
        <v>285481.26</v>
      </c>
      <c r="T259" s="135">
        <v>0.55605357142857148</v>
      </c>
      <c r="U259" s="97">
        <f t="shared" si="50"/>
        <v>62864.31669327696</v>
      </c>
      <c r="V259" s="97">
        <f t="shared" si="51"/>
        <v>51424.316746123972</v>
      </c>
      <c r="W259" s="97">
        <f t="shared" si="52"/>
        <v>10486.778343814025</v>
      </c>
      <c r="X259" s="97">
        <f t="shared" si="53"/>
        <v>3579.4905580264904</v>
      </c>
      <c r="Y259" s="97">
        <f t="shared" si="54"/>
        <v>128354.90234124144</v>
      </c>
      <c r="Z259" s="104">
        <f t="shared" si="55"/>
        <v>0.44960885468013362</v>
      </c>
      <c r="AA259" s="96">
        <f t="shared" si="56"/>
        <v>128354.90234124144</v>
      </c>
      <c r="AB259" s="97"/>
      <c r="AC259" s="96">
        <f>INDEX('[2]2020 Funding'!$S$26:$S$274,MATCH(B259,'[2]2020 Funding'!$B$26:$B$274,0))</f>
        <v>128395.01349582839</v>
      </c>
      <c r="AD259" s="5">
        <f t="shared" si="64"/>
        <v>-40.111154586949851</v>
      </c>
      <c r="AF259" s="18"/>
      <c r="AG259" s="96"/>
    </row>
    <row r="260" spans="2:33" x14ac:dyDescent="0.25">
      <c r="B260">
        <v>527</v>
      </c>
      <c r="C260" s="38">
        <v>9</v>
      </c>
      <c r="D260" s="35" t="s">
        <v>290</v>
      </c>
      <c r="E260" s="154">
        <v>178.04356936970052</v>
      </c>
      <c r="F260" s="154">
        <f>INDEX('Revised 2018 Lockdown'!H$5:H$253,MATCH(B260,'Revised 2018 Lockdown'!B$5:B$253,0))</f>
        <v>178.04356936970052</v>
      </c>
      <c r="G260" s="154">
        <f t="shared" si="57"/>
        <v>0</v>
      </c>
      <c r="H260" s="5">
        <v>119863.42</v>
      </c>
      <c r="I260" s="5">
        <f>INDEX('Revised 2018 Lockdown'!E$5:E$253,MATCH(B260,'Revised 2018 Lockdown'!B$5:B$253,0))</f>
        <v>119863.42</v>
      </c>
      <c r="J260" s="5">
        <f t="shared" si="58"/>
        <v>0</v>
      </c>
      <c r="K260" s="5">
        <v>135</v>
      </c>
      <c r="L260" s="5">
        <f>INDEX('Revised 2018 Lockdown'!F$5:F$253,MATCH(B260,'Revised 2018 Lockdown'!B$5:B$253,0))</f>
        <v>135</v>
      </c>
      <c r="M260" s="5">
        <f t="shared" si="59"/>
        <v>0</v>
      </c>
      <c r="N260" s="5">
        <v>119728.42</v>
      </c>
      <c r="O260" s="97">
        <f t="shared" si="60"/>
        <v>119728.42</v>
      </c>
      <c r="P260" s="97">
        <f t="shared" si="61"/>
        <v>0</v>
      </c>
      <c r="Q260" s="95">
        <f t="shared" si="62"/>
        <v>672.46697212292236</v>
      </c>
      <c r="R260" s="6">
        <f t="shared" si="49"/>
        <v>672.46697212292236</v>
      </c>
      <c r="S260" s="5">
        <f t="shared" si="63"/>
        <v>119728.42</v>
      </c>
      <c r="T260" s="135">
        <v>0.76645238095238089</v>
      </c>
      <c r="U260" s="97">
        <f t="shared" si="50"/>
        <v>26364.76142800293</v>
      </c>
      <c r="V260" s="97">
        <f t="shared" si="51"/>
        <v>10064.348897589005</v>
      </c>
      <c r="W260" s="97">
        <f t="shared" si="52"/>
        <v>6062.2002509203003</v>
      </c>
      <c r="X260" s="97">
        <f t="shared" si="53"/>
        <v>1501.2079914367409</v>
      </c>
      <c r="Y260" s="97">
        <f t="shared" si="54"/>
        <v>43992.51856794898</v>
      </c>
      <c r="Z260" s="104">
        <f t="shared" si="55"/>
        <v>0.3674358900580913</v>
      </c>
      <c r="AA260" s="96">
        <f t="shared" si="56"/>
        <v>43992.51856794898</v>
      </c>
      <c r="AB260" s="97"/>
      <c r="AC260" s="96">
        <f>INDEX('[2]2020 Funding'!$S$26:$S$274,MATCH(B260,'[2]2020 Funding'!$B$26:$B$274,0))</f>
        <v>44013.498057743367</v>
      </c>
      <c r="AD260" s="5">
        <f t="shared" si="64"/>
        <v>-20.979489794386609</v>
      </c>
      <c r="AF260" s="18"/>
      <c r="AG260" s="96"/>
    </row>
    <row r="261" spans="2:33" x14ac:dyDescent="0.25">
      <c r="B261">
        <v>543</v>
      </c>
      <c r="C261" s="38">
        <v>9</v>
      </c>
      <c r="D261" s="35" t="s">
        <v>291</v>
      </c>
      <c r="E261" s="154">
        <v>64.881659320046367</v>
      </c>
      <c r="F261" s="154">
        <f>INDEX('Revised 2018 Lockdown'!H$5:H$253,MATCH(B261,'Revised 2018 Lockdown'!B$5:B$253,0))</f>
        <v>64.881659320046367</v>
      </c>
      <c r="G261" s="154">
        <f t="shared" si="57"/>
        <v>0</v>
      </c>
      <c r="H261" s="5">
        <v>42102.49</v>
      </c>
      <c r="I261" s="5">
        <f>INDEX('Revised 2018 Lockdown'!E$5:E$253,MATCH(B261,'Revised 2018 Lockdown'!B$5:B$253,0))</f>
        <v>42102.49</v>
      </c>
      <c r="J261" s="5">
        <f t="shared" si="58"/>
        <v>0</v>
      </c>
      <c r="K261" s="5">
        <v>0</v>
      </c>
      <c r="L261" s="5">
        <f>INDEX('Revised 2018 Lockdown'!F$5:F$253,MATCH(B261,'Revised 2018 Lockdown'!B$5:B$253,0))</f>
        <v>0</v>
      </c>
      <c r="M261" s="5">
        <f t="shared" si="59"/>
        <v>0</v>
      </c>
      <c r="N261" s="5">
        <v>42102.49</v>
      </c>
      <c r="O261" s="97">
        <f t="shared" si="60"/>
        <v>42102.49</v>
      </c>
      <c r="P261" s="97">
        <f t="shared" si="61"/>
        <v>0</v>
      </c>
      <c r="Q261" s="95">
        <f t="shared" si="62"/>
        <v>648.91204141863966</v>
      </c>
      <c r="R261" s="6">
        <f t="shared" si="49"/>
        <v>648.91204141863966</v>
      </c>
      <c r="S261" s="5">
        <f t="shared" si="63"/>
        <v>42102.49</v>
      </c>
      <c r="T261" s="135">
        <v>8.3142857142857143E-2</v>
      </c>
      <c r="U261" s="97">
        <f t="shared" si="50"/>
        <v>9271.1663978767865</v>
      </c>
      <c r="V261" s="97">
        <f t="shared" si="51"/>
        <v>3667.5947284315694</v>
      </c>
      <c r="W261" s="97">
        <f t="shared" si="52"/>
        <v>231.24937900989809</v>
      </c>
      <c r="X261" s="97">
        <f t="shared" si="53"/>
        <v>527.89967868435474</v>
      </c>
      <c r="Y261" s="97">
        <f t="shared" si="54"/>
        <v>13697.910184002609</v>
      </c>
      <c r="Z261" s="104">
        <f t="shared" si="55"/>
        <v>0.32534679502334918</v>
      </c>
      <c r="AA261" s="96">
        <f t="shared" si="56"/>
        <v>13697.910184002609</v>
      </c>
      <c r="AB261" s="97"/>
      <c r="AC261" s="96">
        <f>INDEX('[2]2020 Funding'!$S$26:$S$274,MATCH(B261,'[2]2020 Funding'!$B$26:$B$274,0))</f>
        <v>13704.024293743118</v>
      </c>
      <c r="AD261" s="5">
        <f t="shared" si="64"/>
        <v>-6.1141097405088658</v>
      </c>
      <c r="AF261" s="18"/>
      <c r="AG261" s="96"/>
    </row>
    <row r="262" spans="2:33" x14ac:dyDescent="0.25">
      <c r="B262">
        <v>547</v>
      </c>
      <c r="C262" s="38">
        <v>9</v>
      </c>
      <c r="D262" s="35" t="s">
        <v>292</v>
      </c>
      <c r="E262" s="154">
        <v>231.39171343327169</v>
      </c>
      <c r="F262" s="154">
        <f>INDEX('Revised 2018 Lockdown'!H$5:H$253,MATCH(B262,'Revised 2018 Lockdown'!B$5:B$253,0))</f>
        <v>231.39171343327169</v>
      </c>
      <c r="G262" s="154">
        <f t="shared" si="57"/>
        <v>0</v>
      </c>
      <c r="H262" s="5">
        <v>122807.2</v>
      </c>
      <c r="I262" s="5">
        <f>INDEX('Revised 2018 Lockdown'!E$5:E$253,MATCH(B262,'Revised 2018 Lockdown'!B$5:B$253,0))</f>
        <v>122807.2</v>
      </c>
      <c r="J262" s="5">
        <f t="shared" si="58"/>
        <v>0</v>
      </c>
      <c r="K262" s="5">
        <v>0</v>
      </c>
      <c r="L262" s="5">
        <f>INDEX('Revised 2018 Lockdown'!F$5:F$253,MATCH(B262,'Revised 2018 Lockdown'!B$5:B$253,0))</f>
        <v>0</v>
      </c>
      <c r="M262" s="5">
        <f t="shared" si="59"/>
        <v>0</v>
      </c>
      <c r="N262" s="5">
        <v>122807.2</v>
      </c>
      <c r="O262" s="97">
        <f t="shared" si="60"/>
        <v>122807.2</v>
      </c>
      <c r="P262" s="97">
        <f t="shared" si="61"/>
        <v>0</v>
      </c>
      <c r="Q262" s="95">
        <f t="shared" si="62"/>
        <v>530.73292114851347</v>
      </c>
      <c r="R262" s="6">
        <f t="shared" si="49"/>
        <v>530.73292114851347</v>
      </c>
      <c r="S262" s="5">
        <f t="shared" si="63"/>
        <v>122807.20000000001</v>
      </c>
      <c r="T262" s="135">
        <v>0.67826488095238091</v>
      </c>
      <c r="U262" s="97">
        <f t="shared" si="50"/>
        <v>27042.723270223072</v>
      </c>
      <c r="V262" s="97">
        <f t="shared" si="51"/>
        <v>13079.983423426556</v>
      </c>
      <c r="W262" s="97">
        <f t="shared" si="52"/>
        <v>5502.6388438518097</v>
      </c>
      <c r="X262" s="97">
        <f t="shared" si="53"/>
        <v>1539.8110995365191</v>
      </c>
      <c r="Y262" s="97">
        <f t="shared" si="54"/>
        <v>47165.156637037959</v>
      </c>
      <c r="Z262" s="104">
        <f t="shared" si="55"/>
        <v>0.38405856201458832</v>
      </c>
      <c r="AA262" s="96">
        <f t="shared" si="56"/>
        <v>47165.156637037959</v>
      </c>
      <c r="AB262" s="97"/>
      <c r="AC262" s="96">
        <f>INDEX('[2]2020 Funding'!$S$26:$S$274,MATCH(B262,'[2]2020 Funding'!$B$26:$B$274,0))</f>
        <v>47185.474522727207</v>
      </c>
      <c r="AD262" s="5">
        <f t="shared" si="64"/>
        <v>-20.317885689248214</v>
      </c>
      <c r="AF262" s="18"/>
      <c r="AG262" s="96"/>
    </row>
    <row r="263" spans="2:33" x14ac:dyDescent="0.25">
      <c r="B263">
        <v>552</v>
      </c>
      <c r="C263" s="38">
        <v>9</v>
      </c>
      <c r="D263" s="35" t="s">
        <v>293</v>
      </c>
      <c r="E263" s="154">
        <v>114.55</v>
      </c>
      <c r="F263" s="154">
        <f>INDEX('Revised 2018 Lockdown'!H$5:H$253,MATCH(B263,'Revised 2018 Lockdown'!B$5:B$253,0))</f>
        <v>114.55</v>
      </c>
      <c r="G263" s="154">
        <f t="shared" si="57"/>
        <v>0</v>
      </c>
      <c r="H263" s="5">
        <v>108827.49</v>
      </c>
      <c r="I263" s="5">
        <f>INDEX('Revised 2018 Lockdown'!E$5:E$253,MATCH(B263,'Revised 2018 Lockdown'!B$5:B$253,0))</f>
        <v>108827.49</v>
      </c>
      <c r="J263" s="5">
        <f t="shared" si="58"/>
        <v>0</v>
      </c>
      <c r="K263" s="5">
        <v>0</v>
      </c>
      <c r="L263" s="5">
        <f>INDEX('Revised 2018 Lockdown'!F$5:F$253,MATCH(B263,'Revised 2018 Lockdown'!B$5:B$253,0))</f>
        <v>0</v>
      </c>
      <c r="M263" s="5">
        <f t="shared" si="59"/>
        <v>0</v>
      </c>
      <c r="N263" s="5">
        <v>108827.49</v>
      </c>
      <c r="O263" s="97">
        <f t="shared" si="60"/>
        <v>108827.49</v>
      </c>
      <c r="P263" s="97">
        <f t="shared" si="61"/>
        <v>0</v>
      </c>
      <c r="Q263" s="95">
        <f t="shared" si="62"/>
        <v>950.04356176342219</v>
      </c>
      <c r="R263" s="6">
        <f t="shared" si="49"/>
        <v>950.04356176342219</v>
      </c>
      <c r="S263" s="5">
        <f t="shared" si="63"/>
        <v>108827.49</v>
      </c>
      <c r="T263" s="135">
        <v>0.46030059523809524</v>
      </c>
      <c r="U263" s="97">
        <f t="shared" si="50"/>
        <v>23964.325351143652</v>
      </c>
      <c r="V263" s="97">
        <f t="shared" si="51"/>
        <v>6475.2193538926904</v>
      </c>
      <c r="W263" s="97">
        <f t="shared" si="52"/>
        <v>3309.2379670832393</v>
      </c>
      <c r="X263" s="97">
        <f t="shared" si="53"/>
        <v>1364.5273000011362</v>
      </c>
      <c r="Y263" s="97">
        <f t="shared" si="54"/>
        <v>35113.309972120718</v>
      </c>
      <c r="Z263" s="104">
        <f t="shared" si="55"/>
        <v>0.32265110563627553</v>
      </c>
      <c r="AA263" s="96">
        <f t="shared" si="56"/>
        <v>35113.309972120718</v>
      </c>
      <c r="AB263" s="97"/>
      <c r="AC263" s="96">
        <f>INDEX('[2]2020 Funding'!$S$26:$S$274,MATCH(B263,'[2]2020 Funding'!$B$26:$B$274,0))</f>
        <v>35131.67207300516</v>
      </c>
      <c r="AD263" s="5">
        <f t="shared" si="64"/>
        <v>-18.362100884442043</v>
      </c>
      <c r="AF263" s="18"/>
      <c r="AG263" s="96"/>
    </row>
    <row r="264" spans="2:33" x14ac:dyDescent="0.25">
      <c r="B264">
        <v>567</v>
      </c>
      <c r="C264" s="38">
        <v>9</v>
      </c>
      <c r="D264" s="35" t="s">
        <v>294</v>
      </c>
      <c r="E264" s="154">
        <v>343.68793351840543</v>
      </c>
      <c r="F264" s="154">
        <f>INDEX('Revised 2018 Lockdown'!H$5:H$253,MATCH(B264,'Revised 2018 Lockdown'!B$5:B$253,0))</f>
        <v>343.68793351840543</v>
      </c>
      <c r="G264" s="154">
        <f t="shared" si="57"/>
        <v>0</v>
      </c>
      <c r="H264" s="5">
        <v>195195.07</v>
      </c>
      <c r="I264" s="5">
        <f>INDEX('Revised 2018 Lockdown'!E$5:E$253,MATCH(B264,'Revised 2018 Lockdown'!B$5:B$253,0))</f>
        <v>195195.07</v>
      </c>
      <c r="J264" s="5">
        <f t="shared" si="58"/>
        <v>0</v>
      </c>
      <c r="K264" s="5">
        <v>152</v>
      </c>
      <c r="L264" s="5">
        <f>INDEX('Revised 2018 Lockdown'!F$5:F$253,MATCH(B264,'Revised 2018 Lockdown'!B$5:B$253,0))</f>
        <v>152</v>
      </c>
      <c r="M264" s="5">
        <f t="shared" si="59"/>
        <v>0</v>
      </c>
      <c r="N264" s="5">
        <v>195043.07</v>
      </c>
      <c r="O264" s="97">
        <f t="shared" si="60"/>
        <v>195043.07</v>
      </c>
      <c r="P264" s="97">
        <f t="shared" si="61"/>
        <v>0</v>
      </c>
      <c r="Q264" s="95">
        <f t="shared" si="62"/>
        <v>567.50048802500339</v>
      </c>
      <c r="R264" s="6">
        <f t="shared" si="49"/>
        <v>567.50048802500339</v>
      </c>
      <c r="S264" s="5">
        <f t="shared" si="63"/>
        <v>195043.07</v>
      </c>
      <c r="T264" s="135">
        <v>0.70725446428571415</v>
      </c>
      <c r="U264" s="97">
        <f t="shared" si="50"/>
        <v>42949.401727136094</v>
      </c>
      <c r="V264" s="97">
        <f t="shared" si="51"/>
        <v>19427.802346728615</v>
      </c>
      <c r="W264" s="97">
        <f t="shared" si="52"/>
        <v>9112.8468329752686</v>
      </c>
      <c r="X264" s="97">
        <f t="shared" si="53"/>
        <v>2445.5364512315095</v>
      </c>
      <c r="Y264" s="97">
        <f t="shared" si="54"/>
        <v>73935.587358071483</v>
      </c>
      <c r="Z264" s="104">
        <f t="shared" si="55"/>
        <v>0.37907313168353779</v>
      </c>
      <c r="AA264" s="96">
        <f t="shared" si="56"/>
        <v>73935.587358071483</v>
      </c>
      <c r="AB264" s="97"/>
      <c r="AC264" s="96">
        <f>INDEX('[2]2020 Funding'!$S$26:$S$274,MATCH(B264,'[2]2020 Funding'!$B$26:$B$274,0))</f>
        <v>73968.458385453967</v>
      </c>
      <c r="AD264" s="5">
        <f t="shared" si="64"/>
        <v>-32.871027382483589</v>
      </c>
      <c r="AF264" s="18"/>
      <c r="AG264" s="96"/>
    </row>
    <row r="265" spans="2:33" x14ac:dyDescent="0.25">
      <c r="B265" s="30">
        <v>629</v>
      </c>
      <c r="C265" s="30">
        <v>9</v>
      </c>
      <c r="D265" s="35" t="s">
        <v>295</v>
      </c>
      <c r="E265" s="154">
        <v>258.73</v>
      </c>
      <c r="F265" s="154">
        <f>INDEX('Revised 2018 Lockdown'!H$5:H$253,MATCH(B265,'Revised 2018 Lockdown'!B$5:B$253,0))</f>
        <v>258.73</v>
      </c>
      <c r="G265" s="154">
        <f t="shared" si="57"/>
        <v>0</v>
      </c>
      <c r="H265" s="5">
        <v>183277.62</v>
      </c>
      <c r="I265" s="5">
        <f>INDEX('Revised 2018 Lockdown'!E$5:E$253,MATCH(B265,'Revised 2018 Lockdown'!B$5:B$253,0))</f>
        <v>183277.62</v>
      </c>
      <c r="J265" s="5">
        <f t="shared" si="58"/>
        <v>0</v>
      </c>
      <c r="K265" s="5">
        <v>561.61</v>
      </c>
      <c r="L265" s="5">
        <f>INDEX('Revised 2018 Lockdown'!F$5:F$253,MATCH(B265,'Revised 2018 Lockdown'!B$5:B$253,0))</f>
        <v>561.61</v>
      </c>
      <c r="M265" s="5">
        <f t="shared" si="59"/>
        <v>0</v>
      </c>
      <c r="N265" s="5">
        <v>182716.01</v>
      </c>
      <c r="O265" s="97">
        <f t="shared" si="60"/>
        <v>182716.01</v>
      </c>
      <c r="P265" s="97">
        <f t="shared" si="61"/>
        <v>0</v>
      </c>
      <c r="Q265" s="95">
        <f t="shared" si="62"/>
        <v>706.20341668921264</v>
      </c>
      <c r="R265" s="6">
        <f t="shared" si="49"/>
        <v>706.20341668921264</v>
      </c>
      <c r="S265" s="5">
        <f t="shared" si="63"/>
        <v>182716.01</v>
      </c>
      <c r="T265" s="135">
        <v>0.59084821428571421</v>
      </c>
      <c r="U265" s="97">
        <f t="shared" si="50"/>
        <v>40234.925114075653</v>
      </c>
      <c r="V265" s="97">
        <f t="shared" si="51"/>
        <v>14625.347040005725</v>
      </c>
      <c r="W265" s="97">
        <f t="shared" si="52"/>
        <v>7131.8200966713102</v>
      </c>
      <c r="X265" s="97">
        <f t="shared" si="53"/>
        <v>2290.9743098208055</v>
      </c>
      <c r="Y265" s="97">
        <f t="shared" si="54"/>
        <v>64283.066560573498</v>
      </c>
      <c r="Z265" s="104">
        <f t="shared" si="55"/>
        <v>0.35181956173721995</v>
      </c>
      <c r="AA265" s="96">
        <f t="shared" si="56"/>
        <v>64283.066560573498</v>
      </c>
      <c r="AB265" s="97"/>
      <c r="AC265" s="96">
        <f>INDEX('[2]2020 Funding'!$S$26:$S$274,MATCH(B265,'[2]2020 Funding'!$B$26:$B$274,0))</f>
        <v>64313.909041617946</v>
      </c>
      <c r="AD265" s="5">
        <f t="shared" si="64"/>
        <v>-30.842481044448505</v>
      </c>
      <c r="AF265" s="18"/>
      <c r="AG265" s="96"/>
    </row>
    <row r="266" spans="2:33" x14ac:dyDescent="0.25">
      <c r="B266" s="26">
        <v>630</v>
      </c>
      <c r="C266" s="38">
        <v>9</v>
      </c>
      <c r="D266" s="35" t="s">
        <v>296</v>
      </c>
      <c r="E266" s="154">
        <v>179.48000000000002</v>
      </c>
      <c r="F266" s="154">
        <f>INDEX('Revised 2018 Lockdown'!H$5:H$253,MATCH(B266,'Revised 2018 Lockdown'!B$5:B$253,0))</f>
        <v>179.48000000000002</v>
      </c>
      <c r="G266" s="154">
        <f t="shared" si="57"/>
        <v>0</v>
      </c>
      <c r="H266" s="5">
        <v>233180.61</v>
      </c>
      <c r="I266" s="5">
        <f>INDEX('Revised 2018 Lockdown'!E$5:E$253,MATCH(B266,'Revised 2018 Lockdown'!B$5:B$253,0))</f>
        <v>233180.61</v>
      </c>
      <c r="J266" s="5">
        <f t="shared" si="58"/>
        <v>0</v>
      </c>
      <c r="K266" s="5">
        <v>2518.79</v>
      </c>
      <c r="L266" s="5">
        <f>INDEX('Revised 2018 Lockdown'!F$5:F$253,MATCH(B266,'Revised 2018 Lockdown'!B$5:B$253,0))</f>
        <v>2518.79</v>
      </c>
      <c r="M266" s="5">
        <f t="shared" si="59"/>
        <v>0</v>
      </c>
      <c r="N266" s="5">
        <v>230661.81999999998</v>
      </c>
      <c r="O266" s="97">
        <f t="shared" si="60"/>
        <v>230661.81999999998</v>
      </c>
      <c r="P266" s="97">
        <f t="shared" si="61"/>
        <v>0</v>
      </c>
      <c r="Q266" s="95">
        <f t="shared" si="62"/>
        <v>1285.1672609761531</v>
      </c>
      <c r="R266" s="6">
        <f t="shared" si="49"/>
        <v>1285.1672609761531</v>
      </c>
      <c r="S266" s="5">
        <f t="shared" si="63"/>
        <v>230661.81999999998</v>
      </c>
      <c r="T266" s="135">
        <v>0.6128392857142857</v>
      </c>
      <c r="U266" s="97">
        <f t="shared" si="50"/>
        <v>50792.818069836336</v>
      </c>
      <c r="V266" s="97">
        <f t="shared" si="51"/>
        <v>10145.546657674902</v>
      </c>
      <c r="W266" s="97">
        <f t="shared" si="52"/>
        <v>9338.3503036002494</v>
      </c>
      <c r="X266" s="97">
        <f t="shared" si="53"/>
        <v>2892.140124319214</v>
      </c>
      <c r="Y266" s="97">
        <f t="shared" si="54"/>
        <v>73168.855155430691</v>
      </c>
      <c r="Z266" s="104">
        <f t="shared" si="55"/>
        <v>0.3172126845935348</v>
      </c>
      <c r="AA266" s="96">
        <f t="shared" si="56"/>
        <v>73168.855155430691</v>
      </c>
      <c r="AB266" s="97"/>
      <c r="AC266" s="96">
        <f>INDEX('[2]2020 Funding'!$S$26:$S$274,MATCH(B266,'[2]2020 Funding'!$B$26:$B$274,0))</f>
        <v>72746.331989537852</v>
      </c>
      <c r="AD266" s="5">
        <f t="shared" si="64"/>
        <v>422.52316589283873</v>
      </c>
      <c r="AF266" s="18"/>
      <c r="AG266" s="96"/>
    </row>
    <row r="267" spans="2:33" x14ac:dyDescent="0.25">
      <c r="B267" s="26">
        <v>695</v>
      </c>
      <c r="C267" s="38">
        <v>9</v>
      </c>
      <c r="D267" t="s">
        <v>297</v>
      </c>
      <c r="E267" s="154">
        <v>29.69831035912819</v>
      </c>
      <c r="F267" s="154">
        <f>INDEX('Revised 2018 Lockdown'!H$5:H$253,MATCH(B267,'Revised 2018 Lockdown'!B$5:B$253,0))</f>
        <v>29.69831035912819</v>
      </c>
      <c r="G267" s="154">
        <f t="shared" ref="G267:G274" si="65">E267-F267</f>
        <v>0</v>
      </c>
      <c r="H267" s="5">
        <v>40518.69</v>
      </c>
      <c r="I267" s="5">
        <f>INDEX('Revised 2018 Lockdown'!E$5:E$253,MATCH(B267,'Revised 2018 Lockdown'!B$5:B$253,0))</f>
        <v>40518.69</v>
      </c>
      <c r="J267" s="5">
        <f t="shared" ref="J267:J274" si="66">H267-I267</f>
        <v>0</v>
      </c>
      <c r="K267" s="5">
        <v>0</v>
      </c>
      <c r="L267" s="5">
        <f>INDEX('Revised 2018 Lockdown'!F$5:F$253,MATCH(B267,'Revised 2018 Lockdown'!B$5:B$253,0))</f>
        <v>0</v>
      </c>
      <c r="M267" s="5">
        <f t="shared" ref="M267:M274" si="67">K267-L267</f>
        <v>0</v>
      </c>
      <c r="N267" s="5">
        <v>40518.69</v>
      </c>
      <c r="O267" s="97">
        <f t="shared" ref="O267:O274" si="68">I267-L267</f>
        <v>40518.69</v>
      </c>
      <c r="P267" s="97">
        <f t="shared" ref="P267:P274" si="69">N267-O267</f>
        <v>0</v>
      </c>
      <c r="Q267" s="95">
        <f t="shared" ref="Q267:Q274" si="70">IFERROR(O267/F267,"n.a.")</f>
        <v>1364.3432744161494</v>
      </c>
      <c r="R267" s="6">
        <f t="shared" ref="R267:R274" si="71">MIN(Q267,INDEX($V$3:$V$11,MATCH(C267,$S$3:$S$11,0)))</f>
        <v>1358.81013164245</v>
      </c>
      <c r="S267" s="5">
        <f t="shared" si="63"/>
        <v>40354.365008645313</v>
      </c>
      <c r="T267" s="135">
        <v>5.541666666666667E-2</v>
      </c>
      <c r="U267" s="97">
        <f t="shared" ref="U267:U274" si="72">$E$14*(S267/$S$24)</f>
        <v>8886.2210495342952</v>
      </c>
      <c r="V267" s="97">
        <f t="shared" ref="V267:V274" si="73">$E$15*(F267/$F$24)</f>
        <v>1678.7697426044404</v>
      </c>
      <c r="W267" s="97">
        <f t="shared" ref="W267:W274" si="74">IFERROR(T267*$E$16*(S267/$S$24),0)</f>
        <v>147.73342494850766</v>
      </c>
      <c r="X267" s="97">
        <f t="shared" ref="X267:X274" si="75">($W$23+$E$9)*(S267/$S$24)</f>
        <v>505.98091280527655</v>
      </c>
      <c r="Y267" s="97">
        <f t="shared" ref="Y267:Y274" si="76">U267+V267+W267+X267</f>
        <v>11218.70512989252</v>
      </c>
      <c r="Z267" s="104">
        <f t="shared" ref="Z267:Z274" si="77">IFERROR((Y267/S267),0)</f>
        <v>0.27800474936203512</v>
      </c>
      <c r="AA267" s="96">
        <f t="shared" ref="AA267:AA274" si="78">IF(Z267&gt;$Z$19,$Z$19*S267,Y267+($Z$23*Y267/$Z$22))</f>
        <v>11218.70512989252</v>
      </c>
      <c r="AB267" s="97"/>
      <c r="AC267" s="96">
        <f>INDEX('[2]2020 Funding'!$S$26:$S$274,MATCH(B267,'[2]2020 Funding'!$B$26:$B$274,0))</f>
        <v>10641.19498272121</v>
      </c>
      <c r="AD267" s="5">
        <f t="shared" ref="AD267:AD274" si="79">AA267-AC267</f>
        <v>577.51014717130965</v>
      </c>
      <c r="AF267" s="18"/>
      <c r="AG267" s="96"/>
    </row>
    <row r="268" spans="2:33" x14ac:dyDescent="0.25">
      <c r="B268" s="26">
        <v>771</v>
      </c>
      <c r="C268" s="38">
        <v>9</v>
      </c>
      <c r="D268" t="s">
        <v>298</v>
      </c>
      <c r="E268" s="154">
        <v>176.36629506344221</v>
      </c>
      <c r="F268" s="154">
        <f>INDEX('Revised 2018 Lockdown'!H$5:H$253,MATCH(B268,'Revised 2018 Lockdown'!B$5:B$253,0))</f>
        <v>176.36629506344221</v>
      </c>
      <c r="G268" s="154">
        <f t="shared" si="65"/>
        <v>0</v>
      </c>
      <c r="H268" s="5">
        <v>63559.46</v>
      </c>
      <c r="I268" s="5">
        <f>INDEX('Revised 2018 Lockdown'!E$5:E$253,MATCH(B268,'Revised 2018 Lockdown'!B$5:B$253,0))</f>
        <v>63559.46</v>
      </c>
      <c r="J268" s="5">
        <f t="shared" si="66"/>
        <v>0</v>
      </c>
      <c r="K268" s="5">
        <v>0</v>
      </c>
      <c r="L268" s="5">
        <f>INDEX('Revised 2018 Lockdown'!F$5:F$253,MATCH(B268,'Revised 2018 Lockdown'!B$5:B$253,0))</f>
        <v>0</v>
      </c>
      <c r="M268" s="5">
        <f t="shared" si="67"/>
        <v>0</v>
      </c>
      <c r="N268" s="5">
        <v>63559.46</v>
      </c>
      <c r="O268" s="97">
        <f t="shared" si="68"/>
        <v>63559.46</v>
      </c>
      <c r="P268" s="97">
        <f t="shared" si="69"/>
        <v>0</v>
      </c>
      <c r="Q268" s="95">
        <f t="shared" si="70"/>
        <v>360.38325790728032</v>
      </c>
      <c r="R268" s="6">
        <f t="shared" si="71"/>
        <v>360.38325790728032</v>
      </c>
      <c r="S268" s="5">
        <f t="shared" si="63"/>
        <v>63559.459999999992</v>
      </c>
      <c r="T268" s="135">
        <v>0.40094940476190483</v>
      </c>
      <c r="U268" s="97">
        <f t="shared" si="72"/>
        <v>13996.092150825132</v>
      </c>
      <c r="V268" s="97">
        <f t="shared" si="73"/>
        <v>9969.5368587442154</v>
      </c>
      <c r="W268" s="97">
        <f t="shared" si="74"/>
        <v>1683.5174450598313</v>
      </c>
      <c r="X268" s="97">
        <f t="shared" si="75"/>
        <v>796.93667788653579</v>
      </c>
      <c r="Y268" s="97">
        <f t="shared" si="76"/>
        <v>26446.083132515716</v>
      </c>
      <c r="Z268" s="104">
        <f t="shared" si="77"/>
        <v>0.41608413810494488</v>
      </c>
      <c r="AA268" s="96">
        <f t="shared" si="78"/>
        <v>26446.083132515716</v>
      </c>
      <c r="AB268" s="97"/>
      <c r="AC268" s="96">
        <f>INDEX('[2]2020 Funding'!$S$26:$S$274,MATCH(B268,'[2]2020 Funding'!$B$26:$B$274,0))</f>
        <v>26454.988676717483</v>
      </c>
      <c r="AD268" s="5">
        <f t="shared" si="79"/>
        <v>-8.905544201767043</v>
      </c>
      <c r="AF268" s="18"/>
      <c r="AG268" s="96"/>
    </row>
    <row r="269" spans="2:33" x14ac:dyDescent="0.25">
      <c r="B269" s="26">
        <v>830</v>
      </c>
      <c r="C269" s="38">
        <v>9</v>
      </c>
      <c r="D269" t="s">
        <v>299</v>
      </c>
      <c r="E269" s="154">
        <v>22.210358152227126</v>
      </c>
      <c r="F269" s="154">
        <f>INDEX('Revised 2018 Lockdown'!H$5:H$253,MATCH(B269,'Revised 2018 Lockdown'!B$5:B$253,0))</f>
        <v>22.210358152227126</v>
      </c>
      <c r="G269" s="154">
        <f t="shared" si="65"/>
        <v>0</v>
      </c>
      <c r="H269" s="5">
        <v>25322.05</v>
      </c>
      <c r="I269" s="5">
        <f>INDEX('Revised 2018 Lockdown'!E$5:E$253,MATCH(B269,'Revised 2018 Lockdown'!B$5:B$253,0))</f>
        <v>25322.05</v>
      </c>
      <c r="J269" s="5">
        <f t="shared" si="66"/>
        <v>0</v>
      </c>
      <c r="K269" s="5">
        <v>0</v>
      </c>
      <c r="L269" s="5">
        <f>INDEX('Revised 2018 Lockdown'!F$5:F$253,MATCH(B269,'Revised 2018 Lockdown'!B$5:B$253,0))</f>
        <v>0</v>
      </c>
      <c r="M269" s="5">
        <f t="shared" si="67"/>
        <v>0</v>
      </c>
      <c r="N269" s="5">
        <v>25322.05</v>
      </c>
      <c r="O269" s="97">
        <f t="shared" si="68"/>
        <v>25322.05</v>
      </c>
      <c r="P269" s="97">
        <f t="shared" si="69"/>
        <v>0</v>
      </c>
      <c r="Q269" s="95">
        <f t="shared" si="70"/>
        <v>1140.1009306759356</v>
      </c>
      <c r="R269" s="6">
        <f t="shared" si="71"/>
        <v>1140.1009306759356</v>
      </c>
      <c r="S269" s="5">
        <f t="shared" si="63"/>
        <v>25322.05</v>
      </c>
      <c r="T269" s="135">
        <v>0.15983035714285715</v>
      </c>
      <c r="U269" s="97">
        <f t="shared" si="72"/>
        <v>5576.0345548530713</v>
      </c>
      <c r="V269" s="97">
        <f t="shared" si="73"/>
        <v>1255.4949014769916</v>
      </c>
      <c r="W269" s="97">
        <f t="shared" si="74"/>
        <v>267.36587830292365</v>
      </c>
      <c r="X269" s="97">
        <f t="shared" si="75"/>
        <v>317.49908517594008</v>
      </c>
      <c r="Y269" s="97">
        <f t="shared" si="76"/>
        <v>7416.3944198089275</v>
      </c>
      <c r="Z269" s="104">
        <f t="shared" si="77"/>
        <v>0.29288285979251</v>
      </c>
      <c r="AA269" s="96">
        <f t="shared" si="78"/>
        <v>7416.3944198089275</v>
      </c>
      <c r="AB269" s="97"/>
      <c r="AC269" s="96">
        <f>INDEX('[2]2020 Funding'!$S$26:$S$274,MATCH(B269,'[2]2020 Funding'!$B$26:$B$274,0))</f>
        <v>7420.4091933966019</v>
      </c>
      <c r="AD269" s="5">
        <f t="shared" si="79"/>
        <v>-4.0147735876744264</v>
      </c>
      <c r="AF269" s="18"/>
      <c r="AG269" s="96"/>
    </row>
    <row r="270" spans="2:33" x14ac:dyDescent="0.25">
      <c r="B270" s="26">
        <v>936</v>
      </c>
      <c r="C270" s="38">
        <v>9</v>
      </c>
      <c r="D270" t="s">
        <v>300</v>
      </c>
      <c r="E270" s="154">
        <v>43.383691867789167</v>
      </c>
      <c r="F270" s="154">
        <f>INDEX('Revised 2018 Lockdown'!H$5:H$253,MATCH(B270,'Revised 2018 Lockdown'!B$5:B$253,0))</f>
        <v>43.383691867789167</v>
      </c>
      <c r="G270" s="154">
        <f t="shared" si="65"/>
        <v>0</v>
      </c>
      <c r="H270" s="5">
        <v>69869.86</v>
      </c>
      <c r="I270" s="5">
        <f>INDEX('Revised 2018 Lockdown'!E$5:E$253,MATCH(B270,'Revised 2018 Lockdown'!B$5:B$253,0))</f>
        <v>69869.86</v>
      </c>
      <c r="J270" s="5">
        <f t="shared" si="66"/>
        <v>0</v>
      </c>
      <c r="K270" s="5">
        <v>0</v>
      </c>
      <c r="L270" s="5">
        <f>INDEX('Revised 2018 Lockdown'!F$5:F$253,MATCH(B270,'Revised 2018 Lockdown'!B$5:B$253,0))</f>
        <v>0</v>
      </c>
      <c r="M270" s="5">
        <f t="shared" si="67"/>
        <v>0</v>
      </c>
      <c r="N270" s="5">
        <v>69869.86</v>
      </c>
      <c r="O270" s="97">
        <f t="shared" si="68"/>
        <v>69869.86</v>
      </c>
      <c r="P270" s="97">
        <f t="shared" si="69"/>
        <v>0</v>
      </c>
      <c r="Q270" s="95">
        <f t="shared" si="70"/>
        <v>1610.5097789493536</v>
      </c>
      <c r="R270" s="6">
        <f t="shared" si="71"/>
        <v>1358.81013164245</v>
      </c>
      <c r="S270" s="5">
        <f t="shared" si="63"/>
        <v>58950.200058006085</v>
      </c>
      <c r="T270" s="135">
        <v>0.44230952380952387</v>
      </c>
      <c r="U270" s="97">
        <f t="shared" si="72"/>
        <v>12981.111424191307</v>
      </c>
      <c r="V270" s="97">
        <f t="shared" si="73"/>
        <v>2452.3694563563972</v>
      </c>
      <c r="W270" s="97">
        <f t="shared" si="74"/>
        <v>1722.5007637657282</v>
      </c>
      <c r="X270" s="97">
        <f t="shared" si="75"/>
        <v>739.1437339929264</v>
      </c>
      <c r="Y270" s="97">
        <f t="shared" si="76"/>
        <v>17895.125378306358</v>
      </c>
      <c r="Z270" s="104">
        <f t="shared" si="77"/>
        <v>0.30356343762528087</v>
      </c>
      <c r="AA270" s="96">
        <f t="shared" si="78"/>
        <v>17895.125378306358</v>
      </c>
      <c r="AB270" s="97"/>
      <c r="AC270" s="96">
        <f>INDEX('[2]2020 Funding'!$S$26:$S$274,MATCH(B270,'[2]2020 Funding'!$B$26:$B$274,0))</f>
        <v>16960.265926936532</v>
      </c>
      <c r="AD270" s="5">
        <f t="shared" si="79"/>
        <v>934.85945136982627</v>
      </c>
      <c r="AF270" s="18"/>
      <c r="AG270" s="96"/>
    </row>
    <row r="271" spans="2:33" x14ac:dyDescent="0.25">
      <c r="B271" s="26">
        <v>952</v>
      </c>
      <c r="C271" s="38">
        <v>9</v>
      </c>
      <c r="D271" t="s">
        <v>301</v>
      </c>
      <c r="E271" s="154">
        <v>65.756366888363871</v>
      </c>
      <c r="F271" s="154">
        <f>INDEX('Revised 2018 Lockdown'!H$5:H$253,MATCH(B271,'Revised 2018 Lockdown'!B$5:B$253,0))</f>
        <v>65.756366888363871</v>
      </c>
      <c r="G271" s="154">
        <f t="shared" si="65"/>
        <v>0</v>
      </c>
      <c r="H271" s="5">
        <v>81300.5</v>
      </c>
      <c r="I271" s="5">
        <f>INDEX('Revised 2018 Lockdown'!E$5:E$253,MATCH(B271,'Revised 2018 Lockdown'!B$5:B$253,0))</f>
        <v>81300.5</v>
      </c>
      <c r="J271" s="5">
        <f t="shared" si="66"/>
        <v>0</v>
      </c>
      <c r="K271" s="5">
        <v>3878.1</v>
      </c>
      <c r="L271" s="5">
        <f>INDEX('Revised 2018 Lockdown'!F$5:F$253,MATCH(B271,'Revised 2018 Lockdown'!B$5:B$253,0))</f>
        <v>3878.1</v>
      </c>
      <c r="M271" s="5">
        <f t="shared" si="67"/>
        <v>0</v>
      </c>
      <c r="N271" s="5">
        <v>77422.399999999994</v>
      </c>
      <c r="O271" s="97">
        <f t="shared" si="68"/>
        <v>77422.399999999994</v>
      </c>
      <c r="P271" s="97">
        <f t="shared" si="69"/>
        <v>0</v>
      </c>
      <c r="Q271" s="95">
        <f t="shared" si="70"/>
        <v>1177.4129816423986</v>
      </c>
      <c r="R271" s="6">
        <f t="shared" si="71"/>
        <v>1177.4129816423986</v>
      </c>
      <c r="S271" s="5">
        <f t="shared" si="63"/>
        <v>77422.399999999994</v>
      </c>
      <c r="T271" s="135">
        <v>0.55856845238095243</v>
      </c>
      <c r="U271" s="97">
        <f t="shared" si="72"/>
        <v>17048.776766480456</v>
      </c>
      <c r="V271" s="97">
        <f t="shared" si="73"/>
        <v>3717.0397164312717</v>
      </c>
      <c r="W271" s="97">
        <f t="shared" si="74"/>
        <v>2856.8726560323976</v>
      </c>
      <c r="X271" s="97">
        <f t="shared" si="75"/>
        <v>970.7563634115603</v>
      </c>
      <c r="Y271" s="97">
        <f t="shared" si="76"/>
        <v>24593.445502355684</v>
      </c>
      <c r="Z271" s="104">
        <f t="shared" si="77"/>
        <v>0.31765284339358746</v>
      </c>
      <c r="AA271" s="96">
        <f t="shared" si="78"/>
        <v>24593.445502355684</v>
      </c>
      <c r="AB271" s="97"/>
      <c r="AC271" s="96">
        <f>INDEX('[2]2020 Funding'!$S$26:$S$274,MATCH(B271,'[2]2020 Funding'!$B$26:$B$274,0))</f>
        <v>24607.072008871935</v>
      </c>
      <c r="AD271" s="5">
        <f t="shared" si="79"/>
        <v>-13.626506516251538</v>
      </c>
      <c r="AF271" s="18"/>
      <c r="AG271" s="96"/>
    </row>
    <row r="272" spans="2:33" x14ac:dyDescent="0.25">
      <c r="B272" s="26">
        <v>982</v>
      </c>
      <c r="C272" s="38">
        <v>9</v>
      </c>
      <c r="D272" t="s">
        <v>302</v>
      </c>
      <c r="E272" s="154">
        <v>97.412690933606555</v>
      </c>
      <c r="F272" s="154">
        <f>INDEX('Revised 2018 Lockdown'!H$5:H$253,MATCH(B272,'Revised 2018 Lockdown'!B$5:B$253,0))</f>
        <v>97.412690933606555</v>
      </c>
      <c r="G272" s="154">
        <f t="shared" si="65"/>
        <v>0</v>
      </c>
      <c r="H272" s="5">
        <v>107892.54</v>
      </c>
      <c r="I272" s="5">
        <f>INDEX('Revised 2018 Lockdown'!E$5:E$253,MATCH(B272,'Revised 2018 Lockdown'!B$5:B$253,0))</f>
        <v>107892.54</v>
      </c>
      <c r="J272" s="5">
        <f t="shared" si="66"/>
        <v>0</v>
      </c>
      <c r="K272" s="5">
        <v>0</v>
      </c>
      <c r="L272" s="5">
        <f>INDEX('Revised 2018 Lockdown'!F$5:F$253,MATCH(B272,'Revised 2018 Lockdown'!B$5:B$253,0))</f>
        <v>0</v>
      </c>
      <c r="M272" s="5">
        <f t="shared" si="67"/>
        <v>0</v>
      </c>
      <c r="N272" s="5">
        <v>107892.54</v>
      </c>
      <c r="O272" s="97">
        <f t="shared" si="68"/>
        <v>107892.54</v>
      </c>
      <c r="P272" s="97">
        <f t="shared" si="69"/>
        <v>0</v>
      </c>
      <c r="Q272" s="95">
        <f t="shared" si="70"/>
        <v>1107.5819686937523</v>
      </c>
      <c r="R272" s="6">
        <f t="shared" si="71"/>
        <v>1107.5819686937523</v>
      </c>
      <c r="S272" s="5">
        <f t="shared" si="63"/>
        <v>107892.53999999998</v>
      </c>
      <c r="T272" s="135">
        <v>5.6125000000000001E-2</v>
      </c>
      <c r="U272" s="97">
        <f t="shared" si="72"/>
        <v>23758.444962033765</v>
      </c>
      <c r="V272" s="97">
        <f t="shared" si="73"/>
        <v>5506.4909790314805</v>
      </c>
      <c r="W272" s="97">
        <f t="shared" si="74"/>
        <v>400.03281704824354</v>
      </c>
      <c r="X272" s="97">
        <f t="shared" si="75"/>
        <v>1352.8044825481552</v>
      </c>
      <c r="Y272" s="97">
        <f t="shared" si="76"/>
        <v>31017.773240661645</v>
      </c>
      <c r="Z272" s="104">
        <f t="shared" si="77"/>
        <v>0.28748765429622519</v>
      </c>
      <c r="AA272" s="96">
        <f t="shared" si="78"/>
        <v>31017.773240661645</v>
      </c>
      <c r="AB272" s="97"/>
      <c r="AC272" s="96">
        <f>INDEX('[2]2020 Funding'!$S$26:$S$274,MATCH(B272,'[2]2020 Funding'!$B$26:$B$274,0))</f>
        <v>31034.359414899922</v>
      </c>
      <c r="AD272" s="5">
        <f t="shared" si="79"/>
        <v>-16.586174238276726</v>
      </c>
      <c r="AF272" s="18"/>
      <c r="AG272" s="96"/>
    </row>
    <row r="273" spans="2:33" x14ac:dyDescent="0.25">
      <c r="B273" s="26">
        <v>987</v>
      </c>
      <c r="C273" s="38">
        <v>9</v>
      </c>
      <c r="D273" t="s">
        <v>303</v>
      </c>
      <c r="E273" s="154">
        <v>253.77541145224947</v>
      </c>
      <c r="F273" s="154">
        <f>INDEX('Revised 2018 Lockdown'!H$5:H$253,MATCH(B273,'Revised 2018 Lockdown'!B$5:B$253,0))</f>
        <v>253.77541145224947</v>
      </c>
      <c r="G273" s="154">
        <f t="shared" si="65"/>
        <v>0</v>
      </c>
      <c r="H273" s="5">
        <v>88557.58</v>
      </c>
      <c r="I273" s="5">
        <f>INDEX('Revised 2018 Lockdown'!E$5:E$253,MATCH(B273,'Revised 2018 Lockdown'!B$5:B$253,0))</f>
        <v>88557.58</v>
      </c>
      <c r="J273" s="5">
        <f t="shared" si="66"/>
        <v>0</v>
      </c>
      <c r="K273" s="5">
        <v>0</v>
      </c>
      <c r="L273" s="5">
        <f>INDEX('Revised 2018 Lockdown'!F$5:F$253,MATCH(B273,'Revised 2018 Lockdown'!B$5:B$253,0))</f>
        <v>0</v>
      </c>
      <c r="M273" s="5">
        <f t="shared" si="67"/>
        <v>0</v>
      </c>
      <c r="N273" s="5">
        <v>88557.58</v>
      </c>
      <c r="O273" s="97">
        <f t="shared" si="68"/>
        <v>88557.58</v>
      </c>
      <c r="P273" s="97">
        <f t="shared" si="69"/>
        <v>0</v>
      </c>
      <c r="Q273" s="95">
        <f t="shared" si="70"/>
        <v>348.96044298863467</v>
      </c>
      <c r="R273" s="6">
        <f t="shared" si="71"/>
        <v>348.96044298863467</v>
      </c>
      <c r="S273" s="5">
        <f t="shared" si="63"/>
        <v>88557.58</v>
      </c>
      <c r="T273" s="135">
        <v>0.46490178571428575</v>
      </c>
      <c r="U273" s="97">
        <f t="shared" si="72"/>
        <v>19500.795795528611</v>
      </c>
      <c r="V273" s="97">
        <f t="shared" si="73"/>
        <v>14345.276785488313</v>
      </c>
      <c r="W273" s="97">
        <f t="shared" si="74"/>
        <v>2719.7864364572661</v>
      </c>
      <c r="X273" s="97">
        <f t="shared" si="75"/>
        <v>1110.3741851625414</v>
      </c>
      <c r="Y273" s="97">
        <f t="shared" si="76"/>
        <v>37676.233202636729</v>
      </c>
      <c r="Z273" s="104">
        <f t="shared" si="77"/>
        <v>0.42544334660722127</v>
      </c>
      <c r="AA273" s="96">
        <f t="shared" si="78"/>
        <v>37676.233202636729</v>
      </c>
      <c r="AB273" s="97"/>
      <c r="AC273" s="96">
        <f>INDEX('[2]2020 Funding'!$S$26:$S$274,MATCH(B273,'[2]2020 Funding'!$B$26:$B$274,0))</f>
        <v>37688.761450452999</v>
      </c>
      <c r="AD273" s="5">
        <f t="shared" si="79"/>
        <v>-12.528247816269868</v>
      </c>
      <c r="AF273" s="18"/>
      <c r="AG273" s="96"/>
    </row>
    <row r="274" spans="2:33" x14ac:dyDescent="0.25">
      <c r="B274" s="26">
        <v>998</v>
      </c>
      <c r="C274" s="38">
        <v>9</v>
      </c>
      <c r="D274" t="s">
        <v>304</v>
      </c>
      <c r="E274" s="154">
        <v>87.200228717838542</v>
      </c>
      <c r="F274" s="154">
        <f>INDEX('Revised 2018 Lockdown'!H$5:H$253,MATCH(B274,'Revised 2018 Lockdown'!B$5:B$253,0))</f>
        <v>43.600114358919271</v>
      </c>
      <c r="G274" s="154">
        <f t="shared" si="65"/>
        <v>43.600114358919271</v>
      </c>
      <c r="H274" s="5">
        <v>219857.96</v>
      </c>
      <c r="I274" s="5">
        <f>INDEX('Revised 2018 Lockdown'!E$5:E$253,MATCH(B274,'Revised 2018 Lockdown'!B$5:B$253,0))</f>
        <v>219857.96</v>
      </c>
      <c r="J274" s="5">
        <f t="shared" si="66"/>
        <v>0</v>
      </c>
      <c r="K274" s="5">
        <v>0</v>
      </c>
      <c r="L274" s="5">
        <f>INDEX('Revised 2018 Lockdown'!F$5:F$253,MATCH(B274,'Revised 2018 Lockdown'!B$5:B$253,0))</f>
        <v>0</v>
      </c>
      <c r="M274" s="5">
        <f t="shared" si="67"/>
        <v>0</v>
      </c>
      <c r="N274" s="5">
        <v>219857.96</v>
      </c>
      <c r="O274" s="97">
        <f t="shared" si="68"/>
        <v>219857.96</v>
      </c>
      <c r="P274" s="97">
        <f t="shared" si="69"/>
        <v>0</v>
      </c>
      <c r="Q274" s="95">
        <f t="shared" si="70"/>
        <v>5042.6005351755157</v>
      </c>
      <c r="R274" s="6">
        <f t="shared" si="71"/>
        <v>1358.81013164245</v>
      </c>
      <c r="S274" s="5">
        <f t="shared" si="63"/>
        <v>59244.277131668969</v>
      </c>
      <c r="T274" s="135">
        <v>0.67811011904761898</v>
      </c>
      <c r="U274" s="97">
        <f t="shared" si="72"/>
        <v>13045.868579498017</v>
      </c>
      <c r="V274" s="97">
        <f t="shared" si="73"/>
        <v>2464.6032678202414</v>
      </c>
      <c r="W274" s="97">
        <f t="shared" si="74"/>
        <v>2653.9606486568978</v>
      </c>
      <c r="X274" s="97">
        <f t="shared" si="75"/>
        <v>742.83100267216776</v>
      </c>
      <c r="Y274" s="97">
        <f t="shared" si="76"/>
        <v>18907.263498647324</v>
      </c>
      <c r="Z274" s="104">
        <f t="shared" si="77"/>
        <v>0.31914075779212209</v>
      </c>
      <c r="AA274" s="96">
        <f t="shared" si="78"/>
        <v>18907.263498647324</v>
      </c>
      <c r="AB274" s="97"/>
      <c r="AC274" s="96">
        <f>INDEX('[2]2020 Funding'!$S$26:$S$274,MATCH(B274,'[2]2020 Funding'!$B$26:$B$274,0))</f>
        <v>35823.728065049007</v>
      </c>
      <c r="AD274" s="5">
        <f t="shared" si="79"/>
        <v>-16916.464566401683</v>
      </c>
      <c r="AF274" s="18"/>
      <c r="AG274" s="96"/>
    </row>
  </sheetData>
  <mergeCells count="5">
    <mergeCell ref="B2:K2"/>
    <mergeCell ref="U18:AA18"/>
    <mergeCell ref="Z24:AA24"/>
    <mergeCell ref="D13:K13"/>
    <mergeCell ref="D4:K4"/>
  </mergeCells>
  <conditionalFormatting sqref="B71:D97 B172:D184 B186:D191 B235:D257 B104:D170 B99:D101 B193:D203 B205:D233 AB99:AB102 AB205:AB233 AB172:AB184 AB235:AB265 AB193:AB203 AB186:AB191 AB104:AB170 AB71:AB97 AB27:AB69 B26:D69 F26:AB26 AC26:AD274 F27:AA274">
    <cfRule type="expression" dxfId="36" priority="18">
      <formula>$C26&lt;&gt;$C25</formula>
    </cfRule>
  </conditionalFormatting>
  <conditionalFormatting sqref="Z26:Z274">
    <cfRule type="expression" dxfId="35" priority="17">
      <formula>Z26&gt;75%</formula>
    </cfRule>
  </conditionalFormatting>
  <conditionalFormatting sqref="B70:D70 B98:D98 B185:D185 B234:D234 B102:D102 B204:D204 AB98 AB204 AB234 AB185 AB70 AB266:AB274">
    <cfRule type="expression" dxfId="34" priority="19">
      <formula>$C70&lt;&gt;$C68</formula>
    </cfRule>
  </conditionalFormatting>
  <conditionalFormatting sqref="B171:D171 B192:D192 AB192 AB171">
    <cfRule type="expression" dxfId="33" priority="21">
      <formula>$C171&lt;&gt;#REF!</formula>
    </cfRule>
  </conditionalFormatting>
  <conditionalFormatting sqref="B103:D103 AB103">
    <cfRule type="expression" dxfId="32" priority="23">
      <formula>$C103&lt;&gt;$C100</formula>
    </cfRule>
  </conditionalFormatting>
  <conditionalFormatting sqref="V3:V11">
    <cfRule type="expression" dxfId="31" priority="15">
      <formula>$C3&lt;&gt;$C2</formula>
    </cfRule>
  </conditionalFormatting>
  <conditionalFormatting sqref="Q26:Q274">
    <cfRule type="expression" dxfId="30" priority="11">
      <formula>$Q26&lt;=$Q$22=TRUE</formula>
    </cfRule>
    <cfRule type="expression" dxfId="29" priority="12">
      <formula>$Q26&gt;=Q$23</formula>
    </cfRule>
  </conditionalFormatting>
  <conditionalFormatting sqref="E26:E274">
    <cfRule type="expression" dxfId="28" priority="7">
      <formula>$C26&lt;&gt;$C25</formula>
    </cfRule>
  </conditionalFormatting>
  <conditionalFormatting sqref="T3:T11">
    <cfRule type="expression" dxfId="27" priority="4">
      <formula>$C3&lt;&gt;$C2</formula>
    </cfRule>
  </conditionalFormatting>
  <conditionalFormatting sqref="E24:G24">
    <cfRule type="expression" dxfId="26" priority="3">
      <formula>$C24&lt;&gt;$C23</formula>
    </cfRule>
  </conditionalFormatting>
  <conditionalFormatting sqref="E19">
    <cfRule type="expression" dxfId="25" priority="1">
      <formula>$C19&lt;&gt;$C18</formula>
    </cfRule>
  </conditionalFormatting>
  <pageMargins left="0.7" right="0.7" top="0.75" bottom="0.75" header="0.3" footer="0.3"/>
  <pageSetup orientation="portrait" verticalDpi="0" r:id="rId1"/>
  <ignoredErrors>
    <ignoredError sqref="W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5C7FA-0727-4359-B7CB-736870E05FA6}">
  <sheetPr codeName="Sheet12">
    <tabColor rgb="FFFFCCFF"/>
  </sheetPr>
  <dimension ref="B2:S254"/>
  <sheetViews>
    <sheetView workbookViewId="0"/>
  </sheetViews>
  <sheetFormatPr defaultRowHeight="14.3" x14ac:dyDescent="0.25"/>
  <cols>
    <col min="1" max="1" width="5.75" customWidth="1"/>
    <col min="2" max="3" width="6.75" style="1" customWidth="1"/>
    <col min="4" max="4" width="50.75" customWidth="1"/>
    <col min="5" max="11" width="14.75" customWidth="1"/>
    <col min="12" max="12" width="5.75" customWidth="1"/>
    <col min="13" max="19" width="12.75" customWidth="1"/>
  </cols>
  <sheetData>
    <row r="2" spans="2:19" x14ac:dyDescent="0.25">
      <c r="B2" s="23" t="s">
        <v>368</v>
      </c>
      <c r="E2" s="22"/>
      <c r="F2" s="145"/>
      <c r="G2" s="22"/>
      <c r="I2" t="s">
        <v>13</v>
      </c>
      <c r="J2" s="21">
        <v>0</v>
      </c>
    </row>
    <row r="3" spans="2:19" x14ac:dyDescent="0.25">
      <c r="D3" s="19"/>
      <c r="E3" s="20"/>
      <c r="F3" s="20"/>
      <c r="G3" s="20"/>
      <c r="H3" s="19"/>
      <c r="K3" s="17"/>
    </row>
    <row r="4" spans="2:19" ht="14.95" thickBot="1" x14ac:dyDescent="0.3">
      <c r="E4" s="154">
        <f>SUM(E6:E300)</f>
        <v>780346.13362871122</v>
      </c>
      <c r="F4" s="154">
        <f>SUM(F6:F300)</f>
        <v>366925765.61999971</v>
      </c>
      <c r="G4" s="154">
        <f>SUM(G6:G300)</f>
        <v>75152503.179999992</v>
      </c>
      <c r="H4" s="154">
        <f>SUM(H6:H300)</f>
        <v>291773262.43999994</v>
      </c>
      <c r="J4" t="s">
        <v>12</v>
      </c>
      <c r="K4" s="154">
        <f>SUM(K6:K300)</f>
        <v>286168640.33642614</v>
      </c>
      <c r="Q4" s="16">
        <v>0.1</v>
      </c>
      <c r="R4" s="15">
        <f>100%-Q4</f>
        <v>0.9</v>
      </c>
    </row>
    <row r="5" spans="2:19" ht="43.5" thickBot="1" x14ac:dyDescent="0.3">
      <c r="B5" s="14" t="s">
        <v>11</v>
      </c>
      <c r="C5" s="14" t="s">
        <v>10</v>
      </c>
      <c r="D5" s="14" t="s">
        <v>9</v>
      </c>
      <c r="E5" s="14" t="s">
        <v>321</v>
      </c>
      <c r="F5" s="14" t="s">
        <v>322</v>
      </c>
      <c r="G5" s="14" t="s">
        <v>323</v>
      </c>
      <c r="H5" s="14" t="s">
        <v>324</v>
      </c>
      <c r="I5" s="14" t="s">
        <v>8</v>
      </c>
      <c r="J5" s="14" t="s">
        <v>1</v>
      </c>
      <c r="K5" s="14" t="str">
        <f>"Adjusted Net Cost"&amp;CHAR(10)&amp;TEXT(SUM(K6:K248),"$#,##0")</f>
        <v>Adjusted Net Cost
$285,751,251</v>
      </c>
      <c r="M5" s="14" t="s">
        <v>7</v>
      </c>
      <c r="N5" s="14" t="s">
        <v>6</v>
      </c>
      <c r="O5" s="13" t="s">
        <v>5</v>
      </c>
      <c r="P5" s="13" t="s">
        <v>4</v>
      </c>
      <c r="Q5" s="13" t="s">
        <v>3</v>
      </c>
      <c r="R5" s="13" t="s">
        <v>2</v>
      </c>
      <c r="S5" s="13" t="s">
        <v>1</v>
      </c>
    </row>
    <row r="6" spans="2:19" x14ac:dyDescent="0.25">
      <c r="B6" s="12">
        <v>1</v>
      </c>
      <c r="C6" s="12">
        <v>1</v>
      </c>
      <c r="D6" s="11" t="s">
        <v>62</v>
      </c>
      <c r="E6" s="154">
        <f>INDEX('Revised 2018 Lockdown'!H$5:H$253,MATCH(B6,'Revised 2018 Lockdown'!B$5:B$253,0))</f>
        <v>38728.502695461008</v>
      </c>
      <c r="F6" s="7">
        <f>INDEX('Revised 2018 Lockdown'!E$5:E$253,MATCH(B6,'Revised 2018 Lockdown'!B$5:B$253,0))</f>
        <v>9766397.1899999995</v>
      </c>
      <c r="G6" s="7">
        <f>INDEX('Revised 2018 Lockdown'!F$5:F$253,MATCH(B6,'Revised 2018 Lockdown'!B$5:B$253,0))</f>
        <v>568925.55000000005</v>
      </c>
      <c r="H6" s="7">
        <f t="shared" ref="H6:H69" si="0">F6-G6</f>
        <v>9197471.6399999987</v>
      </c>
      <c r="I6" s="6">
        <f t="shared" ref="I6:I69" si="1">H6/E6</f>
        <v>237.48585666540487</v>
      </c>
      <c r="J6" s="6">
        <f>IF(ISERROR(IF($J$2=1,MAX(MIN(I6,R6),Q6),MIN(I6,R6))),R6,IF($J$2=1,MAX(MIN(I6,R6),Q6),MIN(I6,R6)))</f>
        <v>237.48585666540487</v>
      </c>
      <c r="K6" s="5">
        <f t="shared" ref="K6:K69" si="2">J6*E6</f>
        <v>9197471.6399999987</v>
      </c>
      <c r="L6" s="4">
        <f t="shared" ref="L6:L69" si="3">IF(ISERROR(I6),1,0)</f>
        <v>0</v>
      </c>
      <c r="M6" s="2" cm="1">
        <f t="array" ref="M6">SUMPRODUCT(--($L$6:$L$300&lt;&gt;1),--($C$6:$C$300=$C6),$H$6:$H$300)/SUMPRODUCT(--($L$6:$L$300&lt;&gt;1),--($C$6:$C$300=$C6),$E$6:$E$300)</f>
        <v>427.24889241691227</v>
      </c>
      <c r="N6" s="1" cm="1">
        <f t="array" ref="N6">SUMPRODUCT(--($L$6:$L$300&lt;&gt;1),--($C$6:$C$300=$C6))</f>
        <v>6</v>
      </c>
      <c r="O6" s="3">
        <f>IF(ISERROR((I6-M6)^2),0,(I6-M6)^2)</f>
        <v>36010.009737627879</v>
      </c>
      <c r="P6" s="2" cm="1">
        <f t="array" ref="P6">SQRT(SUMPRODUCT(--($L$6:$L$300&lt;&gt;1),--($C$6:$C$300=$C6),$E$6:$E$300,$O$6:$O$300)/((N6-1)*SUMPRODUCT(--($L$6:$L$300&lt;&gt;1),--($C$6:$C$300=$C6),$E$6:$E$300)/N6))</f>
        <v>156.37730595348742</v>
      </c>
      <c r="Q6" s="2">
        <f t="shared" ref="Q6:R114" si="4">NORMINV(Q$4,$M6,$P6)</f>
        <v>226.84331115657346</v>
      </c>
      <c r="R6" s="2">
        <f t="shared" si="4"/>
        <v>627.65447367725108</v>
      </c>
      <c r="S6" s="2">
        <f>IF(ISERROR(MAX(MIN(I6,R6),Q6)),R6,MAX(MIN(I6,R6),Q6))</f>
        <v>237.48585666540487</v>
      </c>
    </row>
    <row r="7" spans="2:19" x14ac:dyDescent="0.25">
      <c r="B7" s="10">
        <v>20</v>
      </c>
      <c r="C7" s="10">
        <v>1</v>
      </c>
      <c r="D7" s="9" t="s">
        <v>63</v>
      </c>
      <c r="E7" s="154">
        <f>INDEX('Revised 2018 Lockdown'!H$5:H$253,MATCH(B7,'Revised 2018 Lockdown'!B$5:B$253,0))</f>
        <v>95138.34</v>
      </c>
      <c r="F7" s="7">
        <f>INDEX('Revised 2018 Lockdown'!E$5:E$253,MATCH(B7,'Revised 2018 Lockdown'!B$5:B$253,0))</f>
        <v>72113420.859999999</v>
      </c>
      <c r="G7" s="7">
        <f>INDEX('Revised 2018 Lockdown'!F$5:F$253,MATCH(B7,'Revised 2018 Lockdown'!B$5:B$253,0))</f>
        <v>10663964.02</v>
      </c>
      <c r="H7" s="7">
        <f t="shared" si="0"/>
        <v>61449456.840000004</v>
      </c>
      <c r="I7" s="6">
        <f t="shared" si="1"/>
        <v>645.89582748658438</v>
      </c>
      <c r="J7" s="6">
        <f t="shared" ref="J7:J70" si="5">IF(ISERROR(IF($J$2=1,MAX(MIN(I7,R7),Q7),MIN(I7,R7))),R7,IF($J$2=1,MAX(MIN(I7,R7),Q7),MIN(I7,R7)))</f>
        <v>627.65447367725108</v>
      </c>
      <c r="K7" s="5">
        <f t="shared" si="2"/>
        <v>59714004.719227359</v>
      </c>
      <c r="L7" s="4">
        <f t="shared" si="3"/>
        <v>0</v>
      </c>
      <c r="M7" s="2" cm="1">
        <f t="array" ref="M7">SUMPRODUCT(--($L$6:$L$300&lt;&gt;1),--($C$6:$C$300=$C7),$H$6:$H$300)/SUMPRODUCT(--($L$6:$L$300&lt;&gt;1),--($C$6:$C$300=$C7),$E$6:$E$300)</f>
        <v>427.24889241691227</v>
      </c>
      <c r="N7" s="1" cm="1">
        <f t="array" ref="N7">SUMPRODUCT(--($L$6:$L$300&lt;&gt;1),--($C$6:$C$300=$C7))</f>
        <v>6</v>
      </c>
      <c r="O7" s="3">
        <f t="shared" ref="O7:O70" si="6">IF(ISERROR((I7-M7)^2),0,(I7-M7)^2)</f>
        <v>47806.482215361415</v>
      </c>
      <c r="P7" s="2" cm="1">
        <f t="array" ref="P7">SQRT(SUMPRODUCT(--($L$6:$L$300&lt;&gt;1),--($C$6:$C$300=$C7),$E$6:$E$300,$O$6:$O$300)/((N7-1)*SUMPRODUCT(--($L$6:$L$300&lt;&gt;1),--($C$6:$C$300=$C7),$E$6:$E$300)/N7))</f>
        <v>156.37730595348742</v>
      </c>
      <c r="Q7" s="2">
        <f t="shared" si="4"/>
        <v>226.84331115657346</v>
      </c>
      <c r="R7" s="2">
        <f t="shared" si="4"/>
        <v>627.65447367725108</v>
      </c>
      <c r="S7" s="2">
        <f t="shared" ref="S7:S70" si="7">IF(ISERROR(MAX(MIN(I7,R7),Q7)),R7,MAX(MIN(I7,R7),Q7))</f>
        <v>627.65447367725108</v>
      </c>
    </row>
    <row r="8" spans="2:19" x14ac:dyDescent="0.25">
      <c r="B8" s="10">
        <v>50</v>
      </c>
      <c r="C8" s="10">
        <v>1</v>
      </c>
      <c r="D8" s="9" t="s">
        <v>64</v>
      </c>
      <c r="E8" s="154">
        <f>INDEX('Revised 2018 Lockdown'!H$5:H$253,MATCH(B8,'Revised 2018 Lockdown'!B$5:B$253,0))</f>
        <v>21832.32</v>
      </c>
      <c r="F8" s="7">
        <f>INDEX('Revised 2018 Lockdown'!E$5:E$253,MATCH(B8,'Revised 2018 Lockdown'!B$5:B$253,0))</f>
        <v>10267643.390000001</v>
      </c>
      <c r="G8" s="7">
        <f>INDEX('Revised 2018 Lockdown'!F$5:F$253,MATCH(B8,'Revised 2018 Lockdown'!B$5:B$253,0))</f>
        <v>3253400.57</v>
      </c>
      <c r="H8" s="7">
        <f t="shared" si="0"/>
        <v>7014242.8200000003</v>
      </c>
      <c r="I8" s="6">
        <f t="shared" si="1"/>
        <v>321.27794114413859</v>
      </c>
      <c r="J8" s="6">
        <f t="shared" si="5"/>
        <v>321.27794114413859</v>
      </c>
      <c r="K8" s="5">
        <f t="shared" si="2"/>
        <v>7014242.8199999994</v>
      </c>
      <c r="L8" s="4">
        <f t="shared" si="3"/>
        <v>0</v>
      </c>
      <c r="M8" s="2" cm="1">
        <f t="array" ref="M8">SUMPRODUCT(--($L$6:$L$300&lt;&gt;1),--($C$6:$C$300=$C8),$H$6:$H$300)/SUMPRODUCT(--($L$6:$L$300&lt;&gt;1),--($C$6:$C$300=$C8),$E$6:$E$300)</f>
        <v>427.24889241691227</v>
      </c>
      <c r="N8" s="1" cm="1">
        <f t="array" ref="N8">SUMPRODUCT(--($L$6:$L$300&lt;&gt;1),--($C$6:$C$300=$C8))</f>
        <v>6</v>
      </c>
      <c r="O8" s="3">
        <f t="shared" si="6"/>
        <v>11229.842513656573</v>
      </c>
      <c r="P8" s="2" cm="1">
        <f t="array" ref="P8">SQRT(SUMPRODUCT(--($L$6:$L$300&lt;&gt;1),--($C$6:$C$300=$C8),$E$6:$E$300,$O$6:$O$300)/((N8-1)*SUMPRODUCT(--($L$6:$L$300&lt;&gt;1),--($C$6:$C$300=$C8),$E$6:$E$300)/N8))</f>
        <v>156.37730595348742</v>
      </c>
      <c r="Q8" s="2">
        <f t="shared" si="4"/>
        <v>226.84331115657346</v>
      </c>
      <c r="R8" s="2">
        <f t="shared" si="4"/>
        <v>627.65447367725108</v>
      </c>
      <c r="S8" s="2">
        <f t="shared" si="7"/>
        <v>321.27794114413859</v>
      </c>
    </row>
    <row r="9" spans="2:19" x14ac:dyDescent="0.25">
      <c r="B9" s="10">
        <v>97</v>
      </c>
      <c r="C9" s="10">
        <v>1</v>
      </c>
      <c r="D9" s="9" t="s">
        <v>65</v>
      </c>
      <c r="E9" s="154">
        <f>INDEX('Revised 2018 Lockdown'!H$5:H$253,MATCH(B9,'Revised 2018 Lockdown'!B$5:B$253,0))</f>
        <v>65818.306144817994</v>
      </c>
      <c r="F9" s="7">
        <f>INDEX('Revised 2018 Lockdown'!E$5:E$253,MATCH(B9,'Revised 2018 Lockdown'!B$5:B$253,0))</f>
        <v>29681294.399999999</v>
      </c>
      <c r="G9" s="7">
        <f>INDEX('Revised 2018 Lockdown'!F$5:F$253,MATCH(B9,'Revised 2018 Lockdown'!B$5:B$253,0))</f>
        <v>5193562.6999999993</v>
      </c>
      <c r="H9" s="7">
        <f t="shared" si="0"/>
        <v>24487731.699999999</v>
      </c>
      <c r="I9" s="6">
        <f t="shared" si="1"/>
        <v>372.05046945633023</v>
      </c>
      <c r="J9" s="6">
        <f t="shared" si="5"/>
        <v>372.05046945633023</v>
      </c>
      <c r="K9" s="5">
        <f t="shared" si="2"/>
        <v>24487731.699999999</v>
      </c>
      <c r="L9" s="4">
        <f t="shared" si="3"/>
        <v>0</v>
      </c>
      <c r="M9" s="2" cm="1">
        <f t="array" ref="M9">SUMPRODUCT(--($L$6:$L$300&lt;&gt;1),--($C$6:$C$300=$C9),$H$6:$H$300)/SUMPRODUCT(--($L$6:$L$300&lt;&gt;1),--($C$6:$C$300=$C9),$E$6:$E$300)</f>
        <v>427.24889241691227</v>
      </c>
      <c r="N9" s="1" cm="1">
        <f t="array" ref="N9">SUMPRODUCT(--($L$6:$L$300&lt;&gt;1),--($C$6:$C$300=$C9))</f>
        <v>6</v>
      </c>
      <c r="O9" s="3">
        <f t="shared" si="6"/>
        <v>3046.8658973353099</v>
      </c>
      <c r="P9" s="2" cm="1">
        <f t="array" ref="P9">SQRT(SUMPRODUCT(--($L$6:$L$300&lt;&gt;1),--($C$6:$C$300=$C9),$E$6:$E$300,$O$6:$O$300)/((N9-1)*SUMPRODUCT(--($L$6:$L$300&lt;&gt;1),--($C$6:$C$300=$C9),$E$6:$E$300)/N9))</f>
        <v>156.37730595348742</v>
      </c>
      <c r="Q9" s="2">
        <f t="shared" si="4"/>
        <v>226.84331115657346</v>
      </c>
      <c r="R9" s="2">
        <f t="shared" si="4"/>
        <v>627.65447367725108</v>
      </c>
      <c r="S9" s="2">
        <f t="shared" si="7"/>
        <v>372.05046945633023</v>
      </c>
    </row>
    <row r="10" spans="2:19" x14ac:dyDescent="0.25">
      <c r="B10" s="10">
        <v>172</v>
      </c>
      <c r="C10" s="10">
        <v>1</v>
      </c>
      <c r="D10" s="9" t="s">
        <v>66</v>
      </c>
      <c r="E10" s="154">
        <f>INDEX('Revised 2018 Lockdown'!H$5:H$253,MATCH(B10,'Revised 2018 Lockdown'!B$5:B$253,0))</f>
        <v>34341.100000000006</v>
      </c>
      <c r="F10" s="7">
        <f>INDEX('Revised 2018 Lockdown'!E$5:E$253,MATCH(B10,'Revised 2018 Lockdown'!B$5:B$253,0))</f>
        <v>15497137.449999999</v>
      </c>
      <c r="G10" s="7">
        <f>INDEX('Revised 2018 Lockdown'!F$5:F$253,MATCH(B10,'Revised 2018 Lockdown'!B$5:B$253,0))</f>
        <v>3445193.7500000005</v>
      </c>
      <c r="H10" s="7">
        <f t="shared" si="0"/>
        <v>12051943.699999999</v>
      </c>
      <c r="I10" s="6">
        <f t="shared" si="1"/>
        <v>350.94809717801695</v>
      </c>
      <c r="J10" s="6">
        <f t="shared" si="5"/>
        <v>350.94809717801695</v>
      </c>
      <c r="K10" s="5">
        <f t="shared" si="2"/>
        <v>12051943.699999999</v>
      </c>
      <c r="L10" s="4">
        <f t="shared" si="3"/>
        <v>0</v>
      </c>
      <c r="M10" s="2" cm="1">
        <f t="array" ref="M10">SUMPRODUCT(--($L$6:$L$300&lt;&gt;1),--($C$6:$C$300=$C10),$H$6:$H$300)/SUMPRODUCT(--($L$6:$L$300&lt;&gt;1),--($C$6:$C$300=$C10),$E$6:$E$300)</f>
        <v>427.24889241691227</v>
      </c>
      <c r="N10" s="1" cm="1">
        <f t="array" ref="N10">SUMPRODUCT(--($L$6:$L$300&lt;&gt;1),--($C$6:$C$300=$C10))</f>
        <v>6</v>
      </c>
      <c r="O10" s="3">
        <f t="shared" si="6"/>
        <v>5821.8113540878303</v>
      </c>
      <c r="P10" s="2" cm="1">
        <f t="array" ref="P10">SQRT(SUMPRODUCT(--($L$6:$L$300&lt;&gt;1),--($C$6:$C$300=$C10),$E$6:$E$300,$O$6:$O$300)/((N10-1)*SUMPRODUCT(--($L$6:$L$300&lt;&gt;1),--($C$6:$C$300=$C10),$E$6:$E$300)/N10))</f>
        <v>156.37730595348742</v>
      </c>
      <c r="Q10" s="2">
        <f t="shared" si="4"/>
        <v>226.84331115657346</v>
      </c>
      <c r="R10" s="2">
        <f t="shared" si="4"/>
        <v>627.65447367725108</v>
      </c>
      <c r="S10" s="2">
        <f t="shared" si="7"/>
        <v>350.94809717801695</v>
      </c>
    </row>
    <row r="11" spans="2:19" x14ac:dyDescent="0.25">
      <c r="B11" s="10">
        <v>270</v>
      </c>
      <c r="C11" s="10">
        <v>1</v>
      </c>
      <c r="D11" s="9" t="s">
        <v>67</v>
      </c>
      <c r="E11" s="154">
        <f>INDEX('Revised 2018 Lockdown'!H$5:H$253,MATCH(B11,'Revised 2018 Lockdown'!B$5:B$253,0))</f>
        <v>81774.8</v>
      </c>
      <c r="F11" s="7">
        <f>INDEX('Revised 2018 Lockdown'!E$5:E$253,MATCH(B11,'Revised 2018 Lockdown'!B$5:B$253,0))</f>
        <v>36853205.850000001</v>
      </c>
      <c r="G11" s="7">
        <f>INDEX('Revised 2018 Lockdown'!F$5:F$253,MATCH(B11,'Revised 2018 Lockdown'!B$5:B$253,0))</f>
        <v>6800569.6699999999</v>
      </c>
      <c r="H11" s="7">
        <f t="shared" si="0"/>
        <v>30052636.18</v>
      </c>
      <c r="I11" s="6">
        <f t="shared" si="1"/>
        <v>367.50485699751022</v>
      </c>
      <c r="J11" s="6">
        <f t="shared" si="5"/>
        <v>367.50485699751022</v>
      </c>
      <c r="K11" s="5">
        <f t="shared" si="2"/>
        <v>30052636.18</v>
      </c>
      <c r="L11" s="4">
        <f t="shared" si="3"/>
        <v>0</v>
      </c>
      <c r="M11" s="2" cm="1">
        <f t="array" ref="M11">SUMPRODUCT(--($L$6:$L$300&lt;&gt;1),--($C$6:$C$300=$C11),$H$6:$H$300)/SUMPRODUCT(--($L$6:$L$300&lt;&gt;1),--($C$6:$C$300=$C11),$E$6:$E$300)</f>
        <v>427.24889241691227</v>
      </c>
      <c r="N11" s="1" cm="1">
        <f t="array" ref="N11">SUMPRODUCT(--($L$6:$L$300&lt;&gt;1),--($C$6:$C$300=$C11))</f>
        <v>6</v>
      </c>
      <c r="O11" s="3">
        <f t="shared" si="6"/>
        <v>3569.349768194767</v>
      </c>
      <c r="P11" s="2" cm="1">
        <f t="array" ref="P11">SQRT(SUMPRODUCT(--($L$6:$L$300&lt;&gt;1),--($C$6:$C$300=$C11),$E$6:$E$300,$O$6:$O$300)/((N11-1)*SUMPRODUCT(--($L$6:$L$300&lt;&gt;1),--($C$6:$C$300=$C11),$E$6:$E$300)/N11))</f>
        <v>156.37730595348742</v>
      </c>
      <c r="Q11" s="2">
        <f t="shared" si="4"/>
        <v>226.84331115657346</v>
      </c>
      <c r="R11" s="2">
        <f t="shared" si="4"/>
        <v>627.65447367725108</v>
      </c>
      <c r="S11" s="2">
        <f t="shared" si="7"/>
        <v>367.50485699751022</v>
      </c>
    </row>
    <row r="12" spans="2:19" x14ac:dyDescent="0.25">
      <c r="B12" s="10">
        <v>6</v>
      </c>
      <c r="C12" s="10">
        <v>2</v>
      </c>
      <c r="D12" s="9" t="s">
        <v>68</v>
      </c>
      <c r="E12" s="154">
        <f>INDEX('Revised 2018 Lockdown'!H$5:H$253,MATCH(B12,'Revised 2018 Lockdown'!B$5:B$253,0))</f>
        <v>43278</v>
      </c>
      <c r="F12" s="7">
        <f>INDEX('Revised 2018 Lockdown'!E$5:E$253,MATCH(B12,'Revised 2018 Lockdown'!B$5:B$253,0))</f>
        <v>19454497.760000002</v>
      </c>
      <c r="G12" s="7">
        <f>INDEX('Revised 2018 Lockdown'!F$5:F$253,MATCH(B12,'Revised 2018 Lockdown'!B$5:B$253,0))</f>
        <v>4664058.9000000004</v>
      </c>
      <c r="H12" s="7">
        <f t="shared" si="0"/>
        <v>14790438.860000001</v>
      </c>
      <c r="I12" s="6">
        <f t="shared" si="1"/>
        <v>341.75421368824811</v>
      </c>
      <c r="J12" s="6">
        <f t="shared" si="5"/>
        <v>320.70169543853194</v>
      </c>
      <c r="K12" s="5">
        <f t="shared" si="2"/>
        <v>13879327.975188786</v>
      </c>
      <c r="L12" s="4">
        <f t="shared" si="3"/>
        <v>0</v>
      </c>
      <c r="M12" s="2" cm="1">
        <f t="array" ref="M12">SUMPRODUCT(--($L$6:$L$300&lt;&gt;1),--($C$6:$C$300=$C12),$H$6:$H$300)/SUMPRODUCT(--($L$6:$L$300&lt;&gt;1),--($C$6:$C$300=$C12),$E$6:$E$300)</f>
        <v>243.92516529036484</v>
      </c>
      <c r="N12" s="1" cm="1">
        <f t="array" ref="N12">SUMPRODUCT(--($L$6:$L$300&lt;&gt;1),--($C$6:$C$300=$C12))</f>
        <v>6</v>
      </c>
      <c r="O12" s="3">
        <f t="shared" si="6"/>
        <v>9570.5227104353871</v>
      </c>
      <c r="P12" s="2" cm="1">
        <f t="array" ref="P12">SQRT(SUMPRODUCT(--($L$6:$L$300&lt;&gt;1),--($C$6:$C$300=$C12),$E$6:$E$300,$O$6:$O$300)/((N12-1)*SUMPRODUCT(--($L$6:$L$300&lt;&gt;1),--($C$6:$C$300=$C12),$E$6:$E$300)/N12))</f>
        <v>59.909044795665807</v>
      </c>
      <c r="Q12" s="2">
        <f t="shared" si="4"/>
        <v>167.14863514219772</v>
      </c>
      <c r="R12" s="2">
        <f t="shared" si="4"/>
        <v>320.70169543853194</v>
      </c>
      <c r="S12" s="2">
        <f t="shared" si="7"/>
        <v>320.70169543853194</v>
      </c>
    </row>
    <row r="13" spans="2:19" x14ac:dyDescent="0.25">
      <c r="B13" s="10">
        <v>18</v>
      </c>
      <c r="C13" s="10">
        <v>2</v>
      </c>
      <c r="D13" s="9" t="s">
        <v>69</v>
      </c>
      <c r="E13" s="154">
        <f>INDEX('Revised 2018 Lockdown'!H$5:H$253,MATCH(B13,'Revised 2018 Lockdown'!B$5:B$253,0))</f>
        <v>23157.74</v>
      </c>
      <c r="F13" s="7">
        <f>INDEX('Revised 2018 Lockdown'!E$5:E$253,MATCH(B13,'Revised 2018 Lockdown'!B$5:B$253,0))</f>
        <v>8164283.8399999999</v>
      </c>
      <c r="G13" s="7">
        <f>INDEX('Revised 2018 Lockdown'!F$5:F$253,MATCH(B13,'Revised 2018 Lockdown'!B$5:B$253,0))</f>
        <v>3204604.9</v>
      </c>
      <c r="H13" s="7">
        <f t="shared" si="0"/>
        <v>4959678.9399999995</v>
      </c>
      <c r="I13" s="6">
        <f t="shared" si="1"/>
        <v>214.16938526816517</v>
      </c>
      <c r="J13" s="6">
        <f t="shared" si="5"/>
        <v>214.16938526816517</v>
      </c>
      <c r="K13" s="5">
        <f t="shared" si="2"/>
        <v>4959678.9399999995</v>
      </c>
      <c r="L13" s="4">
        <f t="shared" si="3"/>
        <v>0</v>
      </c>
      <c r="M13" s="2" cm="1">
        <f t="array" ref="M13">SUMPRODUCT(--($L$6:$L$300&lt;&gt;1),--($C$6:$C$300=$C13),$H$6:$H$300)/SUMPRODUCT(--($L$6:$L$300&lt;&gt;1),--($C$6:$C$300=$C13),$E$6:$E$300)</f>
        <v>243.92516529036484</v>
      </c>
      <c r="N13" s="1" cm="1">
        <f t="array" ref="N13">SUMPRODUCT(--($L$6:$L$300&lt;&gt;1),--($C$6:$C$300=$C13))</f>
        <v>6</v>
      </c>
      <c r="O13" s="3">
        <f t="shared" si="6"/>
        <v>885.40644472953716</v>
      </c>
      <c r="P13" s="2" cm="1">
        <f t="array" ref="P13">SQRT(SUMPRODUCT(--($L$6:$L$300&lt;&gt;1),--($C$6:$C$300=$C13),$E$6:$E$300,$O$6:$O$300)/((N13-1)*SUMPRODUCT(--($L$6:$L$300&lt;&gt;1),--($C$6:$C$300=$C13),$E$6:$E$300)/N13))</f>
        <v>59.909044795665807</v>
      </c>
      <c r="Q13" s="2">
        <f t="shared" si="4"/>
        <v>167.14863514219772</v>
      </c>
      <c r="R13" s="2">
        <f t="shared" si="4"/>
        <v>320.70169543853194</v>
      </c>
      <c r="S13" s="2">
        <f t="shared" si="7"/>
        <v>214.16938526816517</v>
      </c>
    </row>
    <row r="14" spans="2:19" x14ac:dyDescent="0.25">
      <c r="B14" s="10">
        <v>53</v>
      </c>
      <c r="C14" s="10">
        <v>2</v>
      </c>
      <c r="D14" s="9" t="s">
        <v>70</v>
      </c>
      <c r="E14" s="154">
        <f>INDEX('Revised 2018 Lockdown'!H$5:H$253,MATCH(B14,'Revised 2018 Lockdown'!B$5:B$253,0))</f>
        <v>36449.64</v>
      </c>
      <c r="F14" s="7">
        <f>INDEX('Revised 2018 Lockdown'!E$5:E$253,MATCH(B14,'Revised 2018 Lockdown'!B$5:B$253,0))</f>
        <v>11201363.85</v>
      </c>
      <c r="G14" s="7">
        <f>INDEX('Revised 2018 Lockdown'!F$5:F$253,MATCH(B14,'Revised 2018 Lockdown'!B$5:B$253,0))</f>
        <v>3914991.95</v>
      </c>
      <c r="H14" s="7">
        <f t="shared" si="0"/>
        <v>7286371.8999999994</v>
      </c>
      <c r="I14" s="6">
        <f t="shared" si="1"/>
        <v>199.90243799390061</v>
      </c>
      <c r="J14" s="6">
        <f t="shared" si="5"/>
        <v>199.90243799390061</v>
      </c>
      <c r="K14" s="5">
        <f t="shared" si="2"/>
        <v>7286371.8999999994</v>
      </c>
      <c r="L14" s="4">
        <f t="shared" si="3"/>
        <v>0</v>
      </c>
      <c r="M14" s="2" cm="1">
        <f t="array" ref="M14">SUMPRODUCT(--($L$6:$L$300&lt;&gt;1),--($C$6:$C$300=$C14),$H$6:$H$300)/SUMPRODUCT(--($L$6:$L$300&lt;&gt;1),--($C$6:$C$300=$C14),$E$6:$E$300)</f>
        <v>243.92516529036484</v>
      </c>
      <c r="N14" s="1" cm="1">
        <f t="array" ref="N14">SUMPRODUCT(--($L$6:$L$300&lt;&gt;1),--($C$6:$C$300=$C14))</f>
        <v>6</v>
      </c>
      <c r="O14" s="3">
        <f t="shared" si="6"/>
        <v>1938.0005186188575</v>
      </c>
      <c r="P14" s="2" cm="1">
        <f t="array" ref="P14">SQRT(SUMPRODUCT(--($L$6:$L$300&lt;&gt;1),--($C$6:$C$300=$C14),$E$6:$E$300,$O$6:$O$300)/((N14-1)*SUMPRODUCT(--($L$6:$L$300&lt;&gt;1),--($C$6:$C$300=$C14),$E$6:$E$300)/N14))</f>
        <v>59.909044795665807</v>
      </c>
      <c r="Q14" s="2">
        <f t="shared" si="4"/>
        <v>167.14863514219772</v>
      </c>
      <c r="R14" s="2">
        <f t="shared" si="4"/>
        <v>320.70169543853194</v>
      </c>
      <c r="S14" s="2">
        <f t="shared" si="7"/>
        <v>199.90243799390061</v>
      </c>
    </row>
    <row r="15" spans="2:19" x14ac:dyDescent="0.25">
      <c r="B15" s="10">
        <v>335</v>
      </c>
      <c r="C15" s="10">
        <v>2</v>
      </c>
      <c r="D15" s="9" t="s">
        <v>71</v>
      </c>
      <c r="E15" s="154">
        <f>INDEX('Revised 2018 Lockdown'!H$5:H$253,MATCH(B15,'Revised 2018 Lockdown'!B$5:B$253,0))</f>
        <v>24830.720000000001</v>
      </c>
      <c r="F15" s="7">
        <f>INDEX('Revised 2018 Lockdown'!E$5:E$253,MATCH(B15,'Revised 2018 Lockdown'!B$5:B$253,0))</f>
        <v>10253567.189999999</v>
      </c>
      <c r="G15" s="7">
        <f>INDEX('Revised 2018 Lockdown'!F$5:F$253,MATCH(B15,'Revised 2018 Lockdown'!B$5:B$253,0))</f>
        <v>3115651.2</v>
      </c>
      <c r="H15" s="7">
        <f t="shared" si="0"/>
        <v>7137915.9899999993</v>
      </c>
      <c r="I15" s="6">
        <f t="shared" si="1"/>
        <v>287.46310980913961</v>
      </c>
      <c r="J15" s="6">
        <f t="shared" si="5"/>
        <v>287.46310980913961</v>
      </c>
      <c r="K15" s="5">
        <f t="shared" si="2"/>
        <v>7137915.9899999993</v>
      </c>
      <c r="L15" s="4">
        <f t="shared" si="3"/>
        <v>0</v>
      </c>
      <c r="M15" s="2" cm="1">
        <f t="array" ref="M15">SUMPRODUCT(--($L$6:$L$300&lt;&gt;1),--($C$6:$C$300=$C15),$H$6:$H$300)/SUMPRODUCT(--($L$6:$L$300&lt;&gt;1),--($C$6:$C$300=$C15),$E$6:$E$300)</f>
        <v>243.92516529036484</v>
      </c>
      <c r="N15" s="1" cm="1">
        <f t="array" ref="N15">SUMPRODUCT(--($L$6:$L$300&lt;&gt;1),--($C$6:$C$300=$C15))</f>
        <v>6</v>
      </c>
      <c r="O15" s="3">
        <f t="shared" si="6"/>
        <v>1895.5526129199095</v>
      </c>
      <c r="P15" s="2" cm="1">
        <f t="array" ref="P15">SQRT(SUMPRODUCT(--($L$6:$L$300&lt;&gt;1),--($C$6:$C$300=$C15),$E$6:$E$300,$O$6:$O$300)/((N15-1)*SUMPRODUCT(--($L$6:$L$300&lt;&gt;1),--($C$6:$C$300=$C15),$E$6:$E$300)/N15))</f>
        <v>59.909044795665807</v>
      </c>
      <c r="Q15" s="2">
        <f t="shared" si="4"/>
        <v>167.14863514219772</v>
      </c>
      <c r="R15" s="2">
        <f t="shared" si="4"/>
        <v>320.70169543853194</v>
      </c>
      <c r="S15" s="2">
        <f t="shared" si="7"/>
        <v>287.46310980913961</v>
      </c>
    </row>
    <row r="16" spans="2:19" x14ac:dyDescent="0.25">
      <c r="B16" s="10">
        <v>357</v>
      </c>
      <c r="C16" s="10">
        <v>2</v>
      </c>
      <c r="D16" s="9" t="s">
        <v>72</v>
      </c>
      <c r="E16" s="154">
        <f>INDEX('Revised 2018 Lockdown'!H$5:H$253,MATCH(B16,'Revised 2018 Lockdown'!B$5:B$253,0))</f>
        <v>35854.92</v>
      </c>
      <c r="F16" s="7">
        <f>INDEX('Revised 2018 Lockdown'!E$5:E$253,MATCH(B16,'Revised 2018 Lockdown'!B$5:B$253,0))</f>
        <v>12842982.59</v>
      </c>
      <c r="G16" s="7">
        <f>INDEX('Revised 2018 Lockdown'!F$5:F$253,MATCH(B16,'Revised 2018 Lockdown'!B$5:B$253,0))</f>
        <v>4901152.2100000009</v>
      </c>
      <c r="H16" s="7">
        <f t="shared" si="0"/>
        <v>7941830.379999999</v>
      </c>
      <c r="I16" s="6">
        <f t="shared" si="1"/>
        <v>221.49904057797366</v>
      </c>
      <c r="J16" s="6">
        <f t="shared" si="5"/>
        <v>221.49904057797366</v>
      </c>
      <c r="K16" s="5">
        <f t="shared" si="2"/>
        <v>7941830.379999999</v>
      </c>
      <c r="L16" s="4">
        <f t="shared" si="3"/>
        <v>0</v>
      </c>
      <c r="M16" s="2" cm="1">
        <f t="array" ref="M16">SUMPRODUCT(--($L$6:$L$300&lt;&gt;1),--($C$6:$C$300=$C16),$H$6:$H$300)/SUMPRODUCT(--($L$6:$L$300&lt;&gt;1),--($C$6:$C$300=$C16),$E$6:$E$300)</f>
        <v>243.92516529036484</v>
      </c>
      <c r="N16" s="1" cm="1">
        <f t="array" ref="N16">SUMPRODUCT(--($L$6:$L$300&lt;&gt;1),--($C$6:$C$300=$C16))</f>
        <v>6</v>
      </c>
      <c r="O16" s="3">
        <f t="shared" si="6"/>
        <v>502.93106961572266</v>
      </c>
      <c r="P16" s="2" cm="1">
        <f t="array" ref="P16">SQRT(SUMPRODUCT(--($L$6:$L$300&lt;&gt;1),--($C$6:$C$300=$C16),$E$6:$E$300,$O$6:$O$300)/((N16-1)*SUMPRODUCT(--($L$6:$L$300&lt;&gt;1),--($C$6:$C$300=$C16),$E$6:$E$300)/N16))</f>
        <v>59.909044795665807</v>
      </c>
      <c r="Q16" s="2">
        <f t="shared" si="4"/>
        <v>167.14863514219772</v>
      </c>
      <c r="R16" s="2">
        <f t="shared" si="4"/>
        <v>320.70169543853194</v>
      </c>
      <c r="S16" s="2">
        <f t="shared" si="7"/>
        <v>221.49904057797366</v>
      </c>
    </row>
    <row r="17" spans="2:19" x14ac:dyDescent="0.25">
      <c r="B17" s="10">
        <v>441</v>
      </c>
      <c r="C17" s="10">
        <v>2</v>
      </c>
      <c r="D17" s="9" t="s">
        <v>73</v>
      </c>
      <c r="E17" s="154">
        <f>INDEX('Revised 2018 Lockdown'!H$5:H$253,MATCH(B17,'Revised 2018 Lockdown'!B$5:B$253,0))</f>
        <v>56329.880000000012</v>
      </c>
      <c r="F17" s="7">
        <f>INDEX('Revised 2018 Lockdown'!E$5:E$253,MATCH(B17,'Revised 2018 Lockdown'!B$5:B$253,0))</f>
        <v>19699847.25</v>
      </c>
      <c r="G17" s="7">
        <f>INDEX('Revised 2018 Lockdown'!F$5:F$253,MATCH(B17,'Revised 2018 Lockdown'!B$5:B$253,0))</f>
        <v>8176719.9399999995</v>
      </c>
      <c r="H17" s="7">
        <f t="shared" si="0"/>
        <v>11523127.310000001</v>
      </c>
      <c r="I17" s="6">
        <f t="shared" si="1"/>
        <v>204.5650960023348</v>
      </c>
      <c r="J17" s="6">
        <f t="shared" si="5"/>
        <v>204.5650960023348</v>
      </c>
      <c r="K17" s="5">
        <f t="shared" si="2"/>
        <v>11523127.310000001</v>
      </c>
      <c r="L17" s="4">
        <f t="shared" si="3"/>
        <v>0</v>
      </c>
      <c r="M17" s="2" cm="1">
        <f t="array" ref="M17">SUMPRODUCT(--($L$6:$L$300&lt;&gt;1),--($C$6:$C$300=$C17),$H$6:$H$300)/SUMPRODUCT(--($L$6:$L$300&lt;&gt;1),--($C$6:$C$300=$C17),$E$6:$E$300)</f>
        <v>243.92516529036484</v>
      </c>
      <c r="N17" s="1" cm="1">
        <f t="array" ref="N17">SUMPRODUCT(--($L$6:$L$300&lt;&gt;1),--($C$6:$C$300=$C17))</f>
        <v>6</v>
      </c>
      <c r="O17" s="3">
        <f t="shared" si="6"/>
        <v>1549.2150543585262</v>
      </c>
      <c r="P17" s="2" cm="1">
        <f t="array" ref="P17">SQRT(SUMPRODUCT(--($L$6:$L$300&lt;&gt;1),--($C$6:$C$300=$C17),$E$6:$E$300,$O$6:$O$300)/((N17-1)*SUMPRODUCT(--($L$6:$L$300&lt;&gt;1),--($C$6:$C$300=$C17),$E$6:$E$300)/N17))</f>
        <v>59.909044795665807</v>
      </c>
      <c r="Q17" s="2">
        <f t="shared" si="4"/>
        <v>167.14863514219772</v>
      </c>
      <c r="R17" s="2">
        <f t="shared" si="4"/>
        <v>320.70169543853194</v>
      </c>
      <c r="S17" s="2">
        <f t="shared" si="7"/>
        <v>204.5650960023348</v>
      </c>
    </row>
    <row r="18" spans="2:19" x14ac:dyDescent="0.25">
      <c r="B18" s="10">
        <v>14</v>
      </c>
      <c r="C18" s="10">
        <v>3</v>
      </c>
      <c r="D18" s="9" t="s">
        <v>74</v>
      </c>
      <c r="E18" s="154">
        <f>INDEX('Revised 2018 Lockdown'!H$5:H$253,MATCH(B18,'Revised 2018 Lockdown'!B$5:B$253,0))</f>
        <v>11321.630000000001</v>
      </c>
      <c r="F18" s="7">
        <f>INDEX('Revised 2018 Lockdown'!E$5:E$253,MATCH(B18,'Revised 2018 Lockdown'!B$5:B$253,0))</f>
        <v>2597615.2599999998</v>
      </c>
      <c r="G18" s="7">
        <f>INDEX('Revised 2018 Lockdown'!F$5:F$253,MATCH(B18,'Revised 2018 Lockdown'!B$5:B$253,0))</f>
        <v>261823.18</v>
      </c>
      <c r="H18" s="7">
        <f t="shared" si="0"/>
        <v>2335792.0799999996</v>
      </c>
      <c r="I18" s="6">
        <f t="shared" si="1"/>
        <v>206.3123490168818</v>
      </c>
      <c r="J18" s="6">
        <f t="shared" si="5"/>
        <v>206.3123490168818</v>
      </c>
      <c r="K18" s="5">
        <f t="shared" si="2"/>
        <v>2335792.0799999996</v>
      </c>
      <c r="L18" s="4">
        <f t="shared" si="3"/>
        <v>0</v>
      </c>
      <c r="M18" s="2" cm="1">
        <f t="array" ref="M18">SUMPRODUCT(--($L$6:$L$300&lt;&gt;1),--($C$6:$C$300=$C18),$H$6:$H$300)/SUMPRODUCT(--($L$6:$L$300&lt;&gt;1),--($C$6:$C$300=$C18),$E$6:$E$300)</f>
        <v>302.46285941832605</v>
      </c>
      <c r="N18" s="1" cm="1">
        <f t="array" ref="N18">SUMPRODUCT(--($L$6:$L$300&lt;&gt;1),--($C$6:$C$300=$C18))</f>
        <v>7</v>
      </c>
      <c r="O18" s="3">
        <f t="shared" si="6"/>
        <v>9244.9206504582398</v>
      </c>
      <c r="P18" s="2" cm="1">
        <f t="array" ref="P18">SQRT(SUMPRODUCT(--($L$6:$L$300&lt;&gt;1),--($C$6:$C$300=$C18),$E$6:$E$300,$O$6:$O$300)/((N18-1)*SUMPRODUCT(--($L$6:$L$300&lt;&gt;1),--($C$6:$C$300=$C18),$E$6:$E$300)/N18))</f>
        <v>184.48022127941434</v>
      </c>
      <c r="Q18" s="2">
        <f t="shared" si="4"/>
        <v>66.04194302567825</v>
      </c>
      <c r="R18" s="2">
        <f t="shared" si="4"/>
        <v>538.88377581097382</v>
      </c>
      <c r="S18" s="2">
        <f t="shared" si="7"/>
        <v>206.3123490168818</v>
      </c>
    </row>
    <row r="19" spans="2:19" x14ac:dyDescent="0.25">
      <c r="B19" s="10">
        <v>36</v>
      </c>
      <c r="C19" s="10">
        <v>3</v>
      </c>
      <c r="D19" s="9" t="s">
        <v>75</v>
      </c>
      <c r="E19" s="154">
        <f>INDEX('Revised 2018 Lockdown'!H$5:H$253,MATCH(B19,'Revised 2018 Lockdown'!B$5:B$253,0))</f>
        <v>8138.780484742425</v>
      </c>
      <c r="F19" s="7">
        <f>INDEX('Revised 2018 Lockdown'!E$5:E$253,MATCH(B19,'Revised 2018 Lockdown'!B$5:B$253,0))</f>
        <v>6197835.3200000003</v>
      </c>
      <c r="G19" s="7">
        <f>INDEX('Revised 2018 Lockdown'!F$5:F$253,MATCH(B19,'Revised 2018 Lockdown'!B$5:B$253,0))</f>
        <v>874483.81000000017</v>
      </c>
      <c r="H19" s="7">
        <f t="shared" si="0"/>
        <v>5323351.51</v>
      </c>
      <c r="I19" s="6">
        <f t="shared" si="1"/>
        <v>654.07237853134859</v>
      </c>
      <c r="J19" s="6">
        <f t="shared" si="5"/>
        <v>538.88377581097382</v>
      </c>
      <c r="K19" s="5">
        <f t="shared" si="2"/>
        <v>4385856.7581146657</v>
      </c>
      <c r="L19" s="4">
        <f t="shared" si="3"/>
        <v>0</v>
      </c>
      <c r="M19" s="2" cm="1">
        <f t="array" ref="M19">SUMPRODUCT(--($L$6:$L$300&lt;&gt;1),--($C$6:$C$300=$C19),$H$6:$H$300)/SUMPRODUCT(--($L$6:$L$300&lt;&gt;1),--($C$6:$C$300=$C19),$E$6:$E$300)</f>
        <v>302.46285941832605</v>
      </c>
      <c r="N19" s="1" cm="1">
        <f t="array" ref="N19">SUMPRODUCT(--($L$6:$L$300&lt;&gt;1),--($C$6:$C$300=$C19))</f>
        <v>7</v>
      </c>
      <c r="O19" s="3">
        <f t="shared" si="6"/>
        <v>123629.25393089096</v>
      </c>
      <c r="P19" s="2" cm="1">
        <f t="array" ref="P19">SQRT(SUMPRODUCT(--($L$6:$L$300&lt;&gt;1),--($C$6:$C$300=$C19),$E$6:$E$300,$O$6:$O$300)/((N19-1)*SUMPRODUCT(--($L$6:$L$300&lt;&gt;1),--($C$6:$C$300=$C19),$E$6:$E$300)/N19))</f>
        <v>184.48022127941434</v>
      </c>
      <c r="Q19" s="2">
        <f t="shared" si="4"/>
        <v>66.04194302567825</v>
      </c>
      <c r="R19" s="2">
        <f t="shared" si="4"/>
        <v>538.88377581097382</v>
      </c>
      <c r="S19" s="2">
        <f t="shared" si="7"/>
        <v>538.88377581097382</v>
      </c>
    </row>
    <row r="20" spans="2:19" x14ac:dyDescent="0.25">
      <c r="B20" s="10">
        <v>55</v>
      </c>
      <c r="C20" s="10">
        <v>3</v>
      </c>
      <c r="D20" s="9" t="s">
        <v>76</v>
      </c>
      <c r="E20" s="154">
        <f>INDEX('Revised 2018 Lockdown'!H$5:H$253,MATCH(B20,'Revised 2018 Lockdown'!B$5:B$253,0))</f>
        <v>3445.1599999999994</v>
      </c>
      <c r="F20" s="7">
        <f>INDEX('Revised 2018 Lockdown'!E$5:E$253,MATCH(B20,'Revised 2018 Lockdown'!B$5:B$253,0))</f>
        <v>1492885.07</v>
      </c>
      <c r="G20" s="7">
        <f>INDEX('Revised 2018 Lockdown'!F$5:F$253,MATCH(B20,'Revised 2018 Lockdown'!B$5:B$253,0))</f>
        <v>67559.319999999992</v>
      </c>
      <c r="H20" s="7">
        <f t="shared" si="0"/>
        <v>1425325.75</v>
      </c>
      <c r="I20" s="6">
        <f t="shared" si="1"/>
        <v>413.71830335891519</v>
      </c>
      <c r="J20" s="6">
        <f t="shared" si="5"/>
        <v>413.71830335891519</v>
      </c>
      <c r="K20" s="5">
        <f t="shared" si="2"/>
        <v>1425325.75</v>
      </c>
      <c r="L20" s="4">
        <f t="shared" si="3"/>
        <v>0</v>
      </c>
      <c r="M20" s="2" cm="1">
        <f t="array" ref="M20">SUMPRODUCT(--($L$6:$L$300&lt;&gt;1),--($C$6:$C$300=$C20),$H$6:$H$300)/SUMPRODUCT(--($L$6:$L$300&lt;&gt;1),--($C$6:$C$300=$C20),$E$6:$E$300)</f>
        <v>302.46285941832605</v>
      </c>
      <c r="N20" s="1" cm="1">
        <f t="array" ref="N20">SUMPRODUCT(--($L$6:$L$300&lt;&gt;1),--($C$6:$C$300=$C20))</f>
        <v>7</v>
      </c>
      <c r="O20" s="3">
        <f t="shared" si="6"/>
        <v>12377.773806417574</v>
      </c>
      <c r="P20" s="2" cm="1">
        <f t="array" ref="P20">SQRT(SUMPRODUCT(--($L$6:$L$300&lt;&gt;1),--($C$6:$C$300=$C20),$E$6:$E$300,$O$6:$O$300)/((N20-1)*SUMPRODUCT(--($L$6:$L$300&lt;&gt;1),--($C$6:$C$300=$C20),$E$6:$E$300)/N20))</f>
        <v>184.48022127941434</v>
      </c>
      <c r="Q20" s="2">
        <f t="shared" si="4"/>
        <v>66.04194302567825</v>
      </c>
      <c r="R20" s="2">
        <f t="shared" si="4"/>
        <v>538.88377581097382</v>
      </c>
      <c r="S20" s="2">
        <f t="shared" si="7"/>
        <v>413.71830335891519</v>
      </c>
    </row>
    <row r="21" spans="2:19" x14ac:dyDescent="0.25">
      <c r="B21" s="10">
        <v>103</v>
      </c>
      <c r="C21" s="10">
        <v>3</v>
      </c>
      <c r="D21" s="9" t="s">
        <v>77</v>
      </c>
      <c r="E21" s="154">
        <f>INDEX('Revised 2018 Lockdown'!H$5:H$253,MATCH(B21,'Revised 2018 Lockdown'!B$5:B$253,0))</f>
        <v>4118.84</v>
      </c>
      <c r="F21" s="7">
        <f>INDEX('Revised 2018 Lockdown'!E$5:E$253,MATCH(B21,'Revised 2018 Lockdown'!B$5:B$253,0))</f>
        <v>1485991.22</v>
      </c>
      <c r="G21" s="7">
        <f>INDEX('Revised 2018 Lockdown'!F$5:F$253,MATCH(B21,'Revised 2018 Lockdown'!B$5:B$253,0))</f>
        <v>554001.79</v>
      </c>
      <c r="H21" s="7">
        <f t="shared" si="0"/>
        <v>931989.42999999993</v>
      </c>
      <c r="I21" s="6">
        <f t="shared" si="1"/>
        <v>226.27473511959676</v>
      </c>
      <c r="J21" s="6">
        <f t="shared" si="5"/>
        <v>226.27473511959676</v>
      </c>
      <c r="K21" s="5">
        <f t="shared" si="2"/>
        <v>931989.42999999993</v>
      </c>
      <c r="L21" s="4">
        <f t="shared" si="3"/>
        <v>0</v>
      </c>
      <c r="M21" s="2" cm="1">
        <f t="array" ref="M21">SUMPRODUCT(--($L$6:$L$300&lt;&gt;1),--($C$6:$C$300=$C21),$H$6:$H$300)/SUMPRODUCT(--($L$6:$L$300&lt;&gt;1),--($C$6:$C$300=$C21),$E$6:$E$300)</f>
        <v>302.46285941832605</v>
      </c>
      <c r="N21" s="1" cm="1">
        <f t="array" ref="N21">SUMPRODUCT(--($L$6:$L$300&lt;&gt;1),--($C$6:$C$300=$C21))</f>
        <v>7</v>
      </c>
      <c r="O21" s="3">
        <f t="shared" si="6"/>
        <v>5804.6302841586248</v>
      </c>
      <c r="P21" s="2" cm="1">
        <f t="array" ref="P21">SQRT(SUMPRODUCT(--($L$6:$L$300&lt;&gt;1),--($C$6:$C$300=$C21),$E$6:$E$300,$O$6:$O$300)/((N21-1)*SUMPRODUCT(--($L$6:$L$300&lt;&gt;1),--($C$6:$C$300=$C21),$E$6:$E$300)/N21))</f>
        <v>184.48022127941434</v>
      </c>
      <c r="Q21" s="2">
        <f t="shared" si="4"/>
        <v>66.04194302567825</v>
      </c>
      <c r="R21" s="2">
        <f t="shared" si="4"/>
        <v>538.88377581097382</v>
      </c>
      <c r="S21" s="2">
        <f t="shared" si="7"/>
        <v>226.27473511959676</v>
      </c>
    </row>
    <row r="22" spans="2:19" x14ac:dyDescent="0.25">
      <c r="B22" s="10">
        <v>123</v>
      </c>
      <c r="C22" s="10">
        <v>3</v>
      </c>
      <c r="D22" s="9" t="s">
        <v>78</v>
      </c>
      <c r="E22" s="154">
        <f>INDEX('Revised 2018 Lockdown'!H$5:H$253,MATCH(B22,'Revised 2018 Lockdown'!B$5:B$253,0))</f>
        <v>6660.5800000000008</v>
      </c>
      <c r="F22" s="7">
        <f>INDEX('Revised 2018 Lockdown'!E$5:E$253,MATCH(B22,'Revised 2018 Lockdown'!B$5:B$253,0))</f>
        <v>1284089.29</v>
      </c>
      <c r="G22" s="7">
        <f>INDEX('Revised 2018 Lockdown'!F$5:F$253,MATCH(B22,'Revised 2018 Lockdown'!B$5:B$253,0))</f>
        <v>0</v>
      </c>
      <c r="H22" s="7">
        <f t="shared" si="0"/>
        <v>1284089.29</v>
      </c>
      <c r="I22" s="6">
        <f t="shared" si="1"/>
        <v>192.78941023154138</v>
      </c>
      <c r="J22" s="6">
        <f t="shared" si="5"/>
        <v>192.78941023154138</v>
      </c>
      <c r="K22" s="5">
        <f t="shared" si="2"/>
        <v>1284089.29</v>
      </c>
      <c r="L22" s="4">
        <f t="shared" si="3"/>
        <v>0</v>
      </c>
      <c r="M22" s="2" cm="1">
        <f t="array" ref="M22">SUMPRODUCT(--($L$6:$L$300&lt;&gt;1),--($C$6:$C$300=$C22),$H$6:$H$300)/SUMPRODUCT(--($L$6:$L$300&lt;&gt;1),--($C$6:$C$300=$C22),$E$6:$E$300)</f>
        <v>302.46285941832605</v>
      </c>
      <c r="N22" s="1" cm="1">
        <f t="array" ref="N22">SUMPRODUCT(--($L$6:$L$300&lt;&gt;1),--($C$6:$C$300=$C22))</f>
        <v>7</v>
      </c>
      <c r="O22" s="3">
        <f t="shared" si="6"/>
        <v>12028.265456526238</v>
      </c>
      <c r="P22" s="2" cm="1">
        <f t="array" ref="P22">SQRT(SUMPRODUCT(--($L$6:$L$300&lt;&gt;1),--($C$6:$C$300=$C22),$E$6:$E$300,$O$6:$O$300)/((N22-1)*SUMPRODUCT(--($L$6:$L$300&lt;&gt;1),--($C$6:$C$300=$C22),$E$6:$E$300)/N22))</f>
        <v>184.48022127941434</v>
      </c>
      <c r="Q22" s="2">
        <f t="shared" si="4"/>
        <v>66.04194302567825</v>
      </c>
      <c r="R22" s="2">
        <f t="shared" si="4"/>
        <v>538.88377581097382</v>
      </c>
      <c r="S22" s="2">
        <f t="shared" si="7"/>
        <v>192.78941023154138</v>
      </c>
    </row>
    <row r="23" spans="2:19" x14ac:dyDescent="0.25">
      <c r="B23" s="10">
        <v>179</v>
      </c>
      <c r="C23" s="10">
        <v>3</v>
      </c>
      <c r="D23" s="9" t="s">
        <v>79</v>
      </c>
      <c r="E23" s="154">
        <f>INDEX('Revised 2018 Lockdown'!H$5:H$253,MATCH(B23,'Revised 2018 Lockdown'!B$5:B$253,0))</f>
        <v>6074.0999999999995</v>
      </c>
      <c r="F23" s="7">
        <f>INDEX('Revised 2018 Lockdown'!E$5:E$253,MATCH(B23,'Revised 2018 Lockdown'!B$5:B$253,0))</f>
        <v>2468879.0699999998</v>
      </c>
      <c r="G23" s="7">
        <f>INDEX('Revised 2018 Lockdown'!F$5:F$253,MATCH(B23,'Revised 2018 Lockdown'!B$5:B$253,0))</f>
        <v>713319.58000000007</v>
      </c>
      <c r="H23" s="7">
        <f t="shared" si="0"/>
        <v>1755559.4899999998</v>
      </c>
      <c r="I23" s="6">
        <f t="shared" si="1"/>
        <v>289.02380434961555</v>
      </c>
      <c r="J23" s="6">
        <f t="shared" si="5"/>
        <v>289.02380434961555</v>
      </c>
      <c r="K23" s="5">
        <f t="shared" si="2"/>
        <v>1755559.4899999995</v>
      </c>
      <c r="L23" s="4">
        <f t="shared" si="3"/>
        <v>0</v>
      </c>
      <c r="M23" s="2" cm="1">
        <f t="array" ref="M23">SUMPRODUCT(--($L$6:$L$300&lt;&gt;1),--($C$6:$C$300=$C23),$H$6:$H$300)/SUMPRODUCT(--($L$6:$L$300&lt;&gt;1),--($C$6:$C$300=$C23),$E$6:$E$300)</f>
        <v>302.46285941832605</v>
      </c>
      <c r="N23" s="1" cm="1">
        <f t="array" ref="N23">SUMPRODUCT(--($L$6:$L$300&lt;&gt;1),--($C$6:$C$300=$C23))</f>
        <v>7</v>
      </c>
      <c r="O23" s="3">
        <f t="shared" si="6"/>
        <v>180.60820113983343</v>
      </c>
      <c r="P23" s="2" cm="1">
        <f t="array" ref="P23">SQRT(SUMPRODUCT(--($L$6:$L$300&lt;&gt;1),--($C$6:$C$300=$C23),$E$6:$E$300,$O$6:$O$300)/((N23-1)*SUMPRODUCT(--($L$6:$L$300&lt;&gt;1),--($C$6:$C$300=$C23),$E$6:$E$300)/N23))</f>
        <v>184.48022127941434</v>
      </c>
      <c r="Q23" s="2">
        <f t="shared" si="4"/>
        <v>66.04194302567825</v>
      </c>
      <c r="R23" s="2">
        <f t="shared" si="4"/>
        <v>538.88377581097382</v>
      </c>
      <c r="S23" s="2">
        <f t="shared" si="7"/>
        <v>289.02380434961555</v>
      </c>
    </row>
    <row r="24" spans="2:19" x14ac:dyDescent="0.25">
      <c r="B24" s="10">
        <v>293</v>
      </c>
      <c r="C24" s="10">
        <v>3</v>
      </c>
      <c r="D24" s="9" t="s">
        <v>80</v>
      </c>
      <c r="E24" s="154">
        <f>INDEX('Revised 2018 Lockdown'!H$5:H$253,MATCH(B24,'Revised 2018 Lockdown'!B$5:B$253,0))</f>
        <v>7960.05</v>
      </c>
      <c r="F24" s="7">
        <f>INDEX('Revised 2018 Lockdown'!E$5:E$253,MATCH(B24,'Revised 2018 Lockdown'!B$5:B$253,0))</f>
        <v>2370064.7599999998</v>
      </c>
      <c r="G24" s="7">
        <f>INDEX('Revised 2018 Lockdown'!F$5:F$253,MATCH(B24,'Revised 2018 Lockdown'!B$5:B$253,0))</f>
        <v>992904.63</v>
      </c>
      <c r="H24" s="7">
        <f t="shared" si="0"/>
        <v>1377160.13</v>
      </c>
      <c r="I24" s="6">
        <f t="shared" si="1"/>
        <v>173.00897984309142</v>
      </c>
      <c r="J24" s="6">
        <f t="shared" si="5"/>
        <v>173.00897984309142</v>
      </c>
      <c r="K24" s="5">
        <f t="shared" si="2"/>
        <v>1377160.13</v>
      </c>
      <c r="L24" s="4">
        <f t="shared" si="3"/>
        <v>0</v>
      </c>
      <c r="M24" s="2" cm="1">
        <f t="array" ref="M24">SUMPRODUCT(--($L$6:$L$300&lt;&gt;1),--($C$6:$C$300=$C24),$H$6:$H$300)/SUMPRODUCT(--($L$6:$L$300&lt;&gt;1),--($C$6:$C$300=$C24),$E$6:$E$300)</f>
        <v>302.46285941832605</v>
      </c>
      <c r="N24" s="1" cm="1">
        <f t="array" ref="N24">SUMPRODUCT(--($L$6:$L$300&lt;&gt;1),--($C$6:$C$300=$C24))</f>
        <v>7</v>
      </c>
      <c r="O24" s="3">
        <f t="shared" si="6"/>
        <v>16758.306937079349</v>
      </c>
      <c r="P24" s="2" cm="1">
        <f t="array" ref="P24">SQRT(SUMPRODUCT(--($L$6:$L$300&lt;&gt;1),--($C$6:$C$300=$C24),$E$6:$E$300,$O$6:$O$300)/((N24-1)*SUMPRODUCT(--($L$6:$L$300&lt;&gt;1),--($C$6:$C$300=$C24),$E$6:$E$300)/N24))</f>
        <v>184.48022127941434</v>
      </c>
      <c r="Q24" s="2">
        <f t="shared" si="4"/>
        <v>66.04194302567825</v>
      </c>
      <c r="R24" s="2">
        <f t="shared" si="4"/>
        <v>538.88377581097382</v>
      </c>
      <c r="S24" s="2">
        <f t="shared" si="7"/>
        <v>173.00897984309142</v>
      </c>
    </row>
    <row r="25" spans="2:19" x14ac:dyDescent="0.25">
      <c r="B25" s="10">
        <v>12</v>
      </c>
      <c r="C25" s="10">
        <v>4</v>
      </c>
      <c r="D25" s="9" t="s">
        <v>81</v>
      </c>
      <c r="E25" s="154">
        <f>INDEX('Revised 2018 Lockdown'!H$5:H$253,MATCH(B25,'Revised 2018 Lockdown'!B$5:B$253,0))</f>
        <v>5092.2999999999993</v>
      </c>
      <c r="F25" s="7">
        <f>INDEX('Revised 2018 Lockdown'!E$5:E$253,MATCH(B25,'Revised 2018 Lockdown'!B$5:B$253,0))</f>
        <v>2922626.6</v>
      </c>
      <c r="G25" s="7">
        <f>INDEX('Revised 2018 Lockdown'!F$5:F$253,MATCH(B25,'Revised 2018 Lockdown'!B$5:B$253,0))</f>
        <v>693708.37</v>
      </c>
      <c r="H25" s="7">
        <f t="shared" si="0"/>
        <v>2228918.23</v>
      </c>
      <c r="I25" s="6">
        <f t="shared" si="1"/>
        <v>437.70363686349987</v>
      </c>
      <c r="J25" s="6">
        <f t="shared" si="5"/>
        <v>437.70363686349987</v>
      </c>
      <c r="K25" s="5">
        <f t="shared" si="2"/>
        <v>2228918.23</v>
      </c>
      <c r="L25" s="4">
        <f t="shared" si="3"/>
        <v>0</v>
      </c>
      <c r="M25" s="2" cm="1">
        <f t="array" ref="M25">SUMPRODUCT(--($L$6:$L$300&lt;&gt;1),--($C$6:$C$300=$C25),$H$6:$H$300)/SUMPRODUCT(--($L$6:$L$300&lt;&gt;1),--($C$6:$C$300=$C25),$E$6:$E$300)</f>
        <v>415.71897076562993</v>
      </c>
      <c r="N25" s="1" cm="1">
        <f t="array" ref="N25">SUMPRODUCT(--($L$6:$L$300&lt;&gt;1),--($C$6:$C$300=$C25))</f>
        <v>15</v>
      </c>
      <c r="O25" s="3">
        <f t="shared" si="6"/>
        <v>483.32554343483162</v>
      </c>
      <c r="P25" s="2" cm="1">
        <f t="array" ref="P25">SQRT(SUMPRODUCT(--($L$6:$L$300&lt;&gt;1),--($C$6:$C$300=$C25),$E$6:$E$300,$O$6:$O$300)/((N25-1)*SUMPRODUCT(--($L$6:$L$300&lt;&gt;1),--($C$6:$C$300=$C25),$E$6:$E$300)/N25))</f>
        <v>132.0569968105448</v>
      </c>
      <c r="Q25" s="2">
        <f t="shared" si="4"/>
        <v>246.48111976195793</v>
      </c>
      <c r="R25" s="2">
        <f t="shared" si="4"/>
        <v>584.956821769302</v>
      </c>
      <c r="S25" s="2">
        <f t="shared" si="7"/>
        <v>437.70363686349987</v>
      </c>
    </row>
    <row r="26" spans="2:19" x14ac:dyDescent="0.25">
      <c r="B26" s="10">
        <v>21</v>
      </c>
      <c r="C26" s="10">
        <v>4</v>
      </c>
      <c r="D26" s="9" t="s">
        <v>82</v>
      </c>
      <c r="E26" s="154">
        <f>INDEX('Revised 2018 Lockdown'!H$5:H$253,MATCH(B26,'Revised 2018 Lockdown'!B$5:B$253,0))</f>
        <v>5179.17</v>
      </c>
      <c r="F26" s="7">
        <f>INDEX('Revised 2018 Lockdown'!E$5:E$253,MATCH(B26,'Revised 2018 Lockdown'!B$5:B$253,0))</f>
        <v>3018158.71</v>
      </c>
      <c r="G26" s="7">
        <f>INDEX('Revised 2018 Lockdown'!F$5:F$253,MATCH(B26,'Revised 2018 Lockdown'!B$5:B$253,0))</f>
        <v>630793.78</v>
      </c>
      <c r="H26" s="7">
        <f t="shared" si="0"/>
        <v>2387364.9299999997</v>
      </c>
      <c r="I26" s="6">
        <f t="shared" si="1"/>
        <v>460.95512022196601</v>
      </c>
      <c r="J26" s="6">
        <f t="shared" si="5"/>
        <v>460.95512022196601</v>
      </c>
      <c r="K26" s="5">
        <f t="shared" si="2"/>
        <v>2387364.9299999997</v>
      </c>
      <c r="L26" s="4">
        <f t="shared" si="3"/>
        <v>0</v>
      </c>
      <c r="M26" s="2" cm="1">
        <f t="array" ref="M26">SUMPRODUCT(--($L$6:$L$300&lt;&gt;1),--($C$6:$C$300=$C26),$H$6:$H$300)/SUMPRODUCT(--($L$6:$L$300&lt;&gt;1),--($C$6:$C$300=$C26),$E$6:$E$300)</f>
        <v>415.71897076562993</v>
      </c>
      <c r="N26" s="1" cm="1">
        <f t="array" ref="N26">SUMPRODUCT(--($L$6:$L$300&lt;&gt;1),--($C$6:$C$300=$C26))</f>
        <v>15</v>
      </c>
      <c r="O26" s="3">
        <f t="shared" si="6"/>
        <v>2046.3092176359751</v>
      </c>
      <c r="P26" s="2" cm="1">
        <f t="array" ref="P26">SQRT(SUMPRODUCT(--($L$6:$L$300&lt;&gt;1),--($C$6:$C$300=$C26),$E$6:$E$300,$O$6:$O$300)/((N26-1)*SUMPRODUCT(--($L$6:$L$300&lt;&gt;1),--($C$6:$C$300=$C26),$E$6:$E$300)/N26))</f>
        <v>132.0569968105448</v>
      </c>
      <c r="Q26" s="2">
        <f t="shared" si="4"/>
        <v>246.48111976195793</v>
      </c>
      <c r="R26" s="2">
        <f t="shared" si="4"/>
        <v>584.956821769302</v>
      </c>
      <c r="S26" s="2">
        <f t="shared" si="7"/>
        <v>460.95512022196601</v>
      </c>
    </row>
    <row r="27" spans="2:19" x14ac:dyDescent="0.25">
      <c r="B27" s="10">
        <v>34</v>
      </c>
      <c r="C27" s="10">
        <v>4</v>
      </c>
      <c r="D27" s="9" t="s">
        <v>83</v>
      </c>
      <c r="E27" s="154">
        <f>INDEX('Revised 2018 Lockdown'!H$5:H$253,MATCH(B27,'Revised 2018 Lockdown'!B$5:B$253,0))</f>
        <v>4762.82</v>
      </c>
      <c r="F27" s="7">
        <f>INDEX('Revised 2018 Lockdown'!E$5:E$253,MATCH(B27,'Revised 2018 Lockdown'!B$5:B$253,0))</f>
        <v>2143525.2799999998</v>
      </c>
      <c r="G27" s="7">
        <f>INDEX('Revised 2018 Lockdown'!F$5:F$253,MATCH(B27,'Revised 2018 Lockdown'!B$5:B$253,0))</f>
        <v>564954.64</v>
      </c>
      <c r="H27" s="7">
        <f t="shared" si="0"/>
        <v>1578570.6399999997</v>
      </c>
      <c r="I27" s="6">
        <f t="shared" si="1"/>
        <v>331.43613237535743</v>
      </c>
      <c r="J27" s="6">
        <f t="shared" si="5"/>
        <v>331.43613237535743</v>
      </c>
      <c r="K27" s="5">
        <f t="shared" si="2"/>
        <v>1578570.64</v>
      </c>
      <c r="L27" s="4">
        <f t="shared" si="3"/>
        <v>0</v>
      </c>
      <c r="M27" s="2" cm="1">
        <f t="array" ref="M27">SUMPRODUCT(--($L$6:$L$300&lt;&gt;1),--($C$6:$C$300=$C27),$H$6:$H$300)/SUMPRODUCT(--($L$6:$L$300&lt;&gt;1),--($C$6:$C$300=$C27),$E$6:$E$300)</f>
        <v>415.71897076562993</v>
      </c>
      <c r="N27" s="1" cm="1">
        <f t="array" ref="N27">SUMPRODUCT(--($L$6:$L$300&lt;&gt;1),--($C$6:$C$300=$C27))</f>
        <v>15</v>
      </c>
      <c r="O27" s="3">
        <f t="shared" si="6"/>
        <v>7103.5968471207925</v>
      </c>
      <c r="P27" s="2" cm="1">
        <f t="array" ref="P27">SQRT(SUMPRODUCT(--($L$6:$L$300&lt;&gt;1),--($C$6:$C$300=$C27),$E$6:$E$300,$O$6:$O$300)/((N27-1)*SUMPRODUCT(--($L$6:$L$300&lt;&gt;1),--($C$6:$C$300=$C27),$E$6:$E$300)/N27))</f>
        <v>132.0569968105448</v>
      </c>
      <c r="Q27" s="2">
        <f t="shared" si="4"/>
        <v>246.48111976195793</v>
      </c>
      <c r="R27" s="2">
        <f t="shared" si="4"/>
        <v>584.956821769302</v>
      </c>
      <c r="S27" s="2">
        <f t="shared" si="7"/>
        <v>331.43613237535743</v>
      </c>
    </row>
    <row r="28" spans="2:19" x14ac:dyDescent="0.25">
      <c r="B28" s="10">
        <v>87</v>
      </c>
      <c r="C28" s="10">
        <v>4</v>
      </c>
      <c r="D28" s="9" t="s">
        <v>84</v>
      </c>
      <c r="E28" s="154">
        <f>INDEX('Revised 2018 Lockdown'!H$5:H$253,MATCH(B28,'Revised 2018 Lockdown'!B$5:B$253,0))</f>
        <v>10810.4</v>
      </c>
      <c r="F28" s="7">
        <f>INDEX('Revised 2018 Lockdown'!E$5:E$253,MATCH(B28,'Revised 2018 Lockdown'!B$5:B$253,0))</f>
        <v>5182853.97</v>
      </c>
      <c r="G28" s="7">
        <f>INDEX('Revised 2018 Lockdown'!F$5:F$253,MATCH(B28,'Revised 2018 Lockdown'!B$5:B$253,0))</f>
        <v>1110329.5500000003</v>
      </c>
      <c r="H28" s="7">
        <f t="shared" si="0"/>
        <v>4072524.4199999995</v>
      </c>
      <c r="I28" s="6">
        <f t="shared" si="1"/>
        <v>376.72282431732401</v>
      </c>
      <c r="J28" s="6">
        <f t="shared" si="5"/>
        <v>376.72282431732401</v>
      </c>
      <c r="K28" s="5">
        <f t="shared" si="2"/>
        <v>4072524.4199999995</v>
      </c>
      <c r="L28" s="4">
        <f t="shared" si="3"/>
        <v>0</v>
      </c>
      <c r="M28" s="2" cm="1">
        <f t="array" ref="M28">SUMPRODUCT(--($L$6:$L$300&lt;&gt;1),--($C$6:$C$300=$C28),$H$6:$H$300)/SUMPRODUCT(--($L$6:$L$300&lt;&gt;1),--($C$6:$C$300=$C28),$E$6:$E$300)</f>
        <v>415.71897076562993</v>
      </c>
      <c r="N28" s="1" cm="1">
        <f t="array" ref="N28">SUMPRODUCT(--($L$6:$L$300&lt;&gt;1),--($C$6:$C$300=$C28))</f>
        <v>15</v>
      </c>
      <c r="O28" s="3">
        <f t="shared" si="6"/>
        <v>1520.6994378177226</v>
      </c>
      <c r="P28" s="2" cm="1">
        <f t="array" ref="P28">SQRT(SUMPRODUCT(--($L$6:$L$300&lt;&gt;1),--($C$6:$C$300=$C28),$E$6:$E$300,$O$6:$O$300)/((N28-1)*SUMPRODUCT(--($L$6:$L$300&lt;&gt;1),--($C$6:$C$300=$C28),$E$6:$E$300)/N28))</f>
        <v>132.0569968105448</v>
      </c>
      <c r="Q28" s="2">
        <f t="shared" si="4"/>
        <v>246.48111976195793</v>
      </c>
      <c r="R28" s="2">
        <f t="shared" si="4"/>
        <v>584.956821769302</v>
      </c>
      <c r="S28" s="2">
        <f t="shared" si="7"/>
        <v>376.72282431732401</v>
      </c>
    </row>
    <row r="29" spans="2:19" x14ac:dyDescent="0.25">
      <c r="B29" s="10">
        <v>88</v>
      </c>
      <c r="C29" s="10">
        <v>4</v>
      </c>
      <c r="D29" s="9" t="s">
        <v>85</v>
      </c>
      <c r="E29" s="154">
        <f>INDEX('Revised 2018 Lockdown'!H$5:H$253,MATCH(B29,'Revised 2018 Lockdown'!B$5:B$253,0))</f>
        <v>4759.3799999999992</v>
      </c>
      <c r="F29" s="7">
        <f>INDEX('Revised 2018 Lockdown'!E$5:E$253,MATCH(B29,'Revised 2018 Lockdown'!B$5:B$253,0))</f>
        <v>2125011.54</v>
      </c>
      <c r="G29" s="7">
        <f>INDEX('Revised 2018 Lockdown'!F$5:F$253,MATCH(B29,'Revised 2018 Lockdown'!B$5:B$253,0))</f>
        <v>560089.80000000005</v>
      </c>
      <c r="H29" s="7">
        <f t="shared" si="0"/>
        <v>1564921.74</v>
      </c>
      <c r="I29" s="6">
        <f t="shared" si="1"/>
        <v>328.80789934823451</v>
      </c>
      <c r="J29" s="6">
        <f t="shared" si="5"/>
        <v>328.80789934823451</v>
      </c>
      <c r="K29" s="5">
        <f t="shared" si="2"/>
        <v>1564921.7400000002</v>
      </c>
      <c r="L29" s="4">
        <f t="shared" si="3"/>
        <v>0</v>
      </c>
      <c r="M29" s="2" cm="1">
        <f t="array" ref="M29">SUMPRODUCT(--($L$6:$L$300&lt;&gt;1),--($C$6:$C$300=$C29),$H$6:$H$300)/SUMPRODUCT(--($L$6:$L$300&lt;&gt;1),--($C$6:$C$300=$C29),$E$6:$E$300)</f>
        <v>415.71897076562993</v>
      </c>
      <c r="N29" s="1" cm="1">
        <f t="array" ref="N29">SUMPRODUCT(--($L$6:$L$300&lt;&gt;1),--($C$6:$C$300=$C29))</f>
        <v>15</v>
      </c>
      <c r="O29" s="3">
        <f t="shared" si="6"/>
        <v>7553.5343349196073</v>
      </c>
      <c r="P29" s="2" cm="1">
        <f t="array" ref="P29">SQRT(SUMPRODUCT(--($L$6:$L$300&lt;&gt;1),--($C$6:$C$300=$C29),$E$6:$E$300,$O$6:$O$300)/((N29-1)*SUMPRODUCT(--($L$6:$L$300&lt;&gt;1),--($C$6:$C$300=$C29),$E$6:$E$300)/N29))</f>
        <v>132.0569968105448</v>
      </c>
      <c r="Q29" s="2">
        <f t="shared" si="4"/>
        <v>246.48111976195793</v>
      </c>
      <c r="R29" s="2">
        <f t="shared" si="4"/>
        <v>584.956821769302</v>
      </c>
      <c r="S29" s="2">
        <f t="shared" si="7"/>
        <v>328.80789934823451</v>
      </c>
    </row>
    <row r="30" spans="2:19" x14ac:dyDescent="0.25">
      <c r="B30" s="10">
        <v>89</v>
      </c>
      <c r="C30" s="10">
        <v>4</v>
      </c>
      <c r="D30" s="9" t="s">
        <v>310</v>
      </c>
      <c r="E30" s="154">
        <f>INDEX('Revised 2018 Lockdown'!H$5:H$253,MATCH(B30,'Revised 2018 Lockdown'!B$5:B$253,0))</f>
        <v>5636.98</v>
      </c>
      <c r="F30" s="7">
        <f>INDEX('Revised 2018 Lockdown'!E$5:E$253,MATCH(B30,'Revised 2018 Lockdown'!B$5:B$253,0))</f>
        <v>3750607.74</v>
      </c>
      <c r="G30" s="7">
        <f>INDEX('Revised 2018 Lockdown'!F$5:F$253,MATCH(B30,'Revised 2018 Lockdown'!B$5:B$253,0))</f>
        <v>559601.63</v>
      </c>
      <c r="H30" s="7">
        <f t="shared" si="0"/>
        <v>3191006.1100000003</v>
      </c>
      <c r="I30" s="6">
        <f t="shared" si="1"/>
        <v>566.0843412607461</v>
      </c>
      <c r="J30" s="6">
        <f t="shared" si="5"/>
        <v>566.0843412607461</v>
      </c>
      <c r="K30" s="5">
        <f t="shared" si="2"/>
        <v>3191006.1100000003</v>
      </c>
      <c r="L30" s="4">
        <f t="shared" si="3"/>
        <v>0</v>
      </c>
      <c r="M30" s="2" cm="1">
        <f t="array" ref="M30">SUMPRODUCT(--($L$6:$L$300&lt;&gt;1),--($C$6:$C$300=$C30),$H$6:$H$300)/SUMPRODUCT(--($L$6:$L$300&lt;&gt;1),--($C$6:$C$300=$C30),$E$6:$E$300)</f>
        <v>415.71897076562993</v>
      </c>
      <c r="N30" s="1" cm="1">
        <f t="array" ref="N30">SUMPRODUCT(--($L$6:$L$300&lt;&gt;1),--($C$6:$C$300=$C30))</f>
        <v>15</v>
      </c>
      <c r="O30" s="3">
        <f t="shared" si="6"/>
        <v>22609.744644133552</v>
      </c>
      <c r="P30" s="2" cm="1">
        <f t="array" ref="P30">SQRT(SUMPRODUCT(--($L$6:$L$300&lt;&gt;1),--($C$6:$C$300=$C30),$E$6:$E$300,$O$6:$O$300)/((N30-1)*SUMPRODUCT(--($L$6:$L$300&lt;&gt;1),--($C$6:$C$300=$C30),$E$6:$E$300)/N30))</f>
        <v>132.0569968105448</v>
      </c>
      <c r="Q30" s="2">
        <f t="shared" si="4"/>
        <v>246.48111976195793</v>
      </c>
      <c r="R30" s="2">
        <f t="shared" si="4"/>
        <v>584.956821769302</v>
      </c>
      <c r="S30" s="2">
        <f t="shared" si="7"/>
        <v>566.0843412607461</v>
      </c>
    </row>
    <row r="31" spans="2:19" x14ac:dyDescent="0.25">
      <c r="B31" s="10">
        <v>143</v>
      </c>
      <c r="C31" s="10">
        <v>4</v>
      </c>
      <c r="D31" s="9" t="s">
        <v>87</v>
      </c>
      <c r="E31" s="154">
        <f>INDEX('Revised 2018 Lockdown'!H$5:H$253,MATCH(B31,'Revised 2018 Lockdown'!B$5:B$253,0))</f>
        <v>2834.8</v>
      </c>
      <c r="F31" s="7">
        <f>INDEX('Revised 2018 Lockdown'!E$5:E$253,MATCH(B31,'Revised 2018 Lockdown'!B$5:B$253,0))</f>
        <v>956347.7</v>
      </c>
      <c r="G31" s="7">
        <f>INDEX('Revised 2018 Lockdown'!F$5:F$253,MATCH(B31,'Revised 2018 Lockdown'!B$5:B$253,0))</f>
        <v>393346.75</v>
      </c>
      <c r="H31" s="7">
        <f t="shared" si="0"/>
        <v>563000.94999999995</v>
      </c>
      <c r="I31" s="6">
        <f t="shared" si="1"/>
        <v>198.60341117539153</v>
      </c>
      <c r="J31" s="6">
        <f t="shared" si="5"/>
        <v>198.60341117539153</v>
      </c>
      <c r="K31" s="5">
        <f t="shared" si="2"/>
        <v>563000.94999999995</v>
      </c>
      <c r="L31" s="4">
        <f t="shared" si="3"/>
        <v>0</v>
      </c>
      <c r="M31" s="2" cm="1">
        <f t="array" ref="M31">SUMPRODUCT(--($L$6:$L$300&lt;&gt;1),--($C$6:$C$300=$C31),$H$6:$H$300)/SUMPRODUCT(--($L$6:$L$300&lt;&gt;1),--($C$6:$C$300=$C31),$E$6:$E$300)</f>
        <v>415.71897076562993</v>
      </c>
      <c r="N31" s="1" cm="1">
        <f t="array" ref="N31">SUMPRODUCT(--($L$6:$L$300&lt;&gt;1),--($C$6:$C$300=$C31))</f>
        <v>15</v>
      </c>
      <c r="O31" s="3">
        <f t="shared" si="6"/>
        <v>47139.166216182362</v>
      </c>
      <c r="P31" s="2" cm="1">
        <f t="array" ref="P31">SQRT(SUMPRODUCT(--($L$6:$L$300&lt;&gt;1),--($C$6:$C$300=$C31),$E$6:$E$300,$O$6:$O$300)/((N31-1)*SUMPRODUCT(--($L$6:$L$300&lt;&gt;1),--($C$6:$C$300=$C31),$E$6:$E$300)/N31))</f>
        <v>132.0569968105448</v>
      </c>
      <c r="Q31" s="2">
        <f t="shared" si="4"/>
        <v>246.48111976195793</v>
      </c>
      <c r="R31" s="2">
        <f t="shared" si="4"/>
        <v>584.956821769302</v>
      </c>
      <c r="S31" s="2">
        <f t="shared" si="7"/>
        <v>246.48111976195793</v>
      </c>
    </row>
    <row r="32" spans="2:19" x14ac:dyDescent="0.25">
      <c r="B32" s="10">
        <v>183</v>
      </c>
      <c r="C32" s="10">
        <v>4</v>
      </c>
      <c r="D32" s="9" t="s">
        <v>88</v>
      </c>
      <c r="E32" s="154">
        <f>INDEX('Revised 2018 Lockdown'!H$5:H$253,MATCH(B32,'Revised 2018 Lockdown'!B$5:B$253,0))</f>
        <v>11774.169999999998</v>
      </c>
      <c r="F32" s="7">
        <f>INDEX('Revised 2018 Lockdown'!E$5:E$253,MATCH(B32,'Revised 2018 Lockdown'!B$5:B$253,0))</f>
        <v>6716202.5899999999</v>
      </c>
      <c r="G32" s="7">
        <f>INDEX('Revised 2018 Lockdown'!F$5:F$253,MATCH(B32,'Revised 2018 Lockdown'!B$5:B$253,0))</f>
        <v>412366.9599999999</v>
      </c>
      <c r="H32" s="7">
        <f t="shared" si="0"/>
        <v>6303835.6299999999</v>
      </c>
      <c r="I32" s="6">
        <f t="shared" si="1"/>
        <v>535.39532977696103</v>
      </c>
      <c r="J32" s="6">
        <f t="shared" si="5"/>
        <v>535.39532977696103</v>
      </c>
      <c r="K32" s="5">
        <f t="shared" si="2"/>
        <v>6303835.6300000008</v>
      </c>
      <c r="L32" s="4">
        <f t="shared" si="3"/>
        <v>0</v>
      </c>
      <c r="M32" s="2" cm="1">
        <f t="array" ref="M32">SUMPRODUCT(--($L$6:$L$300&lt;&gt;1),--($C$6:$C$300=$C32),$H$6:$H$300)/SUMPRODUCT(--($L$6:$L$300&lt;&gt;1),--($C$6:$C$300=$C32),$E$6:$E$300)</f>
        <v>415.71897076562993</v>
      </c>
      <c r="N32" s="1" cm="1">
        <f t="array" ref="N32">SUMPRODUCT(--($L$6:$L$300&lt;&gt;1),--($C$6:$C$300=$C32))</f>
        <v>15</v>
      </c>
      <c r="O32" s="3">
        <f t="shared" si="6"/>
        <v>14322.430906209011</v>
      </c>
      <c r="P32" s="2" cm="1">
        <f t="array" ref="P32">SQRT(SUMPRODUCT(--($L$6:$L$300&lt;&gt;1),--($C$6:$C$300=$C32),$E$6:$E$300,$O$6:$O$300)/((N32-1)*SUMPRODUCT(--($L$6:$L$300&lt;&gt;1),--($C$6:$C$300=$C32),$E$6:$E$300)/N32))</f>
        <v>132.0569968105448</v>
      </c>
      <c r="Q32" s="2">
        <f t="shared" si="4"/>
        <v>246.48111976195793</v>
      </c>
      <c r="R32" s="2">
        <f t="shared" si="4"/>
        <v>584.956821769302</v>
      </c>
      <c r="S32" s="2">
        <f t="shared" si="7"/>
        <v>535.39532977696103</v>
      </c>
    </row>
    <row r="33" spans="2:19" x14ac:dyDescent="0.25">
      <c r="B33" s="10">
        <v>186</v>
      </c>
      <c r="C33" s="10">
        <v>4</v>
      </c>
      <c r="D33" s="9" t="s">
        <v>89</v>
      </c>
      <c r="E33" s="154">
        <f>INDEX('Revised 2018 Lockdown'!H$5:H$253,MATCH(B33,'Revised 2018 Lockdown'!B$5:B$253,0))</f>
        <v>11101.34</v>
      </c>
      <c r="F33" s="7">
        <f>INDEX('Revised 2018 Lockdown'!E$5:E$253,MATCH(B33,'Revised 2018 Lockdown'!B$5:B$253,0))</f>
        <v>8005773.7000000002</v>
      </c>
      <c r="G33" s="7">
        <f>INDEX('Revised 2018 Lockdown'!F$5:F$253,MATCH(B33,'Revised 2018 Lockdown'!B$5:B$253,0))</f>
        <v>1431664.65</v>
      </c>
      <c r="H33" s="7">
        <f t="shared" si="0"/>
        <v>6574109.0500000007</v>
      </c>
      <c r="I33" s="6">
        <f t="shared" si="1"/>
        <v>592.19058690212182</v>
      </c>
      <c r="J33" s="6">
        <f t="shared" si="5"/>
        <v>584.956821769302</v>
      </c>
      <c r="K33" s="5">
        <f t="shared" si="2"/>
        <v>6493804.5637804233</v>
      </c>
      <c r="L33" s="4">
        <f t="shared" si="3"/>
        <v>0</v>
      </c>
      <c r="M33" s="2" cm="1">
        <f t="array" ref="M33">SUMPRODUCT(--($L$6:$L$300&lt;&gt;1),--($C$6:$C$300=$C33),$H$6:$H$300)/SUMPRODUCT(--($L$6:$L$300&lt;&gt;1),--($C$6:$C$300=$C33),$E$6:$E$300)</f>
        <v>415.71897076562993</v>
      </c>
      <c r="N33" s="1" cm="1">
        <f t="array" ref="N33">SUMPRODUCT(--($L$6:$L$300&lt;&gt;1),--($C$6:$C$300=$C33))</f>
        <v>15</v>
      </c>
      <c r="O33" s="3">
        <f t="shared" si="6"/>
        <v>31142.231301825344</v>
      </c>
      <c r="P33" s="2" cm="1">
        <f t="array" ref="P33">SQRT(SUMPRODUCT(--($L$6:$L$300&lt;&gt;1),--($C$6:$C$300=$C33),$E$6:$E$300,$O$6:$O$300)/((N33-1)*SUMPRODUCT(--($L$6:$L$300&lt;&gt;1),--($C$6:$C$300=$C33),$E$6:$E$300)/N33))</f>
        <v>132.0569968105448</v>
      </c>
      <c r="Q33" s="2">
        <f t="shared" si="4"/>
        <v>246.48111976195793</v>
      </c>
      <c r="R33" s="2">
        <f t="shared" si="4"/>
        <v>584.956821769302</v>
      </c>
      <c r="S33" s="2">
        <f t="shared" si="7"/>
        <v>584.956821769302</v>
      </c>
    </row>
    <row r="34" spans="2:19" x14ac:dyDescent="0.25">
      <c r="B34" s="10">
        <v>190</v>
      </c>
      <c r="C34" s="10">
        <v>4</v>
      </c>
      <c r="D34" s="9" t="s">
        <v>90</v>
      </c>
      <c r="E34" s="154">
        <f>INDEX('Revised 2018 Lockdown'!H$5:H$253,MATCH(B34,'Revised 2018 Lockdown'!B$5:B$253,0))</f>
        <v>3309.0599999999995</v>
      </c>
      <c r="F34" s="7">
        <f>INDEX('Revised 2018 Lockdown'!E$5:E$253,MATCH(B34,'Revised 2018 Lockdown'!B$5:B$253,0))</f>
        <v>2284236.41</v>
      </c>
      <c r="G34" s="7">
        <f>INDEX('Revised 2018 Lockdown'!F$5:F$253,MATCH(B34,'Revised 2018 Lockdown'!B$5:B$253,0))</f>
        <v>599429.44999999995</v>
      </c>
      <c r="H34" s="7">
        <f t="shared" si="0"/>
        <v>1684806.9600000002</v>
      </c>
      <c r="I34" s="6">
        <f t="shared" si="1"/>
        <v>509.14971623361333</v>
      </c>
      <c r="J34" s="6">
        <f t="shared" si="5"/>
        <v>509.14971623361333</v>
      </c>
      <c r="K34" s="5">
        <f t="shared" si="2"/>
        <v>1684806.9600000002</v>
      </c>
      <c r="L34" s="4">
        <f t="shared" si="3"/>
        <v>0</v>
      </c>
      <c r="M34" s="2" cm="1">
        <f t="array" ref="M34">SUMPRODUCT(--($L$6:$L$300&lt;&gt;1),--($C$6:$C$300=$C34),$H$6:$H$300)/SUMPRODUCT(--($L$6:$L$300&lt;&gt;1),--($C$6:$C$300=$C34),$E$6:$E$300)</f>
        <v>415.71897076562993</v>
      </c>
      <c r="N34" s="1" cm="1">
        <f t="array" ref="N34">SUMPRODUCT(--($L$6:$L$300&lt;&gt;1),--($C$6:$C$300=$C34))</f>
        <v>15</v>
      </c>
      <c r="O34" s="3">
        <f t="shared" si="6"/>
        <v>8729.3041987031011</v>
      </c>
      <c r="P34" s="2" cm="1">
        <f t="array" ref="P34">SQRT(SUMPRODUCT(--($L$6:$L$300&lt;&gt;1),--($C$6:$C$300=$C34),$E$6:$E$300,$O$6:$O$300)/((N34-1)*SUMPRODUCT(--($L$6:$L$300&lt;&gt;1),--($C$6:$C$300=$C34),$E$6:$E$300)/N34))</f>
        <v>132.0569968105448</v>
      </c>
      <c r="Q34" s="2">
        <f t="shared" si="4"/>
        <v>246.48111976195793</v>
      </c>
      <c r="R34" s="2">
        <f t="shared" si="4"/>
        <v>584.956821769302</v>
      </c>
      <c r="S34" s="2">
        <f t="shared" si="7"/>
        <v>509.14971623361333</v>
      </c>
    </row>
    <row r="35" spans="2:19" x14ac:dyDescent="0.25">
      <c r="B35" s="10">
        <v>324</v>
      </c>
      <c r="C35" s="10">
        <v>4</v>
      </c>
      <c r="D35" s="9" t="s">
        <v>91</v>
      </c>
      <c r="E35" s="154">
        <f>INDEX('Revised 2018 Lockdown'!H$5:H$253,MATCH(B35,'Revised 2018 Lockdown'!B$5:B$253,0))</f>
        <v>7987.3900000000021</v>
      </c>
      <c r="F35" s="7">
        <f>INDEX('Revised 2018 Lockdown'!E$5:E$253,MATCH(B35,'Revised 2018 Lockdown'!B$5:B$253,0))</f>
        <v>4196501.4400000004</v>
      </c>
      <c r="G35" s="7">
        <f>INDEX('Revised 2018 Lockdown'!F$5:F$253,MATCH(B35,'Revised 2018 Lockdown'!B$5:B$253,0))</f>
        <v>1059029.5799999998</v>
      </c>
      <c r="H35" s="7">
        <f t="shared" si="0"/>
        <v>3137471.8600000003</v>
      </c>
      <c r="I35" s="6">
        <f t="shared" si="1"/>
        <v>392.80313844697696</v>
      </c>
      <c r="J35" s="6">
        <f t="shared" si="5"/>
        <v>392.80313844697696</v>
      </c>
      <c r="K35" s="5">
        <f t="shared" si="2"/>
        <v>3137471.8600000003</v>
      </c>
      <c r="L35" s="4">
        <f t="shared" si="3"/>
        <v>0</v>
      </c>
      <c r="M35" s="2" cm="1">
        <f t="array" ref="M35">SUMPRODUCT(--($L$6:$L$300&lt;&gt;1),--($C$6:$C$300=$C35),$H$6:$H$300)/SUMPRODUCT(--($L$6:$L$300&lt;&gt;1),--($C$6:$C$300=$C35),$E$6:$E$300)</f>
        <v>415.71897076562993</v>
      </c>
      <c r="N35" s="1" cm="1">
        <f t="array" ref="N35">SUMPRODUCT(--($L$6:$L$300&lt;&gt;1),--($C$6:$C$300=$C35))</f>
        <v>15</v>
      </c>
      <c r="O35" s="3">
        <f t="shared" si="6"/>
        <v>525.13537085662017</v>
      </c>
      <c r="P35" s="2" cm="1">
        <f t="array" ref="P35">SQRT(SUMPRODUCT(--($L$6:$L$300&lt;&gt;1),--($C$6:$C$300=$C35),$E$6:$E$300,$O$6:$O$300)/((N35-1)*SUMPRODUCT(--($L$6:$L$300&lt;&gt;1),--($C$6:$C$300=$C35),$E$6:$E$300)/N35))</f>
        <v>132.0569968105448</v>
      </c>
      <c r="Q35" s="2">
        <f t="shared" si="4"/>
        <v>246.48111976195793</v>
      </c>
      <c r="R35" s="2">
        <f t="shared" si="4"/>
        <v>584.956821769302</v>
      </c>
      <c r="S35" s="2">
        <f t="shared" si="7"/>
        <v>392.80313844697696</v>
      </c>
    </row>
    <row r="36" spans="2:19" x14ac:dyDescent="0.25">
      <c r="B36" s="10">
        <v>429</v>
      </c>
      <c r="C36" s="10">
        <v>4</v>
      </c>
      <c r="D36" s="9" t="s">
        <v>92</v>
      </c>
      <c r="E36" s="154">
        <f>INDEX('Revised 2018 Lockdown'!H$5:H$253,MATCH(B36,'Revised 2018 Lockdown'!B$5:B$253,0))</f>
        <v>4357.0309999999999</v>
      </c>
      <c r="F36" s="7">
        <f>INDEX('Revised 2018 Lockdown'!E$5:E$253,MATCH(B36,'Revised 2018 Lockdown'!B$5:B$253,0))</f>
        <v>1673741.25</v>
      </c>
      <c r="G36" s="7">
        <f>INDEX('Revised 2018 Lockdown'!F$5:F$253,MATCH(B36,'Revised 2018 Lockdown'!B$5:B$253,0))</f>
        <v>427615.25</v>
      </c>
      <c r="H36" s="7">
        <f t="shared" si="0"/>
        <v>1246126</v>
      </c>
      <c r="I36" s="6">
        <f t="shared" si="1"/>
        <v>286.00347346622044</v>
      </c>
      <c r="J36" s="6">
        <f t="shared" si="5"/>
        <v>286.00347346622044</v>
      </c>
      <c r="K36" s="5">
        <f t="shared" si="2"/>
        <v>1246126</v>
      </c>
      <c r="L36" s="4">
        <f t="shared" si="3"/>
        <v>0</v>
      </c>
      <c r="M36" s="2" cm="1">
        <f t="array" ref="M36">SUMPRODUCT(--($L$6:$L$300&lt;&gt;1),--($C$6:$C$300=$C36),$H$6:$H$300)/SUMPRODUCT(--($L$6:$L$300&lt;&gt;1),--($C$6:$C$300=$C36),$E$6:$E$300)</f>
        <v>415.71897076562993</v>
      </c>
      <c r="N36" s="1" cm="1">
        <f t="array" ref="N36">SUMPRODUCT(--($L$6:$L$300&lt;&gt;1),--($C$6:$C$300=$C36))</f>
        <v>15</v>
      </c>
      <c r="O36" s="3">
        <f t="shared" si="6"/>
        <v>16826.110239633112</v>
      </c>
      <c r="P36" s="2" cm="1">
        <f t="array" ref="P36">SQRT(SUMPRODUCT(--($L$6:$L$300&lt;&gt;1),--($C$6:$C$300=$C36),$E$6:$E$300,$O$6:$O$300)/((N36-1)*SUMPRODUCT(--($L$6:$L$300&lt;&gt;1),--($C$6:$C$300=$C36),$E$6:$E$300)/N36))</f>
        <v>132.0569968105448</v>
      </c>
      <c r="Q36" s="2">
        <f t="shared" si="4"/>
        <v>246.48111976195793</v>
      </c>
      <c r="R36" s="2">
        <f t="shared" si="4"/>
        <v>584.956821769302</v>
      </c>
      <c r="S36" s="2">
        <f t="shared" si="7"/>
        <v>286.00347346622044</v>
      </c>
    </row>
    <row r="37" spans="2:19" x14ac:dyDescent="0.25">
      <c r="B37" s="10">
        <v>601</v>
      </c>
      <c r="C37" s="10">
        <v>4</v>
      </c>
      <c r="D37" s="9" t="s">
        <v>93</v>
      </c>
      <c r="E37" s="154">
        <f>INDEX('Revised 2018 Lockdown'!H$5:H$253,MATCH(B37,'Revised 2018 Lockdown'!B$5:B$253,0))</f>
        <v>5915.7199999999993</v>
      </c>
      <c r="F37" s="7">
        <f>INDEX('Revised 2018 Lockdown'!E$5:E$253,MATCH(B37,'Revised 2018 Lockdown'!B$5:B$253,0))</f>
        <v>3078679.08</v>
      </c>
      <c r="G37" s="7">
        <f>INDEX('Revised 2018 Lockdown'!F$5:F$253,MATCH(B37,'Revised 2018 Lockdown'!B$5:B$253,0))</f>
        <v>303552.10000000003</v>
      </c>
      <c r="H37" s="7">
        <f t="shared" si="0"/>
        <v>2775126.98</v>
      </c>
      <c r="I37" s="6">
        <f t="shared" si="1"/>
        <v>469.11060361207092</v>
      </c>
      <c r="J37" s="6">
        <f t="shared" si="5"/>
        <v>469.11060361207092</v>
      </c>
      <c r="K37" s="5">
        <f t="shared" si="2"/>
        <v>2775126.98</v>
      </c>
      <c r="L37" s="4">
        <f t="shared" si="3"/>
        <v>0</v>
      </c>
      <c r="M37" s="2" cm="1">
        <f t="array" ref="M37">SUMPRODUCT(--($L$6:$L$300&lt;&gt;1),--($C$6:$C$300=$C37),$H$6:$H$300)/SUMPRODUCT(--($L$6:$L$300&lt;&gt;1),--($C$6:$C$300=$C37),$E$6:$E$300)</f>
        <v>415.71897076562993</v>
      </c>
      <c r="N37" s="1" cm="1">
        <f t="array" ref="N37">SUMPRODUCT(--($L$6:$L$300&lt;&gt;1),--($C$6:$C$300=$C37))</f>
        <v>15</v>
      </c>
      <c r="O37" s="3">
        <f t="shared" si="6"/>
        <v>2850.666458009156</v>
      </c>
      <c r="P37" s="2" cm="1">
        <f t="array" ref="P37">SQRT(SUMPRODUCT(--($L$6:$L$300&lt;&gt;1),--($C$6:$C$300=$C37),$E$6:$E$300,$O$6:$O$300)/((N37-1)*SUMPRODUCT(--($L$6:$L$300&lt;&gt;1),--($C$6:$C$300=$C37),$E$6:$E$300)/N37))</f>
        <v>132.0569968105448</v>
      </c>
      <c r="Q37" s="2">
        <f t="shared" si="4"/>
        <v>246.48111976195793</v>
      </c>
      <c r="R37" s="2">
        <f t="shared" si="4"/>
        <v>584.956821769302</v>
      </c>
      <c r="S37" s="2">
        <f t="shared" si="7"/>
        <v>469.11060361207092</v>
      </c>
    </row>
    <row r="38" spans="2:19" x14ac:dyDescent="0.25">
      <c r="B38" s="10">
        <v>760</v>
      </c>
      <c r="C38" s="10">
        <v>4</v>
      </c>
      <c r="D38" s="9" t="s">
        <v>94</v>
      </c>
      <c r="E38" s="154">
        <f>INDEX('Revised 2018 Lockdown'!H$5:H$253,MATCH(B38,'Revised 2018 Lockdown'!B$5:B$253,0))</f>
        <v>5286.9399999999987</v>
      </c>
      <c r="F38" s="7">
        <f>INDEX('Revised 2018 Lockdown'!E$5:E$253,MATCH(B38,'Revised 2018 Lockdown'!B$5:B$253,0))</f>
        <v>1442808.39</v>
      </c>
      <c r="G38" s="7">
        <f>INDEX('Revised 2018 Lockdown'!F$5:F$253,MATCH(B38,'Revised 2018 Lockdown'!B$5:B$253,0))</f>
        <v>717833.62</v>
      </c>
      <c r="H38" s="7">
        <f t="shared" si="0"/>
        <v>724974.7699999999</v>
      </c>
      <c r="I38" s="6">
        <f t="shared" si="1"/>
        <v>137.12559060628644</v>
      </c>
      <c r="J38" s="6">
        <f t="shared" si="5"/>
        <v>137.12559060628644</v>
      </c>
      <c r="K38" s="5">
        <f t="shared" si="2"/>
        <v>724974.76999999979</v>
      </c>
      <c r="L38" s="4">
        <f t="shared" si="3"/>
        <v>0</v>
      </c>
      <c r="M38" s="2" cm="1">
        <f t="array" ref="M38">SUMPRODUCT(--($L$6:$L$300&lt;&gt;1),--($C$6:$C$300=$C38),$H$6:$H$300)/SUMPRODUCT(--($L$6:$L$300&lt;&gt;1),--($C$6:$C$300=$C38),$E$6:$E$300)</f>
        <v>415.71897076562993</v>
      </c>
      <c r="N38" s="1" cm="1">
        <f t="array" ref="N38">SUMPRODUCT(--($L$6:$L$300&lt;&gt;1),--($C$6:$C$300=$C38))</f>
        <v>15</v>
      </c>
      <c r="O38" s="3">
        <f t="shared" si="6"/>
        <v>77614.27146860848</v>
      </c>
      <c r="P38" s="2" cm="1">
        <f t="array" ref="P38">SQRT(SUMPRODUCT(--($L$6:$L$300&lt;&gt;1),--($C$6:$C$300=$C38),$E$6:$E$300,$O$6:$O$300)/((N38-1)*SUMPRODUCT(--($L$6:$L$300&lt;&gt;1),--($C$6:$C$300=$C38),$E$6:$E$300)/N38))</f>
        <v>132.0569968105448</v>
      </c>
      <c r="Q38" s="2">
        <f t="shared" si="4"/>
        <v>246.48111976195793</v>
      </c>
      <c r="R38" s="2">
        <f t="shared" si="4"/>
        <v>584.956821769302</v>
      </c>
      <c r="S38" s="2">
        <f t="shared" si="7"/>
        <v>246.48111976195793</v>
      </c>
    </row>
    <row r="39" spans="2:19" x14ac:dyDescent="0.25">
      <c r="B39" s="10">
        <v>878</v>
      </c>
      <c r="C39" s="10">
        <v>4</v>
      </c>
      <c r="D39" s="9" t="s">
        <v>95</v>
      </c>
      <c r="E39" s="154">
        <f>INDEX('Revised 2018 Lockdown'!H$5:H$253,MATCH(B39,'Revised 2018 Lockdown'!B$5:B$253,0))</f>
        <v>7663.16</v>
      </c>
      <c r="F39" s="7">
        <f>INDEX('Revised 2018 Lockdown'!E$5:E$253,MATCH(B39,'Revised 2018 Lockdown'!B$5:B$253,0))</f>
        <v>2910917.69</v>
      </c>
      <c r="G39" s="7">
        <f>INDEX('Revised 2018 Lockdown'!F$5:F$253,MATCH(B39,'Revised 2018 Lockdown'!B$5:B$253,0))</f>
        <v>838992.06</v>
      </c>
      <c r="H39" s="7">
        <f t="shared" si="0"/>
        <v>2071925.63</v>
      </c>
      <c r="I39" s="6">
        <f t="shared" si="1"/>
        <v>270.37483622944058</v>
      </c>
      <c r="J39" s="6">
        <f t="shared" si="5"/>
        <v>270.37483622944058</v>
      </c>
      <c r="K39" s="5">
        <f t="shared" si="2"/>
        <v>2071925.63</v>
      </c>
      <c r="L39" s="4">
        <f t="shared" si="3"/>
        <v>0</v>
      </c>
      <c r="M39" s="2" cm="1">
        <f t="array" ref="M39">SUMPRODUCT(--($L$6:$L$300&lt;&gt;1),--($C$6:$C$300=$C39),$H$6:$H$300)/SUMPRODUCT(--($L$6:$L$300&lt;&gt;1),--($C$6:$C$300=$C39),$E$6:$E$300)</f>
        <v>415.71897076562993</v>
      </c>
      <c r="N39" s="1" cm="1">
        <f t="array" ref="N39">SUMPRODUCT(--($L$6:$L$300&lt;&gt;1),--($C$6:$C$300=$C39))</f>
        <v>15</v>
      </c>
      <c r="O39" s="3">
        <f t="shared" si="6"/>
        <v>21124.917444073912</v>
      </c>
      <c r="P39" s="2" cm="1">
        <f t="array" ref="P39">SQRT(SUMPRODUCT(--($L$6:$L$300&lt;&gt;1),--($C$6:$C$300=$C39),$E$6:$E$300,$O$6:$O$300)/((N39-1)*SUMPRODUCT(--($L$6:$L$300&lt;&gt;1),--($C$6:$C$300=$C39),$E$6:$E$300)/N39))</f>
        <v>132.0569968105448</v>
      </c>
      <c r="Q39" s="2">
        <f t="shared" si="4"/>
        <v>246.48111976195793</v>
      </c>
      <c r="R39" s="2">
        <f t="shared" si="4"/>
        <v>584.956821769302</v>
      </c>
      <c r="S39" s="2">
        <f t="shared" si="7"/>
        <v>270.37483622944058</v>
      </c>
    </row>
    <row r="40" spans="2:19" x14ac:dyDescent="0.25">
      <c r="B40" s="10">
        <v>8</v>
      </c>
      <c r="C40" s="10">
        <v>5</v>
      </c>
      <c r="D40" s="9" t="s">
        <v>96</v>
      </c>
      <c r="E40" s="154">
        <f>INDEX('Revised 2018 Lockdown'!H$5:H$253,MATCH(B40,'Revised 2018 Lockdown'!B$5:B$253,0))</f>
        <v>2105.2199999999998</v>
      </c>
      <c r="F40" s="7">
        <f>INDEX('Revised 2018 Lockdown'!E$5:E$253,MATCH(B40,'Revised 2018 Lockdown'!B$5:B$253,0))</f>
        <v>627029.24</v>
      </c>
      <c r="G40" s="7">
        <f>INDEX('Revised 2018 Lockdown'!F$5:F$253,MATCH(B40,'Revised 2018 Lockdown'!B$5:B$253,0))</f>
        <v>25077.3</v>
      </c>
      <c r="H40" s="7">
        <f t="shared" si="0"/>
        <v>601951.93999999994</v>
      </c>
      <c r="I40" s="6">
        <f t="shared" si="1"/>
        <v>285.9330331271791</v>
      </c>
      <c r="J40" s="6">
        <f t="shared" si="5"/>
        <v>285.9330331271791</v>
      </c>
      <c r="K40" s="5">
        <f t="shared" si="2"/>
        <v>601951.93999999994</v>
      </c>
      <c r="L40" s="4">
        <f t="shared" si="3"/>
        <v>0</v>
      </c>
      <c r="M40" s="2" cm="1">
        <f t="array" ref="M40">SUMPRODUCT(--($L$6:$L$300&lt;&gt;1),--($C$6:$C$300=$C40),$H$6:$H$300)/SUMPRODUCT(--($L$6:$L$300&lt;&gt;1),--($C$6:$C$300=$C40),$E$6:$E$300)</f>
        <v>287.03377317139848</v>
      </c>
      <c r="N40" s="1" cm="1">
        <f t="array" ref="N40">SUMPRODUCT(--($L$6:$L$300&lt;&gt;1),--($C$6:$C$300=$C40))</f>
        <v>20</v>
      </c>
      <c r="O40" s="3">
        <f t="shared" si="6"/>
        <v>1.2116286449480791</v>
      </c>
      <c r="P40" s="2" cm="1">
        <f t="array" ref="P40">SQRT(SUMPRODUCT(--($L$6:$L$300&lt;&gt;1),--($C$6:$C$300=$C40),$E$6:$E$300,$O$6:$O$300)/((N40-1)*SUMPRODUCT(--($L$6:$L$300&lt;&gt;1),--($C$6:$C$300=$C40),$E$6:$E$300)/N40))</f>
        <v>125.75406726649182</v>
      </c>
      <c r="Q40" s="2">
        <f t="shared" si="4"/>
        <v>125.87345139242487</v>
      </c>
      <c r="R40" s="2">
        <f t="shared" si="4"/>
        <v>448.19409495037212</v>
      </c>
      <c r="S40" s="2">
        <f t="shared" si="7"/>
        <v>285.9330331271791</v>
      </c>
    </row>
    <row r="41" spans="2:19" x14ac:dyDescent="0.25">
      <c r="B41" s="10">
        <v>41</v>
      </c>
      <c r="C41" s="10">
        <v>5</v>
      </c>
      <c r="D41" s="9" t="s">
        <v>97</v>
      </c>
      <c r="E41" s="154">
        <f>INDEX('Revised 2018 Lockdown'!H$5:H$253,MATCH(B41,'Revised 2018 Lockdown'!B$5:B$253,0))</f>
        <v>1688.06</v>
      </c>
      <c r="F41" s="7">
        <f>INDEX('Revised 2018 Lockdown'!E$5:E$253,MATCH(B41,'Revised 2018 Lockdown'!B$5:B$253,0))</f>
        <v>652189.06000000006</v>
      </c>
      <c r="G41" s="7">
        <f>INDEX('Revised 2018 Lockdown'!F$5:F$253,MATCH(B41,'Revised 2018 Lockdown'!B$5:B$253,0))</f>
        <v>215017.75000000003</v>
      </c>
      <c r="H41" s="7">
        <f t="shared" si="0"/>
        <v>437171.31000000006</v>
      </c>
      <c r="I41" s="6">
        <f t="shared" si="1"/>
        <v>258.97853749274321</v>
      </c>
      <c r="J41" s="6">
        <f t="shared" si="5"/>
        <v>258.97853749274321</v>
      </c>
      <c r="K41" s="5">
        <f t="shared" si="2"/>
        <v>437171.31000000011</v>
      </c>
      <c r="L41" s="4">
        <f t="shared" si="3"/>
        <v>0</v>
      </c>
      <c r="M41" s="2" cm="1">
        <f t="array" ref="M41">SUMPRODUCT(--($L$6:$L$300&lt;&gt;1),--($C$6:$C$300=$C41),$H$6:$H$300)/SUMPRODUCT(--($L$6:$L$300&lt;&gt;1),--($C$6:$C$300=$C41),$E$6:$E$300)</f>
        <v>287.03377317139848</v>
      </c>
      <c r="N41" s="1" cm="1">
        <f t="array" ref="N41">SUMPRODUCT(--($L$6:$L$300&lt;&gt;1),--($C$6:$C$300=$C41))</f>
        <v>20</v>
      </c>
      <c r="O41" s="3">
        <f t="shared" si="6"/>
        <v>787.0962489848913</v>
      </c>
      <c r="P41" s="2" cm="1">
        <f t="array" ref="P41">SQRT(SUMPRODUCT(--($L$6:$L$300&lt;&gt;1),--($C$6:$C$300=$C41),$E$6:$E$300,$O$6:$O$300)/((N41-1)*SUMPRODUCT(--($L$6:$L$300&lt;&gt;1),--($C$6:$C$300=$C41),$E$6:$E$300)/N41))</f>
        <v>125.75406726649182</v>
      </c>
      <c r="Q41" s="2">
        <f t="shared" si="4"/>
        <v>125.87345139242487</v>
      </c>
      <c r="R41" s="2">
        <f t="shared" si="4"/>
        <v>448.19409495037212</v>
      </c>
      <c r="S41" s="2">
        <f t="shared" si="7"/>
        <v>258.97853749274321</v>
      </c>
    </row>
    <row r="42" spans="2:19" x14ac:dyDescent="0.25">
      <c r="B42" s="10">
        <v>56</v>
      </c>
      <c r="C42" s="10">
        <v>5</v>
      </c>
      <c r="D42" s="9" t="s">
        <v>98</v>
      </c>
      <c r="E42" s="154">
        <f>INDEX('Revised 2018 Lockdown'!H$5:H$253,MATCH(B42,'Revised 2018 Lockdown'!B$5:B$253,0))</f>
        <v>3016.58</v>
      </c>
      <c r="F42" s="7">
        <f>INDEX('Revised 2018 Lockdown'!E$5:E$253,MATCH(B42,'Revised 2018 Lockdown'!B$5:B$253,0))</f>
        <v>561942.06999999995</v>
      </c>
      <c r="G42" s="7">
        <f>INDEX('Revised 2018 Lockdown'!F$5:F$253,MATCH(B42,'Revised 2018 Lockdown'!B$5:B$253,0))</f>
        <v>2316.81</v>
      </c>
      <c r="H42" s="7">
        <f t="shared" si="0"/>
        <v>559625.25999999989</v>
      </c>
      <c r="I42" s="6">
        <f t="shared" si="1"/>
        <v>185.51646566641691</v>
      </c>
      <c r="J42" s="6">
        <f t="shared" si="5"/>
        <v>185.51646566641691</v>
      </c>
      <c r="K42" s="5">
        <f t="shared" si="2"/>
        <v>559625.25999999989</v>
      </c>
      <c r="L42" s="4">
        <f t="shared" si="3"/>
        <v>0</v>
      </c>
      <c r="M42" s="2" cm="1">
        <f t="array" ref="M42">SUMPRODUCT(--($L$6:$L$300&lt;&gt;1),--($C$6:$C$300=$C42),$H$6:$H$300)/SUMPRODUCT(--($L$6:$L$300&lt;&gt;1),--($C$6:$C$300=$C42),$E$6:$E$300)</f>
        <v>287.03377317139848</v>
      </c>
      <c r="N42" s="1" cm="1">
        <f t="array" ref="N42">SUMPRODUCT(--($L$6:$L$300&lt;&gt;1),--($C$6:$C$300=$C42))</f>
        <v>20</v>
      </c>
      <c r="O42" s="3">
        <f t="shared" si="6"/>
        <v>10305.763723060989</v>
      </c>
      <c r="P42" s="2" cm="1">
        <f t="array" ref="P42">SQRT(SUMPRODUCT(--($L$6:$L$300&lt;&gt;1),--($C$6:$C$300=$C42),$E$6:$E$300,$O$6:$O$300)/((N42-1)*SUMPRODUCT(--($L$6:$L$300&lt;&gt;1),--($C$6:$C$300=$C42),$E$6:$E$300)/N42))</f>
        <v>125.75406726649182</v>
      </c>
      <c r="Q42" s="2">
        <f t="shared" si="4"/>
        <v>125.87345139242487</v>
      </c>
      <c r="R42" s="2">
        <f t="shared" si="4"/>
        <v>448.19409495037212</v>
      </c>
      <c r="S42" s="2">
        <f t="shared" si="7"/>
        <v>185.51646566641691</v>
      </c>
    </row>
    <row r="43" spans="2:19" x14ac:dyDescent="0.25">
      <c r="B43" s="10">
        <v>67</v>
      </c>
      <c r="C43" s="10">
        <v>5</v>
      </c>
      <c r="D43" s="9" t="s">
        <v>99</v>
      </c>
      <c r="E43" s="154">
        <f>INDEX('Revised 2018 Lockdown'!H$5:H$253,MATCH(B43,'Revised 2018 Lockdown'!B$5:B$253,0))</f>
        <v>1474.6758017491509</v>
      </c>
      <c r="F43" s="7">
        <f>INDEX('Revised 2018 Lockdown'!E$5:E$253,MATCH(B43,'Revised 2018 Lockdown'!B$5:B$253,0))</f>
        <v>218449.94</v>
      </c>
      <c r="G43" s="7">
        <f>INDEX('Revised 2018 Lockdown'!F$5:F$253,MATCH(B43,'Revised 2018 Lockdown'!B$5:B$253,0))</f>
        <v>0</v>
      </c>
      <c r="H43" s="7">
        <f t="shared" si="0"/>
        <v>218449.94</v>
      </c>
      <c r="I43" s="6">
        <f t="shared" si="1"/>
        <v>148.13421345958949</v>
      </c>
      <c r="J43" s="6">
        <f t="shared" si="5"/>
        <v>148.13421345958949</v>
      </c>
      <c r="K43" s="5">
        <f t="shared" si="2"/>
        <v>218449.93999999997</v>
      </c>
      <c r="L43" s="4">
        <f t="shared" si="3"/>
        <v>0</v>
      </c>
      <c r="M43" s="2" cm="1">
        <f t="array" ref="M43">SUMPRODUCT(--($L$6:$L$300&lt;&gt;1),--($C$6:$C$300=$C43),$H$6:$H$300)/SUMPRODUCT(--($L$6:$L$300&lt;&gt;1),--($C$6:$C$300=$C43),$E$6:$E$300)</f>
        <v>287.03377317139848</v>
      </c>
      <c r="N43" s="1" cm="1">
        <f t="array" ref="N43">SUMPRODUCT(--($L$6:$L$300&lt;&gt;1),--($C$6:$C$300=$C43))</f>
        <v>20</v>
      </c>
      <c r="O43" s="3">
        <f t="shared" si="6"/>
        <v>19293.08768813439</v>
      </c>
      <c r="P43" s="2" cm="1">
        <f t="array" ref="P43">SQRT(SUMPRODUCT(--($L$6:$L$300&lt;&gt;1),--($C$6:$C$300=$C43),$E$6:$E$300,$O$6:$O$300)/((N43-1)*SUMPRODUCT(--($L$6:$L$300&lt;&gt;1),--($C$6:$C$300=$C43),$E$6:$E$300)/N43))</f>
        <v>125.75406726649182</v>
      </c>
      <c r="Q43" s="2">
        <f t="shared" si="4"/>
        <v>125.87345139242487</v>
      </c>
      <c r="R43" s="2">
        <f t="shared" si="4"/>
        <v>448.19409495037212</v>
      </c>
      <c r="S43" s="2">
        <f t="shared" si="7"/>
        <v>148.13421345958949</v>
      </c>
    </row>
    <row r="44" spans="2:19" x14ac:dyDescent="0.25">
      <c r="B44" s="10">
        <v>157</v>
      </c>
      <c r="C44" s="10">
        <v>5</v>
      </c>
      <c r="D44" s="9" t="s">
        <v>100</v>
      </c>
      <c r="E44" s="154">
        <f>INDEX('Revised 2018 Lockdown'!H$5:H$253,MATCH(B44,'Revised 2018 Lockdown'!B$5:B$253,0))</f>
        <v>446.65493195328992</v>
      </c>
      <c r="F44" s="7">
        <f>INDEX('Revised 2018 Lockdown'!E$5:E$253,MATCH(B44,'Revised 2018 Lockdown'!B$5:B$253,0))</f>
        <v>145211.09</v>
      </c>
      <c r="G44" s="7">
        <f>INDEX('Revised 2018 Lockdown'!F$5:F$253,MATCH(B44,'Revised 2018 Lockdown'!B$5:B$253,0))</f>
        <v>320</v>
      </c>
      <c r="H44" s="7">
        <f t="shared" si="0"/>
        <v>144891.09</v>
      </c>
      <c r="I44" s="6">
        <f t="shared" si="1"/>
        <v>324.39155964621108</v>
      </c>
      <c r="J44" s="6">
        <f t="shared" si="5"/>
        <v>324.39155964621108</v>
      </c>
      <c r="K44" s="5">
        <f t="shared" si="2"/>
        <v>144891.09</v>
      </c>
      <c r="L44" s="4">
        <f t="shared" si="3"/>
        <v>0</v>
      </c>
      <c r="M44" s="2" cm="1">
        <f t="array" ref="M44">SUMPRODUCT(--($L$6:$L$300&lt;&gt;1),--($C$6:$C$300=$C44),$H$6:$H$300)/SUMPRODUCT(--($L$6:$L$300&lt;&gt;1),--($C$6:$C$300=$C44),$E$6:$E$300)</f>
        <v>287.03377317139848</v>
      </c>
      <c r="N44" s="1" cm="1">
        <f t="array" ref="N44">SUMPRODUCT(--($L$6:$L$300&lt;&gt;1),--($C$6:$C$300=$C44))</f>
        <v>20</v>
      </c>
      <c r="O44" s="3">
        <f t="shared" si="6"/>
        <v>1395.6042102976912</v>
      </c>
      <c r="P44" s="2" cm="1">
        <f t="array" ref="P44">SQRT(SUMPRODUCT(--($L$6:$L$300&lt;&gt;1),--($C$6:$C$300=$C44),$E$6:$E$300,$O$6:$O$300)/((N44-1)*SUMPRODUCT(--($L$6:$L$300&lt;&gt;1),--($C$6:$C$300=$C44),$E$6:$E$300)/N44))</f>
        <v>125.75406726649182</v>
      </c>
      <c r="Q44" s="2">
        <f t="shared" si="4"/>
        <v>125.87345139242487</v>
      </c>
      <c r="R44" s="2">
        <f t="shared" si="4"/>
        <v>448.19409495037212</v>
      </c>
      <c r="S44" s="2">
        <f t="shared" si="7"/>
        <v>324.39155964621108</v>
      </c>
    </row>
    <row r="45" spans="2:19" x14ac:dyDescent="0.25">
      <c r="B45" s="10">
        <v>214</v>
      </c>
      <c r="C45" s="10">
        <v>5</v>
      </c>
      <c r="D45" s="9" t="s">
        <v>101</v>
      </c>
      <c r="E45" s="154">
        <f>INDEX('Revised 2018 Lockdown'!H$5:H$253,MATCH(B45,'Revised 2018 Lockdown'!B$5:B$253,0))</f>
        <v>2922.96</v>
      </c>
      <c r="F45" s="7">
        <f>INDEX('Revised 2018 Lockdown'!E$5:E$253,MATCH(B45,'Revised 2018 Lockdown'!B$5:B$253,0))</f>
        <v>1677840.57</v>
      </c>
      <c r="G45" s="7">
        <f>INDEX('Revised 2018 Lockdown'!F$5:F$253,MATCH(B45,'Revised 2018 Lockdown'!B$5:B$253,0))</f>
        <v>291173.04000000004</v>
      </c>
      <c r="H45" s="7">
        <f t="shared" si="0"/>
        <v>1386667.53</v>
      </c>
      <c r="I45" s="6">
        <f t="shared" si="1"/>
        <v>474.40523647261682</v>
      </c>
      <c r="J45" s="6">
        <f t="shared" si="5"/>
        <v>448.19409495037212</v>
      </c>
      <c r="K45" s="5">
        <f t="shared" si="2"/>
        <v>1310053.4117761396</v>
      </c>
      <c r="L45" s="4">
        <f t="shared" si="3"/>
        <v>0</v>
      </c>
      <c r="M45" s="2" cm="1">
        <f t="array" ref="M45">SUMPRODUCT(--($L$6:$L$300&lt;&gt;1),--($C$6:$C$300=$C45),$H$6:$H$300)/SUMPRODUCT(--($L$6:$L$300&lt;&gt;1),--($C$6:$C$300=$C45),$E$6:$E$300)</f>
        <v>287.03377317139848</v>
      </c>
      <c r="N45" s="1" cm="1">
        <f t="array" ref="N45">SUMPRODUCT(--($L$6:$L$300&lt;&gt;1),--($C$6:$C$300=$C45))</f>
        <v>20</v>
      </c>
      <c r="O45" s="3">
        <f t="shared" si="6"/>
        <v>35108.065259639814</v>
      </c>
      <c r="P45" s="2" cm="1">
        <f t="array" ref="P45">SQRT(SUMPRODUCT(--($L$6:$L$300&lt;&gt;1),--($C$6:$C$300=$C45),$E$6:$E$300,$O$6:$O$300)/((N45-1)*SUMPRODUCT(--($L$6:$L$300&lt;&gt;1),--($C$6:$C$300=$C45),$E$6:$E$300)/N45))</f>
        <v>125.75406726649182</v>
      </c>
      <c r="Q45" s="2">
        <f t="shared" si="4"/>
        <v>125.87345139242487</v>
      </c>
      <c r="R45" s="2">
        <f t="shared" si="4"/>
        <v>448.19409495037212</v>
      </c>
      <c r="S45" s="2">
        <f t="shared" si="7"/>
        <v>448.19409495037212</v>
      </c>
    </row>
    <row r="46" spans="2:19" x14ac:dyDescent="0.25">
      <c r="B46" s="10">
        <v>223</v>
      </c>
      <c r="C46" s="10">
        <v>5</v>
      </c>
      <c r="D46" s="9" t="s">
        <v>102</v>
      </c>
      <c r="E46" s="154">
        <f>INDEX('Revised 2018 Lockdown'!H$5:H$253,MATCH(B46,'Revised 2018 Lockdown'!B$5:B$253,0))</f>
        <v>298.2</v>
      </c>
      <c r="F46" s="7">
        <f>INDEX('Revised 2018 Lockdown'!E$5:E$253,MATCH(B46,'Revised 2018 Lockdown'!B$5:B$253,0))</f>
        <v>207354.56</v>
      </c>
      <c r="G46" s="7">
        <f>INDEX('Revised 2018 Lockdown'!F$5:F$253,MATCH(B46,'Revised 2018 Lockdown'!B$5:B$253,0))</f>
        <v>1303.98</v>
      </c>
      <c r="H46" s="7">
        <f t="shared" si="0"/>
        <v>206050.58</v>
      </c>
      <c r="I46" s="6">
        <f t="shared" si="1"/>
        <v>690.98115358819587</v>
      </c>
      <c r="J46" s="6">
        <f t="shared" si="5"/>
        <v>448.19409495037212</v>
      </c>
      <c r="K46" s="5">
        <f t="shared" si="2"/>
        <v>133651.47911420095</v>
      </c>
      <c r="L46" s="4">
        <f t="shared" si="3"/>
        <v>0</v>
      </c>
      <c r="M46" s="2" cm="1">
        <f t="array" ref="M46">SUMPRODUCT(--($L$6:$L$300&lt;&gt;1),--($C$6:$C$300=$C46),$H$6:$H$300)/SUMPRODUCT(--($L$6:$L$300&lt;&gt;1),--($C$6:$C$300=$C46),$E$6:$E$300)</f>
        <v>287.03377317139848</v>
      </c>
      <c r="N46" s="1" cm="1">
        <f t="array" ref="N46">SUMPRODUCT(--($L$6:$L$300&lt;&gt;1),--($C$6:$C$300=$C46))</f>
        <v>20</v>
      </c>
      <c r="O46" s="3">
        <f t="shared" si="6"/>
        <v>163173.48614559282</v>
      </c>
      <c r="P46" s="2" cm="1">
        <f t="array" ref="P46">SQRT(SUMPRODUCT(--($L$6:$L$300&lt;&gt;1),--($C$6:$C$300=$C46),$E$6:$E$300,$O$6:$O$300)/((N46-1)*SUMPRODUCT(--($L$6:$L$300&lt;&gt;1),--($C$6:$C$300=$C46),$E$6:$E$300)/N46))</f>
        <v>125.75406726649182</v>
      </c>
      <c r="Q46" s="2">
        <f t="shared" si="4"/>
        <v>125.87345139242487</v>
      </c>
      <c r="R46" s="2">
        <f t="shared" si="4"/>
        <v>448.19409495037212</v>
      </c>
      <c r="S46" s="2">
        <f t="shared" si="7"/>
        <v>448.19409495037212</v>
      </c>
    </row>
    <row r="47" spans="2:19" x14ac:dyDescent="0.25">
      <c r="B47" s="10">
        <v>224</v>
      </c>
      <c r="C47" s="10">
        <v>5</v>
      </c>
      <c r="D47" s="9" t="s">
        <v>103</v>
      </c>
      <c r="E47" s="154">
        <f>INDEX('Revised 2018 Lockdown'!H$5:H$253,MATCH(B47,'Revised 2018 Lockdown'!B$5:B$253,0))</f>
        <v>257.07384904737762</v>
      </c>
      <c r="F47" s="7">
        <f>INDEX('Revised 2018 Lockdown'!E$5:E$253,MATCH(B47,'Revised 2018 Lockdown'!B$5:B$253,0))</f>
        <v>73965.39</v>
      </c>
      <c r="G47" s="7">
        <f>INDEX('Revised 2018 Lockdown'!F$5:F$253,MATCH(B47,'Revised 2018 Lockdown'!B$5:B$253,0))</f>
        <v>245</v>
      </c>
      <c r="H47" s="7">
        <f t="shared" si="0"/>
        <v>73720.39</v>
      </c>
      <c r="I47" s="6">
        <f t="shared" si="1"/>
        <v>286.76736382631299</v>
      </c>
      <c r="J47" s="6">
        <f t="shared" si="5"/>
        <v>286.76736382631299</v>
      </c>
      <c r="K47" s="5">
        <f t="shared" si="2"/>
        <v>73720.39</v>
      </c>
      <c r="L47" s="4">
        <f t="shared" si="3"/>
        <v>0</v>
      </c>
      <c r="M47" s="2" cm="1">
        <f t="array" ref="M47">SUMPRODUCT(--($L$6:$L$300&lt;&gt;1),--($C$6:$C$300=$C47),$H$6:$H$300)/SUMPRODUCT(--($L$6:$L$300&lt;&gt;1),--($C$6:$C$300=$C47),$E$6:$E$300)</f>
        <v>287.03377317139848</v>
      </c>
      <c r="N47" s="1" cm="1">
        <f t="array" ref="N47">SUMPRODUCT(--($L$6:$L$300&lt;&gt;1),--($C$6:$C$300=$C47))</f>
        <v>20</v>
      </c>
      <c r="O47" s="3">
        <f t="shared" si="6"/>
        <v>7.0973939148880796E-2</v>
      </c>
      <c r="P47" s="2" cm="1">
        <f t="array" ref="P47">SQRT(SUMPRODUCT(--($L$6:$L$300&lt;&gt;1),--($C$6:$C$300=$C47),$E$6:$E$300,$O$6:$O$300)/((N47-1)*SUMPRODUCT(--($L$6:$L$300&lt;&gt;1),--($C$6:$C$300=$C47),$E$6:$E$300)/N47))</f>
        <v>125.75406726649182</v>
      </c>
      <c r="Q47" s="2">
        <f t="shared" si="4"/>
        <v>125.87345139242487</v>
      </c>
      <c r="R47" s="2">
        <f t="shared" si="4"/>
        <v>448.19409495037212</v>
      </c>
      <c r="S47" s="2">
        <f t="shared" si="7"/>
        <v>286.76736382631299</v>
      </c>
    </row>
    <row r="48" spans="2:19" x14ac:dyDescent="0.25">
      <c r="B48" s="10">
        <v>233</v>
      </c>
      <c r="C48" s="10">
        <v>5</v>
      </c>
      <c r="D48" s="9" t="s">
        <v>104</v>
      </c>
      <c r="E48" s="154">
        <f>INDEX('Revised 2018 Lockdown'!H$5:H$253,MATCH(B48,'Revised 2018 Lockdown'!B$5:B$253,0))</f>
        <v>2096.4900000000002</v>
      </c>
      <c r="F48" s="7">
        <f>INDEX('Revised 2018 Lockdown'!E$5:E$253,MATCH(B48,'Revised 2018 Lockdown'!B$5:B$253,0))</f>
        <v>657892.93999999994</v>
      </c>
      <c r="G48" s="7">
        <f>INDEX('Revised 2018 Lockdown'!F$5:F$253,MATCH(B48,'Revised 2018 Lockdown'!B$5:B$253,0))</f>
        <v>285320.61</v>
      </c>
      <c r="H48" s="7">
        <f t="shared" si="0"/>
        <v>372572.32999999996</v>
      </c>
      <c r="I48" s="6">
        <f t="shared" si="1"/>
        <v>177.71242886920516</v>
      </c>
      <c r="J48" s="6">
        <f t="shared" si="5"/>
        <v>177.71242886920516</v>
      </c>
      <c r="K48" s="5">
        <f t="shared" si="2"/>
        <v>372572.32999999996</v>
      </c>
      <c r="L48" s="4">
        <f t="shared" si="3"/>
        <v>0</v>
      </c>
      <c r="M48" s="2" cm="1">
        <f t="array" ref="M48">SUMPRODUCT(--($L$6:$L$300&lt;&gt;1),--($C$6:$C$300=$C48),$H$6:$H$300)/SUMPRODUCT(--($L$6:$L$300&lt;&gt;1),--($C$6:$C$300=$C48),$E$6:$E$300)</f>
        <v>287.03377317139848</v>
      </c>
      <c r="N48" s="1" cm="1">
        <f t="array" ref="N48">SUMPRODUCT(--($L$6:$L$300&lt;&gt;1),--($C$6:$C$300=$C48))</f>
        <v>20</v>
      </c>
      <c r="O48" s="3">
        <f t="shared" si="6"/>
        <v>11951.156320038697</v>
      </c>
      <c r="P48" s="2" cm="1">
        <f t="array" ref="P48">SQRT(SUMPRODUCT(--($L$6:$L$300&lt;&gt;1),--($C$6:$C$300=$C48),$E$6:$E$300,$O$6:$O$300)/((N48-1)*SUMPRODUCT(--($L$6:$L$300&lt;&gt;1),--($C$6:$C$300=$C48),$E$6:$E$300)/N48))</f>
        <v>125.75406726649182</v>
      </c>
      <c r="Q48" s="2">
        <f t="shared" si="4"/>
        <v>125.87345139242487</v>
      </c>
      <c r="R48" s="2">
        <f t="shared" si="4"/>
        <v>448.19409495037212</v>
      </c>
      <c r="S48" s="2">
        <f t="shared" si="7"/>
        <v>177.71242886920516</v>
      </c>
    </row>
    <row r="49" spans="2:19" x14ac:dyDescent="0.25">
      <c r="B49" s="10">
        <v>272</v>
      </c>
      <c r="C49" s="10">
        <v>5</v>
      </c>
      <c r="D49" s="35" t="s">
        <v>105</v>
      </c>
      <c r="E49" s="154">
        <f>INDEX('Revised 2018 Lockdown'!H$5:H$253,MATCH(B49,'Revised 2018 Lockdown'!B$5:B$253,0))</f>
        <v>365.3662530466043</v>
      </c>
      <c r="F49" s="7">
        <f>INDEX('Revised 2018 Lockdown'!E$5:E$253,MATCH(B49,'Revised 2018 Lockdown'!B$5:B$253,0))</f>
        <v>79352.12</v>
      </c>
      <c r="G49" s="7">
        <f>INDEX('Revised 2018 Lockdown'!F$5:F$253,MATCH(B49,'Revised 2018 Lockdown'!B$5:B$253,0))</f>
        <v>0</v>
      </c>
      <c r="H49" s="7">
        <f t="shared" si="0"/>
        <v>79352.12</v>
      </c>
      <c r="I49" s="6">
        <f t="shared" si="1"/>
        <v>217.18513775786028</v>
      </c>
      <c r="J49" s="6">
        <f t="shared" si="5"/>
        <v>217.18513775786028</v>
      </c>
      <c r="K49" s="5">
        <f t="shared" si="2"/>
        <v>79352.12</v>
      </c>
      <c r="L49" s="4">
        <f t="shared" si="3"/>
        <v>0</v>
      </c>
      <c r="M49" s="2" cm="1">
        <f t="array" ref="M49">SUMPRODUCT(--($L$6:$L$300&lt;&gt;1),--($C$6:$C$300=$C49),$H$6:$H$300)/SUMPRODUCT(--($L$6:$L$300&lt;&gt;1),--($C$6:$C$300=$C49),$E$6:$E$300)</f>
        <v>287.03377317139848</v>
      </c>
      <c r="N49" s="1" cm="1">
        <f t="array" ref="N49">SUMPRODUCT(--($L$6:$L$300&lt;&gt;1),--($C$6:$C$300=$C49))</f>
        <v>20</v>
      </c>
      <c r="O49" s="3">
        <f t="shared" si="6"/>
        <v>4878.8318691333834</v>
      </c>
      <c r="P49" s="2" cm="1">
        <f t="array" ref="P49">SQRT(SUMPRODUCT(--($L$6:$L$300&lt;&gt;1),--($C$6:$C$300=$C49),$E$6:$E$300,$O$6:$O$300)/((N49-1)*SUMPRODUCT(--($L$6:$L$300&lt;&gt;1),--($C$6:$C$300=$C49),$E$6:$E$300)/N49))</f>
        <v>125.75406726649182</v>
      </c>
      <c r="Q49" s="2">
        <f t="shared" si="4"/>
        <v>125.87345139242487</v>
      </c>
      <c r="R49" s="2">
        <f t="shared" si="4"/>
        <v>448.19409495037212</v>
      </c>
      <c r="S49" s="2">
        <f t="shared" si="7"/>
        <v>217.18513775786028</v>
      </c>
    </row>
    <row r="50" spans="2:19" x14ac:dyDescent="0.25">
      <c r="B50" s="10">
        <v>427</v>
      </c>
      <c r="C50" s="10">
        <v>5</v>
      </c>
      <c r="D50" s="9" t="s">
        <v>106</v>
      </c>
      <c r="E50" s="154">
        <f>INDEX('Revised 2018 Lockdown'!H$5:H$253,MATCH(B50,'Revised 2018 Lockdown'!B$5:B$253,0))</f>
        <v>444.9199999999999</v>
      </c>
      <c r="F50" s="7">
        <f>INDEX('Revised 2018 Lockdown'!E$5:E$253,MATCH(B50,'Revised 2018 Lockdown'!B$5:B$253,0))</f>
        <v>198493.19</v>
      </c>
      <c r="G50" s="7">
        <f>INDEX('Revised 2018 Lockdown'!F$5:F$253,MATCH(B50,'Revised 2018 Lockdown'!B$5:B$253,0))</f>
        <v>56867.6</v>
      </c>
      <c r="H50" s="7">
        <f t="shared" si="0"/>
        <v>141625.59</v>
      </c>
      <c r="I50" s="6">
        <f t="shared" si="1"/>
        <v>318.31697833318356</v>
      </c>
      <c r="J50" s="6">
        <f t="shared" si="5"/>
        <v>318.31697833318356</v>
      </c>
      <c r="K50" s="5">
        <f t="shared" si="2"/>
        <v>141625.59</v>
      </c>
      <c r="L50" s="4">
        <f t="shared" si="3"/>
        <v>0</v>
      </c>
      <c r="M50" s="2" cm="1">
        <f t="array" ref="M50">SUMPRODUCT(--($L$6:$L$300&lt;&gt;1),--($C$6:$C$300=$C50),$H$6:$H$300)/SUMPRODUCT(--($L$6:$L$300&lt;&gt;1),--($C$6:$C$300=$C50),$E$6:$E$300)</f>
        <v>287.03377317139848</v>
      </c>
      <c r="N50" s="1" cm="1">
        <f t="array" ref="N50">SUMPRODUCT(--($L$6:$L$300&lt;&gt;1),--($C$6:$C$300=$C50))</f>
        <v>20</v>
      </c>
      <c r="O50" s="3">
        <f t="shared" si="6"/>
        <v>978.63892519433648</v>
      </c>
      <c r="P50" s="2" cm="1">
        <f t="array" ref="P50">SQRT(SUMPRODUCT(--($L$6:$L$300&lt;&gt;1),--($C$6:$C$300=$C50),$E$6:$E$300,$O$6:$O$300)/((N50-1)*SUMPRODUCT(--($L$6:$L$300&lt;&gt;1),--($C$6:$C$300=$C50),$E$6:$E$300)/N50))</f>
        <v>125.75406726649182</v>
      </c>
      <c r="Q50" s="2">
        <f t="shared" si="4"/>
        <v>125.87345139242487</v>
      </c>
      <c r="R50" s="2">
        <f t="shared" si="4"/>
        <v>448.19409495037212</v>
      </c>
      <c r="S50" s="2">
        <f t="shared" si="7"/>
        <v>318.31697833318356</v>
      </c>
    </row>
    <row r="51" spans="2:19" x14ac:dyDescent="0.25">
      <c r="B51" s="10">
        <v>524</v>
      </c>
      <c r="C51" s="10">
        <v>5</v>
      </c>
      <c r="D51" s="9" t="s">
        <v>107</v>
      </c>
      <c r="E51" s="154">
        <f>INDEX('Revised 2018 Lockdown'!H$5:H$253,MATCH(B51,'Revised 2018 Lockdown'!B$5:B$253,0))</f>
        <v>503.24541510407607</v>
      </c>
      <c r="F51" s="7">
        <f>INDEX('Revised 2018 Lockdown'!E$5:E$253,MATCH(B51,'Revised 2018 Lockdown'!B$5:B$253,0))</f>
        <v>234790.57</v>
      </c>
      <c r="G51" s="7">
        <f>INDEX('Revised 2018 Lockdown'!F$5:F$253,MATCH(B51,'Revised 2018 Lockdown'!B$5:B$253,0))</f>
        <v>453.75</v>
      </c>
      <c r="H51" s="7">
        <f t="shared" si="0"/>
        <v>234336.82</v>
      </c>
      <c r="I51" s="6">
        <f t="shared" si="1"/>
        <v>465.65117727210065</v>
      </c>
      <c r="J51" s="6">
        <f t="shared" si="5"/>
        <v>448.19409495037212</v>
      </c>
      <c r="K51" s="5">
        <f t="shared" si="2"/>
        <v>225551.62336049569</v>
      </c>
      <c r="L51" s="4">
        <f t="shared" si="3"/>
        <v>0</v>
      </c>
      <c r="M51" s="2" cm="1">
        <f t="array" ref="M51">SUMPRODUCT(--($L$6:$L$300&lt;&gt;1),--($C$6:$C$300=$C51),$H$6:$H$300)/SUMPRODUCT(--($L$6:$L$300&lt;&gt;1),--($C$6:$C$300=$C51),$E$6:$E$300)</f>
        <v>287.03377317139848</v>
      </c>
      <c r="N51" s="1" cm="1">
        <f t="array" ref="N51">SUMPRODUCT(--($L$6:$L$300&lt;&gt;1),--($C$6:$C$300=$C51))</f>
        <v>20</v>
      </c>
      <c r="O51" s="3">
        <f t="shared" si="6"/>
        <v>31904.177047673536</v>
      </c>
      <c r="P51" s="2" cm="1">
        <f t="array" ref="P51">SQRT(SUMPRODUCT(--($L$6:$L$300&lt;&gt;1),--($C$6:$C$300=$C51),$E$6:$E$300,$O$6:$O$300)/((N51-1)*SUMPRODUCT(--($L$6:$L$300&lt;&gt;1),--($C$6:$C$300=$C51),$E$6:$E$300)/N51))</f>
        <v>125.75406726649182</v>
      </c>
      <c r="Q51" s="2">
        <f t="shared" si="4"/>
        <v>125.87345139242487</v>
      </c>
      <c r="R51" s="2">
        <f t="shared" si="4"/>
        <v>448.19409495037212</v>
      </c>
      <c r="S51" s="2">
        <f t="shared" si="7"/>
        <v>448.19409495037212</v>
      </c>
    </row>
    <row r="52" spans="2:19" x14ac:dyDescent="0.25">
      <c r="B52" s="10">
        <v>565</v>
      </c>
      <c r="C52" s="10">
        <v>5</v>
      </c>
      <c r="D52" s="9" t="s">
        <v>108</v>
      </c>
      <c r="E52" s="154">
        <f>INDEX('Revised 2018 Lockdown'!H$5:H$253,MATCH(B52,'Revised 2018 Lockdown'!B$5:B$253,0))</f>
        <v>471.64773139908056</v>
      </c>
      <c r="F52" s="7">
        <f>INDEX('Revised 2018 Lockdown'!E$5:E$253,MATCH(B52,'Revised 2018 Lockdown'!B$5:B$253,0))</f>
        <v>165733.01</v>
      </c>
      <c r="G52" s="7">
        <f>INDEX('Revised 2018 Lockdown'!F$5:F$253,MATCH(B52,'Revised 2018 Lockdown'!B$5:B$253,0))</f>
        <v>710</v>
      </c>
      <c r="H52" s="7">
        <f t="shared" si="0"/>
        <v>165023.01</v>
      </c>
      <c r="I52" s="6">
        <f t="shared" si="1"/>
        <v>349.8861523418783</v>
      </c>
      <c r="J52" s="6">
        <f t="shared" si="5"/>
        <v>349.8861523418783</v>
      </c>
      <c r="K52" s="5">
        <f t="shared" si="2"/>
        <v>165023.01</v>
      </c>
      <c r="L52" s="4">
        <f t="shared" si="3"/>
        <v>0</v>
      </c>
      <c r="M52" s="2" cm="1">
        <f t="array" ref="M52">SUMPRODUCT(--($L$6:$L$300&lt;&gt;1),--($C$6:$C$300=$C52),$H$6:$H$300)/SUMPRODUCT(--($L$6:$L$300&lt;&gt;1),--($C$6:$C$300=$C52),$E$6:$E$300)</f>
        <v>287.03377317139848</v>
      </c>
      <c r="N52" s="1" cm="1">
        <f t="array" ref="N52">SUMPRODUCT(--($L$6:$L$300&lt;&gt;1),--($C$6:$C$300=$C52))</f>
        <v>20</v>
      </c>
      <c r="O52" s="3">
        <f t="shared" si="6"/>
        <v>3950.4215673897656</v>
      </c>
      <c r="P52" s="2" cm="1">
        <f t="array" ref="P52">SQRT(SUMPRODUCT(--($L$6:$L$300&lt;&gt;1),--($C$6:$C$300=$C52),$E$6:$E$300,$O$6:$O$300)/((N52-1)*SUMPRODUCT(--($L$6:$L$300&lt;&gt;1),--($C$6:$C$300=$C52),$E$6:$E$300)/N52))</f>
        <v>125.75406726649182</v>
      </c>
      <c r="Q52" s="2">
        <f t="shared" si="4"/>
        <v>125.87345139242487</v>
      </c>
      <c r="R52" s="2">
        <f t="shared" si="4"/>
        <v>448.19409495037212</v>
      </c>
      <c r="S52" s="2">
        <f t="shared" si="7"/>
        <v>349.8861523418783</v>
      </c>
    </row>
    <row r="53" spans="2:19" x14ac:dyDescent="0.25">
      <c r="B53" s="10">
        <v>696</v>
      </c>
      <c r="C53" s="10">
        <v>5</v>
      </c>
      <c r="D53" s="9" t="s">
        <v>110</v>
      </c>
      <c r="E53" s="154">
        <f>INDEX('Revised 2018 Lockdown'!H$5:H$253,MATCH(B53,'Revised 2018 Lockdown'!B$5:B$253,0))</f>
        <v>295.10104095842627</v>
      </c>
      <c r="F53" s="7">
        <f>INDEX('Revised 2018 Lockdown'!E$5:E$253,MATCH(B53,'Revised 2018 Lockdown'!B$5:B$253,0))</f>
        <v>126909.24</v>
      </c>
      <c r="G53" s="7">
        <f>INDEX('Revised 2018 Lockdown'!F$5:F$253,MATCH(B53,'Revised 2018 Lockdown'!B$5:B$253,0))</f>
        <v>38.94</v>
      </c>
      <c r="H53" s="7">
        <f t="shared" si="0"/>
        <v>126870.3</v>
      </c>
      <c r="I53" s="6">
        <f t="shared" si="1"/>
        <v>429.92156038471393</v>
      </c>
      <c r="J53" s="6">
        <f t="shared" si="5"/>
        <v>429.92156038471393</v>
      </c>
      <c r="K53" s="5">
        <f t="shared" si="2"/>
        <v>126870.3</v>
      </c>
      <c r="L53" s="4">
        <f t="shared" si="3"/>
        <v>0</v>
      </c>
      <c r="M53" s="2" cm="1">
        <f t="array" ref="M53">SUMPRODUCT(--($L$6:$L$300&lt;&gt;1),--($C$6:$C$300=$C53),$H$6:$H$300)/SUMPRODUCT(--($L$6:$L$300&lt;&gt;1),--($C$6:$C$300=$C53),$E$6:$E$300)</f>
        <v>287.03377317139848</v>
      </c>
      <c r="N53" s="1" cm="1">
        <f t="array" ref="N53">SUMPRODUCT(--($L$6:$L$300&lt;&gt;1),--($C$6:$C$300=$C53))</f>
        <v>20</v>
      </c>
      <c r="O53" s="3">
        <f t="shared" si="6"/>
        <v>20416.919734717714</v>
      </c>
      <c r="P53" s="2" cm="1">
        <f t="array" ref="P53">SQRT(SUMPRODUCT(--($L$6:$L$300&lt;&gt;1),--($C$6:$C$300=$C53),$E$6:$E$300,$O$6:$O$300)/((N53-1)*SUMPRODUCT(--($L$6:$L$300&lt;&gt;1),--($C$6:$C$300=$C53),$E$6:$E$300)/N53))</f>
        <v>125.75406726649182</v>
      </c>
      <c r="Q53" s="2">
        <f t="shared" si="4"/>
        <v>125.87345139242487</v>
      </c>
      <c r="R53" s="2">
        <f t="shared" si="4"/>
        <v>448.19409495037212</v>
      </c>
      <c r="S53" s="2">
        <f t="shared" si="7"/>
        <v>429.92156038471393</v>
      </c>
    </row>
    <row r="54" spans="2:19" x14ac:dyDescent="0.25">
      <c r="B54" s="10">
        <v>731</v>
      </c>
      <c r="C54" s="10">
        <v>5</v>
      </c>
      <c r="D54" s="9" t="s">
        <v>111</v>
      </c>
      <c r="E54" s="154">
        <f>INDEX('Revised 2018 Lockdown'!H$5:H$253,MATCH(B54,'Revised 2018 Lockdown'!B$5:B$253,0))</f>
        <v>859.8900000000001</v>
      </c>
      <c r="F54" s="7">
        <f>INDEX('Revised 2018 Lockdown'!E$5:E$253,MATCH(B54,'Revised 2018 Lockdown'!B$5:B$253,0))</f>
        <v>225089.16</v>
      </c>
      <c r="G54" s="7">
        <f>INDEX('Revised 2018 Lockdown'!F$5:F$253,MATCH(B54,'Revised 2018 Lockdown'!B$5:B$253,0))</f>
        <v>35311</v>
      </c>
      <c r="H54" s="7">
        <f t="shared" si="0"/>
        <v>189778.16</v>
      </c>
      <c r="I54" s="6">
        <f t="shared" si="1"/>
        <v>220.70050820453775</v>
      </c>
      <c r="J54" s="6">
        <f t="shared" si="5"/>
        <v>220.70050820453775</v>
      </c>
      <c r="K54" s="5">
        <f t="shared" si="2"/>
        <v>189778.16</v>
      </c>
      <c r="L54" s="4">
        <f t="shared" si="3"/>
        <v>0</v>
      </c>
      <c r="M54" s="2" cm="1">
        <f t="array" ref="M54">SUMPRODUCT(--($L$6:$L$300&lt;&gt;1),--($C$6:$C$300=$C54),$H$6:$H$300)/SUMPRODUCT(--($L$6:$L$300&lt;&gt;1),--($C$6:$C$300=$C54),$E$6:$E$300)</f>
        <v>287.03377317139848</v>
      </c>
      <c r="N54" s="1" cm="1">
        <f t="array" ref="N54">SUMPRODUCT(--($L$6:$L$300&lt;&gt;1),--($C$6:$C$300=$C54))</f>
        <v>20</v>
      </c>
      <c r="O54" s="3">
        <f t="shared" si="6"/>
        <v>4400.1020411637519</v>
      </c>
      <c r="P54" s="2" cm="1">
        <f t="array" ref="P54">SQRT(SUMPRODUCT(--($L$6:$L$300&lt;&gt;1),--($C$6:$C$300=$C54),$E$6:$E$300,$O$6:$O$300)/((N54-1)*SUMPRODUCT(--($L$6:$L$300&lt;&gt;1),--($C$6:$C$300=$C54),$E$6:$E$300)/N54))</f>
        <v>125.75406726649182</v>
      </c>
      <c r="Q54" s="2">
        <f t="shared" si="4"/>
        <v>125.87345139242487</v>
      </c>
      <c r="R54" s="2">
        <f t="shared" si="4"/>
        <v>448.19409495037212</v>
      </c>
      <c r="S54" s="2">
        <f t="shared" si="7"/>
        <v>220.70050820453775</v>
      </c>
    </row>
    <row r="55" spans="2:19" x14ac:dyDescent="0.25">
      <c r="B55" s="10">
        <v>732</v>
      </c>
      <c r="C55" s="10">
        <v>5</v>
      </c>
      <c r="D55" s="9" t="s">
        <v>112</v>
      </c>
      <c r="E55" s="154">
        <f>INDEX('Revised 2018 Lockdown'!H$5:H$253,MATCH(B55,'Revised 2018 Lockdown'!B$5:B$253,0))</f>
        <v>215.10540422039867</v>
      </c>
      <c r="F55" s="7">
        <f>INDEX('Revised 2018 Lockdown'!E$5:E$253,MATCH(B55,'Revised 2018 Lockdown'!B$5:B$253,0))</f>
        <v>69856.94</v>
      </c>
      <c r="G55" s="7">
        <f>INDEX('Revised 2018 Lockdown'!F$5:F$253,MATCH(B55,'Revised 2018 Lockdown'!B$5:B$253,0))</f>
        <v>0</v>
      </c>
      <c r="H55" s="7">
        <f t="shared" si="0"/>
        <v>69856.94</v>
      </c>
      <c r="I55" s="6">
        <f t="shared" si="1"/>
        <v>324.75678727450304</v>
      </c>
      <c r="J55" s="6">
        <f t="shared" si="5"/>
        <v>324.75678727450304</v>
      </c>
      <c r="K55" s="5">
        <f t="shared" si="2"/>
        <v>69856.94</v>
      </c>
      <c r="L55" s="4">
        <f t="shared" si="3"/>
        <v>0</v>
      </c>
      <c r="M55" s="2" cm="1">
        <f t="array" ref="M55">SUMPRODUCT(--($L$6:$L$300&lt;&gt;1),--($C$6:$C$300=$C55),$H$6:$H$300)/SUMPRODUCT(--($L$6:$L$300&lt;&gt;1),--($C$6:$C$300=$C55),$E$6:$E$300)</f>
        <v>287.03377317139848</v>
      </c>
      <c r="N55" s="1" cm="1">
        <f t="array" ref="N55">SUMPRODUCT(--($L$6:$L$300&lt;&gt;1),--($C$6:$C$300=$C55))</f>
        <v>20</v>
      </c>
      <c r="O55" s="3">
        <f t="shared" si="6"/>
        <v>1423.0257930230255</v>
      </c>
      <c r="P55" s="2" cm="1">
        <f t="array" ref="P55">SQRT(SUMPRODUCT(--($L$6:$L$300&lt;&gt;1),--($C$6:$C$300=$C55),$E$6:$E$300,$O$6:$O$300)/((N55-1)*SUMPRODUCT(--($L$6:$L$300&lt;&gt;1),--($C$6:$C$300=$C55),$E$6:$E$300)/N55))</f>
        <v>125.75406726649182</v>
      </c>
      <c r="Q55" s="2">
        <f t="shared" si="4"/>
        <v>125.87345139242487</v>
      </c>
      <c r="R55" s="2">
        <f t="shared" si="4"/>
        <v>448.19409495037212</v>
      </c>
      <c r="S55" s="2">
        <f t="shared" si="7"/>
        <v>324.75678727450304</v>
      </c>
    </row>
    <row r="56" spans="2:19" x14ac:dyDescent="0.25">
      <c r="B56" s="10">
        <v>754</v>
      </c>
      <c r="C56" s="10">
        <v>5</v>
      </c>
      <c r="D56" s="9" t="s">
        <v>113</v>
      </c>
      <c r="E56" s="154">
        <f>INDEX('Revised 2018 Lockdown'!H$5:H$253,MATCH(B56,'Revised 2018 Lockdown'!B$5:B$253,0))</f>
        <v>114.00956480658041</v>
      </c>
      <c r="F56" s="7">
        <f>INDEX('Revised 2018 Lockdown'!E$5:E$253,MATCH(B56,'Revised 2018 Lockdown'!B$5:B$253,0))</f>
        <v>34950.230000000003</v>
      </c>
      <c r="G56" s="7">
        <f>INDEX('Revised 2018 Lockdown'!F$5:F$253,MATCH(B56,'Revised 2018 Lockdown'!B$5:B$253,0))</f>
        <v>0</v>
      </c>
      <c r="H56" s="7">
        <f t="shared" si="0"/>
        <v>34950.230000000003</v>
      </c>
      <c r="I56" s="6">
        <f t="shared" si="1"/>
        <v>306.55524437176643</v>
      </c>
      <c r="J56" s="6">
        <f t="shared" si="5"/>
        <v>306.55524437176643</v>
      </c>
      <c r="K56" s="5">
        <f t="shared" si="2"/>
        <v>34950.230000000003</v>
      </c>
      <c r="L56" s="4">
        <f t="shared" si="3"/>
        <v>0</v>
      </c>
      <c r="M56" s="2" cm="1">
        <f t="array" ref="M56">SUMPRODUCT(--($L$6:$L$300&lt;&gt;1),--($C$6:$C$300=$C56),$H$6:$H$300)/SUMPRODUCT(--($L$6:$L$300&lt;&gt;1),--($C$6:$C$300=$C56),$E$6:$E$300)</f>
        <v>287.03377317139848</v>
      </c>
      <c r="N56" s="1" cm="1">
        <f t="array" ref="N56">SUMPRODUCT(--($L$6:$L$300&lt;&gt;1),--($C$6:$C$300=$C56))</f>
        <v>20</v>
      </c>
      <c r="O56" s="3">
        <f t="shared" si="6"/>
        <v>381.08783782679546</v>
      </c>
      <c r="P56" s="2" cm="1">
        <f t="array" ref="P56">SQRT(SUMPRODUCT(--($L$6:$L$300&lt;&gt;1),--($C$6:$C$300=$C56),$E$6:$E$300,$O$6:$O$300)/((N56-1)*SUMPRODUCT(--($L$6:$L$300&lt;&gt;1),--($C$6:$C$300=$C56),$E$6:$E$300)/N56))</f>
        <v>125.75406726649182</v>
      </c>
      <c r="Q56" s="2">
        <f t="shared" si="4"/>
        <v>125.87345139242487</v>
      </c>
      <c r="R56" s="2">
        <f t="shared" si="4"/>
        <v>448.19409495037212</v>
      </c>
      <c r="S56" s="2">
        <f t="shared" si="7"/>
        <v>306.55524437176643</v>
      </c>
    </row>
    <row r="57" spans="2:19" x14ac:dyDescent="0.25">
      <c r="B57" s="10">
        <v>885</v>
      </c>
      <c r="C57" s="10">
        <v>5</v>
      </c>
      <c r="D57" s="9" t="s">
        <v>114</v>
      </c>
      <c r="E57" s="154">
        <f>INDEX('Revised 2018 Lockdown'!H$5:H$253,MATCH(B57,'Revised 2018 Lockdown'!B$5:B$253,0))</f>
        <v>442.95</v>
      </c>
      <c r="F57" s="7">
        <f>INDEX('Revised 2018 Lockdown'!E$5:E$253,MATCH(B57,'Revised 2018 Lockdown'!B$5:B$253,0))</f>
        <v>145965.66</v>
      </c>
      <c r="G57" s="7">
        <f>INDEX('Revised 2018 Lockdown'!F$5:F$253,MATCH(B57,'Revised 2018 Lockdown'!B$5:B$253,0))</f>
        <v>61071.180000000008</v>
      </c>
      <c r="H57" s="7">
        <f t="shared" si="0"/>
        <v>84894.48</v>
      </c>
      <c r="I57" s="6">
        <f t="shared" si="1"/>
        <v>191.65702675245512</v>
      </c>
      <c r="J57" s="6">
        <f t="shared" si="5"/>
        <v>191.65702675245512</v>
      </c>
      <c r="K57" s="5">
        <f t="shared" si="2"/>
        <v>84894.48</v>
      </c>
      <c r="L57" s="4">
        <f t="shared" si="3"/>
        <v>0</v>
      </c>
      <c r="M57" s="2" cm="1">
        <f t="array" ref="M57">SUMPRODUCT(--($L$6:$L$300&lt;&gt;1),--($C$6:$C$300=$C57),$H$6:$H$300)/SUMPRODUCT(--($L$6:$L$300&lt;&gt;1),--($C$6:$C$300=$C57),$E$6:$E$300)</f>
        <v>287.03377317139848</v>
      </c>
      <c r="N57" s="1" cm="1">
        <f t="array" ref="N57">SUMPRODUCT(--($L$6:$L$300&lt;&gt;1),--($C$6:$C$300=$C57))</f>
        <v>20</v>
      </c>
      <c r="O57" s="3">
        <f t="shared" si="6"/>
        <v>9096.7237574634237</v>
      </c>
      <c r="P57" s="2" cm="1">
        <f t="array" ref="P57">SQRT(SUMPRODUCT(--($L$6:$L$300&lt;&gt;1),--($C$6:$C$300=$C57),$E$6:$E$300,$O$6:$O$300)/((N57-1)*SUMPRODUCT(--($L$6:$L$300&lt;&gt;1),--($C$6:$C$300=$C57),$E$6:$E$300)/N57))</f>
        <v>125.75406726649182</v>
      </c>
      <c r="Q57" s="2">
        <f t="shared" si="4"/>
        <v>125.87345139242487</v>
      </c>
      <c r="R57" s="2">
        <f t="shared" si="4"/>
        <v>448.19409495037212</v>
      </c>
      <c r="S57" s="2">
        <f t="shared" si="7"/>
        <v>191.65702675245512</v>
      </c>
    </row>
    <row r="58" spans="2:19" x14ac:dyDescent="0.25">
      <c r="B58" s="10">
        <v>909</v>
      </c>
      <c r="C58" s="10">
        <v>5</v>
      </c>
      <c r="D58" s="9" t="s">
        <v>115</v>
      </c>
      <c r="E58" s="154">
        <f>INDEX('Revised 2018 Lockdown'!H$5:H$253,MATCH(B58,'Revised 2018 Lockdown'!B$5:B$253,0))</f>
        <v>496.92000000000007</v>
      </c>
      <c r="F58" s="7">
        <f>INDEX('Revised 2018 Lockdown'!E$5:E$253,MATCH(B58,'Revised 2018 Lockdown'!B$5:B$253,0))</f>
        <v>238013.06</v>
      </c>
      <c r="G58" s="7">
        <f>INDEX('Revised 2018 Lockdown'!F$5:F$253,MATCH(B58,'Revised 2018 Lockdown'!B$5:B$253,0))</f>
        <v>67250.02</v>
      </c>
      <c r="H58" s="7">
        <f t="shared" si="0"/>
        <v>170763.03999999998</v>
      </c>
      <c r="I58" s="6">
        <f t="shared" si="1"/>
        <v>343.64292038959985</v>
      </c>
      <c r="J58" s="6">
        <f t="shared" si="5"/>
        <v>343.64292038959985</v>
      </c>
      <c r="K58" s="5">
        <f t="shared" si="2"/>
        <v>170763.03999999998</v>
      </c>
      <c r="L58" s="4">
        <f t="shared" si="3"/>
        <v>0</v>
      </c>
      <c r="M58" s="2" cm="1">
        <f t="array" ref="M58">SUMPRODUCT(--($L$6:$L$300&lt;&gt;1),--($C$6:$C$300=$C58),$H$6:$H$300)/SUMPRODUCT(--($L$6:$L$300&lt;&gt;1),--($C$6:$C$300=$C58),$E$6:$E$300)</f>
        <v>287.03377317139848</v>
      </c>
      <c r="N58" s="1" cm="1">
        <f t="array" ref="N58">SUMPRODUCT(--($L$6:$L$300&lt;&gt;1),--($C$6:$C$300=$C58))</f>
        <v>20</v>
      </c>
      <c r="O58" s="3">
        <f t="shared" si="6"/>
        <v>3204.5955487719962</v>
      </c>
      <c r="P58" s="2" cm="1">
        <f t="array" ref="P58">SQRT(SUMPRODUCT(--($L$6:$L$300&lt;&gt;1),--($C$6:$C$300=$C58),$E$6:$E$300,$O$6:$O$300)/((N58-1)*SUMPRODUCT(--($L$6:$L$300&lt;&gt;1),--($C$6:$C$300=$C58),$E$6:$E$300)/N58))</f>
        <v>125.75406726649182</v>
      </c>
      <c r="Q58" s="2">
        <f t="shared" si="4"/>
        <v>125.87345139242487</v>
      </c>
      <c r="R58" s="2">
        <f t="shared" si="4"/>
        <v>448.19409495037212</v>
      </c>
      <c r="S58" s="2">
        <f t="shared" si="7"/>
        <v>343.64292038959985</v>
      </c>
    </row>
    <row r="59" spans="2:19" x14ac:dyDescent="0.25">
      <c r="B59" s="10">
        <v>923</v>
      </c>
      <c r="C59" s="10">
        <v>5</v>
      </c>
      <c r="D59" s="9" t="s">
        <v>116</v>
      </c>
      <c r="E59" s="154">
        <f>INDEX('Revised 2018 Lockdown'!H$5:H$253,MATCH(B59,'Revised 2018 Lockdown'!B$5:B$253,0))</f>
        <v>49.064782259954448</v>
      </c>
      <c r="F59" s="7">
        <f>INDEX('Revised 2018 Lockdown'!E$5:E$253,MATCH(B59,'Revised 2018 Lockdown'!B$5:B$253,0))</f>
        <v>30138.59</v>
      </c>
      <c r="G59" s="7">
        <f>INDEX('Revised 2018 Lockdown'!F$5:F$253,MATCH(B59,'Revised 2018 Lockdown'!B$5:B$253,0))</f>
        <v>156</v>
      </c>
      <c r="H59" s="7">
        <f t="shared" si="0"/>
        <v>29982.59</v>
      </c>
      <c r="I59" s="6">
        <f t="shared" si="1"/>
        <v>611.0816887181237</v>
      </c>
      <c r="J59" s="6">
        <f t="shared" si="5"/>
        <v>448.19409495037212</v>
      </c>
      <c r="K59" s="5">
        <f t="shared" si="2"/>
        <v>21990.545678937357</v>
      </c>
      <c r="L59" s="4">
        <f t="shared" si="3"/>
        <v>0</v>
      </c>
      <c r="M59" s="2" cm="1">
        <f t="array" ref="M59">SUMPRODUCT(--($L$6:$L$300&lt;&gt;1),--($C$6:$C$300=$C59),$H$6:$H$300)/SUMPRODUCT(--($L$6:$L$300&lt;&gt;1),--($C$6:$C$300=$C59),$E$6:$E$300)</f>
        <v>287.03377317139848</v>
      </c>
      <c r="N59" s="1" cm="1">
        <f t="array" ref="N59">SUMPRODUCT(--($L$6:$L$300&lt;&gt;1),--($C$6:$C$300=$C59))</f>
        <v>20</v>
      </c>
      <c r="O59" s="3">
        <f t="shared" si="6"/>
        <v>105007.05157017756</v>
      </c>
      <c r="P59" s="2" cm="1">
        <f t="array" ref="P59">SQRT(SUMPRODUCT(--($L$6:$L$300&lt;&gt;1),--($C$6:$C$300=$C59),$E$6:$E$300,$O$6:$O$300)/((N59-1)*SUMPRODUCT(--($L$6:$L$300&lt;&gt;1),--($C$6:$C$300=$C59),$E$6:$E$300)/N59))</f>
        <v>125.75406726649182</v>
      </c>
      <c r="Q59" s="2">
        <f t="shared" si="4"/>
        <v>125.87345139242487</v>
      </c>
      <c r="R59" s="2">
        <f t="shared" si="4"/>
        <v>448.19409495037212</v>
      </c>
      <c r="S59" s="2">
        <f t="shared" si="7"/>
        <v>448.19409495037212</v>
      </c>
    </row>
    <row r="60" spans="2:19" x14ac:dyDescent="0.25">
      <c r="B60" s="10">
        <v>394</v>
      </c>
      <c r="C60" s="10">
        <v>6</v>
      </c>
      <c r="D60" s="9" t="s">
        <v>117</v>
      </c>
      <c r="E60" s="154">
        <f>INDEX('Revised 2018 Lockdown'!H$5:H$253,MATCH(B60,'Revised 2018 Lockdown'!B$5:B$253,0))</f>
        <v>634.74</v>
      </c>
      <c r="F60" s="7">
        <f>INDEX('Revised 2018 Lockdown'!E$5:E$253,MATCH(B60,'Revised 2018 Lockdown'!B$5:B$253,0))</f>
        <v>378356.65</v>
      </c>
      <c r="G60" s="7">
        <f>INDEX('Revised 2018 Lockdown'!F$5:F$253,MATCH(B60,'Revised 2018 Lockdown'!B$5:B$253,0))</f>
        <v>36610</v>
      </c>
      <c r="H60" s="7">
        <f t="shared" si="0"/>
        <v>341746.65</v>
      </c>
      <c r="I60" s="6">
        <f t="shared" si="1"/>
        <v>538.40414973059842</v>
      </c>
      <c r="J60" s="6">
        <f t="shared" si="5"/>
        <v>538.40414973059842</v>
      </c>
      <c r="K60" s="5">
        <f t="shared" si="2"/>
        <v>341746.65</v>
      </c>
      <c r="L60" s="4">
        <f t="shared" si="3"/>
        <v>0</v>
      </c>
      <c r="M60" s="2" cm="1">
        <f t="array" ref="M60">SUMPRODUCT(--($L$6:$L$300&lt;&gt;1),--($C$6:$C$300=$C60),$H$6:$H$300)/SUMPRODUCT(--($L$6:$L$300&lt;&gt;1),--($C$6:$C$300=$C60),$E$6:$E$300)</f>
        <v>702.65297849110493</v>
      </c>
      <c r="N60" s="1" cm="1">
        <f t="array" ref="N60">SUMPRODUCT(--($L$6:$L$300&lt;&gt;1),--($C$6:$C$300=$C60))</f>
        <v>47</v>
      </c>
      <c r="O60" s="3">
        <f t="shared" si="6"/>
        <v>26977.677749198192</v>
      </c>
      <c r="P60" s="2" cm="1">
        <f t="array" ref="P60">SQRT(SUMPRODUCT(--($L$6:$L$300&lt;&gt;1),--($C$6:$C$300=$C60),$E$6:$E$300,$O$6:$O$300)/((N60-1)*SUMPRODUCT(--($L$6:$L$300&lt;&gt;1),--($C$6:$C$300=$C60),$E$6:$E$300)/N60))</f>
        <v>457.11495283691704</v>
      </c>
      <c r="Q60" s="2">
        <f t="shared" si="4"/>
        <v>116.83659504910759</v>
      </c>
      <c r="R60" s="2">
        <f t="shared" si="4"/>
        <v>1288.4693619331024</v>
      </c>
      <c r="S60" s="2">
        <f t="shared" si="7"/>
        <v>538.40414973059842</v>
      </c>
    </row>
    <row r="61" spans="2:19" x14ac:dyDescent="0.25">
      <c r="B61" s="10">
        <v>414</v>
      </c>
      <c r="C61" s="10">
        <v>6</v>
      </c>
      <c r="D61" s="9" t="s">
        <v>118</v>
      </c>
      <c r="E61" s="154">
        <f>INDEX('Revised 2018 Lockdown'!H$5:H$253,MATCH(B61,'Revised 2018 Lockdown'!B$5:B$253,0))</f>
        <v>248.32677336420244</v>
      </c>
      <c r="F61" s="7">
        <f>INDEX('Revised 2018 Lockdown'!E$5:E$253,MATCH(B61,'Revised 2018 Lockdown'!B$5:B$253,0))</f>
        <v>291185.07</v>
      </c>
      <c r="G61" s="7">
        <f>INDEX('Revised 2018 Lockdown'!F$5:F$253,MATCH(B61,'Revised 2018 Lockdown'!B$5:B$253,0))</f>
        <v>10663.29</v>
      </c>
      <c r="H61" s="7">
        <f t="shared" si="0"/>
        <v>280521.78000000003</v>
      </c>
      <c r="I61" s="6">
        <f t="shared" si="1"/>
        <v>1129.6477467960315</v>
      </c>
      <c r="J61" s="6">
        <f t="shared" si="5"/>
        <v>1129.6477467960315</v>
      </c>
      <c r="K61" s="5">
        <f t="shared" si="2"/>
        <v>280521.78000000003</v>
      </c>
      <c r="L61" s="4">
        <f t="shared" si="3"/>
        <v>0</v>
      </c>
      <c r="M61" s="2" cm="1">
        <f t="array" ref="M61">SUMPRODUCT(--($L$6:$L$300&lt;&gt;1),--($C$6:$C$300=$C61),$H$6:$H$300)/SUMPRODUCT(--($L$6:$L$300&lt;&gt;1),--($C$6:$C$300=$C61),$E$6:$E$300)</f>
        <v>702.65297849110493</v>
      </c>
      <c r="N61" s="1" cm="1">
        <f t="array" ref="N61">SUMPRODUCT(--($L$6:$L$300&lt;&gt;1),--($C$6:$C$300=$C61))</f>
        <v>47</v>
      </c>
      <c r="O61" s="3">
        <f t="shared" si="6"/>
        <v>182324.53215977791</v>
      </c>
      <c r="P61" s="2" cm="1">
        <f t="array" ref="P61">SQRT(SUMPRODUCT(--($L$6:$L$300&lt;&gt;1),--($C$6:$C$300=$C61),$E$6:$E$300,$O$6:$O$300)/((N61-1)*SUMPRODUCT(--($L$6:$L$300&lt;&gt;1),--($C$6:$C$300=$C61),$E$6:$E$300)/N61))</f>
        <v>457.11495283691704</v>
      </c>
      <c r="Q61" s="2">
        <f t="shared" si="4"/>
        <v>116.83659504910759</v>
      </c>
      <c r="R61" s="2">
        <f t="shared" si="4"/>
        <v>1288.4693619331024</v>
      </c>
      <c r="S61" s="2">
        <f t="shared" si="7"/>
        <v>1129.6477467960315</v>
      </c>
    </row>
    <row r="62" spans="2:19" x14ac:dyDescent="0.25">
      <c r="B62" s="10">
        <v>426</v>
      </c>
      <c r="C62" s="10">
        <v>6</v>
      </c>
      <c r="D62" s="9" t="s">
        <v>119</v>
      </c>
      <c r="E62" s="154">
        <f>INDEX('Revised 2018 Lockdown'!H$5:H$253,MATCH(B62,'Revised 2018 Lockdown'!B$5:B$253,0))</f>
        <v>398.46987658571351</v>
      </c>
      <c r="F62" s="7">
        <f>INDEX('Revised 2018 Lockdown'!E$5:E$253,MATCH(B62,'Revised 2018 Lockdown'!B$5:B$253,0))</f>
        <v>147683.84</v>
      </c>
      <c r="G62" s="7">
        <f>INDEX('Revised 2018 Lockdown'!F$5:F$253,MATCH(B62,'Revised 2018 Lockdown'!B$5:B$253,0))</f>
        <v>0</v>
      </c>
      <c r="H62" s="7">
        <f t="shared" si="0"/>
        <v>147683.84</v>
      </c>
      <c r="I62" s="6">
        <f t="shared" si="1"/>
        <v>370.62736401915248</v>
      </c>
      <c r="J62" s="6">
        <f t="shared" si="5"/>
        <v>370.62736401915248</v>
      </c>
      <c r="K62" s="5">
        <f t="shared" si="2"/>
        <v>147683.84</v>
      </c>
      <c r="L62" s="4">
        <f t="shared" si="3"/>
        <v>0</v>
      </c>
      <c r="M62" s="2" cm="1">
        <f t="array" ref="M62">SUMPRODUCT(--($L$6:$L$300&lt;&gt;1),--($C$6:$C$300=$C62),$H$6:$H$300)/SUMPRODUCT(--($L$6:$L$300&lt;&gt;1),--($C$6:$C$300=$C62),$E$6:$E$300)</f>
        <v>702.65297849110493</v>
      </c>
      <c r="N62" s="1" cm="1">
        <f t="array" ref="N62">SUMPRODUCT(--($L$6:$L$300&lt;&gt;1),--($C$6:$C$300=$C62))</f>
        <v>47</v>
      </c>
      <c r="O62" s="3">
        <f t="shared" si="6"/>
        <v>110241.0086654776</v>
      </c>
      <c r="P62" s="2" cm="1">
        <f t="array" ref="P62">SQRT(SUMPRODUCT(--($L$6:$L$300&lt;&gt;1),--($C$6:$C$300=$C62),$E$6:$E$300,$O$6:$O$300)/((N62-1)*SUMPRODUCT(--($L$6:$L$300&lt;&gt;1),--($C$6:$C$300=$C62),$E$6:$E$300)/N62))</f>
        <v>457.11495283691704</v>
      </c>
      <c r="Q62" s="2">
        <f t="shared" si="4"/>
        <v>116.83659504910759</v>
      </c>
      <c r="R62" s="2">
        <f t="shared" si="4"/>
        <v>1288.4693619331024</v>
      </c>
      <c r="S62" s="2">
        <f t="shared" si="7"/>
        <v>370.62736401915248</v>
      </c>
    </row>
    <row r="63" spans="2:19" x14ac:dyDescent="0.25">
      <c r="B63" s="10">
        <v>430</v>
      </c>
      <c r="C63" s="10">
        <v>6</v>
      </c>
      <c r="D63" s="9" t="s">
        <v>120</v>
      </c>
      <c r="E63" s="154">
        <f>INDEX('Revised 2018 Lockdown'!H$5:H$253,MATCH(B63,'Revised 2018 Lockdown'!B$5:B$253,0))</f>
        <v>2885.2977142676095</v>
      </c>
      <c r="F63" s="7">
        <f>INDEX('Revised 2018 Lockdown'!E$5:E$253,MATCH(B63,'Revised 2018 Lockdown'!B$5:B$253,0))</f>
        <v>1674152.86</v>
      </c>
      <c r="G63" s="7">
        <f>INDEX('Revised 2018 Lockdown'!F$5:F$253,MATCH(B63,'Revised 2018 Lockdown'!B$5:B$253,0))</f>
        <v>100</v>
      </c>
      <c r="H63" s="7">
        <f t="shared" si="0"/>
        <v>1674052.86</v>
      </c>
      <c r="I63" s="6">
        <f t="shared" si="1"/>
        <v>580.20108348678116</v>
      </c>
      <c r="J63" s="6">
        <f t="shared" si="5"/>
        <v>580.20108348678116</v>
      </c>
      <c r="K63" s="5">
        <f t="shared" si="2"/>
        <v>1674052.86</v>
      </c>
      <c r="L63" s="4">
        <f t="shared" si="3"/>
        <v>0</v>
      </c>
      <c r="M63" s="2" cm="1">
        <f t="array" ref="M63">SUMPRODUCT(--($L$6:$L$300&lt;&gt;1),--($C$6:$C$300=$C63),$H$6:$H$300)/SUMPRODUCT(--($L$6:$L$300&lt;&gt;1),--($C$6:$C$300=$C63),$E$6:$E$300)</f>
        <v>702.65297849110493</v>
      </c>
      <c r="N63" s="1" cm="1">
        <f t="array" ref="N63">SUMPRODUCT(--($L$6:$L$300&lt;&gt;1),--($C$6:$C$300=$C63))</f>
        <v>47</v>
      </c>
      <c r="O63" s="3">
        <f t="shared" si="6"/>
        <v>14994.466590149934</v>
      </c>
      <c r="P63" s="2" cm="1">
        <f t="array" ref="P63">SQRT(SUMPRODUCT(--($L$6:$L$300&lt;&gt;1),--($C$6:$C$300=$C63),$E$6:$E$300,$O$6:$O$300)/((N63-1)*SUMPRODUCT(--($L$6:$L$300&lt;&gt;1),--($C$6:$C$300=$C63),$E$6:$E$300)/N63))</f>
        <v>457.11495283691704</v>
      </c>
      <c r="Q63" s="2">
        <f t="shared" si="4"/>
        <v>116.83659504910759</v>
      </c>
      <c r="R63" s="2">
        <f t="shared" si="4"/>
        <v>1288.4693619331024</v>
      </c>
      <c r="S63" s="2">
        <f t="shared" si="7"/>
        <v>580.20108348678116</v>
      </c>
    </row>
    <row r="64" spans="2:19" x14ac:dyDescent="0.25">
      <c r="B64" s="10">
        <v>443</v>
      </c>
      <c r="C64" s="10">
        <v>6</v>
      </c>
      <c r="D64" s="9" t="s">
        <v>121</v>
      </c>
      <c r="E64" s="154">
        <f>INDEX('Revised 2018 Lockdown'!H$5:H$253,MATCH(B64,'Revised 2018 Lockdown'!B$5:B$253,0))</f>
        <v>11.627319147048576</v>
      </c>
      <c r="F64" s="7">
        <f>INDEX('Revised 2018 Lockdown'!E$5:E$253,MATCH(B64,'Revised 2018 Lockdown'!B$5:B$253,0))</f>
        <v>15830.2</v>
      </c>
      <c r="G64" s="7">
        <f>INDEX('Revised 2018 Lockdown'!F$5:F$253,MATCH(B64,'Revised 2018 Lockdown'!B$5:B$253,0))</f>
        <v>0</v>
      </c>
      <c r="H64" s="7">
        <f t="shared" si="0"/>
        <v>15830.2</v>
      </c>
      <c r="I64" s="6">
        <f t="shared" si="1"/>
        <v>1361.4660266737637</v>
      </c>
      <c r="J64" s="6">
        <f t="shared" si="5"/>
        <v>1288.4693619331024</v>
      </c>
      <c r="K64" s="5">
        <f t="shared" si="2"/>
        <v>14981.444482390223</v>
      </c>
      <c r="L64" s="4">
        <f t="shared" si="3"/>
        <v>0</v>
      </c>
      <c r="M64" s="2" cm="1">
        <f t="array" ref="M64">SUMPRODUCT(--($L$6:$L$300&lt;&gt;1),--($C$6:$C$300=$C64),$H$6:$H$300)/SUMPRODUCT(--($L$6:$L$300&lt;&gt;1),--($C$6:$C$300=$C64),$E$6:$E$300)</f>
        <v>702.65297849110493</v>
      </c>
      <c r="N64" s="1" cm="1">
        <f t="array" ref="N64">SUMPRODUCT(--($L$6:$L$300&lt;&gt;1),--($C$6:$C$300=$C64))</f>
        <v>47</v>
      </c>
      <c r="O64" s="3">
        <f t="shared" si="6"/>
        <v>434034.63245572633</v>
      </c>
      <c r="P64" s="2" cm="1">
        <f t="array" ref="P64">SQRT(SUMPRODUCT(--($L$6:$L$300&lt;&gt;1),--($C$6:$C$300=$C64),$E$6:$E$300,$O$6:$O$300)/((N64-1)*SUMPRODUCT(--($L$6:$L$300&lt;&gt;1),--($C$6:$C$300=$C64),$E$6:$E$300)/N64))</f>
        <v>457.11495283691704</v>
      </c>
      <c r="Q64" s="2">
        <f t="shared" si="4"/>
        <v>116.83659504910759</v>
      </c>
      <c r="R64" s="2">
        <f t="shared" si="4"/>
        <v>1288.4693619331024</v>
      </c>
      <c r="S64" s="2">
        <f t="shared" si="7"/>
        <v>1288.4693619331024</v>
      </c>
    </row>
    <row r="65" spans="2:19" x14ac:dyDescent="0.25">
      <c r="B65" s="10">
        <v>562</v>
      </c>
      <c r="C65" s="10">
        <v>6</v>
      </c>
      <c r="D65" s="9" t="s">
        <v>122</v>
      </c>
      <c r="E65" s="154">
        <f>INDEX('Revised 2018 Lockdown'!H$5:H$253,MATCH(B65,'Revised 2018 Lockdown'!B$5:B$253,0))</f>
        <v>55.566474597654711</v>
      </c>
      <c r="F65" s="7">
        <f>INDEX('Revised 2018 Lockdown'!E$5:E$253,MATCH(B65,'Revised 2018 Lockdown'!B$5:B$253,0))</f>
        <v>47597.599999999999</v>
      </c>
      <c r="G65" s="7">
        <f>INDEX('Revised 2018 Lockdown'!F$5:F$253,MATCH(B65,'Revised 2018 Lockdown'!B$5:B$253,0))</f>
        <v>0</v>
      </c>
      <c r="H65" s="7">
        <f t="shared" si="0"/>
        <v>47597.599999999999</v>
      </c>
      <c r="I65" s="6">
        <f t="shared" si="1"/>
        <v>856.58844374497971</v>
      </c>
      <c r="J65" s="6">
        <f t="shared" si="5"/>
        <v>856.58844374497971</v>
      </c>
      <c r="K65" s="5">
        <f t="shared" si="2"/>
        <v>47597.599999999999</v>
      </c>
      <c r="L65" s="4">
        <f t="shared" si="3"/>
        <v>0</v>
      </c>
      <c r="M65" s="2" cm="1">
        <f t="array" ref="M65">SUMPRODUCT(--($L$6:$L$300&lt;&gt;1),--($C$6:$C$300=$C65),$H$6:$H$300)/SUMPRODUCT(--($L$6:$L$300&lt;&gt;1),--($C$6:$C$300=$C65),$E$6:$E$300)</f>
        <v>702.65297849110493</v>
      </c>
      <c r="N65" s="1" cm="1">
        <f t="array" ref="N65">SUMPRODUCT(--($L$6:$L$300&lt;&gt;1),--($C$6:$C$300=$C65))</f>
        <v>47</v>
      </c>
      <c r="O65" s="3">
        <f t="shared" si="6"/>
        <v>23696.127462926892</v>
      </c>
      <c r="P65" s="2" cm="1">
        <f t="array" ref="P65">SQRT(SUMPRODUCT(--($L$6:$L$300&lt;&gt;1),--($C$6:$C$300=$C65),$E$6:$E$300,$O$6:$O$300)/((N65-1)*SUMPRODUCT(--($L$6:$L$300&lt;&gt;1),--($C$6:$C$300=$C65),$E$6:$E$300)/N65))</f>
        <v>457.11495283691704</v>
      </c>
      <c r="Q65" s="2">
        <f t="shared" si="4"/>
        <v>116.83659504910759</v>
      </c>
      <c r="R65" s="2">
        <f t="shared" si="4"/>
        <v>1288.4693619331024</v>
      </c>
      <c r="S65" s="2">
        <f t="shared" si="7"/>
        <v>856.58844374497971</v>
      </c>
    </row>
    <row r="66" spans="2:19" x14ac:dyDescent="0.25">
      <c r="B66" s="10">
        <v>603</v>
      </c>
      <c r="C66" s="10">
        <v>6</v>
      </c>
      <c r="D66" s="9" t="s">
        <v>123</v>
      </c>
      <c r="E66" s="154">
        <f>INDEX('Revised 2018 Lockdown'!H$5:H$253,MATCH(B66,'Revised 2018 Lockdown'!B$5:B$253,0))</f>
        <v>109.56634963052151</v>
      </c>
      <c r="F66" s="7">
        <f>INDEX('Revised 2018 Lockdown'!E$5:E$253,MATCH(B66,'Revised 2018 Lockdown'!B$5:B$253,0))</f>
        <v>85628.45</v>
      </c>
      <c r="G66" s="7">
        <f>INDEX('Revised 2018 Lockdown'!F$5:F$253,MATCH(B66,'Revised 2018 Lockdown'!B$5:B$253,0))</f>
        <v>0</v>
      </c>
      <c r="H66" s="7">
        <f t="shared" si="0"/>
        <v>85628.45</v>
      </c>
      <c r="I66" s="6">
        <f t="shared" si="1"/>
        <v>781.52142778102359</v>
      </c>
      <c r="J66" s="6">
        <f t="shared" si="5"/>
        <v>781.52142778102359</v>
      </c>
      <c r="K66" s="5">
        <f t="shared" si="2"/>
        <v>85628.45</v>
      </c>
      <c r="L66" s="4">
        <f t="shared" si="3"/>
        <v>0</v>
      </c>
      <c r="M66" s="2" cm="1">
        <f t="array" ref="M66">SUMPRODUCT(--($L$6:$L$300&lt;&gt;1),--($C$6:$C$300=$C66),$H$6:$H$300)/SUMPRODUCT(--($L$6:$L$300&lt;&gt;1),--($C$6:$C$300=$C66),$E$6:$E$300)</f>
        <v>702.65297849110493</v>
      </c>
      <c r="N66" s="1" cm="1">
        <f t="array" ref="N66">SUMPRODUCT(--($L$6:$L$300&lt;&gt;1),--($C$6:$C$300=$C66))</f>
        <v>47</v>
      </c>
      <c r="O66" s="3">
        <f t="shared" si="6"/>
        <v>6220.2322933964706</v>
      </c>
      <c r="P66" s="2" cm="1">
        <f t="array" ref="P66">SQRT(SUMPRODUCT(--($L$6:$L$300&lt;&gt;1),--($C$6:$C$300=$C66),$E$6:$E$300,$O$6:$O$300)/((N66-1)*SUMPRODUCT(--($L$6:$L$300&lt;&gt;1),--($C$6:$C$300=$C66),$E$6:$E$300)/N66))</f>
        <v>457.11495283691704</v>
      </c>
      <c r="Q66" s="2">
        <f t="shared" si="4"/>
        <v>116.83659504910759</v>
      </c>
      <c r="R66" s="2">
        <f t="shared" si="4"/>
        <v>1288.4693619331024</v>
      </c>
      <c r="S66" s="2">
        <f t="shared" si="7"/>
        <v>781.52142778102359</v>
      </c>
    </row>
    <row r="67" spans="2:19" x14ac:dyDescent="0.25">
      <c r="B67" s="10">
        <v>618</v>
      </c>
      <c r="C67" s="10">
        <v>6</v>
      </c>
      <c r="D67" s="9" t="s">
        <v>124</v>
      </c>
      <c r="E67" s="154">
        <f>INDEX('Revised 2018 Lockdown'!H$5:H$253,MATCH(B67,'Revised 2018 Lockdown'!B$5:B$253,0))</f>
        <v>22.913731248399976</v>
      </c>
      <c r="F67" s="7">
        <f>INDEX('Revised 2018 Lockdown'!E$5:E$253,MATCH(B67,'Revised 2018 Lockdown'!B$5:B$253,0))</f>
        <v>16335.8</v>
      </c>
      <c r="G67" s="7">
        <f>INDEX('Revised 2018 Lockdown'!F$5:F$253,MATCH(B67,'Revised 2018 Lockdown'!B$5:B$253,0))</f>
        <v>0</v>
      </c>
      <c r="H67" s="7">
        <f t="shared" si="0"/>
        <v>16335.8</v>
      </c>
      <c r="I67" s="6">
        <f t="shared" si="1"/>
        <v>712.9262285094095</v>
      </c>
      <c r="J67" s="6">
        <f t="shared" si="5"/>
        <v>712.9262285094095</v>
      </c>
      <c r="K67" s="5">
        <f t="shared" si="2"/>
        <v>16335.8</v>
      </c>
      <c r="L67" s="4">
        <f t="shared" si="3"/>
        <v>0</v>
      </c>
      <c r="M67" s="2" cm="1">
        <f t="array" ref="M67">SUMPRODUCT(--($L$6:$L$300&lt;&gt;1),--($C$6:$C$300=$C67),$H$6:$H$300)/SUMPRODUCT(--($L$6:$L$300&lt;&gt;1),--($C$6:$C$300=$C67),$E$6:$E$300)</f>
        <v>702.65297849110493</v>
      </c>
      <c r="N67" s="1" cm="1">
        <f t="array" ref="N67">SUMPRODUCT(--($L$6:$L$300&lt;&gt;1),--($C$6:$C$300=$C67))</f>
        <v>47</v>
      </c>
      <c r="O67" s="3">
        <f t="shared" si="6"/>
        <v>105.53966593859477</v>
      </c>
      <c r="P67" s="2" cm="1">
        <f t="array" ref="P67">SQRT(SUMPRODUCT(--($L$6:$L$300&lt;&gt;1),--($C$6:$C$300=$C67),$E$6:$E$300,$O$6:$O$300)/((N67-1)*SUMPRODUCT(--($L$6:$L$300&lt;&gt;1),--($C$6:$C$300=$C67),$E$6:$E$300)/N67))</f>
        <v>457.11495283691704</v>
      </c>
      <c r="Q67" s="2">
        <f t="shared" si="4"/>
        <v>116.83659504910759</v>
      </c>
      <c r="R67" s="2">
        <f t="shared" si="4"/>
        <v>1288.4693619331024</v>
      </c>
      <c r="S67" s="2">
        <f t="shared" si="7"/>
        <v>712.9262285094095</v>
      </c>
    </row>
    <row r="68" spans="2:19" x14ac:dyDescent="0.25">
      <c r="B68" s="10">
        <v>620</v>
      </c>
      <c r="C68" s="10">
        <v>6</v>
      </c>
      <c r="D68" s="9" t="s">
        <v>125</v>
      </c>
      <c r="E68" s="154">
        <f>INDEX('Revised 2018 Lockdown'!H$5:H$253,MATCH(B68,'Revised 2018 Lockdown'!B$5:B$253,0))</f>
        <v>247.11841445539267</v>
      </c>
      <c r="F68" s="7">
        <f>INDEX('Revised 2018 Lockdown'!E$5:E$253,MATCH(B68,'Revised 2018 Lockdown'!B$5:B$253,0))</f>
        <v>118610.13</v>
      </c>
      <c r="G68" s="7">
        <f>INDEX('Revised 2018 Lockdown'!F$5:F$253,MATCH(B68,'Revised 2018 Lockdown'!B$5:B$253,0))</f>
        <v>0</v>
      </c>
      <c r="H68" s="7">
        <f t="shared" si="0"/>
        <v>118610.13</v>
      </c>
      <c r="I68" s="6">
        <f t="shared" si="1"/>
        <v>479.97285132067856</v>
      </c>
      <c r="J68" s="6">
        <f t="shared" si="5"/>
        <v>479.97285132067856</v>
      </c>
      <c r="K68" s="5">
        <f t="shared" si="2"/>
        <v>118610.13</v>
      </c>
      <c r="L68" s="4">
        <f t="shared" si="3"/>
        <v>0</v>
      </c>
      <c r="M68" s="2" cm="1">
        <f t="array" ref="M68">SUMPRODUCT(--($L$6:$L$300&lt;&gt;1),--($C$6:$C$300=$C68),$H$6:$H$300)/SUMPRODUCT(--($L$6:$L$300&lt;&gt;1),--($C$6:$C$300=$C68),$E$6:$E$300)</f>
        <v>702.65297849110493</v>
      </c>
      <c r="N68" s="1" cm="1">
        <f t="array" ref="N68">SUMPRODUCT(--($L$6:$L$300&lt;&gt;1),--($C$6:$C$300=$C68))</f>
        <v>47</v>
      </c>
      <c r="O68" s="3">
        <f t="shared" si="6"/>
        <v>49586.439036637261</v>
      </c>
      <c r="P68" s="2" cm="1">
        <f t="array" ref="P68">SQRT(SUMPRODUCT(--($L$6:$L$300&lt;&gt;1),--($C$6:$C$300=$C68),$E$6:$E$300,$O$6:$O$300)/((N68-1)*SUMPRODUCT(--($L$6:$L$300&lt;&gt;1),--($C$6:$C$300=$C68),$E$6:$E$300)/N68))</f>
        <v>457.11495283691704</v>
      </c>
      <c r="Q68" s="2">
        <f t="shared" si="4"/>
        <v>116.83659504910759</v>
      </c>
      <c r="R68" s="2">
        <f t="shared" si="4"/>
        <v>1288.4693619331024</v>
      </c>
      <c r="S68" s="2">
        <f t="shared" si="7"/>
        <v>479.97285132067856</v>
      </c>
    </row>
    <row r="69" spans="2:19" x14ac:dyDescent="0.25">
      <c r="B69" s="10">
        <v>622</v>
      </c>
      <c r="C69" s="10">
        <v>6</v>
      </c>
      <c r="D69" s="9" t="s">
        <v>126</v>
      </c>
      <c r="E69" s="154">
        <f>INDEX('Revised 2018 Lockdown'!H$5:H$253,MATCH(B69,'Revised 2018 Lockdown'!B$5:B$253,0))</f>
        <v>117.76088798616892</v>
      </c>
      <c r="F69" s="7">
        <f>INDEX('Revised 2018 Lockdown'!E$5:E$253,MATCH(B69,'Revised 2018 Lockdown'!B$5:B$253,0))</f>
        <v>80933.14</v>
      </c>
      <c r="G69" s="7">
        <f>INDEX('Revised 2018 Lockdown'!F$5:F$253,MATCH(B69,'Revised 2018 Lockdown'!B$5:B$253,0))</f>
        <v>715</v>
      </c>
      <c r="H69" s="7">
        <f t="shared" si="0"/>
        <v>80218.14</v>
      </c>
      <c r="I69" s="6">
        <f t="shared" si="1"/>
        <v>681.19510112238333</v>
      </c>
      <c r="J69" s="6">
        <f t="shared" si="5"/>
        <v>681.19510112238333</v>
      </c>
      <c r="K69" s="5">
        <f t="shared" si="2"/>
        <v>80218.14</v>
      </c>
      <c r="L69" s="4">
        <f t="shared" si="3"/>
        <v>0</v>
      </c>
      <c r="M69" s="2" cm="1">
        <f t="array" ref="M69">SUMPRODUCT(--($L$6:$L$300&lt;&gt;1),--($C$6:$C$300=$C69),$H$6:$H$300)/SUMPRODUCT(--($L$6:$L$300&lt;&gt;1),--($C$6:$C$300=$C69),$E$6:$E$300)</f>
        <v>702.65297849110493</v>
      </c>
      <c r="N69" s="1" cm="1">
        <f t="array" ref="N69">SUMPRODUCT(--($L$6:$L$300&lt;&gt;1),--($C$6:$C$300=$C69))</f>
        <v>47</v>
      </c>
      <c r="O69" s="3">
        <f t="shared" si="6"/>
        <v>460.44050117109447</v>
      </c>
      <c r="P69" s="2" cm="1">
        <f t="array" ref="P69">SQRT(SUMPRODUCT(--($L$6:$L$300&lt;&gt;1),--($C$6:$C$300=$C69),$E$6:$E$300,$O$6:$O$300)/((N69-1)*SUMPRODUCT(--($L$6:$L$300&lt;&gt;1),--($C$6:$C$300=$C69),$E$6:$E$300)/N69))</f>
        <v>457.11495283691704</v>
      </c>
      <c r="Q69" s="2">
        <f t="shared" si="4"/>
        <v>116.83659504910759</v>
      </c>
      <c r="R69" s="2">
        <f t="shared" si="4"/>
        <v>1288.4693619331024</v>
      </c>
      <c r="S69" s="2">
        <f t="shared" si="7"/>
        <v>681.19510112238333</v>
      </c>
    </row>
    <row r="70" spans="2:19" x14ac:dyDescent="0.25">
      <c r="B70" s="10">
        <v>623</v>
      </c>
      <c r="C70" s="10">
        <v>6</v>
      </c>
      <c r="D70" s="9" t="s">
        <v>127</v>
      </c>
      <c r="E70" s="154">
        <f>INDEX('Revised 2018 Lockdown'!H$5:H$253,MATCH(B70,'Revised 2018 Lockdown'!B$5:B$253,0))</f>
        <v>238.88534218865161</v>
      </c>
      <c r="F70" s="7">
        <f>INDEX('Revised 2018 Lockdown'!E$5:E$253,MATCH(B70,'Revised 2018 Lockdown'!B$5:B$253,0))</f>
        <v>85871.33</v>
      </c>
      <c r="G70" s="7">
        <f>INDEX('Revised 2018 Lockdown'!F$5:F$253,MATCH(B70,'Revised 2018 Lockdown'!B$5:B$253,0))</f>
        <v>0</v>
      </c>
      <c r="H70" s="7">
        <f t="shared" ref="H70:H133" si="8">F70-G70</f>
        <v>85871.33</v>
      </c>
      <c r="I70" s="6">
        <f t="shared" ref="I70:I133" si="9">H70/E70</f>
        <v>359.4667182726767</v>
      </c>
      <c r="J70" s="6">
        <f t="shared" si="5"/>
        <v>359.4667182726767</v>
      </c>
      <c r="K70" s="5">
        <f t="shared" ref="K70:K133" si="10">J70*E70</f>
        <v>85871.33</v>
      </c>
      <c r="L70" s="4">
        <f t="shared" ref="L70:L133" si="11">IF(ISERROR(I70),1,0)</f>
        <v>0</v>
      </c>
      <c r="M70" s="2" cm="1">
        <f t="array" ref="M70">SUMPRODUCT(--($L$6:$L$300&lt;&gt;1),--($C$6:$C$300=$C70),$H$6:$H$300)/SUMPRODUCT(--($L$6:$L$300&lt;&gt;1),--($C$6:$C$300=$C70),$E$6:$E$300)</f>
        <v>702.65297849110493</v>
      </c>
      <c r="N70" s="1" cm="1">
        <f t="array" ref="N70">SUMPRODUCT(--($L$6:$L$300&lt;&gt;1),--($C$6:$C$300=$C70))</f>
        <v>47</v>
      </c>
      <c r="O70" s="3">
        <f t="shared" si="6"/>
        <v>117776.80920271073</v>
      </c>
      <c r="P70" s="2" cm="1">
        <f t="array" ref="P70">SQRT(SUMPRODUCT(--($L$6:$L$300&lt;&gt;1),--($C$6:$C$300=$C70),$E$6:$E$300,$O$6:$O$300)/((N70-1)*SUMPRODUCT(--($L$6:$L$300&lt;&gt;1),--($C$6:$C$300=$C70),$E$6:$E$300)/N70))</f>
        <v>457.11495283691704</v>
      </c>
      <c r="Q70" s="2">
        <f t="shared" si="4"/>
        <v>116.83659504910759</v>
      </c>
      <c r="R70" s="2">
        <f t="shared" si="4"/>
        <v>1288.4693619331024</v>
      </c>
      <c r="S70" s="2">
        <f t="shared" si="7"/>
        <v>359.4667182726767</v>
      </c>
    </row>
    <row r="71" spans="2:19" x14ac:dyDescent="0.25">
      <c r="B71" s="10">
        <v>626</v>
      </c>
      <c r="C71" s="10">
        <v>6</v>
      </c>
      <c r="D71" s="9" t="s">
        <v>128</v>
      </c>
      <c r="E71" s="154">
        <f>INDEX('Revised 2018 Lockdown'!H$5:H$253,MATCH(B71,'Revised 2018 Lockdown'!B$5:B$253,0))</f>
        <v>22.444815850951411</v>
      </c>
      <c r="F71" s="7">
        <f>INDEX('Revised 2018 Lockdown'!E$5:E$253,MATCH(B71,'Revised 2018 Lockdown'!B$5:B$253,0))</f>
        <v>17594.09</v>
      </c>
      <c r="G71" s="7">
        <f>INDEX('Revised 2018 Lockdown'!F$5:F$253,MATCH(B71,'Revised 2018 Lockdown'!B$5:B$253,0))</f>
        <v>0</v>
      </c>
      <c r="H71" s="7">
        <f t="shared" si="8"/>
        <v>17594.09</v>
      </c>
      <c r="I71" s="6">
        <f t="shared" si="9"/>
        <v>783.88212747373495</v>
      </c>
      <c r="J71" s="6">
        <f t="shared" ref="J71:J134" si="12">IF(ISERROR(IF($J$2=1,MAX(MIN(I71,R71),Q71),MIN(I71,R71))),R71,IF($J$2=1,MAX(MIN(I71,R71),Q71),MIN(I71,R71)))</f>
        <v>783.88212747373495</v>
      </c>
      <c r="K71" s="5">
        <f t="shared" si="10"/>
        <v>17594.09</v>
      </c>
      <c r="L71" s="4">
        <f t="shared" si="11"/>
        <v>0</v>
      </c>
      <c r="M71" s="2" cm="1">
        <f t="array" ref="M71">SUMPRODUCT(--($L$6:$L$300&lt;&gt;1),--($C$6:$C$300=$C71),$H$6:$H$300)/SUMPRODUCT(--($L$6:$L$300&lt;&gt;1),--($C$6:$C$300=$C71),$E$6:$E$300)</f>
        <v>702.65297849110493</v>
      </c>
      <c r="N71" s="1" cm="1">
        <f t="array" ref="N71">SUMPRODUCT(--($L$6:$L$300&lt;&gt;1),--($C$6:$C$300=$C71))</f>
        <v>47</v>
      </c>
      <c r="O71" s="3">
        <f t="shared" ref="O71:O134" si="13">IF(ISERROR((I71-M71)^2),0,(I71-M71)^2)</f>
        <v>6598.1746444423043</v>
      </c>
      <c r="P71" s="2" cm="1">
        <f t="array" ref="P71">SQRT(SUMPRODUCT(--($L$6:$L$300&lt;&gt;1),--($C$6:$C$300=$C71),$E$6:$E$300,$O$6:$O$300)/((N71-1)*SUMPRODUCT(--($L$6:$L$300&lt;&gt;1),--($C$6:$C$300=$C71),$E$6:$E$300)/N71))</f>
        <v>457.11495283691704</v>
      </c>
      <c r="Q71" s="2">
        <f t="shared" si="4"/>
        <v>116.83659504910759</v>
      </c>
      <c r="R71" s="2">
        <f t="shared" si="4"/>
        <v>1288.4693619331024</v>
      </c>
      <c r="S71" s="2">
        <f t="shared" ref="S71:S134" si="14">IF(ISERROR(MAX(MIN(I71,R71),Q71)),R71,MAX(MIN(I71,R71),Q71))</f>
        <v>783.88212747373495</v>
      </c>
    </row>
    <row r="72" spans="2:19" x14ac:dyDescent="0.25">
      <c r="B72" s="10">
        <v>627</v>
      </c>
      <c r="C72" s="10">
        <v>6</v>
      </c>
      <c r="D72" s="9" t="s">
        <v>129</v>
      </c>
      <c r="E72" s="154">
        <f>INDEX('Revised 2018 Lockdown'!H$5:H$253,MATCH(B72,'Revised 2018 Lockdown'!B$5:B$253,0))</f>
        <v>172.58791907246243</v>
      </c>
      <c r="F72" s="7">
        <f>INDEX('Revised 2018 Lockdown'!E$5:E$253,MATCH(B72,'Revised 2018 Lockdown'!B$5:B$253,0))</f>
        <v>78681.460000000006</v>
      </c>
      <c r="G72" s="7">
        <f>INDEX('Revised 2018 Lockdown'!F$5:F$253,MATCH(B72,'Revised 2018 Lockdown'!B$5:B$253,0))</f>
        <v>0</v>
      </c>
      <c r="H72" s="7">
        <f t="shared" si="8"/>
        <v>78681.460000000006</v>
      </c>
      <c r="I72" s="6">
        <f t="shared" si="9"/>
        <v>455.89204866051466</v>
      </c>
      <c r="J72" s="6">
        <f t="shared" si="12"/>
        <v>455.89204866051466</v>
      </c>
      <c r="K72" s="5">
        <f t="shared" si="10"/>
        <v>78681.460000000006</v>
      </c>
      <c r="L72" s="4">
        <f t="shared" si="11"/>
        <v>0</v>
      </c>
      <c r="M72" s="2" cm="1">
        <f t="array" ref="M72">SUMPRODUCT(--($L$6:$L$300&lt;&gt;1),--($C$6:$C$300=$C72),$H$6:$H$300)/SUMPRODUCT(--($L$6:$L$300&lt;&gt;1),--($C$6:$C$300=$C72),$E$6:$E$300)</f>
        <v>702.65297849110493</v>
      </c>
      <c r="N72" s="1" cm="1">
        <f t="array" ref="N72">SUMPRODUCT(--($L$6:$L$300&lt;&gt;1),--($C$6:$C$300=$C72))</f>
        <v>47</v>
      </c>
      <c r="O72" s="3">
        <f t="shared" si="13"/>
        <v>60890.956490857498</v>
      </c>
      <c r="P72" s="2" cm="1">
        <f t="array" ref="P72">SQRT(SUMPRODUCT(--($L$6:$L$300&lt;&gt;1),--($C$6:$C$300=$C72),$E$6:$E$300,$O$6:$O$300)/((N72-1)*SUMPRODUCT(--($L$6:$L$300&lt;&gt;1),--($C$6:$C$300=$C72),$E$6:$E$300)/N72))</f>
        <v>457.11495283691704</v>
      </c>
      <c r="Q72" s="2">
        <f t="shared" si="4"/>
        <v>116.83659504910759</v>
      </c>
      <c r="R72" s="2">
        <f t="shared" si="4"/>
        <v>1288.4693619331024</v>
      </c>
      <c r="S72" s="2">
        <f t="shared" si="14"/>
        <v>455.89204866051466</v>
      </c>
    </row>
    <row r="73" spans="2:19" x14ac:dyDescent="0.25">
      <c r="B73" s="10">
        <v>634</v>
      </c>
      <c r="C73" s="10">
        <v>6</v>
      </c>
      <c r="D73" s="9" t="s">
        <v>130</v>
      </c>
      <c r="E73" s="154">
        <f>INDEX('Revised 2018 Lockdown'!H$5:H$253,MATCH(B73,'Revised 2018 Lockdown'!B$5:B$253,0))</f>
        <v>648.63374679368712</v>
      </c>
      <c r="F73" s="7">
        <f>INDEX('Revised 2018 Lockdown'!E$5:E$253,MATCH(B73,'Revised 2018 Lockdown'!B$5:B$253,0))</f>
        <v>582665.36</v>
      </c>
      <c r="G73" s="7">
        <f>INDEX('Revised 2018 Lockdown'!F$5:F$253,MATCH(B73,'Revised 2018 Lockdown'!B$5:B$253,0))</f>
        <v>0</v>
      </c>
      <c r="H73" s="7">
        <f t="shared" si="8"/>
        <v>582665.36</v>
      </c>
      <c r="I73" s="6">
        <f t="shared" si="9"/>
        <v>898.29640051912088</v>
      </c>
      <c r="J73" s="6">
        <f t="shared" si="12"/>
        <v>898.29640051912088</v>
      </c>
      <c r="K73" s="5">
        <f t="shared" si="10"/>
        <v>582665.36</v>
      </c>
      <c r="L73" s="4">
        <f t="shared" si="11"/>
        <v>0</v>
      </c>
      <c r="M73" s="2" cm="1">
        <f t="array" ref="M73">SUMPRODUCT(--($L$6:$L$300&lt;&gt;1),--($C$6:$C$300=$C73),$H$6:$H$300)/SUMPRODUCT(--($L$6:$L$300&lt;&gt;1),--($C$6:$C$300=$C73),$E$6:$E$300)</f>
        <v>702.65297849110493</v>
      </c>
      <c r="N73" s="1" cm="1">
        <f t="array" ref="N73">SUMPRODUCT(--($L$6:$L$300&lt;&gt;1),--($C$6:$C$300=$C73))</f>
        <v>47</v>
      </c>
      <c r="O73" s="3">
        <f t="shared" si="13"/>
        <v>38276.348582832354</v>
      </c>
      <c r="P73" s="2" cm="1">
        <f t="array" ref="P73">SQRT(SUMPRODUCT(--($L$6:$L$300&lt;&gt;1),--($C$6:$C$300=$C73),$E$6:$E$300,$O$6:$O$300)/((N73-1)*SUMPRODUCT(--($L$6:$L$300&lt;&gt;1),--($C$6:$C$300=$C73),$E$6:$E$300)/N73))</f>
        <v>457.11495283691704</v>
      </c>
      <c r="Q73" s="2">
        <f t="shared" si="4"/>
        <v>116.83659504910759</v>
      </c>
      <c r="R73" s="2">
        <f t="shared" si="4"/>
        <v>1288.4693619331024</v>
      </c>
      <c r="S73" s="2">
        <f t="shared" si="14"/>
        <v>898.29640051912088</v>
      </c>
    </row>
    <row r="74" spans="2:19" x14ac:dyDescent="0.25">
      <c r="B74" s="10">
        <v>636</v>
      </c>
      <c r="C74" s="10">
        <v>6</v>
      </c>
      <c r="D74" s="9" t="s">
        <v>313</v>
      </c>
      <c r="E74" s="154">
        <f>INDEX('Revised 2018 Lockdown'!H$5:H$253,MATCH(B74,'Revised 2018 Lockdown'!B$5:B$253,0))</f>
        <v>72.113777565310741</v>
      </c>
      <c r="F74" s="7">
        <f>INDEX('Revised 2018 Lockdown'!E$5:E$253,MATCH(B74,'Revised 2018 Lockdown'!B$5:B$253,0))</f>
        <v>74827.44</v>
      </c>
      <c r="G74" s="7">
        <f>INDEX('Revised 2018 Lockdown'!F$5:F$253,MATCH(B74,'Revised 2018 Lockdown'!B$5:B$253,0))</f>
        <v>76212</v>
      </c>
      <c r="H74" s="7">
        <f t="shared" si="8"/>
        <v>-1384.5599999999977</v>
      </c>
      <c r="I74" s="6">
        <f t="shared" si="9"/>
        <v>-19.199659853431665</v>
      </c>
      <c r="J74" s="6">
        <f t="shared" si="12"/>
        <v>-19.199659853431665</v>
      </c>
      <c r="K74" s="5">
        <f t="shared" si="10"/>
        <v>-1384.5599999999977</v>
      </c>
      <c r="L74" s="189">
        <v>1</v>
      </c>
      <c r="M74" s="2" cm="1">
        <f t="array" ref="M74">SUMPRODUCT(--($L$6:$L$300&lt;&gt;1),--($C$6:$C$300=$C74),$H$6:$H$300)/SUMPRODUCT(--($L$6:$L$300&lt;&gt;1),--($C$6:$C$300=$C74),$E$6:$E$300)</f>
        <v>702.65297849110493</v>
      </c>
      <c r="N74" s="1" cm="1">
        <f t="array" ref="N74">SUMPRODUCT(--($L$6:$L$300&lt;&gt;1),--($C$6:$C$300=$C74))</f>
        <v>47</v>
      </c>
      <c r="O74" s="3">
        <f t="shared" si="13"/>
        <v>521071.23148496827</v>
      </c>
      <c r="P74" s="2" cm="1">
        <f t="array" ref="P74">SQRT(SUMPRODUCT(--($L$6:$L$300&lt;&gt;1),--($C$6:$C$300=$C74),$E$6:$E$300,$O$6:$O$300)/((N74-1)*SUMPRODUCT(--($L$6:$L$300&lt;&gt;1),--($C$6:$C$300=$C74),$E$6:$E$300)/N74))</f>
        <v>457.11495283691704</v>
      </c>
      <c r="Q74" s="2">
        <f t="shared" si="4"/>
        <v>116.83659504910759</v>
      </c>
      <c r="R74" s="2">
        <f t="shared" si="4"/>
        <v>1288.4693619331024</v>
      </c>
      <c r="S74" s="2">
        <f t="shared" si="14"/>
        <v>116.83659504910759</v>
      </c>
    </row>
    <row r="75" spans="2:19" x14ac:dyDescent="0.25">
      <c r="B75" s="10">
        <v>694</v>
      </c>
      <c r="C75" s="10">
        <v>6</v>
      </c>
      <c r="D75" s="9" t="s">
        <v>131</v>
      </c>
      <c r="E75" s="154">
        <f>INDEX('Revised 2018 Lockdown'!H$5:H$253,MATCH(B75,'Revised 2018 Lockdown'!B$5:B$253,0))</f>
        <v>10.25564638073009</v>
      </c>
      <c r="F75" s="7">
        <f>INDEX('Revised 2018 Lockdown'!E$5:E$253,MATCH(B75,'Revised 2018 Lockdown'!B$5:B$253,0))</f>
        <v>60191.32</v>
      </c>
      <c r="G75" s="7">
        <f>INDEX('Revised 2018 Lockdown'!F$5:F$253,MATCH(B75,'Revised 2018 Lockdown'!B$5:B$253,0))</f>
        <v>0</v>
      </c>
      <c r="H75" s="7">
        <f t="shared" si="8"/>
        <v>60191.32</v>
      </c>
      <c r="I75" s="6">
        <f t="shared" si="9"/>
        <v>5869.0908174346623</v>
      </c>
      <c r="J75" s="6">
        <f t="shared" si="12"/>
        <v>1288.4693619331024</v>
      </c>
      <c r="K75" s="5">
        <f t="shared" si="10"/>
        <v>13214.08614839083</v>
      </c>
      <c r="L75" s="4">
        <f t="shared" si="11"/>
        <v>0</v>
      </c>
      <c r="M75" s="2" cm="1">
        <f t="array" ref="M75">SUMPRODUCT(--($L$6:$L$300&lt;&gt;1),--($C$6:$C$300=$C75),$H$6:$H$300)/SUMPRODUCT(--($L$6:$L$300&lt;&gt;1),--($C$6:$C$300=$C75),$E$6:$E$300)</f>
        <v>702.65297849110493</v>
      </c>
      <c r="N75" s="1" cm="1">
        <f t="array" ref="N75">SUMPRODUCT(--($L$6:$L$300&lt;&gt;1),--($C$6:$C$300=$C75))</f>
        <v>47</v>
      </c>
      <c r="O75" s="3">
        <f t="shared" si="13"/>
        <v>26692079.943667769</v>
      </c>
      <c r="P75" s="2" cm="1">
        <f t="array" ref="P75">SQRT(SUMPRODUCT(--($L$6:$L$300&lt;&gt;1),--($C$6:$C$300=$C75),$E$6:$E$300,$O$6:$O$300)/((N75-1)*SUMPRODUCT(--($L$6:$L$300&lt;&gt;1),--($C$6:$C$300=$C75),$E$6:$E$300)/N75))</f>
        <v>457.11495283691704</v>
      </c>
      <c r="Q75" s="2">
        <f t="shared" si="4"/>
        <v>116.83659504910759</v>
      </c>
      <c r="R75" s="2">
        <f t="shared" si="4"/>
        <v>1288.4693619331024</v>
      </c>
      <c r="S75" s="2">
        <f t="shared" si="14"/>
        <v>1288.4693619331024</v>
      </c>
    </row>
    <row r="76" spans="2:19" x14ac:dyDescent="0.25">
      <c r="B76" s="10">
        <v>706</v>
      </c>
      <c r="C76" s="10">
        <v>6</v>
      </c>
      <c r="D76" s="9" t="s">
        <v>239</v>
      </c>
      <c r="E76" s="154">
        <f>INDEX('Revised 2018 Lockdown'!H$5:H$253,MATCH(B76,'Revised 2018 Lockdown'!B$5:B$253,0))</f>
        <v>61.701349959338025</v>
      </c>
      <c r="F76" s="7">
        <f>INDEX('Revised 2018 Lockdown'!E$5:E$253,MATCH(B76,'Revised 2018 Lockdown'!B$5:B$253,0))</f>
        <v>61219.35</v>
      </c>
      <c r="G76" s="7">
        <f>INDEX('Revised 2018 Lockdown'!F$5:F$253,MATCH(B76,'Revised 2018 Lockdown'!B$5:B$253,0))</f>
        <v>0</v>
      </c>
      <c r="H76" s="7">
        <f t="shared" si="8"/>
        <v>61219.35</v>
      </c>
      <c r="I76" s="6">
        <f t="shared" si="9"/>
        <v>992.18817806003153</v>
      </c>
      <c r="J76" s="6">
        <f t="shared" si="12"/>
        <v>992.18817806003153</v>
      </c>
      <c r="K76" s="5">
        <f t="shared" si="10"/>
        <v>61219.35</v>
      </c>
      <c r="L76" s="4">
        <f t="shared" si="11"/>
        <v>0</v>
      </c>
      <c r="M76" s="2" cm="1">
        <f t="array" ref="M76">SUMPRODUCT(--($L$6:$L$300&lt;&gt;1),--($C$6:$C$300=$C76),$H$6:$H$300)/SUMPRODUCT(--($L$6:$L$300&lt;&gt;1),--($C$6:$C$300=$C76),$E$6:$E$300)</f>
        <v>702.65297849110493</v>
      </c>
      <c r="N76" s="1" cm="1">
        <f t="array" ref="N76">SUMPRODUCT(--($L$6:$L$300&lt;&gt;1),--($C$6:$C$300=$C76))</f>
        <v>47</v>
      </c>
      <c r="O76" s="3">
        <f t="shared" si="13"/>
        <v>83830.631789418156</v>
      </c>
      <c r="P76" s="2" cm="1">
        <f t="array" ref="P76">SQRT(SUMPRODUCT(--($L$6:$L$300&lt;&gt;1),--($C$6:$C$300=$C76),$E$6:$E$300,$O$6:$O$300)/((N76-1)*SUMPRODUCT(--($L$6:$L$300&lt;&gt;1),--($C$6:$C$300=$C76),$E$6:$E$300)/N76))</f>
        <v>457.11495283691704</v>
      </c>
      <c r="Q76" s="2">
        <f t="shared" si="4"/>
        <v>116.83659504910759</v>
      </c>
      <c r="R76" s="2">
        <f t="shared" si="4"/>
        <v>1288.4693619331024</v>
      </c>
      <c r="S76" s="2">
        <f t="shared" si="14"/>
        <v>992.18817806003153</v>
      </c>
    </row>
    <row r="77" spans="2:19" x14ac:dyDescent="0.25">
      <c r="B77" s="10">
        <v>710</v>
      </c>
      <c r="C77" s="10">
        <v>6</v>
      </c>
      <c r="D77" s="9" t="s">
        <v>133</v>
      </c>
      <c r="E77" s="154">
        <f>INDEX('Revised 2018 Lockdown'!H$5:H$253,MATCH(B77,'Revised 2018 Lockdown'!B$5:B$253,0))</f>
        <v>73.989999999999995</v>
      </c>
      <c r="F77" s="7">
        <f>INDEX('Revised 2018 Lockdown'!E$5:E$253,MATCH(B77,'Revised 2018 Lockdown'!B$5:B$253,0))</f>
        <v>49597.59</v>
      </c>
      <c r="G77" s="7">
        <f>INDEX('Revised 2018 Lockdown'!F$5:F$253,MATCH(B77,'Revised 2018 Lockdown'!B$5:B$253,0))</f>
        <v>0</v>
      </c>
      <c r="H77" s="7">
        <f t="shared" si="8"/>
        <v>49597.59</v>
      </c>
      <c r="I77" s="6">
        <f t="shared" si="9"/>
        <v>670.32828760643326</v>
      </c>
      <c r="J77" s="6">
        <f t="shared" si="12"/>
        <v>670.32828760643326</v>
      </c>
      <c r="K77" s="5">
        <f t="shared" si="10"/>
        <v>49597.59</v>
      </c>
      <c r="L77" s="4">
        <f t="shared" si="11"/>
        <v>0</v>
      </c>
      <c r="M77" s="2" cm="1">
        <f t="array" ref="M77">SUMPRODUCT(--($L$6:$L$300&lt;&gt;1),--($C$6:$C$300=$C77),$H$6:$H$300)/SUMPRODUCT(--($L$6:$L$300&lt;&gt;1),--($C$6:$C$300=$C77),$E$6:$E$300)</f>
        <v>702.65297849110493</v>
      </c>
      <c r="N77" s="1" cm="1">
        <f t="array" ref="N77">SUMPRODUCT(--($L$6:$L$300&lt;&gt;1),--($C$6:$C$300=$C77))</f>
        <v>47</v>
      </c>
      <c r="O77" s="3">
        <f t="shared" si="13"/>
        <v>1044.8856407895755</v>
      </c>
      <c r="P77" s="2" cm="1">
        <f t="array" ref="P77">SQRT(SUMPRODUCT(--($L$6:$L$300&lt;&gt;1),--($C$6:$C$300=$C77),$E$6:$E$300,$O$6:$O$300)/((N77-1)*SUMPRODUCT(--($L$6:$L$300&lt;&gt;1),--($C$6:$C$300=$C77),$E$6:$E$300)/N77))</f>
        <v>457.11495283691704</v>
      </c>
      <c r="Q77" s="2">
        <f t="shared" si="4"/>
        <v>116.83659504910759</v>
      </c>
      <c r="R77" s="2">
        <f t="shared" si="4"/>
        <v>1288.4693619331024</v>
      </c>
      <c r="S77" s="2">
        <f t="shared" si="14"/>
        <v>670.32828760643326</v>
      </c>
    </row>
    <row r="78" spans="2:19" x14ac:dyDescent="0.25">
      <c r="B78" s="10">
        <v>743</v>
      </c>
      <c r="C78" s="10">
        <v>6</v>
      </c>
      <c r="D78" s="9" t="s">
        <v>134</v>
      </c>
      <c r="E78" s="154">
        <f>INDEX('Revised 2018 Lockdown'!H$5:H$253,MATCH(B78,'Revised 2018 Lockdown'!B$5:B$253,0))</f>
        <v>82.770881637323171</v>
      </c>
      <c r="F78" s="7">
        <f>INDEX('Revised 2018 Lockdown'!E$5:E$253,MATCH(B78,'Revised 2018 Lockdown'!B$5:B$253,0))</f>
        <v>136207.07999999999</v>
      </c>
      <c r="G78" s="7">
        <f>INDEX('Revised 2018 Lockdown'!F$5:F$253,MATCH(B78,'Revised 2018 Lockdown'!B$5:B$253,0))</f>
        <v>0</v>
      </c>
      <c r="H78" s="7">
        <f t="shared" si="8"/>
        <v>136207.07999999999</v>
      </c>
      <c r="I78" s="6">
        <f t="shared" si="9"/>
        <v>1645.5917504517831</v>
      </c>
      <c r="J78" s="6">
        <f t="shared" si="12"/>
        <v>1288.4693619331024</v>
      </c>
      <c r="K78" s="5">
        <f t="shared" si="10"/>
        <v>106647.74504988213</v>
      </c>
      <c r="L78" s="4">
        <f t="shared" si="11"/>
        <v>0</v>
      </c>
      <c r="M78" s="2" cm="1">
        <f t="array" ref="M78">SUMPRODUCT(--($L$6:$L$300&lt;&gt;1),--($C$6:$C$300=$C78),$H$6:$H$300)/SUMPRODUCT(--($L$6:$L$300&lt;&gt;1),--($C$6:$C$300=$C78),$E$6:$E$300)</f>
        <v>702.65297849110493</v>
      </c>
      <c r="N78" s="1" cm="1">
        <f t="array" ref="N78">SUMPRODUCT(--($L$6:$L$300&lt;&gt;1),--($C$6:$C$300=$C78))</f>
        <v>47</v>
      </c>
      <c r="O78" s="3">
        <f t="shared" si="13"/>
        <v>889133.52766671183</v>
      </c>
      <c r="P78" s="2" cm="1">
        <f t="array" ref="P78">SQRT(SUMPRODUCT(--($L$6:$L$300&lt;&gt;1),--($C$6:$C$300=$C78),$E$6:$E$300,$O$6:$O$300)/((N78-1)*SUMPRODUCT(--($L$6:$L$300&lt;&gt;1),--($C$6:$C$300=$C78),$E$6:$E$300)/N78))</f>
        <v>457.11495283691704</v>
      </c>
      <c r="Q78" s="2">
        <f t="shared" si="4"/>
        <v>116.83659504910759</v>
      </c>
      <c r="R78" s="2">
        <f t="shared" si="4"/>
        <v>1288.4693619331024</v>
      </c>
      <c r="S78" s="2">
        <f t="shared" si="14"/>
        <v>1288.4693619331024</v>
      </c>
    </row>
    <row r="79" spans="2:19" x14ac:dyDescent="0.25">
      <c r="B79" s="10">
        <v>747</v>
      </c>
      <c r="C79" s="10">
        <v>6</v>
      </c>
      <c r="D79" s="9" t="s">
        <v>135</v>
      </c>
      <c r="E79" s="154">
        <f>INDEX('Revised 2018 Lockdown'!H$5:H$253,MATCH(B79,'Revised 2018 Lockdown'!B$5:B$253,0))</f>
        <v>36.5</v>
      </c>
      <c r="F79" s="7">
        <f>INDEX('Revised 2018 Lockdown'!E$5:E$253,MATCH(B79,'Revised 2018 Lockdown'!B$5:B$253,0))</f>
        <v>58996.69</v>
      </c>
      <c r="G79" s="7">
        <f>INDEX('Revised 2018 Lockdown'!F$5:F$253,MATCH(B79,'Revised 2018 Lockdown'!B$5:B$253,0))</f>
        <v>0</v>
      </c>
      <c r="H79" s="7">
        <f t="shared" si="8"/>
        <v>58996.69</v>
      </c>
      <c r="I79" s="6">
        <f t="shared" si="9"/>
        <v>1616.3476712328768</v>
      </c>
      <c r="J79" s="6">
        <f t="shared" si="12"/>
        <v>1288.4693619331024</v>
      </c>
      <c r="K79" s="5">
        <f t="shared" si="10"/>
        <v>47029.131710558235</v>
      </c>
      <c r="L79" s="4">
        <f t="shared" si="11"/>
        <v>0</v>
      </c>
      <c r="M79" s="2" cm="1">
        <f t="array" ref="M79">SUMPRODUCT(--($L$6:$L$300&lt;&gt;1),--($C$6:$C$300=$C79),$H$6:$H$300)/SUMPRODUCT(--($L$6:$L$300&lt;&gt;1),--($C$6:$C$300=$C79),$E$6:$E$300)</f>
        <v>702.65297849110493</v>
      </c>
      <c r="N79" s="1" cm="1">
        <f t="array" ref="N79">SUMPRODUCT(--($L$6:$L$300&lt;&gt;1),--($C$6:$C$300=$C79))</f>
        <v>47</v>
      </c>
      <c r="O79" s="3">
        <f t="shared" si="13"/>
        <v>834837.9915444809</v>
      </c>
      <c r="P79" s="2" cm="1">
        <f t="array" ref="P79">SQRT(SUMPRODUCT(--($L$6:$L$300&lt;&gt;1),--($C$6:$C$300=$C79),$E$6:$E$300,$O$6:$O$300)/((N79-1)*SUMPRODUCT(--($L$6:$L$300&lt;&gt;1),--($C$6:$C$300=$C79),$E$6:$E$300)/N79))</f>
        <v>457.11495283691704</v>
      </c>
      <c r="Q79" s="2">
        <f t="shared" si="4"/>
        <v>116.83659504910759</v>
      </c>
      <c r="R79" s="2">
        <f t="shared" si="4"/>
        <v>1288.4693619331024</v>
      </c>
      <c r="S79" s="2">
        <f t="shared" si="14"/>
        <v>1288.4693619331024</v>
      </c>
    </row>
    <row r="80" spans="2:19" x14ac:dyDescent="0.25">
      <c r="B80" s="10">
        <v>758</v>
      </c>
      <c r="C80" s="10">
        <v>6</v>
      </c>
      <c r="D80" s="9" t="s">
        <v>136</v>
      </c>
      <c r="E80" s="154">
        <f>INDEX('Revised 2018 Lockdown'!H$5:H$253,MATCH(B80,'Revised 2018 Lockdown'!B$5:B$253,0))</f>
        <v>306.60873748050523</v>
      </c>
      <c r="F80" s="7">
        <f>INDEX('Revised 2018 Lockdown'!E$5:E$253,MATCH(B80,'Revised 2018 Lockdown'!B$5:B$253,0))</f>
        <v>319509.06</v>
      </c>
      <c r="G80" s="7">
        <f>INDEX('Revised 2018 Lockdown'!F$5:F$253,MATCH(B80,'Revised 2018 Lockdown'!B$5:B$253,0))</f>
        <v>785.37</v>
      </c>
      <c r="H80" s="7">
        <f t="shared" si="8"/>
        <v>318723.69</v>
      </c>
      <c r="I80" s="6">
        <f t="shared" si="9"/>
        <v>1039.5127438932332</v>
      </c>
      <c r="J80" s="6">
        <f t="shared" si="12"/>
        <v>1039.5127438932332</v>
      </c>
      <c r="K80" s="5">
        <f t="shared" si="10"/>
        <v>318723.69</v>
      </c>
      <c r="L80" s="4">
        <f t="shared" si="11"/>
        <v>0</v>
      </c>
      <c r="M80" s="2" cm="1">
        <f t="array" ref="M80">SUMPRODUCT(--($L$6:$L$300&lt;&gt;1),--($C$6:$C$300=$C80),$H$6:$H$300)/SUMPRODUCT(--($L$6:$L$300&lt;&gt;1),--($C$6:$C$300=$C80),$E$6:$E$300)</f>
        <v>702.65297849110493</v>
      </c>
      <c r="N80" s="1" cm="1">
        <f t="array" ref="N80">SUMPRODUCT(--($L$6:$L$300&lt;&gt;1),--($C$6:$C$300=$C80))</f>
        <v>47</v>
      </c>
      <c r="O80" s="3">
        <f t="shared" si="13"/>
        <v>113474.50154677687</v>
      </c>
      <c r="P80" s="2" cm="1">
        <f t="array" ref="P80">SQRT(SUMPRODUCT(--($L$6:$L$300&lt;&gt;1),--($C$6:$C$300=$C80),$E$6:$E$300,$O$6:$O$300)/((N80-1)*SUMPRODUCT(--($L$6:$L$300&lt;&gt;1),--($C$6:$C$300=$C80),$E$6:$E$300)/N80))</f>
        <v>457.11495283691704</v>
      </c>
      <c r="Q80" s="2">
        <f t="shared" si="4"/>
        <v>116.83659504910759</v>
      </c>
      <c r="R80" s="2">
        <f t="shared" si="4"/>
        <v>1288.4693619331024</v>
      </c>
      <c r="S80" s="2">
        <f t="shared" si="14"/>
        <v>1039.5127438932332</v>
      </c>
    </row>
    <row r="81" spans="2:19" x14ac:dyDescent="0.25">
      <c r="B81" s="10">
        <v>765</v>
      </c>
      <c r="C81" s="10">
        <v>6</v>
      </c>
      <c r="D81" s="9" t="s">
        <v>137</v>
      </c>
      <c r="E81" s="154">
        <f>INDEX('Revised 2018 Lockdown'!H$5:H$253,MATCH(B81,'Revised 2018 Lockdown'!B$5:B$253,0))</f>
        <v>69.141877232449346</v>
      </c>
      <c r="F81" s="7">
        <f>INDEX('Revised 2018 Lockdown'!E$5:E$253,MATCH(B81,'Revised 2018 Lockdown'!B$5:B$253,0))</f>
        <v>86969.12</v>
      </c>
      <c r="G81" s="7">
        <f>INDEX('Revised 2018 Lockdown'!F$5:F$253,MATCH(B81,'Revised 2018 Lockdown'!B$5:B$253,0))</f>
        <v>0</v>
      </c>
      <c r="H81" s="7">
        <f t="shared" si="8"/>
        <v>86969.12</v>
      </c>
      <c r="I81" s="6">
        <f t="shared" si="9"/>
        <v>1257.8356776113687</v>
      </c>
      <c r="J81" s="6">
        <f t="shared" si="12"/>
        <v>1257.8356776113687</v>
      </c>
      <c r="K81" s="5">
        <f t="shared" si="10"/>
        <v>86969.12</v>
      </c>
      <c r="L81" s="4">
        <f t="shared" si="11"/>
        <v>0</v>
      </c>
      <c r="M81" s="2" cm="1">
        <f t="array" ref="M81">SUMPRODUCT(--($L$6:$L$300&lt;&gt;1),--($C$6:$C$300=$C81),$H$6:$H$300)/SUMPRODUCT(--($L$6:$L$300&lt;&gt;1),--($C$6:$C$300=$C81),$E$6:$E$300)</f>
        <v>702.65297849110493</v>
      </c>
      <c r="N81" s="1" cm="1">
        <f t="array" ref="N81">SUMPRODUCT(--($L$6:$L$300&lt;&gt;1),--($C$6:$C$300=$C81))</f>
        <v>47</v>
      </c>
      <c r="O81" s="3">
        <f t="shared" si="13"/>
        <v>308227.82940246136</v>
      </c>
      <c r="P81" s="2" cm="1">
        <f t="array" ref="P81">SQRT(SUMPRODUCT(--($L$6:$L$300&lt;&gt;1),--($C$6:$C$300=$C81),$E$6:$E$300,$O$6:$O$300)/((N81-1)*SUMPRODUCT(--($L$6:$L$300&lt;&gt;1),--($C$6:$C$300=$C81),$E$6:$E$300)/N81))</f>
        <v>457.11495283691704</v>
      </c>
      <c r="Q81" s="2">
        <f t="shared" si="4"/>
        <v>116.83659504910759</v>
      </c>
      <c r="R81" s="2">
        <f t="shared" si="4"/>
        <v>1288.4693619331024</v>
      </c>
      <c r="S81" s="2">
        <f t="shared" si="14"/>
        <v>1257.8356776113687</v>
      </c>
    </row>
    <row r="82" spans="2:19" x14ac:dyDescent="0.25">
      <c r="B82" s="10">
        <v>770</v>
      </c>
      <c r="C82" s="10">
        <v>6</v>
      </c>
      <c r="D82" s="9" t="s">
        <v>138</v>
      </c>
      <c r="E82" s="154">
        <f>INDEX('Revised 2018 Lockdown'!H$5:H$253,MATCH(B82,'Revised 2018 Lockdown'!B$5:B$253,0))</f>
        <v>25.798612785118063</v>
      </c>
      <c r="F82" s="7">
        <f>INDEX('Revised 2018 Lockdown'!E$5:E$253,MATCH(B82,'Revised 2018 Lockdown'!B$5:B$253,0))</f>
        <v>24774.6</v>
      </c>
      <c r="G82" s="7">
        <f>INDEX('Revised 2018 Lockdown'!F$5:F$253,MATCH(B82,'Revised 2018 Lockdown'!B$5:B$253,0))</f>
        <v>0</v>
      </c>
      <c r="H82" s="7">
        <f t="shared" si="8"/>
        <v>24774.6</v>
      </c>
      <c r="I82" s="6">
        <f t="shared" si="9"/>
        <v>960.30744778227893</v>
      </c>
      <c r="J82" s="6">
        <f t="shared" si="12"/>
        <v>960.30744778227893</v>
      </c>
      <c r="K82" s="5">
        <f t="shared" si="10"/>
        <v>24774.6</v>
      </c>
      <c r="L82" s="4">
        <f t="shared" si="11"/>
        <v>0</v>
      </c>
      <c r="M82" s="2" cm="1">
        <f t="array" ref="M82">SUMPRODUCT(--($L$6:$L$300&lt;&gt;1),--($C$6:$C$300=$C82),$H$6:$H$300)/SUMPRODUCT(--($L$6:$L$300&lt;&gt;1),--($C$6:$C$300=$C82),$E$6:$E$300)</f>
        <v>702.65297849110493</v>
      </c>
      <c r="N82" s="1" cm="1">
        <f t="array" ref="N82">SUMPRODUCT(--($L$6:$L$300&lt;&gt;1),--($C$6:$C$300=$C82))</f>
        <v>47</v>
      </c>
      <c r="O82" s="3">
        <f t="shared" si="13"/>
        <v>66385.825545716521</v>
      </c>
      <c r="P82" s="2" cm="1">
        <f t="array" ref="P82">SQRT(SUMPRODUCT(--($L$6:$L$300&lt;&gt;1),--($C$6:$C$300=$C82),$E$6:$E$300,$O$6:$O$300)/((N82-1)*SUMPRODUCT(--($L$6:$L$300&lt;&gt;1),--($C$6:$C$300=$C82),$E$6:$E$300)/N82))</f>
        <v>457.11495283691704</v>
      </c>
      <c r="Q82" s="2">
        <f t="shared" si="4"/>
        <v>116.83659504910759</v>
      </c>
      <c r="R82" s="2">
        <f t="shared" si="4"/>
        <v>1288.4693619331024</v>
      </c>
      <c r="S82" s="2">
        <f t="shared" si="14"/>
        <v>960.30744778227893</v>
      </c>
    </row>
    <row r="83" spans="2:19" x14ac:dyDescent="0.25">
      <c r="B83" s="10">
        <v>774</v>
      </c>
      <c r="C83" s="10">
        <v>6</v>
      </c>
      <c r="D83" s="9" t="s">
        <v>139</v>
      </c>
      <c r="E83" s="154">
        <f>INDEX('Revised 2018 Lockdown'!H$5:H$253,MATCH(B83,'Revised 2018 Lockdown'!B$5:B$253,0))</f>
        <v>457.94097362750716</v>
      </c>
      <c r="F83" s="7">
        <f>INDEX('Revised 2018 Lockdown'!E$5:E$253,MATCH(B83,'Revised 2018 Lockdown'!B$5:B$253,0))</f>
        <v>290603.45</v>
      </c>
      <c r="G83" s="7">
        <f>INDEX('Revised 2018 Lockdown'!F$5:F$253,MATCH(B83,'Revised 2018 Lockdown'!B$5:B$253,0))</f>
        <v>0</v>
      </c>
      <c r="H83" s="7">
        <f t="shared" si="8"/>
        <v>290603.45</v>
      </c>
      <c r="I83" s="6">
        <f t="shared" si="9"/>
        <v>634.58713400993724</v>
      </c>
      <c r="J83" s="6">
        <f t="shared" si="12"/>
        <v>634.58713400993724</v>
      </c>
      <c r="K83" s="5">
        <f t="shared" si="10"/>
        <v>290603.45</v>
      </c>
      <c r="L83" s="4">
        <f t="shared" si="11"/>
        <v>0</v>
      </c>
      <c r="M83" s="2" cm="1">
        <f t="array" ref="M83">SUMPRODUCT(--($L$6:$L$300&lt;&gt;1),--($C$6:$C$300=$C83),$H$6:$H$300)/SUMPRODUCT(--($L$6:$L$300&lt;&gt;1),--($C$6:$C$300=$C83),$E$6:$E$300)</f>
        <v>702.65297849110493</v>
      </c>
      <c r="N83" s="1" cm="1">
        <f t="array" ref="N83">SUMPRODUCT(--($L$6:$L$300&lt;&gt;1),--($C$6:$C$300=$C83))</f>
        <v>47</v>
      </c>
      <c r="O83" s="3">
        <f t="shared" si="13"/>
        <v>4632.9591849345061</v>
      </c>
      <c r="P83" s="2" cm="1">
        <f t="array" ref="P83">SQRT(SUMPRODUCT(--($L$6:$L$300&lt;&gt;1),--($C$6:$C$300=$C83),$E$6:$E$300,$O$6:$O$300)/((N83-1)*SUMPRODUCT(--($L$6:$L$300&lt;&gt;1),--($C$6:$C$300=$C83),$E$6:$E$300)/N83))</f>
        <v>457.11495283691704</v>
      </c>
      <c r="Q83" s="2">
        <f t="shared" si="4"/>
        <v>116.83659504910759</v>
      </c>
      <c r="R83" s="2">
        <f t="shared" si="4"/>
        <v>1288.4693619331024</v>
      </c>
      <c r="S83" s="2">
        <f t="shared" si="14"/>
        <v>634.58713400993724</v>
      </c>
    </row>
    <row r="84" spans="2:19" x14ac:dyDescent="0.25">
      <c r="B84" s="10">
        <v>794</v>
      </c>
      <c r="C84" s="10">
        <v>6</v>
      </c>
      <c r="D84" s="9" t="s">
        <v>140</v>
      </c>
      <c r="E84" s="154">
        <f>INDEX('Revised 2018 Lockdown'!H$5:H$253,MATCH(B84,'Revised 2018 Lockdown'!B$5:B$253,0))</f>
        <v>19.568200239680415</v>
      </c>
      <c r="F84" s="7">
        <f>INDEX('Revised 2018 Lockdown'!E$5:E$253,MATCH(B84,'Revised 2018 Lockdown'!B$5:B$253,0))</f>
        <v>45369.11</v>
      </c>
      <c r="G84" s="7">
        <f>INDEX('Revised 2018 Lockdown'!F$5:F$253,MATCH(B84,'Revised 2018 Lockdown'!B$5:B$253,0))</f>
        <v>0</v>
      </c>
      <c r="H84" s="7">
        <f t="shared" si="8"/>
        <v>45369.11</v>
      </c>
      <c r="I84" s="6">
        <f t="shared" si="9"/>
        <v>2318.512149523106</v>
      </c>
      <c r="J84" s="6">
        <f t="shared" si="12"/>
        <v>1288.4693619331024</v>
      </c>
      <c r="K84" s="5">
        <f t="shared" si="10"/>
        <v>25213.026477000207</v>
      </c>
      <c r="L84" s="4">
        <f t="shared" si="11"/>
        <v>0</v>
      </c>
      <c r="M84" s="2" cm="1">
        <f t="array" ref="M84">SUMPRODUCT(--($L$6:$L$300&lt;&gt;1),--($C$6:$C$300=$C84),$H$6:$H$300)/SUMPRODUCT(--($L$6:$L$300&lt;&gt;1),--($C$6:$C$300=$C84),$E$6:$E$300)</f>
        <v>702.65297849110493</v>
      </c>
      <c r="N84" s="1" cm="1">
        <f t="array" ref="N84">SUMPRODUCT(--($L$6:$L$300&lt;&gt;1),--($C$6:$C$300=$C84))</f>
        <v>47</v>
      </c>
      <c r="O84" s="3">
        <f t="shared" si="13"/>
        <v>2611000.8606082257</v>
      </c>
      <c r="P84" s="2" cm="1">
        <f t="array" ref="P84">SQRT(SUMPRODUCT(--($L$6:$L$300&lt;&gt;1),--($C$6:$C$300=$C84),$E$6:$E$300,$O$6:$O$300)/((N84-1)*SUMPRODUCT(--($L$6:$L$300&lt;&gt;1),--($C$6:$C$300=$C84),$E$6:$E$300)/N84))</f>
        <v>457.11495283691704</v>
      </c>
      <c r="Q84" s="2">
        <f t="shared" si="4"/>
        <v>116.83659504910759</v>
      </c>
      <c r="R84" s="2">
        <f t="shared" si="4"/>
        <v>1288.4693619331024</v>
      </c>
      <c r="S84" s="2">
        <f t="shared" si="14"/>
        <v>1288.4693619331024</v>
      </c>
    </row>
    <row r="85" spans="2:19" x14ac:dyDescent="0.25">
      <c r="B85" s="10">
        <v>806</v>
      </c>
      <c r="C85" s="10">
        <v>6</v>
      </c>
      <c r="D85" s="9" t="s">
        <v>141</v>
      </c>
      <c r="E85" s="154">
        <f>INDEX('Revised 2018 Lockdown'!H$5:H$253,MATCH(B85,'Revised 2018 Lockdown'!B$5:B$253,0))</f>
        <v>23.326411869078932</v>
      </c>
      <c r="F85" s="7">
        <f>INDEX('Revised 2018 Lockdown'!E$5:E$253,MATCH(B85,'Revised 2018 Lockdown'!B$5:B$253,0))</f>
        <v>37091.449999999997</v>
      </c>
      <c r="G85" s="7">
        <f>INDEX('Revised 2018 Lockdown'!F$5:F$253,MATCH(B85,'Revised 2018 Lockdown'!B$5:B$253,0))</f>
        <v>0</v>
      </c>
      <c r="H85" s="7">
        <f t="shared" si="8"/>
        <v>37091.449999999997</v>
      </c>
      <c r="I85" s="6">
        <f t="shared" si="9"/>
        <v>1590.1052509995225</v>
      </c>
      <c r="J85" s="6">
        <f t="shared" si="12"/>
        <v>1288.4693619331024</v>
      </c>
      <c r="K85" s="5">
        <f t="shared" si="10"/>
        <v>30055.367017140878</v>
      </c>
      <c r="L85" s="4">
        <f t="shared" si="11"/>
        <v>0</v>
      </c>
      <c r="M85" s="2" cm="1">
        <f t="array" ref="M85">SUMPRODUCT(--($L$6:$L$300&lt;&gt;1),--($C$6:$C$300=$C85),$H$6:$H$300)/SUMPRODUCT(--($L$6:$L$300&lt;&gt;1),--($C$6:$C$300=$C85),$E$6:$E$300)</f>
        <v>702.65297849110493</v>
      </c>
      <c r="N85" s="1" cm="1">
        <f t="array" ref="N85">SUMPRODUCT(--($L$6:$L$300&lt;&gt;1),--($C$6:$C$300=$C85))</f>
        <v>47</v>
      </c>
      <c r="O85" s="3">
        <f t="shared" si="13"/>
        <v>787571.53598035453</v>
      </c>
      <c r="P85" s="2" cm="1">
        <f t="array" ref="P85">SQRT(SUMPRODUCT(--($L$6:$L$300&lt;&gt;1),--($C$6:$C$300=$C85),$E$6:$E$300,$O$6:$O$300)/((N85-1)*SUMPRODUCT(--($L$6:$L$300&lt;&gt;1),--($C$6:$C$300=$C85),$E$6:$E$300)/N85))</f>
        <v>457.11495283691704</v>
      </c>
      <c r="Q85" s="2">
        <f t="shared" si="4"/>
        <v>116.83659504910759</v>
      </c>
      <c r="R85" s="2">
        <f t="shared" si="4"/>
        <v>1288.4693619331024</v>
      </c>
      <c r="S85" s="2">
        <f t="shared" si="14"/>
        <v>1288.4693619331024</v>
      </c>
    </row>
    <row r="86" spans="2:19" x14ac:dyDescent="0.25">
      <c r="B86" s="10">
        <v>809</v>
      </c>
      <c r="C86" s="10">
        <v>6</v>
      </c>
      <c r="D86" s="9" t="s">
        <v>318</v>
      </c>
      <c r="E86" s="154">
        <f>INDEX('Revised 2018 Lockdown'!H$5:H$253,MATCH(B86,'Revised 2018 Lockdown'!B$5:B$253,0))</f>
        <v>477.2783239455166</v>
      </c>
      <c r="F86" s="7">
        <f>INDEX('Revised 2018 Lockdown'!E$5:E$253,MATCH(B86,'Revised 2018 Lockdown'!B$5:B$253,0))</f>
        <v>497452.38</v>
      </c>
      <c r="G86" s="7">
        <f>INDEX('Revised 2018 Lockdown'!F$5:F$253,MATCH(B86,'Revised 2018 Lockdown'!B$5:B$253,0))</f>
        <v>0</v>
      </c>
      <c r="H86" s="7">
        <f t="shared" si="8"/>
        <v>497452.38</v>
      </c>
      <c r="I86" s="6">
        <f t="shared" si="9"/>
        <v>1042.2689551197518</v>
      </c>
      <c r="J86" s="6">
        <f t="shared" si="12"/>
        <v>1042.2689551197518</v>
      </c>
      <c r="K86" s="5">
        <f t="shared" si="10"/>
        <v>497452.38</v>
      </c>
      <c r="L86" s="4">
        <f t="shared" si="11"/>
        <v>0</v>
      </c>
      <c r="M86" s="2" cm="1">
        <f t="array" ref="M86">SUMPRODUCT(--($L$6:$L$300&lt;&gt;1),--($C$6:$C$300=$C86),$H$6:$H$300)/SUMPRODUCT(--($L$6:$L$300&lt;&gt;1),--($C$6:$C$300=$C86),$E$6:$E$300)</f>
        <v>702.65297849110493</v>
      </c>
      <c r="N86" s="1" cm="1">
        <f t="array" ref="N86">SUMPRODUCT(--($L$6:$L$300&lt;&gt;1),--($C$6:$C$300=$C86))</f>
        <v>47</v>
      </c>
      <c r="O86" s="3">
        <f t="shared" si="13"/>
        <v>115339.01158142962</v>
      </c>
      <c r="P86" s="2" cm="1">
        <f t="array" ref="P86">SQRT(SUMPRODUCT(--($L$6:$L$300&lt;&gt;1),--($C$6:$C$300=$C86),$E$6:$E$300,$O$6:$O$300)/((N86-1)*SUMPRODUCT(--($L$6:$L$300&lt;&gt;1),--($C$6:$C$300=$C86),$E$6:$E$300)/N86))</f>
        <v>457.11495283691704</v>
      </c>
      <c r="Q86" s="2">
        <f t="shared" si="4"/>
        <v>116.83659504910759</v>
      </c>
      <c r="R86" s="2">
        <f t="shared" si="4"/>
        <v>1288.4693619331024</v>
      </c>
      <c r="S86" s="2">
        <f t="shared" si="14"/>
        <v>1042.2689551197518</v>
      </c>
    </row>
    <row r="87" spans="2:19" x14ac:dyDescent="0.25">
      <c r="B87" s="10">
        <v>811</v>
      </c>
      <c r="C87" s="10">
        <v>6</v>
      </c>
      <c r="D87" s="9" t="s">
        <v>142</v>
      </c>
      <c r="E87" s="154">
        <f>INDEX('Revised 2018 Lockdown'!H$5:H$253,MATCH(B87,'Revised 2018 Lockdown'!B$5:B$253,0))</f>
        <v>746.28568297723302</v>
      </c>
      <c r="F87" s="7">
        <f>INDEX('Revised 2018 Lockdown'!E$5:E$253,MATCH(B87,'Revised 2018 Lockdown'!B$5:B$253,0))</f>
        <v>505579.98</v>
      </c>
      <c r="G87" s="7">
        <f>INDEX('Revised 2018 Lockdown'!F$5:F$253,MATCH(B87,'Revised 2018 Lockdown'!B$5:B$253,0))</f>
        <v>3403.13</v>
      </c>
      <c r="H87" s="7">
        <f t="shared" si="8"/>
        <v>502176.85</v>
      </c>
      <c r="I87" s="6">
        <f t="shared" si="9"/>
        <v>672.9016266218789</v>
      </c>
      <c r="J87" s="6">
        <f t="shared" si="12"/>
        <v>672.9016266218789</v>
      </c>
      <c r="K87" s="5">
        <f t="shared" si="10"/>
        <v>502176.84999999992</v>
      </c>
      <c r="L87" s="4">
        <f t="shared" si="11"/>
        <v>0</v>
      </c>
      <c r="M87" s="2" cm="1">
        <f t="array" ref="M87">SUMPRODUCT(--($L$6:$L$300&lt;&gt;1),--($C$6:$C$300=$C87),$H$6:$H$300)/SUMPRODUCT(--($L$6:$L$300&lt;&gt;1),--($C$6:$C$300=$C87),$E$6:$E$300)</f>
        <v>702.65297849110493</v>
      </c>
      <c r="N87" s="1" cm="1">
        <f t="array" ref="N87">SUMPRODUCT(--($L$6:$L$300&lt;&gt;1),--($C$6:$C$300=$C87))</f>
        <v>47</v>
      </c>
      <c r="O87" s="3">
        <f t="shared" si="13"/>
        <v>885.14293804649901</v>
      </c>
      <c r="P87" s="2" cm="1">
        <f t="array" ref="P87">SQRT(SUMPRODUCT(--($L$6:$L$300&lt;&gt;1),--($C$6:$C$300=$C87),$E$6:$E$300,$O$6:$O$300)/((N87-1)*SUMPRODUCT(--($L$6:$L$300&lt;&gt;1),--($C$6:$C$300=$C87),$E$6:$E$300)/N87))</f>
        <v>457.11495283691704</v>
      </c>
      <c r="Q87" s="2">
        <f t="shared" si="4"/>
        <v>116.83659504910759</v>
      </c>
      <c r="R87" s="2">
        <f t="shared" si="4"/>
        <v>1288.4693619331024</v>
      </c>
      <c r="S87" s="2">
        <f t="shared" si="14"/>
        <v>672.9016266218789</v>
      </c>
    </row>
    <row r="88" spans="2:19" x14ac:dyDescent="0.25">
      <c r="B88" s="10">
        <v>824</v>
      </c>
      <c r="C88" s="10">
        <v>6</v>
      </c>
      <c r="D88" s="9" t="s">
        <v>143</v>
      </c>
      <c r="E88" s="154">
        <f>INDEX('Revised 2018 Lockdown'!H$5:H$253,MATCH(B88,'Revised 2018 Lockdown'!B$5:B$253,0))</f>
        <v>35.809199999999997</v>
      </c>
      <c r="F88" s="7">
        <f>INDEX('Revised 2018 Lockdown'!E$5:E$253,MATCH(B88,'Revised 2018 Lockdown'!B$5:B$253,0))</f>
        <v>54369.59</v>
      </c>
      <c r="G88" s="7">
        <f>INDEX('Revised 2018 Lockdown'!F$5:F$253,MATCH(B88,'Revised 2018 Lockdown'!B$5:B$253,0))</f>
        <v>0</v>
      </c>
      <c r="H88" s="7">
        <f t="shared" si="8"/>
        <v>54369.59</v>
      </c>
      <c r="I88" s="6">
        <f t="shared" si="9"/>
        <v>1518.3134501748154</v>
      </c>
      <c r="J88" s="6">
        <f t="shared" si="12"/>
        <v>1288.4693619331024</v>
      </c>
      <c r="K88" s="5">
        <f t="shared" si="10"/>
        <v>46139.057075334844</v>
      </c>
      <c r="L88" s="4">
        <f t="shared" si="11"/>
        <v>0</v>
      </c>
      <c r="M88" s="2" cm="1">
        <f t="array" ref="M88">SUMPRODUCT(--($L$6:$L$300&lt;&gt;1),--($C$6:$C$300=$C88),$H$6:$H$300)/SUMPRODUCT(--($L$6:$L$300&lt;&gt;1),--($C$6:$C$300=$C88),$E$6:$E$300)</f>
        <v>702.65297849110493</v>
      </c>
      <c r="N88" s="1" cm="1">
        <f t="array" ref="N88">SUMPRODUCT(--($L$6:$L$300&lt;&gt;1),--($C$6:$C$300=$C88))</f>
        <v>47</v>
      </c>
      <c r="O88" s="3">
        <f t="shared" si="13"/>
        <v>665302.00506729307</v>
      </c>
      <c r="P88" s="2" cm="1">
        <f t="array" ref="P88">SQRT(SUMPRODUCT(--($L$6:$L$300&lt;&gt;1),--($C$6:$C$300=$C88),$E$6:$E$300,$O$6:$O$300)/((N88-1)*SUMPRODUCT(--($L$6:$L$300&lt;&gt;1),--($C$6:$C$300=$C88),$E$6:$E$300)/N88))</f>
        <v>457.11495283691704</v>
      </c>
      <c r="Q88" s="2">
        <f t="shared" si="4"/>
        <v>116.83659504910759</v>
      </c>
      <c r="R88" s="2">
        <f t="shared" si="4"/>
        <v>1288.4693619331024</v>
      </c>
      <c r="S88" s="2">
        <f t="shared" si="14"/>
        <v>1288.4693619331024</v>
      </c>
    </row>
    <row r="89" spans="2:19" x14ac:dyDescent="0.25">
      <c r="B89" s="10">
        <v>826</v>
      </c>
      <c r="C89" s="10">
        <v>6</v>
      </c>
      <c r="D89" s="9" t="s">
        <v>144</v>
      </c>
      <c r="E89" s="154">
        <f>INDEX('Revised 2018 Lockdown'!H$5:H$253,MATCH(B89,'Revised 2018 Lockdown'!B$5:B$253,0))</f>
        <v>41.71</v>
      </c>
      <c r="F89" s="7">
        <f>INDEX('Revised 2018 Lockdown'!E$5:E$253,MATCH(B89,'Revised 2018 Lockdown'!B$5:B$253,0))</f>
        <v>33872.559999999998</v>
      </c>
      <c r="G89" s="7">
        <f>INDEX('Revised 2018 Lockdown'!F$5:F$253,MATCH(B89,'Revised 2018 Lockdown'!B$5:B$253,0))</f>
        <v>0</v>
      </c>
      <c r="H89" s="7">
        <f t="shared" si="8"/>
        <v>33872.559999999998</v>
      </c>
      <c r="I89" s="6">
        <f t="shared" si="9"/>
        <v>812.09685926636291</v>
      </c>
      <c r="J89" s="6">
        <f t="shared" si="12"/>
        <v>812.09685926636291</v>
      </c>
      <c r="K89" s="5">
        <f t="shared" si="10"/>
        <v>33872.559999999998</v>
      </c>
      <c r="L89" s="4">
        <f t="shared" si="11"/>
        <v>0</v>
      </c>
      <c r="M89" s="2" cm="1">
        <f t="array" ref="M89">SUMPRODUCT(--($L$6:$L$300&lt;&gt;1),--($C$6:$C$300=$C89),$H$6:$H$300)/SUMPRODUCT(--($L$6:$L$300&lt;&gt;1),--($C$6:$C$300=$C89),$E$6:$E$300)</f>
        <v>702.65297849110493</v>
      </c>
      <c r="N89" s="1" cm="1">
        <f t="array" ref="N89">SUMPRODUCT(--($L$6:$L$300&lt;&gt;1),--($C$6:$C$300=$C89))</f>
        <v>47</v>
      </c>
      <c r="O89" s="3">
        <f t="shared" si="13"/>
        <v>11977.963039148883</v>
      </c>
      <c r="P89" s="2" cm="1">
        <f t="array" ref="P89">SQRT(SUMPRODUCT(--($L$6:$L$300&lt;&gt;1),--($C$6:$C$300=$C89),$E$6:$E$300,$O$6:$O$300)/((N89-1)*SUMPRODUCT(--($L$6:$L$300&lt;&gt;1),--($C$6:$C$300=$C89),$E$6:$E$300)/N89))</f>
        <v>457.11495283691704</v>
      </c>
      <c r="Q89" s="2">
        <f t="shared" si="4"/>
        <v>116.83659504910759</v>
      </c>
      <c r="R89" s="2">
        <f t="shared" si="4"/>
        <v>1288.4693619331024</v>
      </c>
      <c r="S89" s="2">
        <f t="shared" si="14"/>
        <v>812.09685926636291</v>
      </c>
    </row>
    <row r="90" spans="2:19" x14ac:dyDescent="0.25">
      <c r="B90" s="10">
        <v>840</v>
      </c>
      <c r="C90" s="10">
        <v>6</v>
      </c>
      <c r="D90" s="9" t="s">
        <v>145</v>
      </c>
      <c r="E90" s="154">
        <f>INDEX('Revised 2018 Lockdown'!H$5:H$253,MATCH(B90,'Revised 2018 Lockdown'!B$5:B$253,0))</f>
        <v>161.72</v>
      </c>
      <c r="F90" s="7">
        <f>INDEX('Revised 2018 Lockdown'!E$5:E$253,MATCH(B90,'Revised 2018 Lockdown'!B$5:B$253,0))</f>
        <v>88518.53</v>
      </c>
      <c r="G90" s="7">
        <f>INDEX('Revised 2018 Lockdown'!F$5:F$253,MATCH(B90,'Revised 2018 Lockdown'!B$5:B$253,0))</f>
        <v>0</v>
      </c>
      <c r="H90" s="7">
        <f t="shared" si="8"/>
        <v>88518.53</v>
      </c>
      <c r="I90" s="6">
        <f t="shared" si="9"/>
        <v>547.35672767746723</v>
      </c>
      <c r="J90" s="6">
        <f t="shared" si="12"/>
        <v>547.35672767746723</v>
      </c>
      <c r="K90" s="5">
        <f t="shared" si="10"/>
        <v>88518.53</v>
      </c>
      <c r="L90" s="4">
        <f t="shared" si="11"/>
        <v>0</v>
      </c>
      <c r="M90" s="2" cm="1">
        <f t="array" ref="M90">SUMPRODUCT(--($L$6:$L$300&lt;&gt;1),--($C$6:$C$300=$C90),$H$6:$H$300)/SUMPRODUCT(--($L$6:$L$300&lt;&gt;1),--($C$6:$C$300=$C90),$E$6:$E$300)</f>
        <v>702.65297849110493</v>
      </c>
      <c r="N90" s="1" cm="1">
        <f t="array" ref="N90">SUMPRODUCT(--($L$6:$L$300&lt;&gt;1),--($C$6:$C$300=$C90))</f>
        <v>47</v>
      </c>
      <c r="O90" s="3">
        <f t="shared" si="13"/>
        <v>24116.925516772266</v>
      </c>
      <c r="P90" s="2" cm="1">
        <f t="array" ref="P90">SQRT(SUMPRODUCT(--($L$6:$L$300&lt;&gt;1),--($C$6:$C$300=$C90),$E$6:$E$300,$O$6:$O$300)/((N90-1)*SUMPRODUCT(--($L$6:$L$300&lt;&gt;1),--($C$6:$C$300=$C90),$E$6:$E$300)/N90))</f>
        <v>457.11495283691704</v>
      </c>
      <c r="Q90" s="2">
        <f t="shared" si="4"/>
        <v>116.83659504910759</v>
      </c>
      <c r="R90" s="2">
        <f t="shared" si="4"/>
        <v>1288.4693619331024</v>
      </c>
      <c r="S90" s="2">
        <f t="shared" si="14"/>
        <v>547.35672767746723</v>
      </c>
    </row>
    <row r="91" spans="2:19" x14ac:dyDescent="0.25">
      <c r="B91" s="10">
        <v>843</v>
      </c>
      <c r="C91" s="10">
        <v>6</v>
      </c>
      <c r="D91" s="9" t="s">
        <v>146</v>
      </c>
      <c r="E91" s="154">
        <f>INDEX('Revised 2018 Lockdown'!H$5:H$253,MATCH(B91,'Revised 2018 Lockdown'!B$5:B$253,0))</f>
        <v>19.13961999514169</v>
      </c>
      <c r="F91" s="7">
        <f>INDEX('Revised 2018 Lockdown'!E$5:E$253,MATCH(B91,'Revised 2018 Lockdown'!B$5:B$253,0))</f>
        <v>32653.86</v>
      </c>
      <c r="G91" s="7">
        <f>INDEX('Revised 2018 Lockdown'!F$5:F$253,MATCH(B91,'Revised 2018 Lockdown'!B$5:B$253,0))</f>
        <v>0</v>
      </c>
      <c r="H91" s="7">
        <f t="shared" si="8"/>
        <v>32653.86</v>
      </c>
      <c r="I91" s="6">
        <f t="shared" si="9"/>
        <v>1706.0871641280601</v>
      </c>
      <c r="J91" s="6">
        <f t="shared" si="12"/>
        <v>1288.4693619331024</v>
      </c>
      <c r="K91" s="5">
        <f t="shared" si="10"/>
        <v>24660.81396278226</v>
      </c>
      <c r="L91" s="4">
        <f t="shared" si="11"/>
        <v>0</v>
      </c>
      <c r="M91" s="2" cm="1">
        <f t="array" ref="M91">SUMPRODUCT(--($L$6:$L$300&lt;&gt;1),--($C$6:$C$300=$C91),$H$6:$H$300)/SUMPRODUCT(--($L$6:$L$300&lt;&gt;1),--($C$6:$C$300=$C91),$E$6:$E$300)</f>
        <v>702.65297849110493</v>
      </c>
      <c r="N91" s="1" cm="1">
        <f t="array" ref="N91">SUMPRODUCT(--($L$6:$L$300&lt;&gt;1),--($C$6:$C$300=$C91))</f>
        <v>47</v>
      </c>
      <c r="O91" s="3">
        <f t="shared" si="13"/>
        <v>1006880.1649048993</v>
      </c>
      <c r="P91" s="2" cm="1">
        <f t="array" ref="P91">SQRT(SUMPRODUCT(--($L$6:$L$300&lt;&gt;1),--($C$6:$C$300=$C91),$E$6:$E$300,$O$6:$O$300)/((N91-1)*SUMPRODUCT(--($L$6:$L$300&lt;&gt;1),--($C$6:$C$300=$C91),$E$6:$E$300)/N91))</f>
        <v>457.11495283691704</v>
      </c>
      <c r="Q91" s="2">
        <f t="shared" si="4"/>
        <v>116.83659504910759</v>
      </c>
      <c r="R91" s="2">
        <f t="shared" si="4"/>
        <v>1288.4693619331024</v>
      </c>
      <c r="S91" s="2">
        <f t="shared" si="14"/>
        <v>1288.4693619331024</v>
      </c>
    </row>
    <row r="92" spans="2:19" x14ac:dyDescent="0.25">
      <c r="B92" s="10">
        <v>846</v>
      </c>
      <c r="C92" s="10">
        <v>6</v>
      </c>
      <c r="D92" s="9" t="s">
        <v>147</v>
      </c>
      <c r="E92" s="154">
        <f>INDEX('Revised 2018 Lockdown'!H$5:H$253,MATCH(B92,'Revised 2018 Lockdown'!B$5:B$253,0))</f>
        <v>24.91</v>
      </c>
      <c r="F92" s="7">
        <f>INDEX('Revised 2018 Lockdown'!E$5:E$253,MATCH(B92,'Revised 2018 Lockdown'!B$5:B$253,0))</f>
        <v>42522.03</v>
      </c>
      <c r="G92" s="7">
        <f>INDEX('Revised 2018 Lockdown'!F$5:F$253,MATCH(B92,'Revised 2018 Lockdown'!B$5:B$253,0))</f>
        <v>0</v>
      </c>
      <c r="H92" s="7">
        <f t="shared" si="8"/>
        <v>42522.03</v>
      </c>
      <c r="I92" s="6">
        <f t="shared" si="9"/>
        <v>1707.0264953833801</v>
      </c>
      <c r="J92" s="6">
        <f t="shared" si="12"/>
        <v>1288.4693619331024</v>
      </c>
      <c r="K92" s="5">
        <f t="shared" si="10"/>
        <v>32095.771805753582</v>
      </c>
      <c r="L92" s="4">
        <f t="shared" si="11"/>
        <v>0</v>
      </c>
      <c r="M92" s="2" cm="1">
        <f t="array" ref="M92">SUMPRODUCT(--($L$6:$L$300&lt;&gt;1),--($C$6:$C$300=$C92),$H$6:$H$300)/SUMPRODUCT(--($L$6:$L$300&lt;&gt;1),--($C$6:$C$300=$C92),$E$6:$E$300)</f>
        <v>702.65297849110493</v>
      </c>
      <c r="N92" s="1" cm="1">
        <f t="array" ref="N92">SUMPRODUCT(--($L$6:$L$300&lt;&gt;1),--($C$6:$C$300=$C92))</f>
        <v>47</v>
      </c>
      <c r="O92" s="3">
        <f t="shared" si="13"/>
        <v>1008766.1614345573</v>
      </c>
      <c r="P92" s="2" cm="1">
        <f t="array" ref="P92">SQRT(SUMPRODUCT(--($L$6:$L$300&lt;&gt;1),--($C$6:$C$300=$C92),$E$6:$E$300,$O$6:$O$300)/((N92-1)*SUMPRODUCT(--($L$6:$L$300&lt;&gt;1),--($C$6:$C$300=$C92),$E$6:$E$300)/N92))</f>
        <v>457.11495283691704</v>
      </c>
      <c r="Q92" s="2">
        <f t="shared" si="4"/>
        <v>116.83659504910759</v>
      </c>
      <c r="R92" s="2">
        <f t="shared" si="4"/>
        <v>1288.4693619331024</v>
      </c>
      <c r="S92" s="2">
        <f t="shared" si="14"/>
        <v>1288.4693619331024</v>
      </c>
    </row>
    <row r="93" spans="2:19" x14ac:dyDescent="0.25">
      <c r="B93" s="10">
        <v>888</v>
      </c>
      <c r="C93" s="10">
        <v>6</v>
      </c>
      <c r="D93" s="9" t="s">
        <v>148</v>
      </c>
      <c r="E93" s="154">
        <f>INDEX('Revised 2018 Lockdown'!H$5:H$253,MATCH(B93,'Revised 2018 Lockdown'!B$5:B$253,0))</f>
        <v>110.31234724977445</v>
      </c>
      <c r="F93" s="7">
        <f>INDEX('Revised 2018 Lockdown'!E$5:E$253,MATCH(B93,'Revised 2018 Lockdown'!B$5:B$253,0))</f>
        <v>48959.88</v>
      </c>
      <c r="G93" s="7">
        <f>INDEX('Revised 2018 Lockdown'!F$5:F$253,MATCH(B93,'Revised 2018 Lockdown'!B$5:B$253,0))</f>
        <v>0</v>
      </c>
      <c r="H93" s="7">
        <f t="shared" si="8"/>
        <v>48959.88</v>
      </c>
      <c r="I93" s="6">
        <f t="shared" si="9"/>
        <v>443.82955508273898</v>
      </c>
      <c r="J93" s="6">
        <f t="shared" si="12"/>
        <v>443.82955508273898</v>
      </c>
      <c r="K93" s="5">
        <f t="shared" si="10"/>
        <v>48959.88</v>
      </c>
      <c r="L93" s="4">
        <f t="shared" si="11"/>
        <v>0</v>
      </c>
      <c r="M93" s="2" cm="1">
        <f t="array" ref="M93">SUMPRODUCT(--($L$6:$L$300&lt;&gt;1),--($C$6:$C$300=$C93),$H$6:$H$300)/SUMPRODUCT(--($L$6:$L$300&lt;&gt;1),--($C$6:$C$300=$C93),$E$6:$E$300)</f>
        <v>702.65297849110493</v>
      </c>
      <c r="N93" s="1" cm="1">
        <f t="array" ref="N93">SUMPRODUCT(--($L$6:$L$300&lt;&gt;1),--($C$6:$C$300=$C93))</f>
        <v>47</v>
      </c>
      <c r="O93" s="3">
        <f t="shared" si="13"/>
        <v>66989.564504826281</v>
      </c>
      <c r="P93" s="2" cm="1">
        <f t="array" ref="P93">SQRT(SUMPRODUCT(--($L$6:$L$300&lt;&gt;1),--($C$6:$C$300=$C93),$E$6:$E$300,$O$6:$O$300)/((N93-1)*SUMPRODUCT(--($L$6:$L$300&lt;&gt;1),--($C$6:$C$300=$C93),$E$6:$E$300)/N93))</f>
        <v>457.11495283691704</v>
      </c>
      <c r="Q93" s="2">
        <f t="shared" si="4"/>
        <v>116.83659504910759</v>
      </c>
      <c r="R93" s="2">
        <f t="shared" si="4"/>
        <v>1288.4693619331024</v>
      </c>
      <c r="S93" s="2">
        <f t="shared" si="14"/>
        <v>443.82955508273898</v>
      </c>
    </row>
    <row r="94" spans="2:19" x14ac:dyDescent="0.25">
      <c r="B94" s="10">
        <v>889</v>
      </c>
      <c r="C94" s="10">
        <v>6</v>
      </c>
      <c r="D94" s="9" t="s">
        <v>149</v>
      </c>
      <c r="E94" s="154">
        <f>INDEX('Revised 2018 Lockdown'!H$5:H$253,MATCH(B94,'Revised 2018 Lockdown'!B$5:B$253,0))</f>
        <v>36.972175568059775</v>
      </c>
      <c r="F94" s="7">
        <f>INDEX('Revised 2018 Lockdown'!E$5:E$253,MATCH(B94,'Revised 2018 Lockdown'!B$5:B$253,0))</f>
        <v>50376.82</v>
      </c>
      <c r="G94" s="7">
        <f>INDEX('Revised 2018 Lockdown'!F$5:F$253,MATCH(B94,'Revised 2018 Lockdown'!B$5:B$253,0))</f>
        <v>0</v>
      </c>
      <c r="H94" s="7">
        <f t="shared" si="8"/>
        <v>50376.82</v>
      </c>
      <c r="I94" s="6">
        <f t="shared" si="9"/>
        <v>1362.5603369556777</v>
      </c>
      <c r="J94" s="6">
        <f t="shared" si="12"/>
        <v>1288.4693619331024</v>
      </c>
      <c r="K94" s="5">
        <f t="shared" si="10"/>
        <v>47637.515463456613</v>
      </c>
      <c r="L94" s="4">
        <f t="shared" si="11"/>
        <v>0</v>
      </c>
      <c r="M94" s="2" cm="1">
        <f t="array" ref="M94">SUMPRODUCT(--($L$6:$L$300&lt;&gt;1),--($C$6:$C$300=$C94),$H$6:$H$300)/SUMPRODUCT(--($L$6:$L$300&lt;&gt;1),--($C$6:$C$300=$C94),$E$6:$E$300)</f>
        <v>702.65297849110493</v>
      </c>
      <c r="N94" s="1" cm="1">
        <f t="array" ref="N94">SUMPRODUCT(--($L$6:$L$300&lt;&gt;1),--($C$6:$C$300=$C94))</f>
        <v>47</v>
      </c>
      <c r="O94" s="3">
        <f t="shared" si="13"/>
        <v>435477.72175569017</v>
      </c>
      <c r="P94" s="2" cm="1">
        <f t="array" ref="P94">SQRT(SUMPRODUCT(--($L$6:$L$300&lt;&gt;1),--($C$6:$C$300=$C94),$E$6:$E$300,$O$6:$O$300)/((N94-1)*SUMPRODUCT(--($L$6:$L$300&lt;&gt;1),--($C$6:$C$300=$C94),$E$6:$E$300)/N94))</f>
        <v>457.11495283691704</v>
      </c>
      <c r="Q94" s="2">
        <f t="shared" si="4"/>
        <v>116.83659504910759</v>
      </c>
      <c r="R94" s="2">
        <f t="shared" si="4"/>
        <v>1288.4693619331024</v>
      </c>
      <c r="S94" s="2">
        <f t="shared" si="14"/>
        <v>1288.4693619331024</v>
      </c>
    </row>
    <row r="95" spans="2:19" x14ac:dyDescent="0.25">
      <c r="B95" s="10">
        <v>891</v>
      </c>
      <c r="C95" s="10">
        <v>6</v>
      </c>
      <c r="D95" s="9" t="s">
        <v>150</v>
      </c>
      <c r="E95" s="154">
        <f>INDEX('Revised 2018 Lockdown'!H$5:H$253,MATCH(B95,'Revised 2018 Lockdown'!B$5:B$253,0))</f>
        <v>291.67983388429468</v>
      </c>
      <c r="F95" s="7">
        <f>INDEX('Revised 2018 Lockdown'!E$5:E$253,MATCH(B95,'Revised 2018 Lockdown'!B$5:B$253,0))</f>
        <v>78385.320000000007</v>
      </c>
      <c r="G95" s="7">
        <f>INDEX('Revised 2018 Lockdown'!F$5:F$253,MATCH(B95,'Revised 2018 Lockdown'!B$5:B$253,0))</f>
        <v>0</v>
      </c>
      <c r="H95" s="7">
        <f t="shared" si="8"/>
        <v>78385.320000000007</v>
      </c>
      <c r="I95" s="6">
        <f t="shared" si="9"/>
        <v>268.73753648356222</v>
      </c>
      <c r="J95" s="6">
        <f t="shared" si="12"/>
        <v>268.73753648356222</v>
      </c>
      <c r="K95" s="5">
        <f t="shared" si="10"/>
        <v>78385.320000000007</v>
      </c>
      <c r="L95" s="4">
        <f t="shared" si="11"/>
        <v>0</v>
      </c>
      <c r="M95" s="2" cm="1">
        <f t="array" ref="M95">SUMPRODUCT(--($L$6:$L$300&lt;&gt;1),--($C$6:$C$300=$C95),$H$6:$H$300)/SUMPRODUCT(--($L$6:$L$300&lt;&gt;1),--($C$6:$C$300=$C95),$E$6:$E$300)</f>
        <v>702.65297849110493</v>
      </c>
      <c r="N95" s="1" cm="1">
        <f t="array" ref="N95">SUMPRODUCT(--($L$6:$L$300&lt;&gt;1),--($C$6:$C$300=$C95))</f>
        <v>47</v>
      </c>
      <c r="O95" s="3">
        <f t="shared" si="13"/>
        <v>188282.61081260117</v>
      </c>
      <c r="P95" s="2" cm="1">
        <f t="array" ref="P95">SQRT(SUMPRODUCT(--($L$6:$L$300&lt;&gt;1),--($C$6:$C$300=$C95),$E$6:$E$300,$O$6:$O$300)/((N95-1)*SUMPRODUCT(--($L$6:$L$300&lt;&gt;1),--($C$6:$C$300=$C95),$E$6:$E$300)/N95))</f>
        <v>457.11495283691704</v>
      </c>
      <c r="Q95" s="2">
        <f t="shared" si="4"/>
        <v>116.83659504910759</v>
      </c>
      <c r="R95" s="2">
        <f t="shared" si="4"/>
        <v>1288.4693619331024</v>
      </c>
      <c r="S95" s="2">
        <f t="shared" si="14"/>
        <v>268.73753648356222</v>
      </c>
    </row>
    <row r="96" spans="2:19" x14ac:dyDescent="0.25">
      <c r="B96" s="10">
        <v>897</v>
      </c>
      <c r="C96" s="10">
        <v>6</v>
      </c>
      <c r="D96" s="9" t="s">
        <v>260</v>
      </c>
      <c r="E96" s="154">
        <f>INDEX('Revised 2018 Lockdown'!H$5:H$253,MATCH(B96,'Revised 2018 Lockdown'!B$5:B$253,0))</f>
        <v>75.298454997553264</v>
      </c>
      <c r="F96" s="7">
        <f>INDEX('Revised 2018 Lockdown'!E$5:E$253,MATCH(B96,'Revised 2018 Lockdown'!B$5:B$253,0))</f>
        <v>296933.44</v>
      </c>
      <c r="G96" s="7">
        <f>INDEX('Revised 2018 Lockdown'!F$5:F$253,MATCH(B96,'Revised 2018 Lockdown'!B$5:B$253,0))</f>
        <v>119</v>
      </c>
      <c r="H96" s="7">
        <f t="shared" si="8"/>
        <v>296814.44</v>
      </c>
      <c r="I96" s="6">
        <f t="shared" si="9"/>
        <v>3941.8397098538694</v>
      </c>
      <c r="J96" s="6">
        <f t="shared" si="12"/>
        <v>1288.4693619331024</v>
      </c>
      <c r="K96" s="5">
        <f t="shared" si="10"/>
        <v>97019.752265245887</v>
      </c>
      <c r="L96" s="4">
        <f t="shared" si="11"/>
        <v>0</v>
      </c>
      <c r="M96" s="2" cm="1">
        <f t="array" ref="M96">SUMPRODUCT(--($L$6:$L$300&lt;&gt;1),--($C$6:$C$300=$C96),$H$6:$H$300)/SUMPRODUCT(--($L$6:$L$300&lt;&gt;1),--($C$6:$C$300=$C96),$E$6:$E$300)</f>
        <v>702.65297849110493</v>
      </c>
      <c r="N96" s="1" cm="1">
        <f t="array" ref="N96">SUMPRODUCT(--($L$6:$L$300&lt;&gt;1),--($C$6:$C$300=$C96))</f>
        <v>47</v>
      </c>
      <c r="O96" s="3">
        <f t="shared" si="13"/>
        <v>10492330.68063659</v>
      </c>
      <c r="P96" s="2" cm="1">
        <f t="array" ref="P96">SQRT(SUMPRODUCT(--($L$6:$L$300&lt;&gt;1),--($C$6:$C$300=$C96),$E$6:$E$300,$O$6:$O$300)/((N96-1)*SUMPRODUCT(--($L$6:$L$300&lt;&gt;1),--($C$6:$C$300=$C96),$E$6:$E$300)/N96))</f>
        <v>457.11495283691704</v>
      </c>
      <c r="Q96" s="2">
        <f t="shared" si="4"/>
        <v>116.83659504910759</v>
      </c>
      <c r="R96" s="2">
        <f t="shared" si="4"/>
        <v>1288.4693619331024</v>
      </c>
      <c r="S96" s="2">
        <f t="shared" si="14"/>
        <v>1288.4693619331024</v>
      </c>
    </row>
    <row r="97" spans="2:19" x14ac:dyDescent="0.25">
      <c r="B97" s="10">
        <v>904</v>
      </c>
      <c r="C97" s="10">
        <v>6</v>
      </c>
      <c r="D97" s="9" t="s">
        <v>151</v>
      </c>
      <c r="E97" s="154">
        <f>INDEX('Revised 2018 Lockdown'!H$5:H$253,MATCH(B97,'Revised 2018 Lockdown'!B$5:B$253,0))</f>
        <v>26.962939668155855</v>
      </c>
      <c r="F97" s="7">
        <f>INDEX('Revised 2018 Lockdown'!E$5:E$253,MATCH(B97,'Revised 2018 Lockdown'!B$5:B$253,0))</f>
        <v>14117.02</v>
      </c>
      <c r="G97" s="7">
        <f>INDEX('Revised 2018 Lockdown'!F$5:F$253,MATCH(B97,'Revised 2018 Lockdown'!B$5:B$253,0))</f>
        <v>0</v>
      </c>
      <c r="H97" s="7">
        <f t="shared" si="8"/>
        <v>14117.02</v>
      </c>
      <c r="I97" s="6">
        <f t="shared" si="9"/>
        <v>523.57124904569218</v>
      </c>
      <c r="J97" s="6">
        <f t="shared" si="12"/>
        <v>523.57124904569218</v>
      </c>
      <c r="K97" s="5">
        <f t="shared" si="10"/>
        <v>14117.020000000002</v>
      </c>
      <c r="L97" s="4">
        <f t="shared" si="11"/>
        <v>0</v>
      </c>
      <c r="M97" s="2" cm="1">
        <f t="array" ref="M97">SUMPRODUCT(--($L$6:$L$300&lt;&gt;1),--($C$6:$C$300=$C97),$H$6:$H$300)/SUMPRODUCT(--($L$6:$L$300&lt;&gt;1),--($C$6:$C$300=$C97),$E$6:$E$300)</f>
        <v>702.65297849110493</v>
      </c>
      <c r="N97" s="1" cm="1">
        <f t="array" ref="N97">SUMPRODUCT(--($L$6:$L$300&lt;&gt;1),--($C$6:$C$300=$C97))</f>
        <v>47</v>
      </c>
      <c r="O97" s="3">
        <f t="shared" si="13"/>
        <v>32070.26582116001</v>
      </c>
      <c r="P97" s="2" cm="1">
        <f t="array" ref="P97">SQRT(SUMPRODUCT(--($L$6:$L$300&lt;&gt;1),--($C$6:$C$300=$C97),$E$6:$E$300,$O$6:$O$300)/((N97-1)*SUMPRODUCT(--($L$6:$L$300&lt;&gt;1),--($C$6:$C$300=$C97),$E$6:$E$300)/N97))</f>
        <v>457.11495283691704</v>
      </c>
      <c r="Q97" s="2">
        <f t="shared" si="4"/>
        <v>116.83659504910759</v>
      </c>
      <c r="R97" s="2">
        <f t="shared" si="4"/>
        <v>1288.4693619331024</v>
      </c>
      <c r="S97" s="2">
        <f t="shared" si="14"/>
        <v>523.57124904569218</v>
      </c>
    </row>
    <row r="98" spans="2:19" ht="28.55" x14ac:dyDescent="0.25">
      <c r="B98" s="10">
        <v>906</v>
      </c>
      <c r="C98" s="10">
        <v>6</v>
      </c>
      <c r="D98" s="9" t="s">
        <v>320</v>
      </c>
      <c r="E98" s="154">
        <f>INDEX('Revised 2018 Lockdown'!H$5:H$253,MATCH(B98,'Revised 2018 Lockdown'!B$5:B$253,0))</f>
        <v>185.1</v>
      </c>
      <c r="F98" s="7">
        <f>INDEX('Revised 2018 Lockdown'!E$5:E$253,MATCH(B98,'Revised 2018 Lockdown'!B$5:B$253,0))</f>
        <v>215485.97</v>
      </c>
      <c r="G98" s="7">
        <f>INDEX('Revised 2018 Lockdown'!F$5:F$253,MATCH(B98,'Revised 2018 Lockdown'!B$5:B$253,0))</f>
        <v>29.22</v>
      </c>
      <c r="H98" s="7">
        <f t="shared" si="8"/>
        <v>215456.75</v>
      </c>
      <c r="I98" s="6">
        <f t="shared" si="9"/>
        <v>1164.0018908698</v>
      </c>
      <c r="J98" s="6">
        <f t="shared" si="12"/>
        <v>1164.0018908698</v>
      </c>
      <c r="K98" s="5">
        <f t="shared" si="10"/>
        <v>215456.74999999997</v>
      </c>
      <c r="L98" s="4">
        <f t="shared" si="11"/>
        <v>0</v>
      </c>
      <c r="M98" s="2" cm="1">
        <f t="array" ref="M98">SUMPRODUCT(--($L$6:$L$300&lt;&gt;1),--($C$6:$C$300=$C98),$H$6:$H$300)/SUMPRODUCT(--($L$6:$L$300&lt;&gt;1),--($C$6:$C$300=$C98),$E$6:$E$300)</f>
        <v>702.65297849110493</v>
      </c>
      <c r="N98" s="1" cm="1">
        <f t="array" ref="N98">SUMPRODUCT(--($L$6:$L$300&lt;&gt;1),--($C$6:$C$300=$C98))</f>
        <v>47</v>
      </c>
      <c r="O98" s="3">
        <f t="shared" si="13"/>
        <v>212842.8189530049</v>
      </c>
      <c r="P98" s="2" cm="1">
        <f t="array" ref="P98">SQRT(SUMPRODUCT(--($L$6:$L$300&lt;&gt;1),--($C$6:$C$300=$C98),$E$6:$E$300,$O$6:$O$300)/((N98-1)*SUMPRODUCT(--($L$6:$L$300&lt;&gt;1),--($C$6:$C$300=$C98),$E$6:$E$300)/N98))</f>
        <v>457.11495283691704</v>
      </c>
      <c r="Q98" s="2">
        <f t="shared" si="4"/>
        <v>116.83659504910759</v>
      </c>
      <c r="R98" s="2">
        <f t="shared" si="4"/>
        <v>1288.4693619331024</v>
      </c>
      <c r="S98" s="2">
        <f t="shared" si="14"/>
        <v>1164.0018908698</v>
      </c>
    </row>
    <row r="99" spans="2:19" x14ac:dyDescent="0.25">
      <c r="B99" s="10">
        <v>917</v>
      </c>
      <c r="C99" s="10">
        <v>6</v>
      </c>
      <c r="D99" s="9" t="s">
        <v>153</v>
      </c>
      <c r="E99" s="154">
        <f>INDEX('Revised 2018 Lockdown'!H$5:H$253,MATCH(B99,'Revised 2018 Lockdown'!B$5:B$253,0))</f>
        <v>98.170300891747573</v>
      </c>
      <c r="F99" s="7">
        <f>INDEX('Revised 2018 Lockdown'!E$5:E$253,MATCH(B99,'Revised 2018 Lockdown'!B$5:B$253,0))</f>
        <v>54501.95</v>
      </c>
      <c r="G99" s="7">
        <f>INDEX('Revised 2018 Lockdown'!F$5:F$253,MATCH(B99,'Revised 2018 Lockdown'!B$5:B$253,0))</f>
        <v>0</v>
      </c>
      <c r="H99" s="7">
        <f t="shared" si="8"/>
        <v>54501.95</v>
      </c>
      <c r="I99" s="6">
        <f t="shared" si="9"/>
        <v>555.17757921613497</v>
      </c>
      <c r="J99" s="6">
        <f t="shared" si="12"/>
        <v>555.17757921613497</v>
      </c>
      <c r="K99" s="5">
        <f t="shared" si="10"/>
        <v>54501.95</v>
      </c>
      <c r="L99" s="4">
        <f t="shared" si="11"/>
        <v>0</v>
      </c>
      <c r="M99" s="2" cm="1">
        <f t="array" ref="M99">SUMPRODUCT(--($L$6:$L$300&lt;&gt;1),--($C$6:$C$300=$C99),$H$6:$H$300)/SUMPRODUCT(--($L$6:$L$300&lt;&gt;1),--($C$6:$C$300=$C99),$E$6:$E$300)</f>
        <v>702.65297849110493</v>
      </c>
      <c r="N99" s="1" cm="1">
        <f t="array" ref="N99">SUMPRODUCT(--($L$6:$L$300&lt;&gt;1),--($C$6:$C$300=$C99))</f>
        <v>47</v>
      </c>
      <c r="O99" s="3">
        <f t="shared" si="13"/>
        <v>21748.993391311811</v>
      </c>
      <c r="P99" s="2" cm="1">
        <f t="array" ref="P99">SQRT(SUMPRODUCT(--($L$6:$L$300&lt;&gt;1),--($C$6:$C$300=$C99),$E$6:$E$300,$O$6:$O$300)/((N99-1)*SUMPRODUCT(--($L$6:$L$300&lt;&gt;1),--($C$6:$C$300=$C99),$E$6:$E$300)/N99))</f>
        <v>457.11495283691704</v>
      </c>
      <c r="Q99" s="2">
        <f t="shared" si="4"/>
        <v>116.83659504910759</v>
      </c>
      <c r="R99" s="2">
        <f t="shared" si="4"/>
        <v>1288.4693619331024</v>
      </c>
      <c r="S99" s="2">
        <f t="shared" si="14"/>
        <v>555.17757921613497</v>
      </c>
    </row>
    <row r="100" spans="2:19" x14ac:dyDescent="0.25">
      <c r="B100" s="10">
        <v>957</v>
      </c>
      <c r="C100" s="10">
        <v>6</v>
      </c>
      <c r="D100" s="9" t="s">
        <v>154</v>
      </c>
      <c r="E100" s="154">
        <f>INDEX('Revised 2018 Lockdown'!H$5:H$253,MATCH(B100,'Revised 2018 Lockdown'!B$5:B$253,0))</f>
        <v>104.75750331076839</v>
      </c>
      <c r="F100" s="7">
        <f>INDEX('Revised 2018 Lockdown'!E$5:E$253,MATCH(B100,'Revised 2018 Lockdown'!B$5:B$253,0))</f>
        <v>36421.629999999997</v>
      </c>
      <c r="G100" s="7">
        <f>INDEX('Revised 2018 Lockdown'!F$5:F$253,MATCH(B100,'Revised 2018 Lockdown'!B$5:B$253,0))</f>
        <v>0</v>
      </c>
      <c r="H100" s="7">
        <f t="shared" si="8"/>
        <v>36421.629999999997</v>
      </c>
      <c r="I100" s="6">
        <f t="shared" si="9"/>
        <v>347.67562082835639</v>
      </c>
      <c r="J100" s="6">
        <f t="shared" si="12"/>
        <v>347.67562082835639</v>
      </c>
      <c r="K100" s="5">
        <f t="shared" si="10"/>
        <v>36421.629999999997</v>
      </c>
      <c r="L100" s="4">
        <f t="shared" si="11"/>
        <v>0</v>
      </c>
      <c r="M100" s="2" cm="1">
        <f t="array" ref="M100">SUMPRODUCT(--($L$6:$L$300&lt;&gt;1),--($C$6:$C$300=$C100),$H$6:$H$300)/SUMPRODUCT(--($L$6:$L$300&lt;&gt;1),--($C$6:$C$300=$C100),$E$6:$E$300)</f>
        <v>702.65297849110493</v>
      </c>
      <c r="N100" s="1" cm="1">
        <f t="array" ref="N100">SUMPRODUCT(--($L$6:$L$300&lt;&gt;1),--($C$6:$C$300=$C100))</f>
        <v>47</v>
      </c>
      <c r="O100" s="3">
        <f t="shared" si="13"/>
        <v>126008.92445322691</v>
      </c>
      <c r="P100" s="2" cm="1">
        <f t="array" ref="P100">SQRT(SUMPRODUCT(--($L$6:$L$300&lt;&gt;1),--($C$6:$C$300=$C100),$E$6:$E$300,$O$6:$O$300)/((N100-1)*SUMPRODUCT(--($L$6:$L$300&lt;&gt;1),--($C$6:$C$300=$C100),$E$6:$E$300)/N100))</f>
        <v>457.11495283691704</v>
      </c>
      <c r="Q100" s="2">
        <f t="shared" si="4"/>
        <v>116.83659504910759</v>
      </c>
      <c r="R100" s="2">
        <f t="shared" si="4"/>
        <v>1288.4693619331024</v>
      </c>
      <c r="S100" s="2">
        <f t="shared" si="14"/>
        <v>347.67562082835639</v>
      </c>
    </row>
    <row r="101" spans="2:19" x14ac:dyDescent="0.25">
      <c r="B101" s="10">
        <v>959</v>
      </c>
      <c r="C101" s="10">
        <v>6</v>
      </c>
      <c r="D101" s="9" t="s">
        <v>155</v>
      </c>
      <c r="E101" s="154">
        <f>INDEX('Revised 2018 Lockdown'!H$5:H$253,MATCH(B101,'Revised 2018 Lockdown'!B$5:B$253,0))</f>
        <v>326.68938879207468</v>
      </c>
      <c r="F101" s="7">
        <f>INDEX('Revised 2018 Lockdown'!E$5:E$253,MATCH(B101,'Revised 2018 Lockdown'!B$5:B$253,0))</f>
        <v>116655.66</v>
      </c>
      <c r="G101" s="7">
        <f>INDEX('Revised 2018 Lockdown'!F$5:F$253,MATCH(B101,'Revised 2018 Lockdown'!B$5:B$253,0))</f>
        <v>240.45</v>
      </c>
      <c r="H101" s="7">
        <f t="shared" si="8"/>
        <v>116415.21</v>
      </c>
      <c r="I101" s="6">
        <f t="shared" si="9"/>
        <v>356.34830512996501</v>
      </c>
      <c r="J101" s="6">
        <f t="shared" si="12"/>
        <v>356.34830512996501</v>
      </c>
      <c r="K101" s="5">
        <f t="shared" si="10"/>
        <v>116415.21</v>
      </c>
      <c r="L101" s="4">
        <f t="shared" si="11"/>
        <v>0</v>
      </c>
      <c r="M101" s="2" cm="1">
        <f t="array" ref="M101">SUMPRODUCT(--($L$6:$L$300&lt;&gt;1),--($C$6:$C$300=$C101),$H$6:$H$300)/SUMPRODUCT(--($L$6:$L$300&lt;&gt;1),--($C$6:$C$300=$C101),$E$6:$E$300)</f>
        <v>702.65297849110493</v>
      </c>
      <c r="N101" s="1" cm="1">
        <f t="array" ref="N101">SUMPRODUCT(--($L$6:$L$300&lt;&gt;1),--($C$6:$C$300=$C101))</f>
        <v>47</v>
      </c>
      <c r="O101" s="3">
        <f t="shared" si="13"/>
        <v>119926.92679176581</v>
      </c>
      <c r="P101" s="2" cm="1">
        <f t="array" ref="P101">SQRT(SUMPRODUCT(--($L$6:$L$300&lt;&gt;1),--($C$6:$C$300=$C101),$E$6:$E$300,$O$6:$O$300)/((N101-1)*SUMPRODUCT(--($L$6:$L$300&lt;&gt;1),--($C$6:$C$300=$C101),$E$6:$E$300)/N101))</f>
        <v>457.11495283691704</v>
      </c>
      <c r="Q101" s="2">
        <f t="shared" si="4"/>
        <v>116.83659504910759</v>
      </c>
      <c r="R101" s="2">
        <f t="shared" si="4"/>
        <v>1288.4693619331024</v>
      </c>
      <c r="S101" s="2">
        <f t="shared" si="14"/>
        <v>356.34830512996501</v>
      </c>
    </row>
    <row r="102" spans="2:19" x14ac:dyDescent="0.25">
      <c r="B102" s="39">
        <v>969</v>
      </c>
      <c r="C102" s="39">
        <v>6</v>
      </c>
      <c r="D102" s="40" t="s">
        <v>156</v>
      </c>
      <c r="E102" s="154">
        <f>INDEX('Revised 2018 Lockdown'!H$5:H$253,MATCH(B102,'Revised 2018 Lockdown'!B$5:B$253,0))</f>
        <v>21.452324077887976</v>
      </c>
      <c r="F102" s="7">
        <f>INDEX('Revised 2018 Lockdown'!E$5:E$253,MATCH(B102,'Revised 2018 Lockdown'!B$5:B$253,0))</f>
        <v>66251.19</v>
      </c>
      <c r="G102" s="7">
        <f>INDEX('Revised 2018 Lockdown'!F$5:F$253,MATCH(B102,'Revised 2018 Lockdown'!B$5:B$253,0))</f>
        <v>0</v>
      </c>
      <c r="H102" s="7">
        <f t="shared" si="8"/>
        <v>66251.19</v>
      </c>
      <c r="I102" s="6">
        <f t="shared" si="9"/>
        <v>3088.2989535053939</v>
      </c>
      <c r="J102" s="6">
        <f t="shared" si="12"/>
        <v>1288.4693619331024</v>
      </c>
      <c r="K102" s="5">
        <f t="shared" si="10"/>
        <v>27640.662316618451</v>
      </c>
      <c r="L102" s="4">
        <f t="shared" si="11"/>
        <v>0</v>
      </c>
      <c r="M102" s="2" cm="1">
        <f t="array" ref="M102">SUMPRODUCT(--($L$6:$L$300&lt;&gt;1),--($C$6:$C$300=$C102),$H$6:$H$300)/SUMPRODUCT(--($L$6:$L$300&lt;&gt;1),--($C$6:$C$300=$C102),$E$6:$E$300)</f>
        <v>702.65297849110493</v>
      </c>
      <c r="N102" s="1" cm="1">
        <f t="array" ref="N102">SUMPRODUCT(--($L$6:$L$300&lt;&gt;1),--($C$6:$C$300=$C102))</f>
        <v>47</v>
      </c>
      <c r="O102" s="3">
        <f t="shared" si="13"/>
        <v>5691306.7181018777</v>
      </c>
      <c r="P102" s="2" cm="1">
        <f t="array" ref="P102">SQRT(SUMPRODUCT(--($L$6:$L$300&lt;&gt;1),--($C$6:$C$300=$C102),$E$6:$E$300,$O$6:$O$300)/((N102-1)*SUMPRODUCT(--($L$6:$L$300&lt;&gt;1),--($C$6:$C$300=$C102),$E$6:$E$300)/N102))</f>
        <v>457.11495283691704</v>
      </c>
      <c r="Q102" s="2">
        <f t="shared" si="4"/>
        <v>116.83659504910759</v>
      </c>
      <c r="R102" s="2">
        <f t="shared" si="4"/>
        <v>1288.4693619331024</v>
      </c>
      <c r="S102" s="2">
        <f t="shared" si="14"/>
        <v>1288.4693619331024</v>
      </c>
    </row>
    <row r="103" spans="2:19" x14ac:dyDescent="0.25">
      <c r="B103" s="39">
        <v>970</v>
      </c>
      <c r="C103" s="39">
        <v>6</v>
      </c>
      <c r="D103" s="40" t="s">
        <v>157</v>
      </c>
      <c r="E103" s="154">
        <f>INDEX('Revised 2018 Lockdown'!H$5:H$253,MATCH(B103,'Revised 2018 Lockdown'!B$5:B$253,0))</f>
        <v>167.59129758245945</v>
      </c>
      <c r="F103" s="7">
        <f>INDEX('Revised 2018 Lockdown'!E$5:E$253,MATCH(B103,'Revised 2018 Lockdown'!B$5:B$253,0))</f>
        <v>72830</v>
      </c>
      <c r="G103" s="7">
        <f>INDEX('Revised 2018 Lockdown'!F$5:F$253,MATCH(B103,'Revised 2018 Lockdown'!B$5:B$253,0))</f>
        <v>408</v>
      </c>
      <c r="H103" s="7">
        <f t="shared" si="8"/>
        <v>72422</v>
      </c>
      <c r="I103" s="6">
        <f t="shared" si="9"/>
        <v>432.134609879528</v>
      </c>
      <c r="J103" s="6">
        <f t="shared" si="12"/>
        <v>432.134609879528</v>
      </c>
      <c r="K103" s="5">
        <f t="shared" si="10"/>
        <v>72422</v>
      </c>
      <c r="L103" s="4">
        <f t="shared" si="11"/>
        <v>0</v>
      </c>
      <c r="M103" s="2" cm="1">
        <f t="array" ref="M103">SUMPRODUCT(--($L$6:$L$300&lt;&gt;1),--($C$6:$C$300=$C103),$H$6:$H$300)/SUMPRODUCT(--($L$6:$L$300&lt;&gt;1),--($C$6:$C$300=$C103),$E$6:$E$300)</f>
        <v>702.65297849110493</v>
      </c>
      <c r="N103" s="1" cm="1">
        <f t="array" ref="N103">SUMPRODUCT(--($L$6:$L$300&lt;&gt;1),--($C$6:$C$300=$C103))</f>
        <v>47</v>
      </c>
      <c r="O103" s="3">
        <f t="shared" si="13"/>
        <v>73180.187756269006</v>
      </c>
      <c r="P103" s="2" cm="1">
        <f t="array" ref="P103">SQRT(SUMPRODUCT(--($L$6:$L$300&lt;&gt;1),--($C$6:$C$300=$C103),$E$6:$E$300,$O$6:$O$300)/((N103-1)*SUMPRODUCT(--($L$6:$L$300&lt;&gt;1),--($C$6:$C$300=$C103),$E$6:$E$300)/N103))</f>
        <v>457.11495283691704</v>
      </c>
      <c r="Q103" s="2">
        <f t="shared" si="4"/>
        <v>116.83659504910759</v>
      </c>
      <c r="R103" s="2">
        <f t="shared" si="4"/>
        <v>1288.4693619331024</v>
      </c>
      <c r="S103" s="2">
        <f t="shared" si="14"/>
        <v>432.134609879528</v>
      </c>
    </row>
    <row r="104" spans="2:19" x14ac:dyDescent="0.25">
      <c r="B104" s="39">
        <v>978</v>
      </c>
      <c r="C104" s="39">
        <v>6</v>
      </c>
      <c r="D104" s="40" t="s">
        <v>270</v>
      </c>
      <c r="E104" s="154">
        <f>INDEX('Revised 2018 Lockdown'!H$5:H$253,MATCH(B104,'Revised 2018 Lockdown'!B$5:B$253,0))</f>
        <v>0</v>
      </c>
      <c r="F104" s="7">
        <f>INDEX('Revised 2018 Lockdown'!E$5:E$253,MATCH(B104,'Revised 2018 Lockdown'!B$5:B$253,0))</f>
        <v>31329.48</v>
      </c>
      <c r="G104" s="7">
        <f>INDEX('Revised 2018 Lockdown'!F$5:F$253,MATCH(B104,'Revised 2018 Lockdown'!B$5:B$253,0))</f>
        <v>0</v>
      </c>
      <c r="H104" s="7">
        <f t="shared" si="8"/>
        <v>31329.48</v>
      </c>
      <c r="I104" s="6" t="e">
        <f t="shared" si="9"/>
        <v>#DIV/0!</v>
      </c>
      <c r="J104" s="6">
        <f t="shared" si="12"/>
        <v>1288.4693619331024</v>
      </c>
      <c r="K104" s="5">
        <f t="shared" si="10"/>
        <v>0</v>
      </c>
      <c r="L104" s="4">
        <f t="shared" si="11"/>
        <v>1</v>
      </c>
      <c r="M104" s="2" cm="1">
        <f t="array" ref="M104">SUMPRODUCT(--($L$6:$L$300&lt;&gt;1),--($C$6:$C$300=$C104),$H$6:$H$300)/SUMPRODUCT(--($L$6:$L$300&lt;&gt;1),--($C$6:$C$300=$C104),$E$6:$E$300)</f>
        <v>702.65297849110493</v>
      </c>
      <c r="N104" s="1" cm="1">
        <f t="array" ref="N104">SUMPRODUCT(--($L$6:$L$300&lt;&gt;1),--($C$6:$C$300=$C104))</f>
        <v>47</v>
      </c>
      <c r="O104" s="3">
        <f t="shared" si="13"/>
        <v>0</v>
      </c>
      <c r="P104" s="2" cm="1">
        <f t="array" ref="P104">SQRT(SUMPRODUCT(--($L$6:$L$300&lt;&gt;1),--($C$6:$C$300=$C104),$E$6:$E$300,$O$6:$O$300)/((N104-1)*SUMPRODUCT(--($L$6:$L$300&lt;&gt;1),--($C$6:$C$300=$C104),$E$6:$E$300)/N104))</f>
        <v>457.11495283691704</v>
      </c>
      <c r="Q104" s="2">
        <f t="shared" si="4"/>
        <v>116.83659504910759</v>
      </c>
      <c r="R104" s="2">
        <f t="shared" si="4"/>
        <v>1288.4693619331024</v>
      </c>
      <c r="S104" s="2">
        <f t="shared" si="14"/>
        <v>1288.4693619331024</v>
      </c>
    </row>
    <row r="105" spans="2:19" x14ac:dyDescent="0.25">
      <c r="B105" s="39">
        <v>980</v>
      </c>
      <c r="C105" s="39">
        <v>6</v>
      </c>
      <c r="D105" s="40" t="s">
        <v>158</v>
      </c>
      <c r="E105" s="154">
        <f>INDEX('Revised 2018 Lockdown'!H$5:H$253,MATCH(B105,'Revised 2018 Lockdown'!B$5:B$253,0))</f>
        <v>38.773680173491201</v>
      </c>
      <c r="F105" s="7">
        <f>INDEX('Revised 2018 Lockdown'!E$5:E$253,MATCH(B105,'Revised 2018 Lockdown'!B$5:B$253,0))</f>
        <v>37348.19</v>
      </c>
      <c r="G105" s="7">
        <f>INDEX('Revised 2018 Lockdown'!F$5:F$253,MATCH(B105,'Revised 2018 Lockdown'!B$5:B$253,0))</f>
        <v>0</v>
      </c>
      <c r="H105" s="7">
        <f t="shared" si="8"/>
        <v>37348.19</v>
      </c>
      <c r="I105" s="6">
        <f t="shared" si="9"/>
        <v>963.23562356957336</v>
      </c>
      <c r="J105" s="6">
        <f t="shared" si="12"/>
        <v>963.23562356957336</v>
      </c>
      <c r="K105" s="5">
        <f t="shared" si="10"/>
        <v>37348.19</v>
      </c>
      <c r="L105" s="4">
        <f t="shared" si="11"/>
        <v>0</v>
      </c>
      <c r="M105" s="2" cm="1">
        <f t="array" ref="M105">SUMPRODUCT(--($L$6:$L$300&lt;&gt;1),--($C$6:$C$300=$C105),$H$6:$H$300)/SUMPRODUCT(--($L$6:$L$300&lt;&gt;1),--($C$6:$C$300=$C105),$E$6:$E$300)</f>
        <v>702.65297849110493</v>
      </c>
      <c r="N105" s="1" cm="1">
        <f t="array" ref="N105">SUMPRODUCT(--($L$6:$L$300&lt;&gt;1),--($C$6:$C$300=$C105))</f>
        <v>47</v>
      </c>
      <c r="O105" s="3">
        <f t="shared" si="13"/>
        <v>67903.314916091054</v>
      </c>
      <c r="P105" s="2" cm="1">
        <f t="array" ref="P105">SQRT(SUMPRODUCT(--($L$6:$L$300&lt;&gt;1),--($C$6:$C$300=$C105),$E$6:$E$300,$O$6:$O$300)/((N105-1)*SUMPRODUCT(--($L$6:$L$300&lt;&gt;1),--($C$6:$C$300=$C105),$E$6:$E$300)/N105))</f>
        <v>457.11495283691704</v>
      </c>
      <c r="Q105" s="2">
        <f t="shared" si="4"/>
        <v>116.83659504910759</v>
      </c>
      <c r="R105" s="2">
        <f t="shared" si="4"/>
        <v>1288.4693619331024</v>
      </c>
      <c r="S105" s="2">
        <f t="shared" si="14"/>
        <v>963.23562356957336</v>
      </c>
    </row>
    <row r="106" spans="2:19" x14ac:dyDescent="0.25">
      <c r="B106" s="10">
        <v>986</v>
      </c>
      <c r="C106" s="10">
        <v>6</v>
      </c>
      <c r="D106" s="9" t="s">
        <v>159</v>
      </c>
      <c r="E106" s="154">
        <f>INDEX('Revised 2018 Lockdown'!H$5:H$253,MATCH(B106,'Revised 2018 Lockdown'!B$5:B$253,0))</f>
        <v>8.1183888146059324</v>
      </c>
      <c r="F106" s="7">
        <f>INDEX('Revised 2018 Lockdown'!E$5:E$253,MATCH(B106,'Revised 2018 Lockdown'!B$5:B$253,0))</f>
        <v>42773.26</v>
      </c>
      <c r="G106" s="7">
        <f>INDEX('Revised 2018 Lockdown'!F$5:F$253,MATCH(B106,'Revised 2018 Lockdown'!B$5:B$253,0))</f>
        <v>0</v>
      </c>
      <c r="H106" s="7">
        <f t="shared" si="8"/>
        <v>42773.26</v>
      </c>
      <c r="I106" s="6">
        <f t="shared" si="9"/>
        <v>5268.6882800003241</v>
      </c>
      <c r="J106" s="6">
        <f t="shared" si="12"/>
        <v>1288.4693619331024</v>
      </c>
      <c r="K106" s="5">
        <f t="shared" si="10"/>
        <v>10460.295255880141</v>
      </c>
      <c r="L106" s="4">
        <f t="shared" si="11"/>
        <v>0</v>
      </c>
      <c r="M106" s="2" cm="1">
        <f t="array" ref="M106">SUMPRODUCT(--($L$6:$L$300&lt;&gt;1),--($C$6:$C$300=$C106),$H$6:$H$300)/SUMPRODUCT(--($L$6:$L$300&lt;&gt;1),--($C$6:$C$300=$C106),$E$6:$E$300)</f>
        <v>702.65297849110493</v>
      </c>
      <c r="N106" s="1" cm="1">
        <f t="array" ref="N106">SUMPRODUCT(--($L$6:$L$300&lt;&gt;1),--($C$6:$C$300=$C106))</f>
        <v>47</v>
      </c>
      <c r="O106" s="3">
        <f t="shared" si="13"/>
        <v>20848678.37462838</v>
      </c>
      <c r="P106" s="2" cm="1">
        <f t="array" ref="P106">SQRT(SUMPRODUCT(--($L$6:$L$300&lt;&gt;1),--($C$6:$C$300=$C106),$E$6:$E$300,$O$6:$O$300)/((N106-1)*SUMPRODUCT(--($L$6:$L$300&lt;&gt;1),--($C$6:$C$300=$C106),$E$6:$E$300)/N106))</f>
        <v>457.11495283691704</v>
      </c>
      <c r="Q106" s="2">
        <f t="shared" si="4"/>
        <v>116.83659504910759</v>
      </c>
      <c r="R106" s="2">
        <f t="shared" si="4"/>
        <v>1288.4693619331024</v>
      </c>
      <c r="S106" s="2">
        <f t="shared" si="14"/>
        <v>1288.4693619331024</v>
      </c>
    </row>
    <row r="107" spans="2:19" x14ac:dyDescent="0.25">
      <c r="B107" s="10">
        <v>988</v>
      </c>
      <c r="C107" s="10">
        <v>6</v>
      </c>
      <c r="D107" s="9" t="s">
        <v>160</v>
      </c>
      <c r="E107" s="154">
        <f>INDEX('Revised 2018 Lockdown'!H$5:H$253,MATCH(B107,'Revised 2018 Lockdown'!B$5:B$253,0))</f>
        <v>144.72352333946131</v>
      </c>
      <c r="F107" s="7">
        <f>INDEX('Revised 2018 Lockdown'!E$5:E$253,MATCH(B107,'Revised 2018 Lockdown'!B$5:B$253,0))</f>
        <v>80859.64</v>
      </c>
      <c r="G107" s="7">
        <f>INDEX('Revised 2018 Lockdown'!F$5:F$253,MATCH(B107,'Revised 2018 Lockdown'!B$5:B$253,0))</f>
        <v>155</v>
      </c>
      <c r="H107" s="7">
        <f t="shared" si="8"/>
        <v>80704.639999999999</v>
      </c>
      <c r="I107" s="6">
        <f t="shared" si="9"/>
        <v>557.64700953762997</v>
      </c>
      <c r="J107" s="6">
        <f t="shared" si="12"/>
        <v>557.64700953762997</v>
      </c>
      <c r="K107" s="5">
        <f t="shared" si="10"/>
        <v>80704.639999999999</v>
      </c>
      <c r="L107" s="4">
        <f t="shared" si="11"/>
        <v>0</v>
      </c>
      <c r="M107" s="2" cm="1">
        <f t="array" ref="M107">SUMPRODUCT(--($L$6:$L$300&lt;&gt;1),--($C$6:$C$300=$C107),$H$6:$H$300)/SUMPRODUCT(--($L$6:$L$300&lt;&gt;1),--($C$6:$C$300=$C107),$E$6:$E$300)</f>
        <v>702.65297849110493</v>
      </c>
      <c r="N107" s="1" cm="1">
        <f t="array" ref="N107">SUMPRODUCT(--($L$6:$L$300&lt;&gt;1),--($C$6:$C$300=$C107))</f>
        <v>47</v>
      </c>
      <c r="O107" s="3">
        <f t="shared" si="13"/>
        <v>21026.731032136144</v>
      </c>
      <c r="P107" s="2" cm="1">
        <f t="array" ref="P107">SQRT(SUMPRODUCT(--($L$6:$L$300&lt;&gt;1),--($C$6:$C$300=$C107),$E$6:$E$300,$O$6:$O$300)/((N107-1)*SUMPRODUCT(--($L$6:$L$300&lt;&gt;1),--($C$6:$C$300=$C107),$E$6:$E$300)/N107))</f>
        <v>457.11495283691704</v>
      </c>
      <c r="Q107" s="2">
        <f t="shared" si="4"/>
        <v>116.83659504910759</v>
      </c>
      <c r="R107" s="2">
        <f t="shared" si="4"/>
        <v>1288.4693619331024</v>
      </c>
      <c r="S107" s="2">
        <f t="shared" si="14"/>
        <v>557.64700953762997</v>
      </c>
    </row>
    <row r="108" spans="2:19" x14ac:dyDescent="0.25">
      <c r="B108" s="10">
        <v>989</v>
      </c>
      <c r="C108" s="10">
        <v>6</v>
      </c>
      <c r="D108" s="9" t="s">
        <v>161</v>
      </c>
      <c r="E108" s="154">
        <f>INDEX('Revised 2018 Lockdown'!H$5:H$253,MATCH(B108,'Revised 2018 Lockdown'!B$5:B$253,0))</f>
        <v>456.51183625078789</v>
      </c>
      <c r="F108" s="7">
        <f>INDEX('Revised 2018 Lockdown'!E$5:E$253,MATCH(B108,'Revised 2018 Lockdown'!B$5:B$253,0))</f>
        <v>266398.28999999998</v>
      </c>
      <c r="G108" s="7">
        <f>INDEX('Revised 2018 Lockdown'!F$5:F$253,MATCH(B108,'Revised 2018 Lockdown'!B$5:B$253,0))</f>
        <v>36564.799999999996</v>
      </c>
      <c r="H108" s="7">
        <f t="shared" si="8"/>
        <v>229833.49</v>
      </c>
      <c r="I108" s="6">
        <f t="shared" si="9"/>
        <v>503.4557085913965</v>
      </c>
      <c r="J108" s="6">
        <f t="shared" si="12"/>
        <v>503.4557085913965</v>
      </c>
      <c r="K108" s="5">
        <f t="shared" si="10"/>
        <v>229833.49</v>
      </c>
      <c r="L108" s="4">
        <f t="shared" si="11"/>
        <v>0</v>
      </c>
      <c r="M108" s="2" cm="1">
        <f t="array" ref="M108">SUMPRODUCT(--($L$6:$L$300&lt;&gt;1),--($C$6:$C$300=$C108),$H$6:$H$300)/SUMPRODUCT(--($L$6:$L$300&lt;&gt;1),--($C$6:$C$300=$C108),$E$6:$E$300)</f>
        <v>702.65297849110493</v>
      </c>
      <c r="N108" s="1" cm="1">
        <f t="array" ref="N108">SUMPRODUCT(--($L$6:$L$300&lt;&gt;1),--($C$6:$C$300=$C108))</f>
        <v>47</v>
      </c>
      <c r="O108" s="3">
        <f t="shared" si="13"/>
        <v>39679.552335497283</v>
      </c>
      <c r="P108" s="2" cm="1">
        <f t="array" ref="P108">SQRT(SUMPRODUCT(--($L$6:$L$300&lt;&gt;1),--($C$6:$C$300=$C108),$E$6:$E$300,$O$6:$O$300)/((N108-1)*SUMPRODUCT(--($L$6:$L$300&lt;&gt;1),--($C$6:$C$300=$C108),$E$6:$E$300)/N108))</f>
        <v>457.11495283691704</v>
      </c>
      <c r="Q108" s="2">
        <f t="shared" si="4"/>
        <v>116.83659504910759</v>
      </c>
      <c r="R108" s="2">
        <f t="shared" si="4"/>
        <v>1288.4693619331024</v>
      </c>
      <c r="S108" s="2">
        <f t="shared" si="14"/>
        <v>503.4557085913965</v>
      </c>
    </row>
    <row r="109" spans="2:19" x14ac:dyDescent="0.25">
      <c r="B109" s="10">
        <v>39</v>
      </c>
      <c r="C109" s="10">
        <v>7</v>
      </c>
      <c r="D109" s="9" t="s">
        <v>162</v>
      </c>
      <c r="E109" s="154">
        <f>INDEX('Revised 2018 Lockdown'!H$5:H$253,MATCH(B109,'Revised 2018 Lockdown'!B$5:B$253,0))</f>
        <v>383.36</v>
      </c>
      <c r="F109" s="7">
        <f>INDEX('Revised 2018 Lockdown'!E$5:E$253,MATCH(B109,'Revised 2018 Lockdown'!B$5:B$253,0))</f>
        <v>108160.35</v>
      </c>
      <c r="G109" s="7">
        <f>INDEX('Revised 2018 Lockdown'!F$5:F$253,MATCH(B109,'Revised 2018 Lockdown'!B$5:B$253,0))</f>
        <v>1756.13</v>
      </c>
      <c r="H109" s="7">
        <f t="shared" si="8"/>
        <v>106404.22</v>
      </c>
      <c r="I109" s="6">
        <f t="shared" si="9"/>
        <v>277.55691777963273</v>
      </c>
      <c r="J109" s="6">
        <f t="shared" si="12"/>
        <v>277.55691777963273</v>
      </c>
      <c r="K109" s="5">
        <f t="shared" si="10"/>
        <v>106404.22</v>
      </c>
      <c r="L109" s="4">
        <f t="shared" si="11"/>
        <v>0</v>
      </c>
      <c r="M109" s="2" cm="1">
        <f t="array" ref="M109">SUMPRODUCT(--($L$6:$L$300&lt;&gt;1),--($C$6:$C$300=$C109),$H$6:$H$300)/SUMPRODUCT(--($L$6:$L$300&lt;&gt;1),--($C$6:$C$300=$C109),$E$6:$E$300)</f>
        <v>477.46219284858569</v>
      </c>
      <c r="N109" s="1" cm="1">
        <f t="array" ref="N109">SUMPRODUCT(--($L$6:$L$300&lt;&gt;1),--($C$6:$C$300=$C109))</f>
        <v>66</v>
      </c>
      <c r="O109" s="3">
        <f t="shared" si="13"/>
        <v>39962.119000393744</v>
      </c>
      <c r="P109" s="2" cm="1">
        <f t="array" ref="P109">SQRT(SUMPRODUCT(--($L$6:$L$300&lt;&gt;1),--($C$6:$C$300=$C109),$E$6:$E$300,$O$6:$O$300)/((N109-1)*SUMPRODUCT(--($L$6:$L$300&lt;&gt;1),--($C$6:$C$300=$C109),$E$6:$E$300)/N109))</f>
        <v>192.61217286848685</v>
      </c>
      <c r="Q109" s="2">
        <f t="shared" si="4"/>
        <v>230.61976116602912</v>
      </c>
      <c r="R109" s="2">
        <f t="shared" si="4"/>
        <v>724.30462453114228</v>
      </c>
      <c r="S109" s="2">
        <f t="shared" si="14"/>
        <v>277.55691777963273</v>
      </c>
    </row>
    <row r="110" spans="2:19" x14ac:dyDescent="0.25">
      <c r="B110" s="10">
        <v>59</v>
      </c>
      <c r="C110" s="10">
        <v>7</v>
      </c>
      <c r="D110" s="9" t="s">
        <v>163</v>
      </c>
      <c r="E110" s="154">
        <f>INDEX('Revised 2018 Lockdown'!H$5:H$253,MATCH(B110,'Revised 2018 Lockdown'!B$5:B$253,0))</f>
        <v>233.31196774077719</v>
      </c>
      <c r="F110" s="7">
        <f>INDEX('Revised 2018 Lockdown'!E$5:E$253,MATCH(B110,'Revised 2018 Lockdown'!B$5:B$253,0))</f>
        <v>172265.9</v>
      </c>
      <c r="G110" s="7">
        <f>INDEX('Revised 2018 Lockdown'!F$5:F$253,MATCH(B110,'Revised 2018 Lockdown'!B$5:B$253,0))</f>
        <v>0</v>
      </c>
      <c r="H110" s="7">
        <f t="shared" si="8"/>
        <v>172265.9</v>
      </c>
      <c r="I110" s="6">
        <f t="shared" si="9"/>
        <v>738.35003694022748</v>
      </c>
      <c r="J110" s="6">
        <f t="shared" si="12"/>
        <v>724.30462453114228</v>
      </c>
      <c r="K110" s="5">
        <f t="shared" si="10"/>
        <v>168988.93719310561</v>
      </c>
      <c r="L110" s="4">
        <f t="shared" si="11"/>
        <v>0</v>
      </c>
      <c r="M110" s="2" cm="1">
        <f t="array" ref="M110">SUMPRODUCT(--($L$6:$L$300&lt;&gt;1),--($C$6:$C$300=$C110),$H$6:$H$300)/SUMPRODUCT(--($L$6:$L$300&lt;&gt;1),--($C$6:$C$300=$C110),$E$6:$E$300)</f>
        <v>477.46219284858569</v>
      </c>
      <c r="N110" s="1" cm="1">
        <f t="array" ref="N110">SUMPRODUCT(--($L$6:$L$300&lt;&gt;1),--($C$6:$C$300=$C110))</f>
        <v>66</v>
      </c>
      <c r="O110" s="3">
        <f t="shared" si="13"/>
        <v>68062.467194784796</v>
      </c>
      <c r="P110" s="2" cm="1">
        <f t="array" ref="P110">SQRT(SUMPRODUCT(--($L$6:$L$300&lt;&gt;1),--($C$6:$C$300=$C110),$E$6:$E$300,$O$6:$O$300)/((N110-1)*SUMPRODUCT(--($L$6:$L$300&lt;&gt;1),--($C$6:$C$300=$C110),$E$6:$E$300)/N110))</f>
        <v>192.61217286848685</v>
      </c>
      <c r="Q110" s="2">
        <f t="shared" si="4"/>
        <v>230.61976116602912</v>
      </c>
      <c r="R110" s="2">
        <f t="shared" si="4"/>
        <v>724.30462453114228</v>
      </c>
      <c r="S110" s="2">
        <f t="shared" si="14"/>
        <v>724.30462453114228</v>
      </c>
    </row>
    <row r="111" spans="2:19" x14ac:dyDescent="0.25">
      <c r="B111" s="10">
        <v>100</v>
      </c>
      <c r="C111" s="10">
        <v>7</v>
      </c>
      <c r="D111" s="9" t="s">
        <v>272</v>
      </c>
      <c r="E111" s="154">
        <f>INDEX('Revised 2018 Lockdown'!H$5:H$253,MATCH(B111,'Revised 2018 Lockdown'!B$5:B$253,0))</f>
        <v>31.644171725300925</v>
      </c>
      <c r="F111" s="7">
        <f>INDEX('Revised 2018 Lockdown'!E$5:E$253,MATCH(B111,'Revised 2018 Lockdown'!B$5:B$253,0))</f>
        <v>30401.27</v>
      </c>
      <c r="G111" s="7">
        <f>INDEX('Revised 2018 Lockdown'!F$5:F$253,MATCH(B111,'Revised 2018 Lockdown'!B$5:B$253,0))</f>
        <v>0</v>
      </c>
      <c r="H111" s="7">
        <f t="shared" si="8"/>
        <v>30401.27</v>
      </c>
      <c r="I111" s="6">
        <f t="shared" si="9"/>
        <v>960.72257045972322</v>
      </c>
      <c r="J111" s="6">
        <f t="shared" si="12"/>
        <v>724.30462453114228</v>
      </c>
      <c r="K111" s="5">
        <f t="shared" si="10"/>
        <v>22920.019920093077</v>
      </c>
      <c r="L111" s="4">
        <f t="shared" si="11"/>
        <v>0</v>
      </c>
      <c r="M111" s="2" cm="1">
        <f t="array" ref="M111">SUMPRODUCT(--($L$6:$L$300&lt;&gt;1),--($C$6:$C$300=$C111),$H$6:$H$300)/SUMPRODUCT(--($L$6:$L$300&lt;&gt;1),--($C$6:$C$300=$C111),$E$6:$E$300)</f>
        <v>477.46219284858569</v>
      </c>
      <c r="N111" s="1" cm="1">
        <f t="array" ref="N111">SUMPRODUCT(--($L$6:$L$300&lt;&gt;1),--($C$6:$C$300=$C111))</f>
        <v>66</v>
      </c>
      <c r="O111" s="3">
        <f t="shared" si="13"/>
        <v>233540.59256885923</v>
      </c>
      <c r="P111" s="2" cm="1">
        <f t="array" ref="P111">SQRT(SUMPRODUCT(--($L$6:$L$300&lt;&gt;1),--($C$6:$C$300=$C111),$E$6:$E$300,$O$6:$O$300)/((N111-1)*SUMPRODUCT(--($L$6:$L$300&lt;&gt;1),--($C$6:$C$300=$C111),$E$6:$E$300)/N111))</f>
        <v>192.61217286848685</v>
      </c>
      <c r="Q111" s="2">
        <f t="shared" si="4"/>
        <v>230.61976116602912</v>
      </c>
      <c r="R111" s="2">
        <f t="shared" si="4"/>
        <v>724.30462453114228</v>
      </c>
      <c r="S111" s="2">
        <f t="shared" si="14"/>
        <v>724.30462453114228</v>
      </c>
    </row>
    <row r="112" spans="2:19" x14ac:dyDescent="0.25">
      <c r="B112" s="10">
        <v>128</v>
      </c>
      <c r="C112" s="10">
        <v>7</v>
      </c>
      <c r="D112" s="9" t="s">
        <v>164</v>
      </c>
      <c r="E112" s="154">
        <f>INDEX('Revised 2018 Lockdown'!H$5:H$253,MATCH(B112,'Revised 2018 Lockdown'!B$5:B$253,0))</f>
        <v>144.8151497882408</v>
      </c>
      <c r="F112" s="7">
        <f>INDEX('Revised 2018 Lockdown'!E$5:E$253,MATCH(B112,'Revised 2018 Lockdown'!B$5:B$253,0))</f>
        <v>96271.57</v>
      </c>
      <c r="G112" s="7">
        <f>INDEX('Revised 2018 Lockdown'!F$5:F$253,MATCH(B112,'Revised 2018 Lockdown'!B$5:B$253,0))</f>
        <v>119.44</v>
      </c>
      <c r="H112" s="7">
        <f t="shared" si="8"/>
        <v>96152.13</v>
      </c>
      <c r="I112" s="6">
        <f t="shared" si="9"/>
        <v>663.96457926260211</v>
      </c>
      <c r="J112" s="6">
        <f t="shared" si="12"/>
        <v>663.96457926260211</v>
      </c>
      <c r="K112" s="5">
        <f t="shared" si="10"/>
        <v>96152.13</v>
      </c>
      <c r="L112" s="4">
        <f t="shared" si="11"/>
        <v>0</v>
      </c>
      <c r="M112" s="2" cm="1">
        <f t="array" ref="M112">SUMPRODUCT(--($L$6:$L$300&lt;&gt;1),--($C$6:$C$300=$C112),$H$6:$H$300)/SUMPRODUCT(--($L$6:$L$300&lt;&gt;1),--($C$6:$C$300=$C112),$E$6:$E$300)</f>
        <v>477.46219284858569</v>
      </c>
      <c r="N112" s="1" cm="1">
        <f t="array" ref="N112">SUMPRODUCT(--($L$6:$L$300&lt;&gt;1),--($C$6:$C$300=$C112))</f>
        <v>66</v>
      </c>
      <c r="O112" s="3">
        <f t="shared" si="13"/>
        <v>34783.140138123097</v>
      </c>
      <c r="P112" s="2" cm="1">
        <f t="array" ref="P112">SQRT(SUMPRODUCT(--($L$6:$L$300&lt;&gt;1),--($C$6:$C$300=$C112),$E$6:$E$300,$O$6:$O$300)/((N112-1)*SUMPRODUCT(--($L$6:$L$300&lt;&gt;1),--($C$6:$C$300=$C112),$E$6:$E$300)/N112))</f>
        <v>192.61217286848685</v>
      </c>
      <c r="Q112" s="2">
        <f t="shared" si="4"/>
        <v>230.61976116602912</v>
      </c>
      <c r="R112" s="2">
        <f t="shared" si="4"/>
        <v>724.30462453114228</v>
      </c>
      <c r="S112" s="2">
        <f t="shared" si="14"/>
        <v>663.96457926260211</v>
      </c>
    </row>
    <row r="113" spans="2:19" x14ac:dyDescent="0.25">
      <c r="B113" s="10">
        <v>152</v>
      </c>
      <c r="C113" s="10">
        <v>7</v>
      </c>
      <c r="D113" s="9" t="s">
        <v>165</v>
      </c>
      <c r="E113" s="154">
        <f>INDEX('Revised 2018 Lockdown'!H$5:H$253,MATCH(B113,'Revised 2018 Lockdown'!B$5:B$253,0))</f>
        <v>355.34</v>
      </c>
      <c r="F113" s="7">
        <f>INDEX('Revised 2018 Lockdown'!E$5:E$253,MATCH(B113,'Revised 2018 Lockdown'!B$5:B$253,0))</f>
        <v>157814.06</v>
      </c>
      <c r="G113" s="7">
        <f>INDEX('Revised 2018 Lockdown'!F$5:F$253,MATCH(B113,'Revised 2018 Lockdown'!B$5:B$253,0))</f>
        <v>22795.199999999997</v>
      </c>
      <c r="H113" s="7">
        <f t="shared" si="8"/>
        <v>135018.85999999999</v>
      </c>
      <c r="I113" s="6">
        <f t="shared" si="9"/>
        <v>379.97090110879719</v>
      </c>
      <c r="J113" s="6">
        <f t="shared" si="12"/>
        <v>379.97090110879719</v>
      </c>
      <c r="K113" s="5">
        <f t="shared" si="10"/>
        <v>135018.85999999999</v>
      </c>
      <c r="L113" s="4">
        <f t="shared" si="11"/>
        <v>0</v>
      </c>
      <c r="M113" s="2" cm="1">
        <f t="array" ref="M113">SUMPRODUCT(--($L$6:$L$300&lt;&gt;1),--($C$6:$C$300=$C113),$H$6:$H$300)/SUMPRODUCT(--($L$6:$L$300&lt;&gt;1),--($C$6:$C$300=$C113),$E$6:$E$300)</f>
        <v>477.46219284858569</v>
      </c>
      <c r="N113" s="1" cm="1">
        <f t="array" ref="N113">SUMPRODUCT(--($L$6:$L$300&lt;&gt;1),--($C$6:$C$300=$C113))</f>
        <v>66</v>
      </c>
      <c r="O113" s="3">
        <f t="shared" si="13"/>
        <v>9504.5519650925526</v>
      </c>
      <c r="P113" s="2" cm="1">
        <f t="array" ref="P113">SQRT(SUMPRODUCT(--($L$6:$L$300&lt;&gt;1),--($C$6:$C$300=$C113),$E$6:$E$300,$O$6:$O$300)/((N113-1)*SUMPRODUCT(--($L$6:$L$300&lt;&gt;1),--($C$6:$C$300=$C113),$E$6:$E$300)/N113))</f>
        <v>192.61217286848685</v>
      </c>
      <c r="Q113" s="2">
        <f t="shared" si="4"/>
        <v>230.61976116602912</v>
      </c>
      <c r="R113" s="2">
        <f t="shared" si="4"/>
        <v>724.30462453114228</v>
      </c>
      <c r="S113" s="2">
        <f t="shared" si="14"/>
        <v>379.97090110879719</v>
      </c>
    </row>
    <row r="114" spans="2:19" x14ac:dyDescent="0.25">
      <c r="B114" s="10">
        <v>162</v>
      </c>
      <c r="C114" s="10">
        <v>7</v>
      </c>
      <c r="D114" s="9" t="s">
        <v>166</v>
      </c>
      <c r="E114" s="154">
        <f>INDEX('Revised 2018 Lockdown'!H$5:H$253,MATCH(B114,'Revised 2018 Lockdown'!B$5:B$253,0))</f>
        <v>789.80000000000007</v>
      </c>
      <c r="F114" s="7">
        <f>INDEX('Revised 2018 Lockdown'!E$5:E$253,MATCH(B114,'Revised 2018 Lockdown'!B$5:B$253,0))</f>
        <v>386975.44</v>
      </c>
      <c r="G114" s="7">
        <f>INDEX('Revised 2018 Lockdown'!F$5:F$253,MATCH(B114,'Revised 2018 Lockdown'!B$5:B$253,0))</f>
        <v>24452.720000000001</v>
      </c>
      <c r="H114" s="7">
        <f t="shared" si="8"/>
        <v>362522.72</v>
      </c>
      <c r="I114" s="6">
        <f t="shared" si="9"/>
        <v>459.00572296783986</v>
      </c>
      <c r="J114" s="6">
        <f t="shared" si="12"/>
        <v>459.00572296783986</v>
      </c>
      <c r="K114" s="5">
        <f t="shared" si="10"/>
        <v>362522.72</v>
      </c>
      <c r="L114" s="4">
        <f t="shared" si="11"/>
        <v>0</v>
      </c>
      <c r="M114" s="2" cm="1">
        <f t="array" ref="M114">SUMPRODUCT(--($L$6:$L$300&lt;&gt;1),--($C$6:$C$300=$C114),$H$6:$H$300)/SUMPRODUCT(--($L$6:$L$300&lt;&gt;1),--($C$6:$C$300=$C114),$E$6:$E$300)</f>
        <v>477.46219284858569</v>
      </c>
      <c r="N114" s="1" cm="1">
        <f t="array" ref="N114">SUMPRODUCT(--($L$6:$L$300&lt;&gt;1),--($C$6:$C$300=$C114))</f>
        <v>66</v>
      </c>
      <c r="O114" s="3">
        <f t="shared" si="13"/>
        <v>340.64128045887793</v>
      </c>
      <c r="P114" s="2" cm="1">
        <f t="array" ref="P114">SQRT(SUMPRODUCT(--($L$6:$L$300&lt;&gt;1),--($C$6:$C$300=$C114),$E$6:$E$300,$O$6:$O$300)/((N114-1)*SUMPRODUCT(--($L$6:$L$300&lt;&gt;1),--($C$6:$C$300=$C114),$E$6:$E$300)/N114))</f>
        <v>192.61217286848685</v>
      </c>
      <c r="Q114" s="2">
        <f t="shared" si="4"/>
        <v>230.61976116602912</v>
      </c>
      <c r="R114" s="2">
        <f>NORMINV(R$4,$M114,$P114)</f>
        <v>724.30462453114228</v>
      </c>
      <c r="S114" s="2">
        <f t="shared" si="14"/>
        <v>459.00572296783986</v>
      </c>
    </row>
    <row r="115" spans="2:19" x14ac:dyDescent="0.25">
      <c r="B115" s="10">
        <v>166</v>
      </c>
      <c r="C115" s="10">
        <v>7</v>
      </c>
      <c r="D115" s="9" t="s">
        <v>167</v>
      </c>
      <c r="E115" s="154">
        <f>INDEX('Revised 2018 Lockdown'!H$5:H$253,MATCH(B115,'Revised 2018 Lockdown'!B$5:B$253,0))</f>
        <v>860.3599999999999</v>
      </c>
      <c r="F115" s="7">
        <f>INDEX('Revised 2018 Lockdown'!E$5:E$253,MATCH(B115,'Revised 2018 Lockdown'!B$5:B$253,0))</f>
        <v>451775.31</v>
      </c>
      <c r="G115" s="7">
        <f>INDEX('Revised 2018 Lockdown'!F$5:F$253,MATCH(B115,'Revised 2018 Lockdown'!B$5:B$253,0))</f>
        <v>109930.31</v>
      </c>
      <c r="H115" s="7">
        <f t="shared" si="8"/>
        <v>341845</v>
      </c>
      <c r="I115" s="6">
        <f t="shared" si="9"/>
        <v>397.32786275512581</v>
      </c>
      <c r="J115" s="6">
        <f t="shared" si="12"/>
        <v>397.32786275512581</v>
      </c>
      <c r="K115" s="5">
        <f t="shared" si="10"/>
        <v>341845</v>
      </c>
      <c r="L115" s="4">
        <f t="shared" si="11"/>
        <v>0</v>
      </c>
      <c r="M115" s="2" cm="1">
        <f t="array" ref="M115">SUMPRODUCT(--($L$6:$L$300&lt;&gt;1),--($C$6:$C$300=$C115),$H$6:$H$300)/SUMPRODUCT(--($L$6:$L$300&lt;&gt;1),--($C$6:$C$300=$C115),$E$6:$E$300)</f>
        <v>477.46219284858569</v>
      </c>
      <c r="N115" s="1" cm="1">
        <f t="array" ref="N115">SUMPRODUCT(--($L$6:$L$300&lt;&gt;1),--($C$6:$C$300=$C115))</f>
        <v>66</v>
      </c>
      <c r="O115" s="3">
        <f t="shared" si="13"/>
        <v>6421.5108595275897</v>
      </c>
      <c r="P115" s="2" cm="1">
        <f t="array" ref="P115">SQRT(SUMPRODUCT(--($L$6:$L$300&lt;&gt;1),--($C$6:$C$300=$C115),$E$6:$E$300,$O$6:$O$300)/((N115-1)*SUMPRODUCT(--($L$6:$L$300&lt;&gt;1),--($C$6:$C$300=$C115),$E$6:$E$300)/N115))</f>
        <v>192.61217286848685</v>
      </c>
      <c r="Q115" s="2">
        <f t="shared" ref="Q115:R178" si="15">NORMINV(Q$4,$M115,$P115)</f>
        <v>230.61976116602912</v>
      </c>
      <c r="R115" s="2">
        <f t="shared" si="15"/>
        <v>724.30462453114228</v>
      </c>
      <c r="S115" s="2">
        <f t="shared" si="14"/>
        <v>397.32786275512581</v>
      </c>
    </row>
    <row r="116" spans="2:19" x14ac:dyDescent="0.25">
      <c r="B116" s="10">
        <v>192</v>
      </c>
      <c r="C116" s="10">
        <v>7</v>
      </c>
      <c r="D116" s="9" t="s">
        <v>168</v>
      </c>
      <c r="E116" s="154">
        <f>INDEX('Revised 2018 Lockdown'!H$5:H$253,MATCH(B116,'Revised 2018 Lockdown'!B$5:B$253,0))</f>
        <v>166.06</v>
      </c>
      <c r="F116" s="7">
        <f>INDEX('Revised 2018 Lockdown'!E$5:E$253,MATCH(B116,'Revised 2018 Lockdown'!B$5:B$253,0))</f>
        <v>119649.47</v>
      </c>
      <c r="G116" s="7">
        <f>INDEX('Revised 2018 Lockdown'!F$5:F$253,MATCH(B116,'Revised 2018 Lockdown'!B$5:B$253,0))</f>
        <v>21552.310000000005</v>
      </c>
      <c r="H116" s="7">
        <f t="shared" si="8"/>
        <v>98097.16</v>
      </c>
      <c r="I116" s="6">
        <f t="shared" si="9"/>
        <v>590.73322895339038</v>
      </c>
      <c r="J116" s="6">
        <f t="shared" si="12"/>
        <v>590.73322895339038</v>
      </c>
      <c r="K116" s="5">
        <f t="shared" si="10"/>
        <v>98097.16</v>
      </c>
      <c r="L116" s="4">
        <f t="shared" si="11"/>
        <v>0</v>
      </c>
      <c r="M116" s="2" cm="1">
        <f t="array" ref="M116">SUMPRODUCT(--($L$6:$L$300&lt;&gt;1),--($C$6:$C$300=$C116),$H$6:$H$300)/SUMPRODUCT(--($L$6:$L$300&lt;&gt;1),--($C$6:$C$300=$C116),$E$6:$E$300)</f>
        <v>477.46219284858569</v>
      </c>
      <c r="N116" s="1" cm="1">
        <f t="array" ref="N116">SUMPRODUCT(--($L$6:$L$300&lt;&gt;1),--($C$6:$C$300=$C116))</f>
        <v>66</v>
      </c>
      <c r="O116" s="3">
        <f t="shared" si="13"/>
        <v>12830.327620255968</v>
      </c>
      <c r="P116" s="2" cm="1">
        <f t="array" ref="P116">SQRT(SUMPRODUCT(--($L$6:$L$300&lt;&gt;1),--($C$6:$C$300=$C116),$E$6:$E$300,$O$6:$O$300)/((N116-1)*SUMPRODUCT(--($L$6:$L$300&lt;&gt;1),--($C$6:$C$300=$C116),$E$6:$E$300)/N116))</f>
        <v>192.61217286848685</v>
      </c>
      <c r="Q116" s="2">
        <f t="shared" si="15"/>
        <v>230.61976116602912</v>
      </c>
      <c r="R116" s="2">
        <f t="shared" si="15"/>
        <v>724.30462453114228</v>
      </c>
      <c r="S116" s="2">
        <f t="shared" si="14"/>
        <v>590.73322895339038</v>
      </c>
    </row>
    <row r="117" spans="2:19" x14ac:dyDescent="0.25">
      <c r="B117" s="10">
        <v>205</v>
      </c>
      <c r="C117" s="10">
        <v>7</v>
      </c>
      <c r="D117" s="9" t="s">
        <v>169</v>
      </c>
      <c r="E117" s="154">
        <f>INDEX('Revised 2018 Lockdown'!H$5:H$253,MATCH(B117,'Revised 2018 Lockdown'!B$5:B$253,0))</f>
        <v>611.51978389570877</v>
      </c>
      <c r="F117" s="7">
        <f>INDEX('Revised 2018 Lockdown'!E$5:E$253,MATCH(B117,'Revised 2018 Lockdown'!B$5:B$253,0))</f>
        <v>424199.53</v>
      </c>
      <c r="G117" s="7">
        <f>INDEX('Revised 2018 Lockdown'!F$5:F$253,MATCH(B117,'Revised 2018 Lockdown'!B$5:B$253,0))</f>
        <v>18066.25</v>
      </c>
      <c r="H117" s="7">
        <f t="shared" si="8"/>
        <v>406133.28</v>
      </c>
      <c r="I117" s="6">
        <f t="shared" si="9"/>
        <v>664.13759733612108</v>
      </c>
      <c r="J117" s="6">
        <f t="shared" si="12"/>
        <v>664.13759733612108</v>
      </c>
      <c r="K117" s="5">
        <f t="shared" si="10"/>
        <v>406133.28</v>
      </c>
      <c r="L117" s="4">
        <f t="shared" si="11"/>
        <v>0</v>
      </c>
      <c r="M117" s="2" cm="1">
        <f t="array" ref="M117">SUMPRODUCT(--($L$6:$L$300&lt;&gt;1),--($C$6:$C$300=$C117),$H$6:$H$300)/SUMPRODUCT(--($L$6:$L$300&lt;&gt;1),--($C$6:$C$300=$C117),$E$6:$E$300)</f>
        <v>477.46219284858569</v>
      </c>
      <c r="N117" s="1" cm="1">
        <f t="array" ref="N117">SUMPRODUCT(--($L$6:$L$300&lt;&gt;1),--($C$6:$C$300=$C117))</f>
        <v>66</v>
      </c>
      <c r="O117" s="3">
        <f t="shared" si="13"/>
        <v>34847.706640584947</v>
      </c>
      <c r="P117" s="2" cm="1">
        <f t="array" ref="P117">SQRT(SUMPRODUCT(--($L$6:$L$300&lt;&gt;1),--($C$6:$C$300=$C117),$E$6:$E$300,$O$6:$O$300)/((N117-1)*SUMPRODUCT(--($L$6:$L$300&lt;&gt;1),--($C$6:$C$300=$C117),$E$6:$E$300)/N117))</f>
        <v>192.61217286848685</v>
      </c>
      <c r="Q117" s="2">
        <f t="shared" si="15"/>
        <v>230.61976116602912</v>
      </c>
      <c r="R117" s="2">
        <f t="shared" si="15"/>
        <v>724.30462453114228</v>
      </c>
      <c r="S117" s="2">
        <f t="shared" si="14"/>
        <v>664.13759733612108</v>
      </c>
    </row>
    <row r="118" spans="2:19" x14ac:dyDescent="0.25">
      <c r="B118" s="10">
        <v>212</v>
      </c>
      <c r="C118" s="10">
        <v>7</v>
      </c>
      <c r="D118" s="9" t="s">
        <v>170</v>
      </c>
      <c r="E118" s="154">
        <f>INDEX('Revised 2018 Lockdown'!H$5:H$253,MATCH(B118,'Revised 2018 Lockdown'!B$5:B$253,0))</f>
        <v>456.16891805920824</v>
      </c>
      <c r="F118" s="7">
        <f>INDEX('Revised 2018 Lockdown'!E$5:E$253,MATCH(B118,'Revised 2018 Lockdown'!B$5:B$253,0))</f>
        <v>245644.58</v>
      </c>
      <c r="G118" s="7">
        <f>INDEX('Revised 2018 Lockdown'!F$5:F$253,MATCH(B118,'Revised 2018 Lockdown'!B$5:B$253,0))</f>
        <v>630</v>
      </c>
      <c r="H118" s="7">
        <f t="shared" si="8"/>
        <v>245014.58</v>
      </c>
      <c r="I118" s="6">
        <f t="shared" si="9"/>
        <v>537.11371007570142</v>
      </c>
      <c r="J118" s="6">
        <f t="shared" si="12"/>
        <v>537.11371007570142</v>
      </c>
      <c r="K118" s="5">
        <f t="shared" si="10"/>
        <v>245014.57999999996</v>
      </c>
      <c r="L118" s="4">
        <f t="shared" si="11"/>
        <v>0</v>
      </c>
      <c r="M118" s="2" cm="1">
        <f t="array" ref="M118">SUMPRODUCT(--($L$6:$L$300&lt;&gt;1),--($C$6:$C$300=$C118),$H$6:$H$300)/SUMPRODUCT(--($L$6:$L$300&lt;&gt;1),--($C$6:$C$300=$C118),$E$6:$E$300)</f>
        <v>477.46219284858569</v>
      </c>
      <c r="N118" s="1" cm="1">
        <f t="array" ref="N118">SUMPRODUCT(--($L$6:$L$300&lt;&gt;1),--($C$6:$C$300=$C118))</f>
        <v>66</v>
      </c>
      <c r="O118" s="3">
        <f t="shared" si="13"/>
        <v>3558.3035074968852</v>
      </c>
      <c r="P118" s="2" cm="1">
        <f t="array" ref="P118">SQRT(SUMPRODUCT(--($L$6:$L$300&lt;&gt;1),--($C$6:$C$300=$C118),$E$6:$E$300,$O$6:$O$300)/((N118-1)*SUMPRODUCT(--($L$6:$L$300&lt;&gt;1),--($C$6:$C$300=$C118),$E$6:$E$300)/N118))</f>
        <v>192.61217286848685</v>
      </c>
      <c r="Q118" s="2">
        <f t="shared" si="15"/>
        <v>230.61976116602912</v>
      </c>
      <c r="R118" s="2">
        <f t="shared" si="15"/>
        <v>724.30462453114228</v>
      </c>
      <c r="S118" s="2">
        <f t="shared" si="14"/>
        <v>537.11371007570142</v>
      </c>
    </row>
    <row r="119" spans="2:19" x14ac:dyDescent="0.25">
      <c r="B119" s="10">
        <v>216</v>
      </c>
      <c r="C119" s="10">
        <v>7</v>
      </c>
      <c r="D119" s="9" t="s">
        <v>171</v>
      </c>
      <c r="E119" s="154">
        <f>INDEX('Revised 2018 Lockdown'!H$5:H$253,MATCH(B119,'Revised 2018 Lockdown'!B$5:B$253,0))</f>
        <v>764.6477139740557</v>
      </c>
      <c r="F119" s="7">
        <f>INDEX('Revised 2018 Lockdown'!E$5:E$253,MATCH(B119,'Revised 2018 Lockdown'!B$5:B$253,0))</f>
        <v>319371.06</v>
      </c>
      <c r="G119" s="7">
        <f>INDEX('Revised 2018 Lockdown'!F$5:F$253,MATCH(B119,'Revised 2018 Lockdown'!B$5:B$253,0))</f>
        <v>285</v>
      </c>
      <c r="H119" s="7">
        <f t="shared" si="8"/>
        <v>319086.06</v>
      </c>
      <c r="I119" s="6">
        <f t="shared" si="9"/>
        <v>417.2981284958455</v>
      </c>
      <c r="J119" s="6">
        <f t="shared" si="12"/>
        <v>417.2981284958455</v>
      </c>
      <c r="K119" s="5">
        <f t="shared" si="10"/>
        <v>319086.06</v>
      </c>
      <c r="L119" s="4">
        <f t="shared" si="11"/>
        <v>0</v>
      </c>
      <c r="M119" s="2" cm="1">
        <f t="array" ref="M119">SUMPRODUCT(--($L$6:$L$300&lt;&gt;1),--($C$6:$C$300=$C119),$H$6:$H$300)/SUMPRODUCT(--($L$6:$L$300&lt;&gt;1),--($C$6:$C$300=$C119),$E$6:$E$300)</f>
        <v>477.46219284858569</v>
      </c>
      <c r="N119" s="1" cm="1">
        <f t="array" ref="N119">SUMPRODUCT(--($L$6:$L$300&lt;&gt;1),--($C$6:$C$300=$C119))</f>
        <v>66</v>
      </c>
      <c r="O119" s="3">
        <f t="shared" si="13"/>
        <v>3619.7146394406623</v>
      </c>
      <c r="P119" s="2" cm="1">
        <f t="array" ref="P119">SQRT(SUMPRODUCT(--($L$6:$L$300&lt;&gt;1),--($C$6:$C$300=$C119),$E$6:$E$300,$O$6:$O$300)/((N119-1)*SUMPRODUCT(--($L$6:$L$300&lt;&gt;1),--($C$6:$C$300=$C119),$E$6:$E$300)/N119))</f>
        <v>192.61217286848685</v>
      </c>
      <c r="Q119" s="2">
        <f t="shared" si="15"/>
        <v>230.61976116602912</v>
      </c>
      <c r="R119" s="2">
        <f t="shared" si="15"/>
        <v>724.30462453114228</v>
      </c>
      <c r="S119" s="2">
        <f t="shared" si="14"/>
        <v>417.2981284958455</v>
      </c>
    </row>
    <row r="120" spans="2:19" x14ac:dyDescent="0.25">
      <c r="B120" s="10">
        <v>218</v>
      </c>
      <c r="C120" s="10">
        <v>7</v>
      </c>
      <c r="D120" s="9" t="s">
        <v>276</v>
      </c>
      <c r="E120" s="154">
        <f>INDEX('Revised 2018 Lockdown'!H$5:H$253,MATCH(B120,'Revised 2018 Lockdown'!B$5:B$253,0))</f>
        <v>290.41193028521099</v>
      </c>
      <c r="F120" s="7">
        <f>INDEX('Revised 2018 Lockdown'!E$5:E$253,MATCH(B120,'Revised 2018 Lockdown'!B$5:B$253,0))</f>
        <v>189204.88</v>
      </c>
      <c r="G120" s="7">
        <f>INDEX('Revised 2018 Lockdown'!F$5:F$253,MATCH(B120,'Revised 2018 Lockdown'!B$5:B$253,0))</f>
        <v>110</v>
      </c>
      <c r="H120" s="7">
        <f t="shared" si="8"/>
        <v>189094.88</v>
      </c>
      <c r="I120" s="6">
        <f t="shared" si="9"/>
        <v>651.12641830620248</v>
      </c>
      <c r="J120" s="6">
        <f t="shared" si="12"/>
        <v>651.12641830620248</v>
      </c>
      <c r="K120" s="5">
        <f t="shared" si="10"/>
        <v>189094.88</v>
      </c>
      <c r="L120" s="4">
        <f t="shared" si="11"/>
        <v>0</v>
      </c>
      <c r="M120" s="2" cm="1">
        <f t="array" ref="M120">SUMPRODUCT(--($L$6:$L$300&lt;&gt;1),--($C$6:$C$300=$C120),$H$6:$H$300)/SUMPRODUCT(--($L$6:$L$300&lt;&gt;1),--($C$6:$C$300=$C120),$E$6:$E$300)</f>
        <v>477.46219284858569</v>
      </c>
      <c r="N120" s="1" cm="1">
        <f t="array" ref="N120">SUMPRODUCT(--($L$6:$L$300&lt;&gt;1),--($C$6:$C$300=$C120))</f>
        <v>66</v>
      </c>
      <c r="O120" s="3">
        <f t="shared" si="13"/>
        <v>30159.263203793958</v>
      </c>
      <c r="P120" s="2" cm="1">
        <f t="array" ref="P120">SQRT(SUMPRODUCT(--($L$6:$L$300&lt;&gt;1),--($C$6:$C$300=$C120),$E$6:$E$300,$O$6:$O$300)/((N120-1)*SUMPRODUCT(--($L$6:$L$300&lt;&gt;1),--($C$6:$C$300=$C120),$E$6:$E$300)/N120))</f>
        <v>192.61217286848685</v>
      </c>
      <c r="Q120" s="2">
        <f t="shared" si="15"/>
        <v>230.61976116602912</v>
      </c>
      <c r="R120" s="2">
        <f t="shared" si="15"/>
        <v>724.30462453114228</v>
      </c>
      <c r="S120" s="2">
        <f t="shared" si="14"/>
        <v>651.12641830620248</v>
      </c>
    </row>
    <row r="121" spans="2:19" x14ac:dyDescent="0.25">
      <c r="B121" s="10">
        <v>229</v>
      </c>
      <c r="C121" s="10">
        <v>7</v>
      </c>
      <c r="D121" s="9" t="s">
        <v>172</v>
      </c>
      <c r="E121" s="154">
        <f>INDEX('Revised 2018 Lockdown'!H$5:H$253,MATCH(B121,'Revised 2018 Lockdown'!B$5:B$253,0))</f>
        <v>816</v>
      </c>
      <c r="F121" s="7">
        <f>INDEX('Revised 2018 Lockdown'!E$5:E$253,MATCH(B121,'Revised 2018 Lockdown'!B$5:B$253,0))</f>
        <v>449836.67</v>
      </c>
      <c r="G121" s="7">
        <f>INDEX('Revised 2018 Lockdown'!F$5:F$253,MATCH(B121,'Revised 2018 Lockdown'!B$5:B$253,0))</f>
        <v>104238</v>
      </c>
      <c r="H121" s="7">
        <f t="shared" si="8"/>
        <v>345598.67</v>
      </c>
      <c r="I121" s="6">
        <f t="shared" si="9"/>
        <v>423.52778186274509</v>
      </c>
      <c r="J121" s="6">
        <f t="shared" si="12"/>
        <v>423.52778186274509</v>
      </c>
      <c r="K121" s="5">
        <f t="shared" si="10"/>
        <v>345598.67</v>
      </c>
      <c r="L121" s="4">
        <f t="shared" si="11"/>
        <v>0</v>
      </c>
      <c r="M121" s="2" cm="1">
        <f t="array" ref="M121">SUMPRODUCT(--($L$6:$L$300&lt;&gt;1),--($C$6:$C$300=$C121),$H$6:$H$300)/SUMPRODUCT(--($L$6:$L$300&lt;&gt;1),--($C$6:$C$300=$C121),$E$6:$E$300)</f>
        <v>477.46219284858569</v>
      </c>
      <c r="N121" s="1" cm="1">
        <f t="array" ref="N121">SUMPRODUCT(--($L$6:$L$300&lt;&gt;1),--($C$6:$C$300=$C121))</f>
        <v>66</v>
      </c>
      <c r="O121" s="3">
        <f t="shared" si="13"/>
        <v>2908.9206883895631</v>
      </c>
      <c r="P121" s="2" cm="1">
        <f t="array" ref="P121">SQRT(SUMPRODUCT(--($L$6:$L$300&lt;&gt;1),--($C$6:$C$300=$C121),$E$6:$E$300,$O$6:$O$300)/((N121-1)*SUMPRODUCT(--($L$6:$L$300&lt;&gt;1),--($C$6:$C$300=$C121),$E$6:$E$300)/N121))</f>
        <v>192.61217286848685</v>
      </c>
      <c r="Q121" s="2">
        <f t="shared" si="15"/>
        <v>230.61976116602912</v>
      </c>
      <c r="R121" s="2">
        <f t="shared" si="15"/>
        <v>724.30462453114228</v>
      </c>
      <c r="S121" s="2">
        <f t="shared" si="14"/>
        <v>423.52778186274509</v>
      </c>
    </row>
    <row r="122" spans="2:19" x14ac:dyDescent="0.25">
      <c r="B122" s="10">
        <v>236</v>
      </c>
      <c r="C122" s="10">
        <v>7</v>
      </c>
      <c r="D122" s="9" t="s">
        <v>173</v>
      </c>
      <c r="E122" s="154">
        <f>INDEX('Revised 2018 Lockdown'!H$5:H$253,MATCH(B122,'Revised 2018 Lockdown'!B$5:B$253,0))</f>
        <v>1084.1000000000001</v>
      </c>
      <c r="F122" s="7">
        <f>INDEX('Revised 2018 Lockdown'!E$5:E$253,MATCH(B122,'Revised 2018 Lockdown'!B$5:B$253,0))</f>
        <v>616356.31999999995</v>
      </c>
      <c r="G122" s="7">
        <f>INDEX('Revised 2018 Lockdown'!F$5:F$253,MATCH(B122,'Revised 2018 Lockdown'!B$5:B$253,0))</f>
        <v>145860.79</v>
      </c>
      <c r="H122" s="7">
        <f t="shared" si="8"/>
        <v>470495.52999999991</v>
      </c>
      <c r="I122" s="6">
        <f t="shared" si="9"/>
        <v>433.99643021861436</v>
      </c>
      <c r="J122" s="6">
        <f t="shared" si="12"/>
        <v>433.99643021861436</v>
      </c>
      <c r="K122" s="5">
        <f t="shared" si="10"/>
        <v>470495.52999999991</v>
      </c>
      <c r="L122" s="4">
        <f t="shared" si="11"/>
        <v>0</v>
      </c>
      <c r="M122" s="2" cm="1">
        <f t="array" ref="M122">SUMPRODUCT(--($L$6:$L$300&lt;&gt;1),--($C$6:$C$300=$C122),$H$6:$H$300)/SUMPRODUCT(--($L$6:$L$300&lt;&gt;1),--($C$6:$C$300=$C122),$E$6:$E$300)</f>
        <v>477.46219284858569</v>
      </c>
      <c r="N122" s="1" cm="1">
        <f t="array" ref="N122">SUMPRODUCT(--($L$6:$L$300&lt;&gt;1),--($C$6:$C$300=$C122))</f>
        <v>66</v>
      </c>
      <c r="O122" s="3">
        <f t="shared" si="13"/>
        <v>1889.2725210050116</v>
      </c>
      <c r="P122" s="2" cm="1">
        <f t="array" ref="P122">SQRT(SUMPRODUCT(--($L$6:$L$300&lt;&gt;1),--($C$6:$C$300=$C122),$E$6:$E$300,$O$6:$O$300)/((N122-1)*SUMPRODUCT(--($L$6:$L$300&lt;&gt;1),--($C$6:$C$300=$C122),$E$6:$E$300)/N122))</f>
        <v>192.61217286848685</v>
      </c>
      <c r="Q122" s="2">
        <f t="shared" si="15"/>
        <v>230.61976116602912</v>
      </c>
      <c r="R122" s="2">
        <f t="shared" si="15"/>
        <v>724.30462453114228</v>
      </c>
      <c r="S122" s="2">
        <f t="shared" si="14"/>
        <v>433.99643021861436</v>
      </c>
    </row>
    <row r="123" spans="2:19" x14ac:dyDescent="0.25">
      <c r="B123" s="10">
        <v>238</v>
      </c>
      <c r="C123" s="10">
        <v>7</v>
      </c>
      <c r="D123" s="9" t="s">
        <v>311</v>
      </c>
      <c r="E123" s="154">
        <f>INDEX('Revised 2018 Lockdown'!H$5:H$253,MATCH(B123,'Revised 2018 Lockdown'!B$5:B$253,0))</f>
        <v>67.316412345260062</v>
      </c>
      <c r="F123" s="7">
        <f>INDEX('Revised 2018 Lockdown'!E$5:E$253,MATCH(B123,'Revised 2018 Lockdown'!B$5:B$253,0))</f>
        <v>56188.56</v>
      </c>
      <c r="G123" s="7">
        <f>INDEX('Revised 2018 Lockdown'!F$5:F$253,MATCH(B123,'Revised 2018 Lockdown'!B$5:B$253,0))</f>
        <v>0</v>
      </c>
      <c r="H123" s="7">
        <f t="shared" si="8"/>
        <v>56188.56</v>
      </c>
      <c r="I123" s="6">
        <f t="shared" si="9"/>
        <v>834.69332429383985</v>
      </c>
      <c r="J123" s="6">
        <f t="shared" si="12"/>
        <v>724.30462453114228</v>
      </c>
      <c r="K123" s="5">
        <f t="shared" si="10"/>
        <v>48757.58876851714</v>
      </c>
      <c r="L123" s="4">
        <f t="shared" si="11"/>
        <v>0</v>
      </c>
      <c r="M123" s="2" cm="1">
        <f t="array" ref="M123">SUMPRODUCT(--($L$6:$L$300&lt;&gt;1),--($C$6:$C$300=$C123),$H$6:$H$300)/SUMPRODUCT(--($L$6:$L$300&lt;&gt;1),--($C$6:$C$300=$C123),$E$6:$E$300)</f>
        <v>477.46219284858569</v>
      </c>
      <c r="N123" s="1" cm="1">
        <f t="array" ref="N123">SUMPRODUCT(--($L$6:$L$300&lt;&gt;1),--($C$6:$C$300=$C123))</f>
        <v>66</v>
      </c>
      <c r="O123" s="3">
        <f t="shared" si="13"/>
        <v>127614.08127365645</v>
      </c>
      <c r="P123" s="2" cm="1">
        <f t="array" ref="P123">SQRT(SUMPRODUCT(--($L$6:$L$300&lt;&gt;1),--($C$6:$C$300=$C123),$E$6:$E$300,$O$6:$O$300)/((N123-1)*SUMPRODUCT(--($L$6:$L$300&lt;&gt;1),--($C$6:$C$300=$C123),$E$6:$E$300)/N123))</f>
        <v>192.61217286848685</v>
      </c>
      <c r="Q123" s="2">
        <f t="shared" si="15"/>
        <v>230.61976116602912</v>
      </c>
      <c r="R123" s="2">
        <f t="shared" si="15"/>
        <v>724.30462453114228</v>
      </c>
      <c r="S123" s="2">
        <f t="shared" si="14"/>
        <v>724.30462453114228</v>
      </c>
    </row>
    <row r="124" spans="2:19" x14ac:dyDescent="0.25">
      <c r="B124" s="10">
        <v>239</v>
      </c>
      <c r="C124" s="10">
        <v>7</v>
      </c>
      <c r="D124" s="9" t="s">
        <v>174</v>
      </c>
      <c r="E124" s="154">
        <f>INDEX('Revised 2018 Lockdown'!H$5:H$253,MATCH(B124,'Revised 2018 Lockdown'!B$5:B$253,0))</f>
        <v>3252.7579008551165</v>
      </c>
      <c r="F124" s="7">
        <f>INDEX('Revised 2018 Lockdown'!E$5:E$253,MATCH(B124,'Revised 2018 Lockdown'!B$5:B$253,0))</f>
        <v>1786444.75</v>
      </c>
      <c r="G124" s="7">
        <f>INDEX('Revised 2018 Lockdown'!F$5:F$253,MATCH(B124,'Revised 2018 Lockdown'!B$5:B$253,0))</f>
        <v>419175.63</v>
      </c>
      <c r="H124" s="7">
        <f t="shared" si="8"/>
        <v>1367269.12</v>
      </c>
      <c r="I124" s="6">
        <f t="shared" si="9"/>
        <v>420.34149533248666</v>
      </c>
      <c r="J124" s="6">
        <f t="shared" si="12"/>
        <v>420.34149533248666</v>
      </c>
      <c r="K124" s="5">
        <f t="shared" si="10"/>
        <v>1367269.12</v>
      </c>
      <c r="L124" s="4">
        <f t="shared" si="11"/>
        <v>0</v>
      </c>
      <c r="M124" s="2" cm="1">
        <f t="array" ref="M124">SUMPRODUCT(--($L$6:$L$300&lt;&gt;1),--($C$6:$C$300=$C124),$H$6:$H$300)/SUMPRODUCT(--($L$6:$L$300&lt;&gt;1),--($C$6:$C$300=$C124),$E$6:$E$300)</f>
        <v>477.46219284858569</v>
      </c>
      <c r="N124" s="1" cm="1">
        <f t="array" ref="N124">SUMPRODUCT(--($L$6:$L$300&lt;&gt;1),--($C$6:$C$300=$C124))</f>
        <v>66</v>
      </c>
      <c r="O124" s="3">
        <f t="shared" si="13"/>
        <v>3262.7740847256819</v>
      </c>
      <c r="P124" s="2" cm="1">
        <f t="array" ref="P124">SQRT(SUMPRODUCT(--($L$6:$L$300&lt;&gt;1),--($C$6:$C$300=$C124),$E$6:$E$300,$O$6:$O$300)/((N124-1)*SUMPRODUCT(--($L$6:$L$300&lt;&gt;1),--($C$6:$C$300=$C124),$E$6:$E$300)/N124))</f>
        <v>192.61217286848685</v>
      </c>
      <c r="Q124" s="2">
        <f t="shared" si="15"/>
        <v>230.61976116602912</v>
      </c>
      <c r="R124" s="2">
        <f t="shared" si="15"/>
        <v>724.30462453114228</v>
      </c>
      <c r="S124" s="2">
        <f t="shared" si="14"/>
        <v>420.34149533248666</v>
      </c>
    </row>
    <row r="125" spans="2:19" x14ac:dyDescent="0.25">
      <c r="B125" s="10">
        <v>249</v>
      </c>
      <c r="C125" s="10">
        <v>7</v>
      </c>
      <c r="D125" s="9" t="s">
        <v>175</v>
      </c>
      <c r="E125" s="154">
        <f>INDEX('Revised 2018 Lockdown'!H$5:H$253,MATCH(B125,'Revised 2018 Lockdown'!B$5:B$253,0))</f>
        <v>1154.9883434484898</v>
      </c>
      <c r="F125" s="7">
        <f>INDEX('Revised 2018 Lockdown'!E$5:E$253,MATCH(B125,'Revised 2018 Lockdown'!B$5:B$253,0))</f>
        <v>606310.29</v>
      </c>
      <c r="G125" s="7">
        <f>INDEX('Revised 2018 Lockdown'!F$5:F$253,MATCH(B125,'Revised 2018 Lockdown'!B$5:B$253,0))</f>
        <v>0</v>
      </c>
      <c r="H125" s="7">
        <f t="shared" si="8"/>
        <v>606310.29</v>
      </c>
      <c r="I125" s="6">
        <f t="shared" si="9"/>
        <v>524.94927194651837</v>
      </c>
      <c r="J125" s="6">
        <f t="shared" si="12"/>
        <v>524.94927194651837</v>
      </c>
      <c r="K125" s="5">
        <f t="shared" si="10"/>
        <v>606310.29</v>
      </c>
      <c r="L125" s="4">
        <f t="shared" si="11"/>
        <v>0</v>
      </c>
      <c r="M125" s="2" cm="1">
        <f t="array" ref="M125">SUMPRODUCT(--($L$6:$L$300&lt;&gt;1),--($C$6:$C$300=$C125),$H$6:$H$300)/SUMPRODUCT(--($L$6:$L$300&lt;&gt;1),--($C$6:$C$300=$C125),$E$6:$E$300)</f>
        <v>477.46219284858569</v>
      </c>
      <c r="N125" s="1" cm="1">
        <f t="array" ref="N125">SUMPRODUCT(--($L$6:$L$300&lt;&gt;1),--($C$6:$C$300=$C125))</f>
        <v>66</v>
      </c>
      <c r="O125" s="3">
        <f t="shared" si="13"/>
        <v>2255.0226812533147</v>
      </c>
      <c r="P125" s="2" cm="1">
        <f t="array" ref="P125">SQRT(SUMPRODUCT(--($L$6:$L$300&lt;&gt;1),--($C$6:$C$300=$C125),$E$6:$E$300,$O$6:$O$300)/((N125-1)*SUMPRODUCT(--($L$6:$L$300&lt;&gt;1),--($C$6:$C$300=$C125),$E$6:$E$300)/N125))</f>
        <v>192.61217286848685</v>
      </c>
      <c r="Q125" s="2">
        <f t="shared" si="15"/>
        <v>230.61976116602912</v>
      </c>
      <c r="R125" s="2">
        <f t="shared" si="15"/>
        <v>724.30462453114228</v>
      </c>
      <c r="S125" s="2">
        <f t="shared" si="14"/>
        <v>524.94927194651837</v>
      </c>
    </row>
    <row r="126" spans="2:19" x14ac:dyDescent="0.25">
      <c r="B126" s="10">
        <v>271</v>
      </c>
      <c r="C126" s="10">
        <v>7</v>
      </c>
      <c r="D126" s="9" t="s">
        <v>176</v>
      </c>
      <c r="E126" s="154">
        <f>INDEX('Revised 2018 Lockdown'!H$5:H$253,MATCH(B126,'Revised 2018 Lockdown'!B$5:B$253,0))</f>
        <v>1048.2</v>
      </c>
      <c r="F126" s="7">
        <f>INDEX('Revised 2018 Lockdown'!E$5:E$253,MATCH(B126,'Revised 2018 Lockdown'!B$5:B$253,0))</f>
        <v>936506.01</v>
      </c>
      <c r="G126" s="7">
        <f>INDEX('Revised 2018 Lockdown'!F$5:F$253,MATCH(B126,'Revised 2018 Lockdown'!B$5:B$253,0))</f>
        <v>90489.709999999992</v>
      </c>
      <c r="H126" s="7">
        <f t="shared" si="8"/>
        <v>846016.3</v>
      </c>
      <c r="I126" s="6">
        <f t="shared" si="9"/>
        <v>807.11343255103986</v>
      </c>
      <c r="J126" s="6">
        <f t="shared" si="12"/>
        <v>724.30462453114228</v>
      </c>
      <c r="K126" s="5">
        <f t="shared" si="10"/>
        <v>759216.10743354342</v>
      </c>
      <c r="L126" s="4">
        <f t="shared" si="11"/>
        <v>0</v>
      </c>
      <c r="M126" s="2" cm="1">
        <f t="array" ref="M126">SUMPRODUCT(--($L$6:$L$300&lt;&gt;1),--($C$6:$C$300=$C126),$H$6:$H$300)/SUMPRODUCT(--($L$6:$L$300&lt;&gt;1),--($C$6:$C$300=$C126),$E$6:$E$300)</f>
        <v>477.46219284858569</v>
      </c>
      <c r="N126" s="1" cm="1">
        <f t="array" ref="N126">SUMPRODUCT(--($L$6:$L$300&lt;&gt;1),--($C$6:$C$300=$C126))</f>
        <v>66</v>
      </c>
      <c r="O126" s="3">
        <f t="shared" si="13"/>
        <v>108669.9398373649</v>
      </c>
      <c r="P126" s="2" cm="1">
        <f t="array" ref="P126">SQRT(SUMPRODUCT(--($L$6:$L$300&lt;&gt;1),--($C$6:$C$300=$C126),$E$6:$E$300,$O$6:$O$300)/((N126-1)*SUMPRODUCT(--($L$6:$L$300&lt;&gt;1),--($C$6:$C$300=$C126),$E$6:$E$300)/N126))</f>
        <v>192.61217286848685</v>
      </c>
      <c r="Q126" s="2">
        <f t="shared" si="15"/>
        <v>230.61976116602912</v>
      </c>
      <c r="R126" s="2">
        <f t="shared" si="15"/>
        <v>724.30462453114228</v>
      </c>
      <c r="S126" s="2">
        <f t="shared" si="14"/>
        <v>724.30462453114228</v>
      </c>
    </row>
    <row r="127" spans="2:19" x14ac:dyDescent="0.25">
      <c r="B127" s="10">
        <v>275</v>
      </c>
      <c r="C127" s="10">
        <v>7</v>
      </c>
      <c r="D127" s="9" t="s">
        <v>177</v>
      </c>
      <c r="E127" s="154">
        <f>INDEX('Revised 2018 Lockdown'!H$5:H$253,MATCH(B127,'Revised 2018 Lockdown'!B$5:B$253,0))</f>
        <v>710.94999999999993</v>
      </c>
      <c r="F127" s="7">
        <f>INDEX('Revised 2018 Lockdown'!E$5:E$253,MATCH(B127,'Revised 2018 Lockdown'!B$5:B$253,0))</f>
        <v>324500.11</v>
      </c>
      <c r="G127" s="7">
        <f>INDEX('Revised 2018 Lockdown'!F$5:F$253,MATCH(B127,'Revised 2018 Lockdown'!B$5:B$253,0))</f>
        <v>62912.880000000005</v>
      </c>
      <c r="H127" s="7">
        <f t="shared" si="8"/>
        <v>261587.22999999998</v>
      </c>
      <c r="I127" s="6">
        <f t="shared" si="9"/>
        <v>367.94040368520996</v>
      </c>
      <c r="J127" s="6">
        <f t="shared" si="12"/>
        <v>367.94040368520996</v>
      </c>
      <c r="K127" s="5">
        <f t="shared" si="10"/>
        <v>261587.22999999998</v>
      </c>
      <c r="L127" s="4">
        <f t="shared" si="11"/>
        <v>0</v>
      </c>
      <c r="M127" s="2" cm="1">
        <f t="array" ref="M127">SUMPRODUCT(--($L$6:$L$300&lt;&gt;1),--($C$6:$C$300=$C127),$H$6:$H$300)/SUMPRODUCT(--($L$6:$L$300&lt;&gt;1),--($C$6:$C$300=$C127),$E$6:$E$300)</f>
        <v>477.46219284858569</v>
      </c>
      <c r="N127" s="1" cm="1">
        <f t="array" ref="N127">SUMPRODUCT(--($L$6:$L$300&lt;&gt;1),--($C$6:$C$300=$C127))</f>
        <v>66</v>
      </c>
      <c r="O127" s="3">
        <f t="shared" si="13"/>
        <v>11995.022301546926</v>
      </c>
      <c r="P127" s="2" cm="1">
        <f t="array" ref="P127">SQRT(SUMPRODUCT(--($L$6:$L$300&lt;&gt;1),--($C$6:$C$300=$C127),$E$6:$E$300,$O$6:$O$300)/((N127-1)*SUMPRODUCT(--($L$6:$L$300&lt;&gt;1),--($C$6:$C$300=$C127),$E$6:$E$300)/N127))</f>
        <v>192.61217286848685</v>
      </c>
      <c r="Q127" s="2">
        <f t="shared" si="15"/>
        <v>230.61976116602912</v>
      </c>
      <c r="R127" s="2">
        <f t="shared" si="15"/>
        <v>724.30462453114228</v>
      </c>
      <c r="S127" s="2">
        <f t="shared" si="14"/>
        <v>367.94040368520996</v>
      </c>
    </row>
    <row r="128" spans="2:19" x14ac:dyDescent="0.25">
      <c r="B128" s="10">
        <v>282</v>
      </c>
      <c r="C128" s="10">
        <v>7</v>
      </c>
      <c r="D128" s="9" t="s">
        <v>178</v>
      </c>
      <c r="E128" s="154">
        <f>INDEX('Revised 2018 Lockdown'!H$5:H$253,MATCH(B128,'Revised 2018 Lockdown'!B$5:B$253,0))</f>
        <v>145.34946417977184</v>
      </c>
      <c r="F128" s="7">
        <f>INDEX('Revised 2018 Lockdown'!E$5:E$253,MATCH(B128,'Revised 2018 Lockdown'!B$5:B$253,0))</f>
        <v>55222.87</v>
      </c>
      <c r="G128" s="7">
        <f>INDEX('Revised 2018 Lockdown'!F$5:F$253,MATCH(B128,'Revised 2018 Lockdown'!B$5:B$253,0))</f>
        <v>0</v>
      </c>
      <c r="H128" s="7">
        <f t="shared" si="8"/>
        <v>55222.87</v>
      </c>
      <c r="I128" s="6">
        <f t="shared" si="9"/>
        <v>379.93170674299137</v>
      </c>
      <c r="J128" s="6">
        <f t="shared" si="12"/>
        <v>379.93170674299137</v>
      </c>
      <c r="K128" s="5">
        <f t="shared" si="10"/>
        <v>55222.87</v>
      </c>
      <c r="L128" s="4">
        <f t="shared" si="11"/>
        <v>0</v>
      </c>
      <c r="M128" s="2" cm="1">
        <f t="array" ref="M128">SUMPRODUCT(--($L$6:$L$300&lt;&gt;1),--($C$6:$C$300=$C128),$H$6:$H$300)/SUMPRODUCT(--($L$6:$L$300&lt;&gt;1),--($C$6:$C$300=$C128),$E$6:$E$300)</f>
        <v>477.46219284858569</v>
      </c>
      <c r="N128" s="1" cm="1">
        <f t="array" ref="N128">SUMPRODUCT(--($L$6:$L$300&lt;&gt;1),--($C$6:$C$300=$C128))</f>
        <v>66</v>
      </c>
      <c r="O128" s="3">
        <f t="shared" si="13"/>
        <v>9512.1957199935259</v>
      </c>
      <c r="P128" s="2" cm="1">
        <f t="array" ref="P128">SQRT(SUMPRODUCT(--($L$6:$L$300&lt;&gt;1),--($C$6:$C$300=$C128),$E$6:$E$300,$O$6:$O$300)/((N128-1)*SUMPRODUCT(--($L$6:$L$300&lt;&gt;1),--($C$6:$C$300=$C128),$E$6:$E$300)/N128))</f>
        <v>192.61217286848685</v>
      </c>
      <c r="Q128" s="2">
        <f t="shared" si="15"/>
        <v>230.61976116602912</v>
      </c>
      <c r="R128" s="2">
        <f t="shared" si="15"/>
        <v>724.30462453114228</v>
      </c>
      <c r="S128" s="2">
        <f t="shared" si="14"/>
        <v>379.93170674299137</v>
      </c>
    </row>
    <row r="129" spans="2:19" x14ac:dyDescent="0.25">
      <c r="B129" s="10">
        <v>287</v>
      </c>
      <c r="C129" s="10">
        <v>7</v>
      </c>
      <c r="D129" s="9" t="s">
        <v>179</v>
      </c>
      <c r="E129" s="154">
        <f>INDEX('Revised 2018 Lockdown'!H$5:H$253,MATCH(B129,'Revised 2018 Lockdown'!B$5:B$253,0))</f>
        <v>147.07202997933462</v>
      </c>
      <c r="F129" s="7">
        <f>INDEX('Revised 2018 Lockdown'!E$5:E$253,MATCH(B129,'Revised 2018 Lockdown'!B$5:B$253,0))</f>
        <v>102363.95</v>
      </c>
      <c r="G129" s="7">
        <f>INDEX('Revised 2018 Lockdown'!F$5:F$253,MATCH(B129,'Revised 2018 Lockdown'!B$5:B$253,0))</f>
        <v>282</v>
      </c>
      <c r="H129" s="7">
        <f t="shared" si="8"/>
        <v>102081.95</v>
      </c>
      <c r="I129" s="6">
        <f t="shared" si="9"/>
        <v>694.09492759665955</v>
      </c>
      <c r="J129" s="6">
        <f t="shared" si="12"/>
        <v>694.09492759665955</v>
      </c>
      <c r="K129" s="5">
        <f t="shared" si="10"/>
        <v>102081.95</v>
      </c>
      <c r="L129" s="4">
        <f t="shared" si="11"/>
        <v>0</v>
      </c>
      <c r="M129" s="2" cm="1">
        <f t="array" ref="M129">SUMPRODUCT(--($L$6:$L$300&lt;&gt;1),--($C$6:$C$300=$C129),$H$6:$H$300)/SUMPRODUCT(--($L$6:$L$300&lt;&gt;1),--($C$6:$C$300=$C129),$E$6:$E$300)</f>
        <v>477.46219284858569</v>
      </c>
      <c r="N129" s="1" cm="1">
        <f t="array" ref="N129">SUMPRODUCT(--($L$6:$L$300&lt;&gt;1),--($C$6:$C$300=$C129))</f>
        <v>66</v>
      </c>
      <c r="O129" s="3">
        <f t="shared" si="13"/>
        <v>46929.741764429324</v>
      </c>
      <c r="P129" s="2" cm="1">
        <f t="array" ref="P129">SQRT(SUMPRODUCT(--($L$6:$L$300&lt;&gt;1),--($C$6:$C$300=$C129),$E$6:$E$300,$O$6:$O$300)/((N129-1)*SUMPRODUCT(--($L$6:$L$300&lt;&gt;1),--($C$6:$C$300=$C129),$E$6:$E$300)/N129))</f>
        <v>192.61217286848685</v>
      </c>
      <c r="Q129" s="2">
        <f t="shared" si="15"/>
        <v>230.61976116602912</v>
      </c>
      <c r="R129" s="2">
        <f t="shared" si="15"/>
        <v>724.30462453114228</v>
      </c>
      <c r="S129" s="2">
        <f t="shared" si="14"/>
        <v>694.09492759665955</v>
      </c>
    </row>
    <row r="130" spans="2:19" x14ac:dyDescent="0.25">
      <c r="B130" s="10">
        <v>290</v>
      </c>
      <c r="C130" s="10">
        <v>7</v>
      </c>
      <c r="D130" s="9" t="s">
        <v>180</v>
      </c>
      <c r="E130" s="154">
        <f>INDEX('Revised 2018 Lockdown'!H$5:H$253,MATCH(B130,'Revised 2018 Lockdown'!B$5:B$253,0))</f>
        <v>335.89235607307199</v>
      </c>
      <c r="F130" s="7">
        <f>INDEX('Revised 2018 Lockdown'!E$5:E$253,MATCH(B130,'Revised 2018 Lockdown'!B$5:B$253,0))</f>
        <v>135999.42000000001</v>
      </c>
      <c r="G130" s="7">
        <f>INDEX('Revised 2018 Lockdown'!F$5:F$253,MATCH(B130,'Revised 2018 Lockdown'!B$5:B$253,0))</f>
        <v>423.97</v>
      </c>
      <c r="H130" s="7">
        <f t="shared" si="8"/>
        <v>135575.45000000001</v>
      </c>
      <c r="I130" s="6">
        <f t="shared" si="9"/>
        <v>403.62767282059298</v>
      </c>
      <c r="J130" s="6">
        <f t="shared" si="12"/>
        <v>403.62767282059298</v>
      </c>
      <c r="K130" s="5">
        <f t="shared" si="10"/>
        <v>135575.45000000001</v>
      </c>
      <c r="L130" s="4">
        <f t="shared" si="11"/>
        <v>0</v>
      </c>
      <c r="M130" s="2" cm="1">
        <f t="array" ref="M130">SUMPRODUCT(--($L$6:$L$300&lt;&gt;1),--($C$6:$C$300=$C130),$H$6:$H$300)/SUMPRODUCT(--($L$6:$L$300&lt;&gt;1),--($C$6:$C$300=$C130),$E$6:$E$300)</f>
        <v>477.46219284858569</v>
      </c>
      <c r="N130" s="1" cm="1">
        <f t="array" ref="N130">SUMPRODUCT(--($L$6:$L$300&lt;&gt;1),--($C$6:$C$300=$C130))</f>
        <v>66</v>
      </c>
      <c r="O130" s="3">
        <f t="shared" si="13"/>
        <v>5451.5363477640567</v>
      </c>
      <c r="P130" s="2" cm="1">
        <f t="array" ref="P130">SQRT(SUMPRODUCT(--($L$6:$L$300&lt;&gt;1),--($C$6:$C$300=$C130),$E$6:$E$300,$O$6:$O$300)/((N130-1)*SUMPRODUCT(--($L$6:$L$300&lt;&gt;1),--($C$6:$C$300=$C130),$E$6:$E$300)/N130))</f>
        <v>192.61217286848685</v>
      </c>
      <c r="Q130" s="2">
        <f t="shared" si="15"/>
        <v>230.61976116602912</v>
      </c>
      <c r="R130" s="2">
        <f t="shared" si="15"/>
        <v>724.30462453114228</v>
      </c>
      <c r="S130" s="2">
        <f t="shared" si="14"/>
        <v>403.62767282059298</v>
      </c>
    </row>
    <row r="131" spans="2:19" x14ac:dyDescent="0.25">
      <c r="B131" s="10">
        <v>294</v>
      </c>
      <c r="C131" s="10">
        <v>7</v>
      </c>
      <c r="D131" s="9" t="s">
        <v>181</v>
      </c>
      <c r="E131" s="154">
        <f>INDEX('Revised 2018 Lockdown'!H$5:H$253,MATCH(B131,'Revised 2018 Lockdown'!B$5:B$253,0))</f>
        <v>1221.8972650148394</v>
      </c>
      <c r="F131" s="7">
        <f>INDEX('Revised 2018 Lockdown'!E$5:E$253,MATCH(B131,'Revised 2018 Lockdown'!B$5:B$253,0))</f>
        <v>632461</v>
      </c>
      <c r="G131" s="7">
        <f>INDEX('Revised 2018 Lockdown'!F$5:F$253,MATCH(B131,'Revised 2018 Lockdown'!B$5:B$253,0))</f>
        <v>637</v>
      </c>
      <c r="H131" s="7">
        <f t="shared" si="8"/>
        <v>631824</v>
      </c>
      <c r="I131" s="6">
        <f t="shared" si="9"/>
        <v>517.08438842632711</v>
      </c>
      <c r="J131" s="6">
        <f t="shared" si="12"/>
        <v>517.08438842632711</v>
      </c>
      <c r="K131" s="5">
        <f t="shared" si="10"/>
        <v>631824</v>
      </c>
      <c r="L131" s="4">
        <f t="shared" si="11"/>
        <v>0</v>
      </c>
      <c r="M131" s="2" cm="1">
        <f t="array" ref="M131">SUMPRODUCT(--($L$6:$L$300&lt;&gt;1),--($C$6:$C$300=$C131),$H$6:$H$300)/SUMPRODUCT(--($L$6:$L$300&lt;&gt;1),--($C$6:$C$300=$C131),$E$6:$E$300)</f>
        <v>477.46219284858569</v>
      </c>
      <c r="N131" s="1" cm="1">
        <f t="array" ref="N131">SUMPRODUCT(--($L$6:$L$300&lt;&gt;1),--($C$6:$C$300=$C131))</f>
        <v>66</v>
      </c>
      <c r="O131" s="3">
        <f t="shared" si="13"/>
        <v>1569.9183824007919</v>
      </c>
      <c r="P131" s="2" cm="1">
        <f t="array" ref="P131">SQRT(SUMPRODUCT(--($L$6:$L$300&lt;&gt;1),--($C$6:$C$300=$C131),$E$6:$E$300,$O$6:$O$300)/((N131-1)*SUMPRODUCT(--($L$6:$L$300&lt;&gt;1),--($C$6:$C$300=$C131),$E$6:$E$300)/N131))</f>
        <v>192.61217286848685</v>
      </c>
      <c r="Q131" s="2">
        <f t="shared" si="15"/>
        <v>230.61976116602912</v>
      </c>
      <c r="R131" s="2">
        <f t="shared" si="15"/>
        <v>724.30462453114228</v>
      </c>
      <c r="S131" s="2">
        <f t="shared" si="14"/>
        <v>517.08438842632711</v>
      </c>
    </row>
    <row r="132" spans="2:19" x14ac:dyDescent="0.25">
      <c r="B132" s="10">
        <v>296</v>
      </c>
      <c r="C132" s="10">
        <v>7</v>
      </c>
      <c r="D132" s="9" t="s">
        <v>182</v>
      </c>
      <c r="E132" s="154">
        <f>INDEX('Revised 2018 Lockdown'!H$5:H$253,MATCH(B132,'Revised 2018 Lockdown'!B$5:B$253,0))</f>
        <v>869.4000000000002</v>
      </c>
      <c r="F132" s="7">
        <f>INDEX('Revised 2018 Lockdown'!E$5:E$253,MATCH(B132,'Revised 2018 Lockdown'!B$5:B$253,0))</f>
        <v>836673.68</v>
      </c>
      <c r="G132" s="7">
        <f>INDEX('Revised 2018 Lockdown'!F$5:F$253,MATCH(B132,'Revised 2018 Lockdown'!B$5:B$253,0))</f>
        <v>180195.59000000003</v>
      </c>
      <c r="H132" s="7">
        <f t="shared" si="8"/>
        <v>656478.09000000008</v>
      </c>
      <c r="I132" s="6">
        <f t="shared" si="9"/>
        <v>755.09327122153206</v>
      </c>
      <c r="J132" s="6">
        <f t="shared" si="12"/>
        <v>724.30462453114228</v>
      </c>
      <c r="K132" s="5">
        <f t="shared" si="10"/>
        <v>629710.44056737528</v>
      </c>
      <c r="L132" s="4">
        <f t="shared" si="11"/>
        <v>0</v>
      </c>
      <c r="M132" s="2" cm="1">
        <f t="array" ref="M132">SUMPRODUCT(--($L$6:$L$300&lt;&gt;1),--($C$6:$C$300=$C132),$H$6:$H$300)/SUMPRODUCT(--($L$6:$L$300&lt;&gt;1),--($C$6:$C$300=$C132),$E$6:$E$300)</f>
        <v>477.46219284858569</v>
      </c>
      <c r="N132" s="1" cm="1">
        <f t="array" ref="N132">SUMPRODUCT(--($L$6:$L$300&lt;&gt;1),--($C$6:$C$300=$C132))</f>
        <v>66</v>
      </c>
      <c r="O132" s="3">
        <f t="shared" si="13"/>
        <v>77079.015678525087</v>
      </c>
      <c r="P132" s="2" cm="1">
        <f t="array" ref="P132">SQRT(SUMPRODUCT(--($L$6:$L$300&lt;&gt;1),--($C$6:$C$300=$C132),$E$6:$E$300,$O$6:$O$300)/((N132-1)*SUMPRODUCT(--($L$6:$L$300&lt;&gt;1),--($C$6:$C$300=$C132),$E$6:$E$300)/N132))</f>
        <v>192.61217286848685</v>
      </c>
      <c r="Q132" s="2">
        <f t="shared" si="15"/>
        <v>230.61976116602912</v>
      </c>
      <c r="R132" s="2">
        <f t="shared" si="15"/>
        <v>724.30462453114228</v>
      </c>
      <c r="S132" s="2">
        <f t="shared" si="14"/>
        <v>724.30462453114228</v>
      </c>
    </row>
    <row r="133" spans="2:19" x14ac:dyDescent="0.25">
      <c r="B133" s="10">
        <v>301</v>
      </c>
      <c r="C133" s="10">
        <v>7</v>
      </c>
      <c r="D133" s="9" t="s">
        <v>183</v>
      </c>
      <c r="E133" s="154">
        <f>INDEX('Revised 2018 Lockdown'!H$5:H$253,MATCH(B133,'Revised 2018 Lockdown'!B$5:B$253,0))</f>
        <v>630.73820209822964</v>
      </c>
      <c r="F133" s="7">
        <f>INDEX('Revised 2018 Lockdown'!E$5:E$253,MATCH(B133,'Revised 2018 Lockdown'!B$5:B$253,0))</f>
        <v>227243.71</v>
      </c>
      <c r="G133" s="7">
        <f>INDEX('Revised 2018 Lockdown'!F$5:F$253,MATCH(B133,'Revised 2018 Lockdown'!B$5:B$253,0))</f>
        <v>424.62</v>
      </c>
      <c r="H133" s="7">
        <f t="shared" si="8"/>
        <v>226819.09</v>
      </c>
      <c r="I133" s="6">
        <f t="shared" si="9"/>
        <v>359.60893005284584</v>
      </c>
      <c r="J133" s="6">
        <f t="shared" si="12"/>
        <v>359.60893005284584</v>
      </c>
      <c r="K133" s="5">
        <f t="shared" si="10"/>
        <v>226819.09</v>
      </c>
      <c r="L133" s="4">
        <f t="shared" si="11"/>
        <v>0</v>
      </c>
      <c r="M133" s="2" cm="1">
        <f t="array" ref="M133">SUMPRODUCT(--($L$6:$L$300&lt;&gt;1),--($C$6:$C$300=$C133),$H$6:$H$300)/SUMPRODUCT(--($L$6:$L$300&lt;&gt;1),--($C$6:$C$300=$C133),$E$6:$E$300)</f>
        <v>477.46219284858569</v>
      </c>
      <c r="N133" s="1" cm="1">
        <f t="array" ref="N133">SUMPRODUCT(--($L$6:$L$300&lt;&gt;1),--($C$6:$C$300=$C133))</f>
        <v>66</v>
      </c>
      <c r="O133" s="3">
        <f t="shared" si="13"/>
        <v>13889.391551601719</v>
      </c>
      <c r="P133" s="2" cm="1">
        <f t="array" ref="P133">SQRT(SUMPRODUCT(--($L$6:$L$300&lt;&gt;1),--($C$6:$C$300=$C133),$E$6:$E$300,$O$6:$O$300)/((N133-1)*SUMPRODUCT(--($L$6:$L$300&lt;&gt;1),--($C$6:$C$300=$C133),$E$6:$E$300)/N133))</f>
        <v>192.61217286848685</v>
      </c>
      <c r="Q133" s="2">
        <f t="shared" si="15"/>
        <v>230.61976116602912</v>
      </c>
      <c r="R133" s="2">
        <f t="shared" si="15"/>
        <v>724.30462453114228</v>
      </c>
      <c r="S133" s="2">
        <f t="shared" si="14"/>
        <v>359.60893005284584</v>
      </c>
    </row>
    <row r="134" spans="2:19" x14ac:dyDescent="0.25">
      <c r="B134" s="10">
        <v>321</v>
      </c>
      <c r="C134" s="10">
        <v>7</v>
      </c>
      <c r="D134" s="9" t="s">
        <v>184</v>
      </c>
      <c r="E134" s="154">
        <f>INDEX('Revised 2018 Lockdown'!H$5:H$253,MATCH(B134,'Revised 2018 Lockdown'!B$5:B$253,0))</f>
        <v>435.74</v>
      </c>
      <c r="F134" s="7">
        <f>INDEX('Revised 2018 Lockdown'!E$5:E$253,MATCH(B134,'Revised 2018 Lockdown'!B$5:B$253,0))</f>
        <v>480503.47</v>
      </c>
      <c r="G134" s="7">
        <f>INDEX('Revised 2018 Lockdown'!F$5:F$253,MATCH(B134,'Revised 2018 Lockdown'!B$5:B$253,0))</f>
        <v>39100.69</v>
      </c>
      <c r="H134" s="7">
        <f t="shared" ref="H134:H197" si="16">F134-G134</f>
        <v>441402.77999999997</v>
      </c>
      <c r="I134" s="6">
        <f t="shared" ref="I134:I197" si="17">H134/E134</f>
        <v>1012.9957772983888</v>
      </c>
      <c r="J134" s="6">
        <f t="shared" si="12"/>
        <v>724.30462453114228</v>
      </c>
      <c r="K134" s="5">
        <f t="shared" ref="K134:K197" si="18">J134*E134</f>
        <v>315608.49709319993</v>
      </c>
      <c r="L134" s="4">
        <f t="shared" ref="L134:L197" si="19">IF(ISERROR(I134),1,0)</f>
        <v>0</v>
      </c>
      <c r="M134" s="2" cm="1">
        <f t="array" ref="M134">SUMPRODUCT(--($L$6:$L$300&lt;&gt;1),--($C$6:$C$300=$C134),$H$6:$H$300)/SUMPRODUCT(--($L$6:$L$300&lt;&gt;1),--($C$6:$C$300=$C134),$E$6:$E$300)</f>
        <v>477.46219284858569</v>
      </c>
      <c r="N134" s="1" cm="1">
        <f t="array" ref="N134">SUMPRODUCT(--($L$6:$L$300&lt;&gt;1),--($C$6:$C$300=$C134))</f>
        <v>66</v>
      </c>
      <c r="O134" s="3">
        <f t="shared" si="13"/>
        <v>286796.22007365443</v>
      </c>
      <c r="P134" s="2" cm="1">
        <f t="array" ref="P134">SQRT(SUMPRODUCT(--($L$6:$L$300&lt;&gt;1),--($C$6:$C$300=$C134),$E$6:$E$300,$O$6:$O$300)/((N134-1)*SUMPRODUCT(--($L$6:$L$300&lt;&gt;1),--($C$6:$C$300=$C134),$E$6:$E$300)/N134))</f>
        <v>192.61217286848685</v>
      </c>
      <c r="Q134" s="2">
        <f t="shared" si="15"/>
        <v>230.61976116602912</v>
      </c>
      <c r="R134" s="2">
        <f t="shared" si="15"/>
        <v>724.30462453114228</v>
      </c>
      <c r="S134" s="2">
        <f t="shared" si="14"/>
        <v>724.30462453114228</v>
      </c>
    </row>
    <row r="135" spans="2:19" x14ac:dyDescent="0.25">
      <c r="B135" s="10">
        <v>325</v>
      </c>
      <c r="C135" s="10">
        <v>7</v>
      </c>
      <c r="D135" s="9" t="s">
        <v>185</v>
      </c>
      <c r="E135" s="154">
        <f>INDEX('Revised 2018 Lockdown'!H$5:H$253,MATCH(B135,'Revised 2018 Lockdown'!B$5:B$253,0))</f>
        <v>394.42999008461817</v>
      </c>
      <c r="F135" s="7">
        <f>INDEX('Revised 2018 Lockdown'!E$5:E$253,MATCH(B135,'Revised 2018 Lockdown'!B$5:B$253,0))</f>
        <v>182309.94</v>
      </c>
      <c r="G135" s="7">
        <f>INDEX('Revised 2018 Lockdown'!F$5:F$253,MATCH(B135,'Revised 2018 Lockdown'!B$5:B$253,0))</f>
        <v>304</v>
      </c>
      <c r="H135" s="7">
        <f t="shared" si="16"/>
        <v>182005.94</v>
      </c>
      <c r="I135" s="6">
        <f t="shared" si="17"/>
        <v>461.44041927682468</v>
      </c>
      <c r="J135" s="6">
        <f t="shared" ref="J135:J198" si="20">IF(ISERROR(IF($J$2=1,MAX(MIN(I135,R135),Q135),MIN(I135,R135))),R135,IF($J$2=1,MAX(MIN(I135,R135),Q135),MIN(I135,R135)))</f>
        <v>461.44041927682468</v>
      </c>
      <c r="K135" s="5">
        <f t="shared" si="18"/>
        <v>182005.94</v>
      </c>
      <c r="L135" s="4">
        <f t="shared" si="19"/>
        <v>0</v>
      </c>
      <c r="M135" s="2" cm="1">
        <f t="array" ref="M135">SUMPRODUCT(--($L$6:$L$300&lt;&gt;1),--($C$6:$C$300=$C135),$H$6:$H$300)/SUMPRODUCT(--($L$6:$L$300&lt;&gt;1),--($C$6:$C$300=$C135),$E$6:$E$300)</f>
        <v>477.46219284858569</v>
      </c>
      <c r="N135" s="1" cm="1">
        <f t="array" ref="N135">SUMPRODUCT(--($L$6:$L$300&lt;&gt;1),--($C$6:$C$300=$C135))</f>
        <v>66</v>
      </c>
      <c r="O135" s="3">
        <f t="shared" ref="O135:O198" si="21">IF(ISERROR((I135-M135)^2),0,(I135-M135)^2)</f>
        <v>256.69722838477929</v>
      </c>
      <c r="P135" s="2" cm="1">
        <f t="array" ref="P135">SQRT(SUMPRODUCT(--($L$6:$L$300&lt;&gt;1),--($C$6:$C$300=$C135),$E$6:$E$300,$O$6:$O$300)/((N135-1)*SUMPRODUCT(--($L$6:$L$300&lt;&gt;1),--($C$6:$C$300=$C135),$E$6:$E$300)/N135))</f>
        <v>192.61217286848685</v>
      </c>
      <c r="Q135" s="2">
        <f t="shared" si="15"/>
        <v>230.61976116602912</v>
      </c>
      <c r="R135" s="2">
        <f t="shared" si="15"/>
        <v>724.30462453114228</v>
      </c>
      <c r="S135" s="2">
        <f t="shared" ref="S135:S198" si="22">IF(ISERROR(MAX(MIN(I135,R135),Q135)),R135,MAX(MIN(I135,R135),Q135))</f>
        <v>461.44041927682468</v>
      </c>
    </row>
    <row r="136" spans="2:19" x14ac:dyDescent="0.25">
      <c r="B136" s="10">
        <v>346</v>
      </c>
      <c r="C136" s="10">
        <v>7</v>
      </c>
      <c r="D136" s="9" t="s">
        <v>186</v>
      </c>
      <c r="E136" s="154">
        <f>INDEX('Revised 2018 Lockdown'!H$5:H$253,MATCH(B136,'Revised 2018 Lockdown'!B$5:B$253,0))</f>
        <v>262.16879519273215</v>
      </c>
      <c r="F136" s="7">
        <f>INDEX('Revised 2018 Lockdown'!E$5:E$253,MATCH(B136,'Revised 2018 Lockdown'!B$5:B$253,0))</f>
        <v>123092.65</v>
      </c>
      <c r="G136" s="7">
        <f>INDEX('Revised 2018 Lockdown'!F$5:F$253,MATCH(B136,'Revised 2018 Lockdown'!B$5:B$253,0))</f>
        <v>27381.15</v>
      </c>
      <c r="H136" s="7">
        <f t="shared" si="16"/>
        <v>95711.5</v>
      </c>
      <c r="I136" s="6">
        <f t="shared" si="17"/>
        <v>365.07586621679422</v>
      </c>
      <c r="J136" s="6">
        <f t="shared" si="20"/>
        <v>365.07586621679422</v>
      </c>
      <c r="K136" s="5">
        <f t="shared" si="18"/>
        <v>95711.5</v>
      </c>
      <c r="L136" s="4">
        <f t="shared" si="19"/>
        <v>0</v>
      </c>
      <c r="M136" s="2" cm="1">
        <f t="array" ref="M136">SUMPRODUCT(--($L$6:$L$300&lt;&gt;1),--($C$6:$C$300=$C136),$H$6:$H$300)/SUMPRODUCT(--($L$6:$L$300&lt;&gt;1),--($C$6:$C$300=$C136),$E$6:$E$300)</f>
        <v>477.46219284858569</v>
      </c>
      <c r="N136" s="1" cm="1">
        <f t="array" ref="N136">SUMPRODUCT(--($L$6:$L$300&lt;&gt;1),--($C$6:$C$300=$C136))</f>
        <v>66</v>
      </c>
      <c r="O136" s="3">
        <f t="shared" si="21"/>
        <v>12630.686413787718</v>
      </c>
      <c r="P136" s="2" cm="1">
        <f t="array" ref="P136">SQRT(SUMPRODUCT(--($L$6:$L$300&lt;&gt;1),--($C$6:$C$300=$C136),$E$6:$E$300,$O$6:$O$300)/((N136-1)*SUMPRODUCT(--($L$6:$L$300&lt;&gt;1),--($C$6:$C$300=$C136),$E$6:$E$300)/N136))</f>
        <v>192.61217286848685</v>
      </c>
      <c r="Q136" s="2">
        <f t="shared" si="15"/>
        <v>230.61976116602912</v>
      </c>
      <c r="R136" s="2">
        <f t="shared" si="15"/>
        <v>724.30462453114228</v>
      </c>
      <c r="S136" s="2">
        <f t="shared" si="22"/>
        <v>365.07586621679422</v>
      </c>
    </row>
    <row r="137" spans="2:19" x14ac:dyDescent="0.25">
      <c r="B137" s="10">
        <v>358</v>
      </c>
      <c r="C137" s="10">
        <v>7</v>
      </c>
      <c r="D137" s="9" t="s">
        <v>187</v>
      </c>
      <c r="E137" s="154">
        <f>INDEX('Revised 2018 Lockdown'!H$5:H$253,MATCH(B137,'Revised 2018 Lockdown'!B$5:B$253,0))</f>
        <v>379.12</v>
      </c>
      <c r="F137" s="7">
        <f>INDEX('Revised 2018 Lockdown'!E$5:E$253,MATCH(B137,'Revised 2018 Lockdown'!B$5:B$253,0))</f>
        <v>241699.7</v>
      </c>
      <c r="G137" s="7">
        <f>INDEX('Revised 2018 Lockdown'!F$5:F$253,MATCH(B137,'Revised 2018 Lockdown'!B$5:B$253,0))</f>
        <v>48918.26</v>
      </c>
      <c r="H137" s="7">
        <f t="shared" si="16"/>
        <v>192781.44</v>
      </c>
      <c r="I137" s="6">
        <f t="shared" si="17"/>
        <v>508.49715129774216</v>
      </c>
      <c r="J137" s="6">
        <f t="shared" si="20"/>
        <v>508.49715129774216</v>
      </c>
      <c r="K137" s="5">
        <f t="shared" si="18"/>
        <v>192781.44</v>
      </c>
      <c r="L137" s="4">
        <f t="shared" si="19"/>
        <v>0</v>
      </c>
      <c r="M137" s="2" cm="1">
        <f t="array" ref="M137">SUMPRODUCT(--($L$6:$L$300&lt;&gt;1),--($C$6:$C$300=$C137),$H$6:$H$300)/SUMPRODUCT(--($L$6:$L$300&lt;&gt;1),--($C$6:$C$300=$C137),$E$6:$E$300)</f>
        <v>477.46219284858569</v>
      </c>
      <c r="N137" s="1" cm="1">
        <f t="array" ref="N137">SUMPRODUCT(--($L$6:$L$300&lt;&gt;1),--($C$6:$C$300=$C137))</f>
        <v>66</v>
      </c>
      <c r="O137" s="3">
        <f t="shared" si="21"/>
        <v>963.16864594086894</v>
      </c>
      <c r="P137" s="2" cm="1">
        <f t="array" ref="P137">SQRT(SUMPRODUCT(--($L$6:$L$300&lt;&gt;1),--($C$6:$C$300=$C137),$E$6:$E$300,$O$6:$O$300)/((N137-1)*SUMPRODUCT(--($L$6:$L$300&lt;&gt;1),--($C$6:$C$300=$C137),$E$6:$E$300)/N137))</f>
        <v>192.61217286848685</v>
      </c>
      <c r="Q137" s="2">
        <f t="shared" si="15"/>
        <v>230.61976116602912</v>
      </c>
      <c r="R137" s="2">
        <f t="shared" si="15"/>
        <v>724.30462453114228</v>
      </c>
      <c r="S137" s="2">
        <f t="shared" si="22"/>
        <v>508.49715129774216</v>
      </c>
    </row>
    <row r="138" spans="2:19" x14ac:dyDescent="0.25">
      <c r="B138" s="10">
        <v>361</v>
      </c>
      <c r="C138" s="10">
        <v>7</v>
      </c>
      <c r="D138" s="9" t="s">
        <v>188</v>
      </c>
      <c r="E138" s="154">
        <f>INDEX('Revised 2018 Lockdown'!H$5:H$253,MATCH(B138,'Revised 2018 Lockdown'!B$5:B$253,0))</f>
        <v>1540.865013619775</v>
      </c>
      <c r="F138" s="7">
        <f>INDEX('Revised 2018 Lockdown'!E$5:E$253,MATCH(B138,'Revised 2018 Lockdown'!B$5:B$253,0))</f>
        <v>911184.79</v>
      </c>
      <c r="G138" s="7">
        <f>INDEX('Revised 2018 Lockdown'!F$5:F$253,MATCH(B138,'Revised 2018 Lockdown'!B$5:B$253,0))</f>
        <v>7581.0599999999995</v>
      </c>
      <c r="H138" s="7">
        <f t="shared" si="16"/>
        <v>903603.73</v>
      </c>
      <c r="I138" s="6">
        <f t="shared" si="17"/>
        <v>586.42627486055301</v>
      </c>
      <c r="J138" s="6">
        <f t="shared" si="20"/>
        <v>586.42627486055301</v>
      </c>
      <c r="K138" s="5">
        <f t="shared" si="18"/>
        <v>903603.73</v>
      </c>
      <c r="L138" s="4">
        <f t="shared" si="19"/>
        <v>0</v>
      </c>
      <c r="M138" s="2" cm="1">
        <f t="array" ref="M138">SUMPRODUCT(--($L$6:$L$300&lt;&gt;1),--($C$6:$C$300=$C138),$H$6:$H$300)/SUMPRODUCT(--($L$6:$L$300&lt;&gt;1),--($C$6:$C$300=$C138),$E$6:$E$300)</f>
        <v>477.46219284858569</v>
      </c>
      <c r="N138" s="1" cm="1">
        <f t="array" ref="N138">SUMPRODUCT(--($L$6:$L$300&lt;&gt;1),--($C$6:$C$300=$C138))</f>
        <v>66</v>
      </c>
      <c r="O138" s="3">
        <f t="shared" si="21"/>
        <v>11873.17116871074</v>
      </c>
      <c r="P138" s="2" cm="1">
        <f t="array" ref="P138">SQRT(SUMPRODUCT(--($L$6:$L$300&lt;&gt;1),--($C$6:$C$300=$C138),$E$6:$E$300,$O$6:$O$300)/((N138-1)*SUMPRODUCT(--($L$6:$L$300&lt;&gt;1),--($C$6:$C$300=$C138),$E$6:$E$300)/N138))</f>
        <v>192.61217286848685</v>
      </c>
      <c r="Q138" s="2">
        <f t="shared" si="15"/>
        <v>230.61976116602912</v>
      </c>
      <c r="R138" s="2">
        <f t="shared" si="15"/>
        <v>724.30462453114228</v>
      </c>
      <c r="S138" s="2">
        <f t="shared" si="22"/>
        <v>586.42627486055301</v>
      </c>
    </row>
    <row r="139" spans="2:19" x14ac:dyDescent="0.25">
      <c r="B139" s="10">
        <v>376</v>
      </c>
      <c r="C139" s="10">
        <v>7</v>
      </c>
      <c r="D139" s="9" t="s">
        <v>189</v>
      </c>
      <c r="E139" s="154">
        <f>INDEX('Revised 2018 Lockdown'!H$5:H$253,MATCH(B139,'Revised 2018 Lockdown'!B$5:B$253,0))</f>
        <v>685.89220705089633</v>
      </c>
      <c r="F139" s="7">
        <f>INDEX('Revised 2018 Lockdown'!E$5:E$253,MATCH(B139,'Revised 2018 Lockdown'!B$5:B$253,0))</f>
        <v>281309.96000000002</v>
      </c>
      <c r="G139" s="7">
        <f>INDEX('Revised 2018 Lockdown'!F$5:F$253,MATCH(B139,'Revised 2018 Lockdown'!B$5:B$253,0))</f>
        <v>326</v>
      </c>
      <c r="H139" s="7">
        <f t="shared" si="16"/>
        <v>280983.96000000002</v>
      </c>
      <c r="I139" s="6">
        <f t="shared" si="17"/>
        <v>409.6619805729178</v>
      </c>
      <c r="J139" s="6">
        <f t="shared" si="20"/>
        <v>409.6619805729178</v>
      </c>
      <c r="K139" s="5">
        <f t="shared" si="18"/>
        <v>280983.96000000002</v>
      </c>
      <c r="L139" s="4">
        <f t="shared" si="19"/>
        <v>0</v>
      </c>
      <c r="M139" s="2" cm="1">
        <f t="array" ref="M139">SUMPRODUCT(--($L$6:$L$300&lt;&gt;1),--($C$6:$C$300=$C139),$H$6:$H$300)/SUMPRODUCT(--($L$6:$L$300&lt;&gt;1),--($C$6:$C$300=$C139),$E$6:$E$300)</f>
        <v>477.46219284858569</v>
      </c>
      <c r="N139" s="1" cm="1">
        <f t="array" ref="N139">SUMPRODUCT(--($L$6:$L$300&lt;&gt;1),--($C$6:$C$300=$C139))</f>
        <v>66</v>
      </c>
      <c r="O139" s="3">
        <f t="shared" si="21"/>
        <v>4596.8687846256271</v>
      </c>
      <c r="P139" s="2" cm="1">
        <f t="array" ref="P139">SQRT(SUMPRODUCT(--($L$6:$L$300&lt;&gt;1),--($C$6:$C$300=$C139),$E$6:$E$300,$O$6:$O$300)/((N139-1)*SUMPRODUCT(--($L$6:$L$300&lt;&gt;1),--($C$6:$C$300=$C139),$E$6:$E$300)/N139))</f>
        <v>192.61217286848685</v>
      </c>
      <c r="Q139" s="2">
        <f t="shared" si="15"/>
        <v>230.61976116602912</v>
      </c>
      <c r="R139" s="2">
        <f t="shared" si="15"/>
        <v>724.30462453114228</v>
      </c>
      <c r="S139" s="2">
        <f t="shared" si="22"/>
        <v>409.6619805729178</v>
      </c>
    </row>
    <row r="140" spans="2:19" x14ac:dyDescent="0.25">
      <c r="B140" s="10">
        <v>382</v>
      </c>
      <c r="C140" s="10">
        <v>7</v>
      </c>
      <c r="D140" s="9" t="s">
        <v>190</v>
      </c>
      <c r="E140" s="154">
        <f>INDEX('Revised 2018 Lockdown'!H$5:H$253,MATCH(B140,'Revised 2018 Lockdown'!B$5:B$253,0))</f>
        <v>185.27</v>
      </c>
      <c r="F140" s="7">
        <f>INDEX('Revised 2018 Lockdown'!E$5:E$253,MATCH(B140,'Revised 2018 Lockdown'!B$5:B$253,0))</f>
        <v>98656.37</v>
      </c>
      <c r="G140" s="7">
        <f>INDEX('Revised 2018 Lockdown'!F$5:F$253,MATCH(B140,'Revised 2018 Lockdown'!B$5:B$253,0))</f>
        <v>22015.520000000004</v>
      </c>
      <c r="H140" s="7">
        <f t="shared" si="16"/>
        <v>76640.849999999991</v>
      </c>
      <c r="I140" s="6">
        <f t="shared" si="17"/>
        <v>413.67112862309057</v>
      </c>
      <c r="J140" s="6">
        <f t="shared" si="20"/>
        <v>413.67112862309057</v>
      </c>
      <c r="K140" s="5">
        <f t="shared" si="18"/>
        <v>76640.849999999991</v>
      </c>
      <c r="L140" s="4">
        <f t="shared" si="19"/>
        <v>0</v>
      </c>
      <c r="M140" s="2" cm="1">
        <f t="array" ref="M140">SUMPRODUCT(--($L$6:$L$300&lt;&gt;1),--($C$6:$C$300=$C140),$H$6:$H$300)/SUMPRODUCT(--($L$6:$L$300&lt;&gt;1),--($C$6:$C$300=$C140),$E$6:$E$300)</f>
        <v>477.46219284858569</v>
      </c>
      <c r="N140" s="1" cm="1">
        <f t="array" ref="N140">SUMPRODUCT(--($L$6:$L$300&lt;&gt;1),--($C$6:$C$300=$C140))</f>
        <v>66</v>
      </c>
      <c r="O140" s="3">
        <f t="shared" si="21"/>
        <v>4069.2998750212432</v>
      </c>
      <c r="P140" s="2" cm="1">
        <f t="array" ref="P140">SQRT(SUMPRODUCT(--($L$6:$L$300&lt;&gt;1),--($C$6:$C$300=$C140),$E$6:$E$300,$O$6:$O$300)/((N140-1)*SUMPRODUCT(--($L$6:$L$300&lt;&gt;1),--($C$6:$C$300=$C140),$E$6:$E$300)/N140))</f>
        <v>192.61217286848685</v>
      </c>
      <c r="Q140" s="2">
        <f t="shared" si="15"/>
        <v>230.61976116602912</v>
      </c>
      <c r="R140" s="2">
        <f t="shared" si="15"/>
        <v>724.30462453114228</v>
      </c>
      <c r="S140" s="2">
        <f t="shared" si="22"/>
        <v>413.67112862309057</v>
      </c>
    </row>
    <row r="141" spans="2:19" x14ac:dyDescent="0.25">
      <c r="B141" s="10">
        <v>389</v>
      </c>
      <c r="C141" s="10">
        <v>7</v>
      </c>
      <c r="D141" s="9" t="s">
        <v>191</v>
      </c>
      <c r="E141" s="154">
        <f>INDEX('Revised 2018 Lockdown'!H$5:H$253,MATCH(B141,'Revised 2018 Lockdown'!B$5:B$253,0))</f>
        <v>971.31315779571287</v>
      </c>
      <c r="F141" s="7">
        <f>INDEX('Revised 2018 Lockdown'!E$5:E$253,MATCH(B141,'Revised 2018 Lockdown'!B$5:B$253,0))</f>
        <v>166030.71</v>
      </c>
      <c r="G141" s="7">
        <f>INDEX('Revised 2018 Lockdown'!F$5:F$253,MATCH(B141,'Revised 2018 Lockdown'!B$5:B$253,0))</f>
        <v>944.5</v>
      </c>
      <c r="H141" s="7">
        <f t="shared" si="16"/>
        <v>165086.21</v>
      </c>
      <c r="I141" s="6">
        <f t="shared" si="17"/>
        <v>169.96187962144441</v>
      </c>
      <c r="J141" s="6">
        <f t="shared" si="20"/>
        <v>169.96187962144441</v>
      </c>
      <c r="K141" s="5">
        <f t="shared" si="18"/>
        <v>165086.21</v>
      </c>
      <c r="L141" s="4">
        <f t="shared" si="19"/>
        <v>0</v>
      </c>
      <c r="M141" s="2" cm="1">
        <f t="array" ref="M141">SUMPRODUCT(--($L$6:$L$300&lt;&gt;1),--($C$6:$C$300=$C141),$H$6:$H$300)/SUMPRODUCT(--($L$6:$L$300&lt;&gt;1),--($C$6:$C$300=$C141),$E$6:$E$300)</f>
        <v>477.46219284858569</v>
      </c>
      <c r="N141" s="1" cm="1">
        <f t="array" ref="N141">SUMPRODUCT(--($L$6:$L$300&lt;&gt;1),--($C$6:$C$300=$C141))</f>
        <v>66</v>
      </c>
      <c r="O141" s="3">
        <f t="shared" si="21"/>
        <v>94556.442634790015</v>
      </c>
      <c r="P141" s="2" cm="1">
        <f t="array" ref="P141">SQRT(SUMPRODUCT(--($L$6:$L$300&lt;&gt;1),--($C$6:$C$300=$C141),$E$6:$E$300,$O$6:$O$300)/((N141-1)*SUMPRODUCT(--($L$6:$L$300&lt;&gt;1),--($C$6:$C$300=$C141),$E$6:$E$300)/N141))</f>
        <v>192.61217286848685</v>
      </c>
      <c r="Q141" s="2">
        <f t="shared" si="15"/>
        <v>230.61976116602912</v>
      </c>
      <c r="R141" s="2">
        <f t="shared" si="15"/>
        <v>724.30462453114228</v>
      </c>
      <c r="S141" s="2">
        <f t="shared" si="22"/>
        <v>230.61976116602912</v>
      </c>
    </row>
    <row r="142" spans="2:19" x14ac:dyDescent="0.25">
      <c r="B142" s="10">
        <v>420</v>
      </c>
      <c r="C142" s="10">
        <v>7</v>
      </c>
      <c r="D142" s="9" t="s">
        <v>283</v>
      </c>
      <c r="E142" s="154">
        <f>INDEX('Revised 2018 Lockdown'!H$5:H$253,MATCH(B142,'Revised 2018 Lockdown'!B$5:B$253,0))</f>
        <v>439.19048015518462</v>
      </c>
      <c r="F142" s="7">
        <f>INDEX('Revised 2018 Lockdown'!E$5:E$253,MATCH(B142,'Revised 2018 Lockdown'!B$5:B$253,0))</f>
        <v>181392.42</v>
      </c>
      <c r="G142" s="7">
        <f>INDEX('Revised 2018 Lockdown'!F$5:F$253,MATCH(B142,'Revised 2018 Lockdown'!B$5:B$253,0))</f>
        <v>158.49</v>
      </c>
      <c r="H142" s="7">
        <f t="shared" si="16"/>
        <v>181233.93000000002</v>
      </c>
      <c r="I142" s="6">
        <f t="shared" si="17"/>
        <v>412.65450456932126</v>
      </c>
      <c r="J142" s="6">
        <f t="shared" si="20"/>
        <v>412.65450456932126</v>
      </c>
      <c r="K142" s="5">
        <f t="shared" si="18"/>
        <v>181233.93000000002</v>
      </c>
      <c r="L142" s="4">
        <f t="shared" si="19"/>
        <v>0</v>
      </c>
      <c r="M142" s="2" cm="1">
        <f t="array" ref="M142">SUMPRODUCT(--($L$6:$L$300&lt;&gt;1),--($C$6:$C$300=$C142),$H$6:$H$300)/SUMPRODUCT(--($L$6:$L$300&lt;&gt;1),--($C$6:$C$300=$C142),$E$6:$E$300)</f>
        <v>477.46219284858569</v>
      </c>
      <c r="N142" s="1" cm="1">
        <f t="array" ref="N142">SUMPRODUCT(--($L$6:$L$300&lt;&gt;1),--($C$6:$C$300=$C142))</f>
        <v>66</v>
      </c>
      <c r="O142" s="3">
        <f t="shared" si="21"/>
        <v>4200.0364601023075</v>
      </c>
      <c r="P142" s="2" cm="1">
        <f t="array" ref="P142">SQRT(SUMPRODUCT(--($L$6:$L$300&lt;&gt;1),--($C$6:$C$300=$C142),$E$6:$E$300,$O$6:$O$300)/((N142-1)*SUMPRODUCT(--($L$6:$L$300&lt;&gt;1),--($C$6:$C$300=$C142),$E$6:$E$300)/N142))</f>
        <v>192.61217286848685</v>
      </c>
      <c r="Q142" s="2">
        <f t="shared" si="15"/>
        <v>230.61976116602912</v>
      </c>
      <c r="R142" s="2">
        <f t="shared" si="15"/>
        <v>724.30462453114228</v>
      </c>
      <c r="S142" s="2">
        <f t="shared" si="22"/>
        <v>412.65450456932126</v>
      </c>
    </row>
    <row r="143" spans="2:19" x14ac:dyDescent="0.25">
      <c r="B143" s="10">
        <v>434</v>
      </c>
      <c r="C143" s="10">
        <v>7</v>
      </c>
      <c r="D143" s="9" t="s">
        <v>192</v>
      </c>
      <c r="E143" s="154">
        <f>INDEX('Revised 2018 Lockdown'!H$5:H$253,MATCH(B143,'Revised 2018 Lockdown'!B$5:B$253,0))</f>
        <v>314.12901317026297</v>
      </c>
      <c r="F143" s="7">
        <f>INDEX('Revised 2018 Lockdown'!E$5:E$253,MATCH(B143,'Revised 2018 Lockdown'!B$5:B$253,0))</f>
        <v>130973.72</v>
      </c>
      <c r="G143" s="7">
        <f>INDEX('Revised 2018 Lockdown'!F$5:F$253,MATCH(B143,'Revised 2018 Lockdown'!B$5:B$253,0))</f>
        <v>0</v>
      </c>
      <c r="H143" s="7">
        <f t="shared" si="16"/>
        <v>130973.72</v>
      </c>
      <c r="I143" s="6">
        <f t="shared" si="17"/>
        <v>416.94244883076158</v>
      </c>
      <c r="J143" s="6">
        <f t="shared" si="20"/>
        <v>416.94244883076158</v>
      </c>
      <c r="K143" s="5">
        <f t="shared" si="18"/>
        <v>130973.72</v>
      </c>
      <c r="L143" s="4">
        <f t="shared" si="19"/>
        <v>0</v>
      </c>
      <c r="M143" s="2" cm="1">
        <f t="array" ref="M143">SUMPRODUCT(--($L$6:$L$300&lt;&gt;1),--($C$6:$C$300=$C143),$H$6:$H$300)/SUMPRODUCT(--($L$6:$L$300&lt;&gt;1),--($C$6:$C$300=$C143),$E$6:$E$300)</f>
        <v>477.46219284858569</v>
      </c>
      <c r="N143" s="1" cm="1">
        <f t="array" ref="N143">SUMPRODUCT(--($L$6:$L$300&lt;&gt;1),--($C$6:$C$300=$C143))</f>
        <v>66</v>
      </c>
      <c r="O143" s="3">
        <f t="shared" si="21"/>
        <v>3662.639415982957</v>
      </c>
      <c r="P143" s="2" cm="1">
        <f t="array" ref="P143">SQRT(SUMPRODUCT(--($L$6:$L$300&lt;&gt;1),--($C$6:$C$300=$C143),$E$6:$E$300,$O$6:$O$300)/((N143-1)*SUMPRODUCT(--($L$6:$L$300&lt;&gt;1),--($C$6:$C$300=$C143),$E$6:$E$300)/N143))</f>
        <v>192.61217286848685</v>
      </c>
      <c r="Q143" s="2">
        <f t="shared" si="15"/>
        <v>230.61976116602912</v>
      </c>
      <c r="R143" s="2">
        <f t="shared" si="15"/>
        <v>724.30462453114228</v>
      </c>
      <c r="S143" s="2">
        <f t="shared" si="22"/>
        <v>416.94244883076158</v>
      </c>
    </row>
    <row r="144" spans="2:19" x14ac:dyDescent="0.25">
      <c r="B144" s="10">
        <v>437</v>
      </c>
      <c r="C144" s="10">
        <v>7</v>
      </c>
      <c r="D144" s="9" t="s">
        <v>193</v>
      </c>
      <c r="E144" s="154">
        <f>INDEX('Revised 2018 Lockdown'!H$5:H$253,MATCH(B144,'Revised 2018 Lockdown'!B$5:B$253,0))</f>
        <v>381.25325546155779</v>
      </c>
      <c r="F144" s="7">
        <f>INDEX('Revised 2018 Lockdown'!E$5:E$253,MATCH(B144,'Revised 2018 Lockdown'!B$5:B$253,0))</f>
        <v>234070.56</v>
      </c>
      <c r="G144" s="7">
        <f>INDEX('Revised 2018 Lockdown'!F$5:F$253,MATCH(B144,'Revised 2018 Lockdown'!B$5:B$253,0))</f>
        <v>0</v>
      </c>
      <c r="H144" s="7">
        <f t="shared" si="16"/>
        <v>234070.56</v>
      </c>
      <c r="I144" s="6">
        <f t="shared" si="17"/>
        <v>613.95032474313291</v>
      </c>
      <c r="J144" s="6">
        <f t="shared" si="20"/>
        <v>613.95032474313291</v>
      </c>
      <c r="K144" s="5">
        <f t="shared" si="18"/>
        <v>234070.56000000003</v>
      </c>
      <c r="L144" s="4">
        <f t="shared" si="19"/>
        <v>0</v>
      </c>
      <c r="M144" s="2" cm="1">
        <f t="array" ref="M144">SUMPRODUCT(--($L$6:$L$300&lt;&gt;1),--($C$6:$C$300=$C144),$H$6:$H$300)/SUMPRODUCT(--($L$6:$L$300&lt;&gt;1),--($C$6:$C$300=$C144),$E$6:$E$300)</f>
        <v>477.46219284858569</v>
      </c>
      <c r="N144" s="1" cm="1">
        <f t="array" ref="N144">SUMPRODUCT(--($L$6:$L$300&lt;&gt;1),--($C$6:$C$300=$C144))</f>
        <v>66</v>
      </c>
      <c r="O144" s="3">
        <f t="shared" si="21"/>
        <v>18629.01014806332</v>
      </c>
      <c r="P144" s="2" cm="1">
        <f t="array" ref="P144">SQRT(SUMPRODUCT(--($L$6:$L$300&lt;&gt;1),--($C$6:$C$300=$C144),$E$6:$E$300,$O$6:$O$300)/((N144-1)*SUMPRODUCT(--($L$6:$L$300&lt;&gt;1),--($C$6:$C$300=$C144),$E$6:$E$300)/N144))</f>
        <v>192.61217286848685</v>
      </c>
      <c r="Q144" s="2">
        <f t="shared" si="15"/>
        <v>230.61976116602912</v>
      </c>
      <c r="R144" s="2">
        <f t="shared" si="15"/>
        <v>724.30462453114228</v>
      </c>
      <c r="S144" s="2">
        <f t="shared" si="22"/>
        <v>613.95032474313291</v>
      </c>
    </row>
    <row r="145" spans="2:19" x14ac:dyDescent="0.25">
      <c r="B145" s="10">
        <v>502</v>
      </c>
      <c r="C145" s="10">
        <v>7</v>
      </c>
      <c r="D145" s="9" t="s">
        <v>194</v>
      </c>
      <c r="E145" s="154">
        <f>INDEX('Revised 2018 Lockdown'!H$5:H$253,MATCH(B145,'Revised 2018 Lockdown'!B$5:B$253,0))</f>
        <v>668.15033574141978</v>
      </c>
      <c r="F145" s="7">
        <f>INDEX('Revised 2018 Lockdown'!E$5:E$253,MATCH(B145,'Revised 2018 Lockdown'!B$5:B$253,0))</f>
        <v>321308.17</v>
      </c>
      <c r="G145" s="7">
        <f>INDEX('Revised 2018 Lockdown'!F$5:F$253,MATCH(B145,'Revised 2018 Lockdown'!B$5:B$253,0))</f>
        <v>0</v>
      </c>
      <c r="H145" s="7">
        <f t="shared" si="16"/>
        <v>321308.17</v>
      </c>
      <c r="I145" s="6">
        <f t="shared" si="17"/>
        <v>480.89202805452027</v>
      </c>
      <c r="J145" s="6">
        <f t="shared" si="20"/>
        <v>480.89202805452027</v>
      </c>
      <c r="K145" s="5">
        <f t="shared" si="18"/>
        <v>321308.17</v>
      </c>
      <c r="L145" s="4">
        <f t="shared" si="19"/>
        <v>0</v>
      </c>
      <c r="M145" s="2" cm="1">
        <f t="array" ref="M145">SUMPRODUCT(--($L$6:$L$300&lt;&gt;1),--($C$6:$C$300=$C145),$H$6:$H$300)/SUMPRODUCT(--($L$6:$L$300&lt;&gt;1),--($C$6:$C$300=$C145),$E$6:$E$300)</f>
        <v>477.46219284858569</v>
      </c>
      <c r="N145" s="1" cm="1">
        <f t="array" ref="N145">SUMPRODUCT(--($L$6:$L$300&lt;&gt;1),--($C$6:$C$300=$C145))</f>
        <v>66</v>
      </c>
      <c r="O145" s="3">
        <f t="shared" si="21"/>
        <v>11.763769539868305</v>
      </c>
      <c r="P145" s="2" cm="1">
        <f t="array" ref="P145">SQRT(SUMPRODUCT(--($L$6:$L$300&lt;&gt;1),--($C$6:$C$300=$C145),$E$6:$E$300,$O$6:$O$300)/((N145-1)*SUMPRODUCT(--($L$6:$L$300&lt;&gt;1),--($C$6:$C$300=$C145),$E$6:$E$300)/N145))</f>
        <v>192.61217286848685</v>
      </c>
      <c r="Q145" s="2">
        <f t="shared" si="15"/>
        <v>230.61976116602912</v>
      </c>
      <c r="R145" s="2">
        <f t="shared" si="15"/>
        <v>724.30462453114228</v>
      </c>
      <c r="S145" s="2">
        <f t="shared" si="22"/>
        <v>480.89202805452027</v>
      </c>
    </row>
    <row r="146" spans="2:19" x14ac:dyDescent="0.25">
      <c r="B146" s="10">
        <v>503</v>
      </c>
      <c r="C146" s="10">
        <v>7</v>
      </c>
      <c r="D146" s="9" t="s">
        <v>195</v>
      </c>
      <c r="E146" s="154">
        <f>INDEX('Revised 2018 Lockdown'!H$5:H$253,MATCH(B146,'Revised 2018 Lockdown'!B$5:B$253,0))</f>
        <v>362.80000000000007</v>
      </c>
      <c r="F146" s="7">
        <f>INDEX('Revised 2018 Lockdown'!E$5:E$253,MATCH(B146,'Revised 2018 Lockdown'!B$5:B$253,0))</f>
        <v>200464.15</v>
      </c>
      <c r="G146" s="7">
        <f>INDEX('Revised 2018 Lockdown'!F$5:F$253,MATCH(B146,'Revised 2018 Lockdown'!B$5:B$253,0))</f>
        <v>51599.19000000001</v>
      </c>
      <c r="H146" s="7">
        <f t="shared" si="16"/>
        <v>148864.95999999999</v>
      </c>
      <c r="I146" s="6">
        <f t="shared" si="17"/>
        <v>410.32238147739793</v>
      </c>
      <c r="J146" s="6">
        <f t="shared" si="20"/>
        <v>410.32238147739793</v>
      </c>
      <c r="K146" s="5">
        <f t="shared" si="18"/>
        <v>148864.95999999999</v>
      </c>
      <c r="L146" s="4">
        <f t="shared" si="19"/>
        <v>0</v>
      </c>
      <c r="M146" s="2" cm="1">
        <f t="array" ref="M146">SUMPRODUCT(--($L$6:$L$300&lt;&gt;1),--($C$6:$C$300=$C146),$H$6:$H$300)/SUMPRODUCT(--($L$6:$L$300&lt;&gt;1),--($C$6:$C$300=$C146),$E$6:$E$300)</f>
        <v>477.46219284858569</v>
      </c>
      <c r="N146" s="1" cm="1">
        <f t="array" ref="N146">SUMPRODUCT(--($L$6:$L$300&lt;&gt;1),--($C$6:$C$300=$C146))</f>
        <v>66</v>
      </c>
      <c r="O146" s="3">
        <f t="shared" si="21"/>
        <v>4507.7542709586733</v>
      </c>
      <c r="P146" s="2" cm="1">
        <f t="array" ref="P146">SQRT(SUMPRODUCT(--($L$6:$L$300&lt;&gt;1),--($C$6:$C$300=$C146),$E$6:$E$300,$O$6:$O$300)/((N146-1)*SUMPRODUCT(--($L$6:$L$300&lt;&gt;1),--($C$6:$C$300=$C146),$E$6:$E$300)/N146))</f>
        <v>192.61217286848685</v>
      </c>
      <c r="Q146" s="2">
        <f t="shared" si="15"/>
        <v>230.61976116602912</v>
      </c>
      <c r="R146" s="2">
        <f t="shared" si="15"/>
        <v>724.30462453114228</v>
      </c>
      <c r="S146" s="2">
        <f t="shared" si="22"/>
        <v>410.32238147739793</v>
      </c>
    </row>
    <row r="147" spans="2:19" x14ac:dyDescent="0.25">
      <c r="B147" s="10">
        <v>510</v>
      </c>
      <c r="C147" s="10">
        <v>7</v>
      </c>
      <c r="D147" s="9" t="s">
        <v>196</v>
      </c>
      <c r="E147" s="154">
        <f>INDEX('Revised 2018 Lockdown'!H$5:H$253,MATCH(B147,'Revised 2018 Lockdown'!B$5:B$253,0))</f>
        <v>488.33931602748999</v>
      </c>
      <c r="F147" s="7">
        <f>INDEX('Revised 2018 Lockdown'!E$5:E$253,MATCH(B147,'Revised 2018 Lockdown'!B$5:B$253,0))</f>
        <v>225129.38</v>
      </c>
      <c r="G147" s="7">
        <f>INDEX('Revised 2018 Lockdown'!F$5:F$253,MATCH(B147,'Revised 2018 Lockdown'!B$5:B$253,0))</f>
        <v>1049</v>
      </c>
      <c r="H147" s="7">
        <f t="shared" si="16"/>
        <v>224080.38</v>
      </c>
      <c r="I147" s="6">
        <f t="shared" si="17"/>
        <v>458.86205072086779</v>
      </c>
      <c r="J147" s="6">
        <f t="shared" si="20"/>
        <v>458.86205072086779</v>
      </c>
      <c r="K147" s="5">
        <f t="shared" si="18"/>
        <v>224080.38</v>
      </c>
      <c r="L147" s="4">
        <f t="shared" si="19"/>
        <v>0</v>
      </c>
      <c r="M147" s="2" cm="1">
        <f t="array" ref="M147">SUMPRODUCT(--($L$6:$L$300&lt;&gt;1),--($C$6:$C$300=$C147),$H$6:$H$300)/SUMPRODUCT(--($L$6:$L$300&lt;&gt;1),--($C$6:$C$300=$C147),$E$6:$E$300)</f>
        <v>477.46219284858569</v>
      </c>
      <c r="N147" s="1" cm="1">
        <f t="array" ref="N147">SUMPRODUCT(--($L$6:$L$300&lt;&gt;1),--($C$6:$C$300=$C147))</f>
        <v>66</v>
      </c>
      <c r="O147" s="3">
        <f t="shared" si="21"/>
        <v>345.96528717130622</v>
      </c>
      <c r="P147" s="2" cm="1">
        <f t="array" ref="P147">SQRT(SUMPRODUCT(--($L$6:$L$300&lt;&gt;1),--($C$6:$C$300=$C147),$E$6:$E$300,$O$6:$O$300)/((N147-1)*SUMPRODUCT(--($L$6:$L$300&lt;&gt;1),--($C$6:$C$300=$C147),$E$6:$E$300)/N147))</f>
        <v>192.61217286848685</v>
      </c>
      <c r="Q147" s="2">
        <f t="shared" si="15"/>
        <v>230.61976116602912</v>
      </c>
      <c r="R147" s="2">
        <f t="shared" si="15"/>
        <v>724.30462453114228</v>
      </c>
      <c r="S147" s="2">
        <f t="shared" si="22"/>
        <v>458.86205072086779</v>
      </c>
    </row>
    <row r="148" spans="2:19" x14ac:dyDescent="0.25">
      <c r="B148" s="10">
        <v>531</v>
      </c>
      <c r="C148" s="10">
        <v>7</v>
      </c>
      <c r="D148" s="9" t="s">
        <v>197</v>
      </c>
      <c r="E148" s="154">
        <f>INDEX('Revised 2018 Lockdown'!H$5:H$253,MATCH(B148,'Revised 2018 Lockdown'!B$5:B$253,0))</f>
        <v>2134.37</v>
      </c>
      <c r="F148" s="7">
        <f>INDEX('Revised 2018 Lockdown'!E$5:E$253,MATCH(B148,'Revised 2018 Lockdown'!B$5:B$253,0))</f>
        <v>619077.55000000005</v>
      </c>
      <c r="G148" s="7">
        <f>INDEX('Revised 2018 Lockdown'!F$5:F$253,MATCH(B148,'Revised 2018 Lockdown'!B$5:B$253,0))</f>
        <v>5174.5599999999995</v>
      </c>
      <c r="H148" s="7">
        <f t="shared" si="16"/>
        <v>613902.99</v>
      </c>
      <c r="I148" s="6">
        <f t="shared" si="17"/>
        <v>287.62725769196533</v>
      </c>
      <c r="J148" s="6">
        <f t="shared" si="20"/>
        <v>287.62725769196533</v>
      </c>
      <c r="K148" s="5">
        <f t="shared" si="18"/>
        <v>613902.99</v>
      </c>
      <c r="L148" s="4">
        <f t="shared" si="19"/>
        <v>0</v>
      </c>
      <c r="M148" s="2" cm="1">
        <f t="array" ref="M148">SUMPRODUCT(--($L$6:$L$300&lt;&gt;1),--($C$6:$C$300=$C148),$H$6:$H$300)/SUMPRODUCT(--($L$6:$L$300&lt;&gt;1),--($C$6:$C$300=$C148),$E$6:$E$300)</f>
        <v>477.46219284858569</v>
      </c>
      <c r="N148" s="1" cm="1">
        <f t="array" ref="N148">SUMPRODUCT(--($L$6:$L$300&lt;&gt;1),--($C$6:$C$300=$C148))</f>
        <v>66</v>
      </c>
      <c r="O148" s="3">
        <f t="shared" si="21"/>
        <v>36037.302605918259</v>
      </c>
      <c r="P148" s="2" cm="1">
        <f t="array" ref="P148">SQRT(SUMPRODUCT(--($L$6:$L$300&lt;&gt;1),--($C$6:$C$300=$C148),$E$6:$E$300,$O$6:$O$300)/((N148-1)*SUMPRODUCT(--($L$6:$L$300&lt;&gt;1),--($C$6:$C$300=$C148),$E$6:$E$300)/N148))</f>
        <v>192.61217286848685</v>
      </c>
      <c r="Q148" s="2">
        <f t="shared" si="15"/>
        <v>230.61976116602912</v>
      </c>
      <c r="R148" s="2">
        <f t="shared" si="15"/>
        <v>724.30462453114228</v>
      </c>
      <c r="S148" s="2">
        <f t="shared" si="22"/>
        <v>287.62725769196533</v>
      </c>
    </row>
    <row r="149" spans="2:19" x14ac:dyDescent="0.25">
      <c r="B149" s="10">
        <v>550</v>
      </c>
      <c r="C149" s="10">
        <v>7</v>
      </c>
      <c r="D149" s="9" t="s">
        <v>198</v>
      </c>
      <c r="E149" s="154">
        <f>INDEX('Revised 2018 Lockdown'!H$5:H$253,MATCH(B149,'Revised 2018 Lockdown'!B$5:B$253,0))</f>
        <v>257.69</v>
      </c>
      <c r="F149" s="7">
        <f>INDEX('Revised 2018 Lockdown'!E$5:E$253,MATCH(B149,'Revised 2018 Lockdown'!B$5:B$253,0))</f>
        <v>412541.65</v>
      </c>
      <c r="G149" s="7">
        <f>INDEX('Revised 2018 Lockdown'!F$5:F$253,MATCH(B149,'Revised 2018 Lockdown'!B$5:B$253,0))</f>
        <v>100</v>
      </c>
      <c r="H149" s="7">
        <f t="shared" si="16"/>
        <v>412441.65</v>
      </c>
      <c r="I149" s="6">
        <f t="shared" si="17"/>
        <v>1600.5341689627073</v>
      </c>
      <c r="J149" s="6">
        <f t="shared" si="20"/>
        <v>724.30462453114228</v>
      </c>
      <c r="K149" s="5">
        <f t="shared" si="18"/>
        <v>186646.05869543005</v>
      </c>
      <c r="L149" s="4">
        <f t="shared" si="19"/>
        <v>0</v>
      </c>
      <c r="M149" s="2" cm="1">
        <f t="array" ref="M149">SUMPRODUCT(--($L$6:$L$300&lt;&gt;1),--($C$6:$C$300=$C149),$H$6:$H$300)/SUMPRODUCT(--($L$6:$L$300&lt;&gt;1),--($C$6:$C$300=$C149),$E$6:$E$300)</f>
        <v>477.46219284858569</v>
      </c>
      <c r="N149" s="1" cm="1">
        <f t="array" ref="N149">SUMPRODUCT(--($L$6:$L$300&lt;&gt;1),--($C$6:$C$300=$C149))</f>
        <v>66</v>
      </c>
      <c r="O149" s="3">
        <f t="shared" si="21"/>
        <v>1261290.6635328785</v>
      </c>
      <c r="P149" s="2" cm="1">
        <f t="array" ref="P149">SQRT(SUMPRODUCT(--($L$6:$L$300&lt;&gt;1),--($C$6:$C$300=$C149),$E$6:$E$300,$O$6:$O$300)/((N149-1)*SUMPRODUCT(--($L$6:$L$300&lt;&gt;1),--($C$6:$C$300=$C149),$E$6:$E$300)/N149))</f>
        <v>192.61217286848685</v>
      </c>
      <c r="Q149" s="2">
        <f t="shared" si="15"/>
        <v>230.61976116602912</v>
      </c>
      <c r="R149" s="2">
        <f t="shared" si="15"/>
        <v>724.30462453114228</v>
      </c>
      <c r="S149" s="2">
        <f t="shared" si="22"/>
        <v>724.30462453114228</v>
      </c>
    </row>
    <row r="150" spans="2:19" x14ac:dyDescent="0.25">
      <c r="B150" s="10">
        <v>551</v>
      </c>
      <c r="C150" s="10">
        <v>7</v>
      </c>
      <c r="D150" s="9" t="s">
        <v>199</v>
      </c>
      <c r="E150" s="154">
        <f>INDEX('Revised 2018 Lockdown'!H$5:H$253,MATCH(B150,'Revised 2018 Lockdown'!B$5:B$253,0))</f>
        <v>172.97</v>
      </c>
      <c r="F150" s="7">
        <f>INDEX('Revised 2018 Lockdown'!E$5:E$253,MATCH(B150,'Revised 2018 Lockdown'!B$5:B$253,0))</f>
        <v>85940.15</v>
      </c>
      <c r="G150" s="7">
        <f>INDEX('Revised 2018 Lockdown'!F$5:F$253,MATCH(B150,'Revised 2018 Lockdown'!B$5:B$253,0))</f>
        <v>201</v>
      </c>
      <c r="H150" s="7">
        <f t="shared" si="16"/>
        <v>85739.15</v>
      </c>
      <c r="I150" s="6">
        <f t="shared" si="17"/>
        <v>495.68798057466608</v>
      </c>
      <c r="J150" s="6">
        <f t="shared" si="20"/>
        <v>495.68798057466608</v>
      </c>
      <c r="K150" s="5">
        <f t="shared" si="18"/>
        <v>85739.15</v>
      </c>
      <c r="L150" s="4">
        <f t="shared" si="19"/>
        <v>0</v>
      </c>
      <c r="M150" s="2" cm="1">
        <f t="array" ref="M150">SUMPRODUCT(--($L$6:$L$300&lt;&gt;1),--($C$6:$C$300=$C150),$H$6:$H$300)/SUMPRODUCT(--($L$6:$L$300&lt;&gt;1),--($C$6:$C$300=$C150),$E$6:$E$300)</f>
        <v>477.46219284858569</v>
      </c>
      <c r="N150" s="1" cm="1">
        <f t="array" ref="N150">SUMPRODUCT(--($L$6:$L$300&lt;&gt;1),--($C$6:$C$300=$C150))</f>
        <v>66</v>
      </c>
      <c r="O150" s="3">
        <f t="shared" si="21"/>
        <v>332.17933823614288</v>
      </c>
      <c r="P150" s="2" cm="1">
        <f t="array" ref="P150">SQRT(SUMPRODUCT(--($L$6:$L$300&lt;&gt;1),--($C$6:$C$300=$C150),$E$6:$E$300,$O$6:$O$300)/((N150-1)*SUMPRODUCT(--($L$6:$L$300&lt;&gt;1),--($C$6:$C$300=$C150),$E$6:$E$300)/N150))</f>
        <v>192.61217286848685</v>
      </c>
      <c r="Q150" s="2">
        <f t="shared" si="15"/>
        <v>230.61976116602912</v>
      </c>
      <c r="R150" s="2">
        <f t="shared" si="15"/>
        <v>724.30462453114228</v>
      </c>
      <c r="S150" s="2">
        <f t="shared" si="22"/>
        <v>495.68798057466608</v>
      </c>
    </row>
    <row r="151" spans="2:19" x14ac:dyDescent="0.25">
      <c r="B151" s="10">
        <v>555</v>
      </c>
      <c r="C151" s="10">
        <v>7</v>
      </c>
      <c r="D151" s="9" t="s">
        <v>200</v>
      </c>
      <c r="E151" s="154">
        <f>INDEX('Revised 2018 Lockdown'!H$5:H$253,MATCH(B151,'Revised 2018 Lockdown'!B$5:B$253,0))</f>
        <v>603.33664613851852</v>
      </c>
      <c r="F151" s="7">
        <f>INDEX('Revised 2018 Lockdown'!E$5:E$253,MATCH(B151,'Revised 2018 Lockdown'!B$5:B$253,0))</f>
        <v>492787.09</v>
      </c>
      <c r="G151" s="7">
        <f>INDEX('Revised 2018 Lockdown'!F$5:F$253,MATCH(B151,'Revised 2018 Lockdown'!B$5:B$253,0))</f>
        <v>498</v>
      </c>
      <c r="H151" s="7">
        <f t="shared" si="16"/>
        <v>492289.09</v>
      </c>
      <c r="I151" s="6">
        <f t="shared" si="17"/>
        <v>815.94428773845209</v>
      </c>
      <c r="J151" s="6">
        <f t="shared" si="20"/>
        <v>724.30462453114228</v>
      </c>
      <c r="K151" s="5">
        <f t="shared" si="18"/>
        <v>436999.52294723829</v>
      </c>
      <c r="L151" s="4">
        <f t="shared" si="19"/>
        <v>0</v>
      </c>
      <c r="M151" s="2" cm="1">
        <f t="array" ref="M151">SUMPRODUCT(--($L$6:$L$300&lt;&gt;1),--($C$6:$C$300=$C151),$H$6:$H$300)/SUMPRODUCT(--($L$6:$L$300&lt;&gt;1),--($C$6:$C$300=$C151),$E$6:$E$300)</f>
        <v>477.46219284858569</v>
      </c>
      <c r="N151" s="1" cm="1">
        <f t="array" ref="N151">SUMPRODUCT(--($L$6:$L$300&lt;&gt;1),--($C$6:$C$300=$C151))</f>
        <v>66</v>
      </c>
      <c r="O151" s="3">
        <f t="shared" si="21"/>
        <v>114570.12856103253</v>
      </c>
      <c r="P151" s="2" cm="1">
        <f t="array" ref="P151">SQRT(SUMPRODUCT(--($L$6:$L$300&lt;&gt;1),--($C$6:$C$300=$C151),$E$6:$E$300,$O$6:$O$300)/((N151-1)*SUMPRODUCT(--($L$6:$L$300&lt;&gt;1),--($C$6:$C$300=$C151),$E$6:$E$300)/N151))</f>
        <v>192.61217286848685</v>
      </c>
      <c r="Q151" s="2">
        <f t="shared" si="15"/>
        <v>230.61976116602912</v>
      </c>
      <c r="R151" s="2">
        <f t="shared" si="15"/>
        <v>724.30462453114228</v>
      </c>
      <c r="S151" s="2">
        <f t="shared" si="22"/>
        <v>724.30462453114228</v>
      </c>
    </row>
    <row r="152" spans="2:19" x14ac:dyDescent="0.25">
      <c r="B152" s="10">
        <v>556</v>
      </c>
      <c r="C152" s="10">
        <v>7</v>
      </c>
      <c r="D152" s="9" t="s">
        <v>201</v>
      </c>
      <c r="E152" s="154">
        <f>INDEX('Revised 2018 Lockdown'!H$5:H$253,MATCH(B152,'Revised 2018 Lockdown'!B$5:B$253,0))</f>
        <v>391.24677594424628</v>
      </c>
      <c r="F152" s="7">
        <f>INDEX('Revised 2018 Lockdown'!E$5:E$253,MATCH(B152,'Revised 2018 Lockdown'!B$5:B$253,0))</f>
        <v>144657.59</v>
      </c>
      <c r="G152" s="7">
        <f>INDEX('Revised 2018 Lockdown'!F$5:F$253,MATCH(B152,'Revised 2018 Lockdown'!B$5:B$253,0))</f>
        <v>350.51</v>
      </c>
      <c r="H152" s="7">
        <f t="shared" si="16"/>
        <v>144307.07999999999</v>
      </c>
      <c r="I152" s="6">
        <f t="shared" si="17"/>
        <v>368.83902660085852</v>
      </c>
      <c r="J152" s="6">
        <f t="shared" si="20"/>
        <v>368.83902660085852</v>
      </c>
      <c r="K152" s="5">
        <f t="shared" si="18"/>
        <v>144307.07999999999</v>
      </c>
      <c r="L152" s="4">
        <f t="shared" si="19"/>
        <v>0</v>
      </c>
      <c r="M152" s="2" cm="1">
        <f t="array" ref="M152">SUMPRODUCT(--($L$6:$L$300&lt;&gt;1),--($C$6:$C$300=$C152),$H$6:$H$300)/SUMPRODUCT(--($L$6:$L$300&lt;&gt;1),--($C$6:$C$300=$C152),$E$6:$E$300)</f>
        <v>477.46219284858569</v>
      </c>
      <c r="N152" s="1" cm="1">
        <f t="array" ref="N152">SUMPRODUCT(--($L$6:$L$300&lt;&gt;1),--($C$6:$C$300=$C152))</f>
        <v>66</v>
      </c>
      <c r="O152" s="3">
        <f t="shared" si="21"/>
        <v>11798.992245681375</v>
      </c>
      <c r="P152" s="2" cm="1">
        <f t="array" ref="P152">SQRT(SUMPRODUCT(--($L$6:$L$300&lt;&gt;1),--($C$6:$C$300=$C152),$E$6:$E$300,$O$6:$O$300)/((N152-1)*SUMPRODUCT(--($L$6:$L$300&lt;&gt;1),--($C$6:$C$300=$C152),$E$6:$E$300)/N152))</f>
        <v>192.61217286848685</v>
      </c>
      <c r="Q152" s="2">
        <f t="shared" si="15"/>
        <v>230.61976116602912</v>
      </c>
      <c r="R152" s="2">
        <f t="shared" si="15"/>
        <v>724.30462453114228</v>
      </c>
      <c r="S152" s="2">
        <f t="shared" si="22"/>
        <v>368.83902660085852</v>
      </c>
    </row>
    <row r="153" spans="2:19" x14ac:dyDescent="0.25">
      <c r="B153" s="10">
        <v>558</v>
      </c>
      <c r="C153" s="10">
        <v>7</v>
      </c>
      <c r="D153" s="9" t="s">
        <v>202</v>
      </c>
      <c r="E153" s="154">
        <f>INDEX('Revised 2018 Lockdown'!H$5:H$253,MATCH(B153,'Revised 2018 Lockdown'!B$5:B$253,0))</f>
        <v>347.54359974511453</v>
      </c>
      <c r="F153" s="7">
        <f>INDEX('Revised 2018 Lockdown'!E$5:E$253,MATCH(B153,'Revised 2018 Lockdown'!B$5:B$253,0))</f>
        <v>230639.34</v>
      </c>
      <c r="G153" s="7">
        <f>INDEX('Revised 2018 Lockdown'!F$5:F$253,MATCH(B153,'Revised 2018 Lockdown'!B$5:B$253,0))</f>
        <v>26698.63</v>
      </c>
      <c r="H153" s="7">
        <f t="shared" si="16"/>
        <v>203940.71</v>
      </c>
      <c r="I153" s="6">
        <f t="shared" si="17"/>
        <v>586.80611626733548</v>
      </c>
      <c r="J153" s="6">
        <f t="shared" si="20"/>
        <v>586.80611626733548</v>
      </c>
      <c r="K153" s="5">
        <f t="shared" si="18"/>
        <v>203940.71</v>
      </c>
      <c r="L153" s="4">
        <f t="shared" si="19"/>
        <v>0</v>
      </c>
      <c r="M153" s="2" cm="1">
        <f t="array" ref="M153">SUMPRODUCT(--($L$6:$L$300&lt;&gt;1),--($C$6:$C$300=$C153),$H$6:$H$300)/SUMPRODUCT(--($L$6:$L$300&lt;&gt;1),--($C$6:$C$300=$C153),$E$6:$E$300)</f>
        <v>477.46219284858569</v>
      </c>
      <c r="N153" s="1" cm="1">
        <f t="array" ref="N153">SUMPRODUCT(--($L$6:$L$300&lt;&gt;1),--($C$6:$C$300=$C153))</f>
        <v>66</v>
      </c>
      <c r="O153" s="3">
        <f t="shared" si="21"/>
        <v>11956.093588605419</v>
      </c>
      <c r="P153" s="2" cm="1">
        <f t="array" ref="P153">SQRT(SUMPRODUCT(--($L$6:$L$300&lt;&gt;1),--($C$6:$C$300=$C153),$E$6:$E$300,$O$6:$O$300)/((N153-1)*SUMPRODUCT(--($L$6:$L$300&lt;&gt;1),--($C$6:$C$300=$C153),$E$6:$E$300)/N153))</f>
        <v>192.61217286848685</v>
      </c>
      <c r="Q153" s="2">
        <f t="shared" si="15"/>
        <v>230.61976116602912</v>
      </c>
      <c r="R153" s="2">
        <f t="shared" si="15"/>
        <v>724.30462453114228</v>
      </c>
      <c r="S153" s="2">
        <f t="shared" si="22"/>
        <v>586.80611626733548</v>
      </c>
    </row>
    <row r="154" spans="2:19" x14ac:dyDescent="0.25">
      <c r="B154" s="10">
        <v>600</v>
      </c>
      <c r="C154" s="10">
        <v>7</v>
      </c>
      <c r="D154" s="9" t="s">
        <v>203</v>
      </c>
      <c r="E154" s="154">
        <f>INDEX('Revised 2018 Lockdown'!H$5:H$253,MATCH(B154,'Revised 2018 Lockdown'!B$5:B$253,0))</f>
        <v>804.36</v>
      </c>
      <c r="F154" s="7">
        <f>INDEX('Revised 2018 Lockdown'!E$5:E$253,MATCH(B154,'Revised 2018 Lockdown'!B$5:B$253,0))</f>
        <v>251152.74</v>
      </c>
      <c r="G154" s="7">
        <f>INDEX('Revised 2018 Lockdown'!F$5:F$253,MATCH(B154,'Revised 2018 Lockdown'!B$5:B$253,0))</f>
        <v>0</v>
      </c>
      <c r="H154" s="7">
        <f t="shared" si="16"/>
        <v>251152.74</v>
      </c>
      <c r="I154" s="6">
        <f t="shared" si="17"/>
        <v>312.23922124421898</v>
      </c>
      <c r="J154" s="6">
        <f t="shared" si="20"/>
        <v>312.23922124421898</v>
      </c>
      <c r="K154" s="5">
        <f t="shared" si="18"/>
        <v>251152.74</v>
      </c>
      <c r="L154" s="4">
        <f t="shared" si="19"/>
        <v>0</v>
      </c>
      <c r="M154" s="2" cm="1">
        <f t="array" ref="M154">SUMPRODUCT(--($L$6:$L$300&lt;&gt;1),--($C$6:$C$300=$C154),$H$6:$H$300)/SUMPRODUCT(--($L$6:$L$300&lt;&gt;1),--($C$6:$C$300=$C154),$E$6:$E$300)</f>
        <v>477.46219284858569</v>
      </c>
      <c r="N154" s="1" cm="1">
        <f t="array" ref="N154">SUMPRODUCT(--($L$6:$L$300&lt;&gt;1),--($C$6:$C$300=$C154))</f>
        <v>66</v>
      </c>
      <c r="O154" s="3">
        <f t="shared" si="21"/>
        <v>27298.630345777368</v>
      </c>
      <c r="P154" s="2" cm="1">
        <f t="array" ref="P154">SQRT(SUMPRODUCT(--($L$6:$L$300&lt;&gt;1),--($C$6:$C$300=$C154),$E$6:$E$300,$O$6:$O$300)/((N154-1)*SUMPRODUCT(--($L$6:$L$300&lt;&gt;1),--($C$6:$C$300=$C154),$E$6:$E$300)/N154))</f>
        <v>192.61217286848685</v>
      </c>
      <c r="Q154" s="2">
        <f t="shared" si="15"/>
        <v>230.61976116602912</v>
      </c>
      <c r="R154" s="2">
        <f t="shared" si="15"/>
        <v>724.30462453114228</v>
      </c>
      <c r="S154" s="2">
        <f t="shared" si="22"/>
        <v>312.23922124421898</v>
      </c>
    </row>
    <row r="155" spans="2:19" x14ac:dyDescent="0.25">
      <c r="B155" s="10">
        <v>604</v>
      </c>
      <c r="C155" s="10">
        <v>7</v>
      </c>
      <c r="D155" s="9" t="s">
        <v>204</v>
      </c>
      <c r="E155" s="154">
        <f>INDEX('Revised 2018 Lockdown'!H$5:H$253,MATCH(B155,'Revised 2018 Lockdown'!B$5:B$253,0))</f>
        <v>727.41720759868917</v>
      </c>
      <c r="F155" s="7">
        <f>INDEX('Revised 2018 Lockdown'!E$5:E$253,MATCH(B155,'Revised 2018 Lockdown'!B$5:B$253,0))</f>
        <v>238868.16</v>
      </c>
      <c r="G155" s="7">
        <f>INDEX('Revised 2018 Lockdown'!F$5:F$253,MATCH(B155,'Revised 2018 Lockdown'!B$5:B$253,0))</f>
        <v>30079.71</v>
      </c>
      <c r="H155" s="7">
        <f t="shared" si="16"/>
        <v>208788.45</v>
      </c>
      <c r="I155" s="6">
        <f t="shared" si="17"/>
        <v>287.02709781810262</v>
      </c>
      <c r="J155" s="6">
        <f t="shared" si="20"/>
        <v>287.02709781810262</v>
      </c>
      <c r="K155" s="5">
        <f t="shared" si="18"/>
        <v>208788.45</v>
      </c>
      <c r="L155" s="4">
        <f t="shared" si="19"/>
        <v>0</v>
      </c>
      <c r="M155" s="2" cm="1">
        <f t="array" ref="M155">SUMPRODUCT(--($L$6:$L$300&lt;&gt;1),--($C$6:$C$300=$C155),$H$6:$H$300)/SUMPRODUCT(--($L$6:$L$300&lt;&gt;1),--($C$6:$C$300=$C155),$E$6:$E$300)</f>
        <v>477.46219284858569</v>
      </c>
      <c r="N155" s="1" cm="1">
        <f t="array" ref="N155">SUMPRODUCT(--($L$6:$L$300&lt;&gt;1),--($C$6:$C$300=$C155))</f>
        <v>66</v>
      </c>
      <c r="O155" s="3">
        <f t="shared" si="21"/>
        <v>36265.525419269121</v>
      </c>
      <c r="P155" s="2" cm="1">
        <f t="array" ref="P155">SQRT(SUMPRODUCT(--($L$6:$L$300&lt;&gt;1),--($C$6:$C$300=$C155),$E$6:$E$300,$O$6:$O$300)/((N155-1)*SUMPRODUCT(--($L$6:$L$300&lt;&gt;1),--($C$6:$C$300=$C155),$E$6:$E$300)/N155))</f>
        <v>192.61217286848685</v>
      </c>
      <c r="Q155" s="2">
        <f t="shared" si="15"/>
        <v>230.61976116602912</v>
      </c>
      <c r="R155" s="2">
        <f t="shared" si="15"/>
        <v>724.30462453114228</v>
      </c>
      <c r="S155" s="2">
        <f t="shared" si="22"/>
        <v>287.02709781810262</v>
      </c>
    </row>
    <row r="156" spans="2:19" x14ac:dyDescent="0.25">
      <c r="B156" s="10">
        <v>612</v>
      </c>
      <c r="C156" s="10">
        <v>7</v>
      </c>
      <c r="D156" s="9" t="s">
        <v>205</v>
      </c>
      <c r="E156" s="154">
        <f>INDEX('Revised 2018 Lockdown'!H$5:H$253,MATCH(B156,'Revised 2018 Lockdown'!B$5:B$253,0))</f>
        <v>488.86576888424196</v>
      </c>
      <c r="F156" s="7">
        <f>INDEX('Revised 2018 Lockdown'!E$5:E$253,MATCH(B156,'Revised 2018 Lockdown'!B$5:B$253,0))</f>
        <v>278008.59999999998</v>
      </c>
      <c r="G156" s="7">
        <f>INDEX('Revised 2018 Lockdown'!F$5:F$253,MATCH(B156,'Revised 2018 Lockdown'!B$5:B$253,0))</f>
        <v>7776.44</v>
      </c>
      <c r="H156" s="7">
        <f t="shared" si="16"/>
        <v>270232.15999999997</v>
      </c>
      <c r="I156" s="6">
        <f t="shared" si="17"/>
        <v>552.77374117799604</v>
      </c>
      <c r="J156" s="6">
        <f t="shared" si="20"/>
        <v>552.77374117799604</v>
      </c>
      <c r="K156" s="5">
        <f t="shared" si="18"/>
        <v>270232.15999999997</v>
      </c>
      <c r="L156" s="4">
        <f t="shared" si="19"/>
        <v>0</v>
      </c>
      <c r="M156" s="2" cm="1">
        <f t="array" ref="M156">SUMPRODUCT(--($L$6:$L$300&lt;&gt;1),--($C$6:$C$300=$C156),$H$6:$H$300)/SUMPRODUCT(--($L$6:$L$300&lt;&gt;1),--($C$6:$C$300=$C156),$E$6:$E$300)</f>
        <v>477.46219284858569</v>
      </c>
      <c r="N156" s="1" cm="1">
        <f t="array" ref="N156">SUMPRODUCT(--($L$6:$L$300&lt;&gt;1),--($C$6:$C$300=$C156))</f>
        <v>66</v>
      </c>
      <c r="O156" s="3">
        <f t="shared" si="21"/>
        <v>5671.8293117731118</v>
      </c>
      <c r="P156" s="2" cm="1">
        <f t="array" ref="P156">SQRT(SUMPRODUCT(--($L$6:$L$300&lt;&gt;1),--($C$6:$C$300=$C156),$E$6:$E$300,$O$6:$O$300)/((N156-1)*SUMPRODUCT(--($L$6:$L$300&lt;&gt;1),--($C$6:$C$300=$C156),$E$6:$E$300)/N156))</f>
        <v>192.61217286848685</v>
      </c>
      <c r="Q156" s="2">
        <f t="shared" si="15"/>
        <v>230.61976116602912</v>
      </c>
      <c r="R156" s="2">
        <f t="shared" si="15"/>
        <v>724.30462453114228</v>
      </c>
      <c r="S156" s="2">
        <f t="shared" si="22"/>
        <v>552.77374117799604</v>
      </c>
    </row>
    <row r="157" spans="2:19" x14ac:dyDescent="0.25">
      <c r="B157" s="10">
        <v>635</v>
      </c>
      <c r="C157" s="10">
        <v>7</v>
      </c>
      <c r="D157" s="9" t="s">
        <v>312</v>
      </c>
      <c r="E157" s="154">
        <f>INDEX('Revised 2018 Lockdown'!H$5:H$253,MATCH(B157,'Revised 2018 Lockdown'!B$5:B$253,0))</f>
        <v>48.589999999999996</v>
      </c>
      <c r="F157" s="7">
        <f>INDEX('Revised 2018 Lockdown'!E$5:E$253,MATCH(B157,'Revised 2018 Lockdown'!B$5:B$253,0))</f>
        <v>41866.43</v>
      </c>
      <c r="G157" s="7">
        <f>INDEX('Revised 2018 Lockdown'!F$5:F$253,MATCH(B157,'Revised 2018 Lockdown'!B$5:B$253,0))</f>
        <v>7688.1000000000013</v>
      </c>
      <c r="H157" s="7">
        <f t="shared" si="16"/>
        <v>34178.33</v>
      </c>
      <c r="I157" s="6">
        <f t="shared" si="17"/>
        <v>703.40255196542512</v>
      </c>
      <c r="J157" s="6">
        <f t="shared" si="20"/>
        <v>703.40255196542512</v>
      </c>
      <c r="K157" s="5">
        <f t="shared" si="18"/>
        <v>34178.33</v>
      </c>
      <c r="L157" s="4">
        <f t="shared" si="19"/>
        <v>0</v>
      </c>
      <c r="M157" s="2" cm="1">
        <f t="array" ref="M157">SUMPRODUCT(--($L$6:$L$300&lt;&gt;1),--($C$6:$C$300=$C157),$H$6:$H$300)/SUMPRODUCT(--($L$6:$L$300&lt;&gt;1),--($C$6:$C$300=$C157),$E$6:$E$300)</f>
        <v>477.46219284858569</v>
      </c>
      <c r="N157" s="1" cm="1">
        <f t="array" ref="N157">SUMPRODUCT(--($L$6:$L$300&lt;&gt;1),--($C$6:$C$300=$C157))</f>
        <v>66</v>
      </c>
      <c r="O157" s="3">
        <f t="shared" si="21"/>
        <v>51049.045877846365</v>
      </c>
      <c r="P157" s="2" cm="1">
        <f t="array" ref="P157">SQRT(SUMPRODUCT(--($L$6:$L$300&lt;&gt;1),--($C$6:$C$300=$C157),$E$6:$E$300,$O$6:$O$300)/((N157-1)*SUMPRODUCT(--($L$6:$L$300&lt;&gt;1),--($C$6:$C$300=$C157),$E$6:$E$300)/N157))</f>
        <v>192.61217286848685</v>
      </c>
      <c r="Q157" s="2">
        <f t="shared" si="15"/>
        <v>230.61976116602912</v>
      </c>
      <c r="R157" s="2">
        <f t="shared" si="15"/>
        <v>724.30462453114228</v>
      </c>
      <c r="S157" s="2">
        <f t="shared" si="22"/>
        <v>703.40255196542512</v>
      </c>
    </row>
    <row r="158" spans="2:19" x14ac:dyDescent="0.25">
      <c r="B158" s="10">
        <v>711</v>
      </c>
      <c r="C158" s="10">
        <v>7</v>
      </c>
      <c r="D158" s="9" t="s">
        <v>206</v>
      </c>
      <c r="E158" s="154">
        <f>INDEX('Revised 2018 Lockdown'!H$5:H$253,MATCH(B158,'Revised 2018 Lockdown'!B$5:B$253,0))</f>
        <v>420.12</v>
      </c>
      <c r="F158" s="7">
        <f>INDEX('Revised 2018 Lockdown'!E$5:E$253,MATCH(B158,'Revised 2018 Lockdown'!B$5:B$253,0))</f>
        <v>219303.41</v>
      </c>
      <c r="G158" s="7">
        <f>INDEX('Revised 2018 Lockdown'!F$5:F$253,MATCH(B158,'Revised 2018 Lockdown'!B$5:B$253,0))</f>
        <v>15317.63</v>
      </c>
      <c r="H158" s="7">
        <f t="shared" si="16"/>
        <v>203985.78</v>
      </c>
      <c r="I158" s="6">
        <f t="shared" si="17"/>
        <v>485.54170237075118</v>
      </c>
      <c r="J158" s="6">
        <f t="shared" si="20"/>
        <v>485.54170237075118</v>
      </c>
      <c r="K158" s="5">
        <f t="shared" si="18"/>
        <v>203985.78</v>
      </c>
      <c r="L158" s="4">
        <f t="shared" si="19"/>
        <v>0</v>
      </c>
      <c r="M158" s="2" cm="1">
        <f t="array" ref="M158">SUMPRODUCT(--($L$6:$L$300&lt;&gt;1),--($C$6:$C$300=$C158),$H$6:$H$300)/SUMPRODUCT(--($L$6:$L$300&lt;&gt;1),--($C$6:$C$300=$C158),$E$6:$E$300)</f>
        <v>477.46219284858569</v>
      </c>
      <c r="N158" s="1" cm="1">
        <f t="array" ref="N158">SUMPRODUCT(--($L$6:$L$300&lt;&gt;1),--($C$6:$C$300=$C158))</f>
        <v>66</v>
      </c>
      <c r="O158" s="3">
        <f t="shared" si="21"/>
        <v>65.278474118762901</v>
      </c>
      <c r="P158" s="2" cm="1">
        <f t="array" ref="P158">SQRT(SUMPRODUCT(--($L$6:$L$300&lt;&gt;1),--($C$6:$C$300=$C158),$E$6:$E$300,$O$6:$O$300)/((N158-1)*SUMPRODUCT(--($L$6:$L$300&lt;&gt;1),--($C$6:$C$300=$C158),$E$6:$E$300)/N158))</f>
        <v>192.61217286848685</v>
      </c>
      <c r="Q158" s="2">
        <f t="shared" si="15"/>
        <v>230.61976116602912</v>
      </c>
      <c r="R158" s="2">
        <f t="shared" si="15"/>
        <v>724.30462453114228</v>
      </c>
      <c r="S158" s="2">
        <f t="shared" si="22"/>
        <v>485.54170237075118</v>
      </c>
    </row>
    <row r="159" spans="2:19" x14ac:dyDescent="0.25">
      <c r="B159" s="10">
        <v>712</v>
      </c>
      <c r="C159" s="10">
        <v>7</v>
      </c>
      <c r="D159" s="9" t="s">
        <v>207</v>
      </c>
      <c r="E159" s="154">
        <f>INDEX('Revised 2018 Lockdown'!H$5:H$253,MATCH(B159,'Revised 2018 Lockdown'!B$5:B$253,0))</f>
        <v>743.30000000000007</v>
      </c>
      <c r="F159" s="7">
        <f>INDEX('Revised 2018 Lockdown'!E$5:E$253,MATCH(B159,'Revised 2018 Lockdown'!B$5:B$253,0))</f>
        <v>285648.96000000002</v>
      </c>
      <c r="G159" s="7">
        <f>INDEX('Revised 2018 Lockdown'!F$5:F$253,MATCH(B159,'Revised 2018 Lockdown'!B$5:B$253,0))</f>
        <v>0</v>
      </c>
      <c r="H159" s="7">
        <f t="shared" si="16"/>
        <v>285648.96000000002</v>
      </c>
      <c r="I159" s="6">
        <f t="shared" si="17"/>
        <v>384.29834521727429</v>
      </c>
      <c r="J159" s="6">
        <f t="shared" si="20"/>
        <v>384.29834521727429</v>
      </c>
      <c r="K159" s="5">
        <f t="shared" si="18"/>
        <v>285648.96000000002</v>
      </c>
      <c r="L159" s="4">
        <f t="shared" si="19"/>
        <v>0</v>
      </c>
      <c r="M159" s="2" cm="1">
        <f t="array" ref="M159">SUMPRODUCT(--($L$6:$L$300&lt;&gt;1),--($C$6:$C$300=$C159),$H$6:$H$300)/SUMPRODUCT(--($L$6:$L$300&lt;&gt;1),--($C$6:$C$300=$C159),$E$6:$E$300)</f>
        <v>477.46219284858569</v>
      </c>
      <c r="N159" s="1" cm="1">
        <f t="array" ref="N159">SUMPRODUCT(--($L$6:$L$300&lt;&gt;1),--($C$6:$C$300=$C159))</f>
        <v>66</v>
      </c>
      <c r="O159" s="3">
        <f t="shared" si="21"/>
        <v>8679.5025054702073</v>
      </c>
      <c r="P159" s="2" cm="1">
        <f t="array" ref="P159">SQRT(SUMPRODUCT(--($L$6:$L$300&lt;&gt;1),--($C$6:$C$300=$C159),$E$6:$E$300,$O$6:$O$300)/((N159-1)*SUMPRODUCT(--($L$6:$L$300&lt;&gt;1),--($C$6:$C$300=$C159),$E$6:$E$300)/N159))</f>
        <v>192.61217286848685</v>
      </c>
      <c r="Q159" s="2">
        <f t="shared" si="15"/>
        <v>230.61976116602912</v>
      </c>
      <c r="R159" s="2">
        <f t="shared" si="15"/>
        <v>724.30462453114228</v>
      </c>
      <c r="S159" s="2">
        <f t="shared" si="22"/>
        <v>384.29834521727429</v>
      </c>
    </row>
    <row r="160" spans="2:19" x14ac:dyDescent="0.25">
      <c r="B160" s="10">
        <v>718</v>
      </c>
      <c r="C160" s="10">
        <v>7</v>
      </c>
      <c r="D160" s="9" t="s">
        <v>208</v>
      </c>
      <c r="E160" s="154">
        <f>INDEX('Revised 2018 Lockdown'!H$5:H$253,MATCH(B160,'Revised 2018 Lockdown'!B$5:B$253,0))</f>
        <v>29.977429817390671</v>
      </c>
      <c r="F160" s="7">
        <f>INDEX('Revised 2018 Lockdown'!E$5:E$253,MATCH(B160,'Revised 2018 Lockdown'!B$5:B$253,0))</f>
        <v>22733.55</v>
      </c>
      <c r="G160" s="7">
        <f>INDEX('Revised 2018 Lockdown'!F$5:F$253,MATCH(B160,'Revised 2018 Lockdown'!B$5:B$253,0))</f>
        <v>0</v>
      </c>
      <c r="H160" s="7">
        <f t="shared" si="16"/>
        <v>22733.55</v>
      </c>
      <c r="I160" s="6">
        <f t="shared" si="17"/>
        <v>758.35554076793096</v>
      </c>
      <c r="J160" s="6">
        <f t="shared" si="20"/>
        <v>724.30462453114228</v>
      </c>
      <c r="K160" s="5">
        <f t="shared" si="18"/>
        <v>21712.79104829382</v>
      </c>
      <c r="L160" s="4">
        <f t="shared" si="19"/>
        <v>0</v>
      </c>
      <c r="M160" s="2" cm="1">
        <f t="array" ref="M160">SUMPRODUCT(--($L$6:$L$300&lt;&gt;1),--($C$6:$C$300=$C160),$H$6:$H$300)/SUMPRODUCT(--($L$6:$L$300&lt;&gt;1),--($C$6:$C$300=$C160),$E$6:$E$300)</f>
        <v>477.46219284858569</v>
      </c>
      <c r="N160" s="1" cm="1">
        <f t="array" ref="N160">SUMPRODUCT(--($L$6:$L$300&lt;&gt;1),--($C$6:$C$300=$C160))</f>
        <v>66</v>
      </c>
      <c r="O160" s="3">
        <f t="shared" si="21"/>
        <v>78901.072905338355</v>
      </c>
      <c r="P160" s="2" cm="1">
        <f t="array" ref="P160">SQRT(SUMPRODUCT(--($L$6:$L$300&lt;&gt;1),--($C$6:$C$300=$C160),$E$6:$E$300,$O$6:$O$300)/((N160-1)*SUMPRODUCT(--($L$6:$L$300&lt;&gt;1),--($C$6:$C$300=$C160),$E$6:$E$300)/N160))</f>
        <v>192.61217286848685</v>
      </c>
      <c r="Q160" s="2">
        <f t="shared" si="15"/>
        <v>230.61976116602912</v>
      </c>
      <c r="R160" s="2">
        <f t="shared" si="15"/>
        <v>724.30462453114228</v>
      </c>
      <c r="S160" s="2">
        <f t="shared" si="22"/>
        <v>724.30462453114228</v>
      </c>
    </row>
    <row r="161" spans="2:19" x14ac:dyDescent="0.25">
      <c r="B161" s="10">
        <v>736</v>
      </c>
      <c r="C161" s="10">
        <v>7</v>
      </c>
      <c r="D161" s="9" t="s">
        <v>209</v>
      </c>
      <c r="E161" s="154">
        <f>INDEX('Revised 2018 Lockdown'!H$5:H$253,MATCH(B161,'Revised 2018 Lockdown'!B$5:B$253,0))</f>
        <v>138.56449994605035</v>
      </c>
      <c r="F161" s="7">
        <f>INDEX('Revised 2018 Lockdown'!E$5:E$253,MATCH(B161,'Revised 2018 Lockdown'!B$5:B$253,0))</f>
        <v>55322.1</v>
      </c>
      <c r="G161" s="7">
        <f>INDEX('Revised 2018 Lockdown'!F$5:F$253,MATCH(B161,'Revised 2018 Lockdown'!B$5:B$253,0))</f>
        <v>161</v>
      </c>
      <c r="H161" s="7">
        <f t="shared" si="16"/>
        <v>55161.1</v>
      </c>
      <c r="I161" s="6">
        <f t="shared" si="17"/>
        <v>398.08969845434291</v>
      </c>
      <c r="J161" s="6">
        <f t="shared" si="20"/>
        <v>398.08969845434291</v>
      </c>
      <c r="K161" s="5">
        <f t="shared" si="18"/>
        <v>55161.1</v>
      </c>
      <c r="L161" s="4">
        <f t="shared" si="19"/>
        <v>0</v>
      </c>
      <c r="M161" s="2" cm="1">
        <f t="array" ref="M161">SUMPRODUCT(--($L$6:$L$300&lt;&gt;1),--($C$6:$C$300=$C161),$H$6:$H$300)/SUMPRODUCT(--($L$6:$L$300&lt;&gt;1),--($C$6:$C$300=$C161),$E$6:$E$300)</f>
        <v>477.46219284858569</v>
      </c>
      <c r="N161" s="1" cm="1">
        <f t="array" ref="N161">SUMPRODUCT(--($L$6:$L$300&lt;&gt;1),--($C$6:$C$300=$C161))</f>
        <v>66</v>
      </c>
      <c r="O161" s="3">
        <f t="shared" si="21"/>
        <v>6299.9928663641012</v>
      </c>
      <c r="P161" s="2" cm="1">
        <f t="array" ref="P161">SQRT(SUMPRODUCT(--($L$6:$L$300&lt;&gt;1),--($C$6:$C$300=$C161),$E$6:$E$300,$O$6:$O$300)/((N161-1)*SUMPRODUCT(--($L$6:$L$300&lt;&gt;1),--($C$6:$C$300=$C161),$E$6:$E$300)/N161))</f>
        <v>192.61217286848685</v>
      </c>
      <c r="Q161" s="2">
        <f t="shared" si="15"/>
        <v>230.61976116602912</v>
      </c>
      <c r="R161" s="2">
        <f t="shared" si="15"/>
        <v>724.30462453114228</v>
      </c>
      <c r="S161" s="2">
        <f t="shared" si="22"/>
        <v>398.08969845434291</v>
      </c>
    </row>
    <row r="162" spans="2:19" x14ac:dyDescent="0.25">
      <c r="B162" s="10">
        <v>757</v>
      </c>
      <c r="C162" s="10">
        <v>7</v>
      </c>
      <c r="D162" s="9" t="s">
        <v>210</v>
      </c>
      <c r="E162" s="154">
        <f>INDEX('Revised 2018 Lockdown'!H$5:H$253,MATCH(B162,'Revised 2018 Lockdown'!B$5:B$253,0))</f>
        <v>535.91999999999996</v>
      </c>
      <c r="F162" s="7">
        <f>INDEX('Revised 2018 Lockdown'!E$5:E$253,MATCH(B162,'Revised 2018 Lockdown'!B$5:B$253,0))</f>
        <v>334652.7</v>
      </c>
      <c r="G162" s="7">
        <f>INDEX('Revised 2018 Lockdown'!F$5:F$253,MATCH(B162,'Revised 2018 Lockdown'!B$5:B$253,0))</f>
        <v>65666.5</v>
      </c>
      <c r="H162" s="7">
        <f t="shared" si="16"/>
        <v>268986.2</v>
      </c>
      <c r="I162" s="6">
        <f t="shared" si="17"/>
        <v>501.91483803552774</v>
      </c>
      <c r="J162" s="6">
        <f t="shared" si="20"/>
        <v>501.91483803552774</v>
      </c>
      <c r="K162" s="5">
        <f t="shared" si="18"/>
        <v>268986.2</v>
      </c>
      <c r="L162" s="4">
        <f t="shared" si="19"/>
        <v>0</v>
      </c>
      <c r="M162" s="2" cm="1">
        <f t="array" ref="M162">SUMPRODUCT(--($L$6:$L$300&lt;&gt;1),--($C$6:$C$300=$C162),$H$6:$H$300)/SUMPRODUCT(--($L$6:$L$300&lt;&gt;1),--($C$6:$C$300=$C162),$E$6:$E$300)</f>
        <v>477.46219284858569</v>
      </c>
      <c r="N162" s="1" cm="1">
        <f t="array" ref="N162">SUMPRODUCT(--($L$6:$L$300&lt;&gt;1),--($C$6:$C$300=$C162))</f>
        <v>66</v>
      </c>
      <c r="O162" s="3">
        <f t="shared" si="21"/>
        <v>597.93185663848021</v>
      </c>
      <c r="P162" s="2" cm="1">
        <f t="array" ref="P162">SQRT(SUMPRODUCT(--($L$6:$L$300&lt;&gt;1),--($C$6:$C$300=$C162),$E$6:$E$300,$O$6:$O$300)/((N162-1)*SUMPRODUCT(--($L$6:$L$300&lt;&gt;1),--($C$6:$C$300=$C162),$E$6:$E$300)/N162))</f>
        <v>192.61217286848685</v>
      </c>
      <c r="Q162" s="2">
        <f t="shared" si="15"/>
        <v>230.61976116602912</v>
      </c>
      <c r="R162" s="2">
        <f t="shared" si="15"/>
        <v>724.30462453114228</v>
      </c>
      <c r="S162" s="2">
        <f t="shared" si="22"/>
        <v>501.91483803552774</v>
      </c>
    </row>
    <row r="163" spans="2:19" x14ac:dyDescent="0.25">
      <c r="B163" s="10">
        <v>786</v>
      </c>
      <c r="C163" s="10">
        <v>7</v>
      </c>
      <c r="D163" s="35" t="s">
        <v>211</v>
      </c>
      <c r="E163" s="154">
        <f>INDEX('Revised 2018 Lockdown'!H$5:H$253,MATCH(B163,'Revised 2018 Lockdown'!B$5:B$253,0))</f>
        <v>3145.58</v>
      </c>
      <c r="F163" s="7">
        <f>INDEX('Revised 2018 Lockdown'!E$5:E$253,MATCH(B163,'Revised 2018 Lockdown'!B$5:B$253,0))</f>
        <v>1566858.3</v>
      </c>
      <c r="G163" s="7">
        <f>INDEX('Revised 2018 Lockdown'!F$5:F$253,MATCH(B163,'Revised 2018 Lockdown'!B$5:B$253,0))</f>
        <v>287163.78999999998</v>
      </c>
      <c r="H163" s="7">
        <f t="shared" si="16"/>
        <v>1279694.51</v>
      </c>
      <c r="I163" s="6">
        <f t="shared" si="17"/>
        <v>406.82306919550609</v>
      </c>
      <c r="J163" s="6">
        <f t="shared" si="20"/>
        <v>406.82306919550609</v>
      </c>
      <c r="K163" s="5">
        <f t="shared" si="18"/>
        <v>1279694.51</v>
      </c>
      <c r="L163" s="4">
        <f t="shared" si="19"/>
        <v>0</v>
      </c>
      <c r="M163" s="2" cm="1">
        <f t="array" ref="M163">SUMPRODUCT(--($L$6:$L$300&lt;&gt;1),--($C$6:$C$300=$C163),$H$6:$H$300)/SUMPRODUCT(--($L$6:$L$300&lt;&gt;1),--($C$6:$C$300=$C163),$E$6:$E$300)</f>
        <v>477.46219284858569</v>
      </c>
      <c r="N163" s="1" cm="1">
        <f t="array" ref="N163">SUMPRODUCT(--($L$6:$L$300&lt;&gt;1),--($C$6:$C$300=$C163))</f>
        <v>66</v>
      </c>
      <c r="O163" s="3">
        <f t="shared" si="21"/>
        <v>4989.8857904750685</v>
      </c>
      <c r="P163" s="2" cm="1">
        <f t="array" ref="P163">SQRT(SUMPRODUCT(--($L$6:$L$300&lt;&gt;1),--($C$6:$C$300=$C163),$E$6:$E$300,$O$6:$O$300)/((N163-1)*SUMPRODUCT(--($L$6:$L$300&lt;&gt;1),--($C$6:$C$300=$C163),$E$6:$E$300)/N163))</f>
        <v>192.61217286848685</v>
      </c>
      <c r="Q163" s="2">
        <f t="shared" si="15"/>
        <v>230.61976116602912</v>
      </c>
      <c r="R163" s="2">
        <f t="shared" si="15"/>
        <v>724.30462453114228</v>
      </c>
      <c r="S163" s="2">
        <f t="shared" si="22"/>
        <v>406.82306919550609</v>
      </c>
    </row>
    <row r="164" spans="2:19" x14ac:dyDescent="0.25">
      <c r="B164" s="10">
        <v>854</v>
      </c>
      <c r="C164" s="10">
        <v>7</v>
      </c>
      <c r="D164" s="9" t="s">
        <v>212</v>
      </c>
      <c r="E164" s="154">
        <f>INDEX('Revised 2018 Lockdown'!H$5:H$253,MATCH(B164,'Revised 2018 Lockdown'!B$5:B$253,0))</f>
        <v>839.93</v>
      </c>
      <c r="F164" s="7">
        <f>INDEX('Revised 2018 Lockdown'!E$5:E$253,MATCH(B164,'Revised 2018 Lockdown'!B$5:B$253,0))</f>
        <v>490740.21</v>
      </c>
      <c r="G164" s="7">
        <f>INDEX('Revised 2018 Lockdown'!F$5:F$253,MATCH(B164,'Revised 2018 Lockdown'!B$5:B$253,0))</f>
        <v>37547.699999999997</v>
      </c>
      <c r="H164" s="7">
        <f t="shared" si="16"/>
        <v>453192.51</v>
      </c>
      <c r="I164" s="6">
        <f t="shared" si="17"/>
        <v>539.55985617849115</v>
      </c>
      <c r="J164" s="6">
        <f t="shared" si="20"/>
        <v>539.55985617849115</v>
      </c>
      <c r="K164" s="5">
        <f t="shared" si="18"/>
        <v>453192.51000000007</v>
      </c>
      <c r="L164" s="4">
        <f t="shared" si="19"/>
        <v>0</v>
      </c>
      <c r="M164" s="2" cm="1">
        <f t="array" ref="M164">SUMPRODUCT(--($L$6:$L$300&lt;&gt;1),--($C$6:$C$300=$C164),$H$6:$H$300)/SUMPRODUCT(--($L$6:$L$300&lt;&gt;1),--($C$6:$C$300=$C164),$E$6:$E$300)</f>
        <v>477.46219284858569</v>
      </c>
      <c r="N164" s="1" cm="1">
        <f t="array" ref="N164">SUMPRODUCT(--($L$6:$L$300&lt;&gt;1),--($C$6:$C$300=$C164))</f>
        <v>66</v>
      </c>
      <c r="O164" s="3">
        <f t="shared" si="21"/>
        <v>3856.1197910342848</v>
      </c>
      <c r="P164" s="2" cm="1">
        <f t="array" ref="P164">SQRT(SUMPRODUCT(--($L$6:$L$300&lt;&gt;1),--($C$6:$C$300=$C164),$E$6:$E$300,$O$6:$O$300)/((N164-1)*SUMPRODUCT(--($L$6:$L$300&lt;&gt;1),--($C$6:$C$300=$C164),$E$6:$E$300)/N164))</f>
        <v>192.61217286848685</v>
      </c>
      <c r="Q164" s="2">
        <f t="shared" si="15"/>
        <v>230.61976116602912</v>
      </c>
      <c r="R164" s="2">
        <f t="shared" si="15"/>
        <v>724.30462453114228</v>
      </c>
      <c r="S164" s="2">
        <f t="shared" si="22"/>
        <v>539.55985617849115</v>
      </c>
    </row>
    <row r="165" spans="2:19" x14ac:dyDescent="0.25">
      <c r="B165" s="39">
        <v>855</v>
      </c>
      <c r="C165" s="39">
        <v>7</v>
      </c>
      <c r="D165" s="40" t="s">
        <v>213</v>
      </c>
      <c r="E165" s="154">
        <f>INDEX('Revised 2018 Lockdown'!H$5:H$253,MATCH(B165,'Revised 2018 Lockdown'!B$5:B$253,0))</f>
        <v>208.08754355551341</v>
      </c>
      <c r="F165" s="7">
        <f>INDEX('Revised 2018 Lockdown'!E$5:E$253,MATCH(B165,'Revised 2018 Lockdown'!B$5:B$253,0))</f>
        <v>140079.48000000001</v>
      </c>
      <c r="G165" s="7">
        <f>INDEX('Revised 2018 Lockdown'!F$5:F$253,MATCH(B165,'Revised 2018 Lockdown'!B$5:B$253,0))</f>
        <v>12090</v>
      </c>
      <c r="H165" s="7">
        <f t="shared" si="16"/>
        <v>127989.48000000001</v>
      </c>
      <c r="I165" s="6">
        <f t="shared" si="17"/>
        <v>615.07516410205062</v>
      </c>
      <c r="J165" s="6">
        <f t="shared" si="20"/>
        <v>615.07516410205062</v>
      </c>
      <c r="K165" s="5">
        <f t="shared" si="18"/>
        <v>127989.48000000001</v>
      </c>
      <c r="L165" s="4">
        <f t="shared" si="19"/>
        <v>0</v>
      </c>
      <c r="M165" s="2" cm="1">
        <f t="array" ref="M165">SUMPRODUCT(--($L$6:$L$300&lt;&gt;1),--($C$6:$C$300=$C165),$H$6:$H$300)/SUMPRODUCT(--($L$6:$L$300&lt;&gt;1),--($C$6:$C$300=$C165),$E$6:$E$300)</f>
        <v>477.46219284858569</v>
      </c>
      <c r="N165" s="1" cm="1">
        <f t="array" ref="N165">SUMPRODUCT(--($L$6:$L$300&lt;&gt;1),--($C$6:$C$300=$C165))</f>
        <v>66</v>
      </c>
      <c r="O165" s="3">
        <f t="shared" si="21"/>
        <v>18937.329857206965</v>
      </c>
      <c r="P165" s="2" cm="1">
        <f t="array" ref="P165">SQRT(SUMPRODUCT(--($L$6:$L$300&lt;&gt;1),--($C$6:$C$300=$C165),$E$6:$E$300,$O$6:$O$300)/((N165-1)*SUMPRODUCT(--($L$6:$L$300&lt;&gt;1),--($C$6:$C$300=$C165),$E$6:$E$300)/N165))</f>
        <v>192.61217286848685</v>
      </c>
      <c r="Q165" s="2">
        <f t="shared" si="15"/>
        <v>230.61976116602912</v>
      </c>
      <c r="R165" s="2">
        <f t="shared" si="15"/>
        <v>724.30462453114228</v>
      </c>
      <c r="S165" s="2">
        <f t="shared" si="22"/>
        <v>615.07516410205062</v>
      </c>
    </row>
    <row r="166" spans="2:19" x14ac:dyDescent="0.25">
      <c r="B166" s="39">
        <v>862</v>
      </c>
      <c r="C166" s="39">
        <v>7</v>
      </c>
      <c r="D166" s="40" t="s">
        <v>214</v>
      </c>
      <c r="E166" s="154">
        <f>INDEX('Revised 2018 Lockdown'!H$5:H$253,MATCH(B166,'Revised 2018 Lockdown'!B$5:B$253,0))</f>
        <v>13.057490298183062</v>
      </c>
      <c r="F166" s="7">
        <f>INDEX('Revised 2018 Lockdown'!E$5:E$253,MATCH(B166,'Revised 2018 Lockdown'!B$5:B$253,0))</f>
        <v>10884.05</v>
      </c>
      <c r="G166" s="7">
        <f>INDEX('Revised 2018 Lockdown'!F$5:F$253,MATCH(B166,'Revised 2018 Lockdown'!B$5:B$253,0))</f>
        <v>8152.2</v>
      </c>
      <c r="H166" s="7">
        <f t="shared" si="16"/>
        <v>2731.8499999999995</v>
      </c>
      <c r="I166" s="6">
        <f t="shared" si="17"/>
        <v>209.2170805886131</v>
      </c>
      <c r="J166" s="6">
        <f t="shared" si="20"/>
        <v>209.2170805886131</v>
      </c>
      <c r="K166" s="5">
        <f t="shared" si="18"/>
        <v>2731.8499999999995</v>
      </c>
      <c r="L166" s="4">
        <f t="shared" si="19"/>
        <v>0</v>
      </c>
      <c r="M166" s="2" cm="1">
        <f t="array" ref="M166">SUMPRODUCT(--($L$6:$L$300&lt;&gt;1),--($C$6:$C$300=$C166),$H$6:$H$300)/SUMPRODUCT(--($L$6:$L$300&lt;&gt;1),--($C$6:$C$300=$C166),$E$6:$E$300)</f>
        <v>477.46219284858569</v>
      </c>
      <c r="N166" s="1" cm="1">
        <f t="array" ref="N166">SUMPRODUCT(--($L$6:$L$300&lt;&gt;1),--($C$6:$C$300=$C166))</f>
        <v>66</v>
      </c>
      <c r="O166" s="3">
        <f t="shared" si="21"/>
        <v>71955.440251365289</v>
      </c>
      <c r="P166" s="2" cm="1">
        <f t="array" ref="P166">SQRT(SUMPRODUCT(--($L$6:$L$300&lt;&gt;1),--($C$6:$C$300=$C166),$E$6:$E$300,$O$6:$O$300)/((N166-1)*SUMPRODUCT(--($L$6:$L$300&lt;&gt;1),--($C$6:$C$300=$C166),$E$6:$E$300)/N166))</f>
        <v>192.61217286848685</v>
      </c>
      <c r="Q166" s="2">
        <f t="shared" si="15"/>
        <v>230.61976116602912</v>
      </c>
      <c r="R166" s="2">
        <f t="shared" si="15"/>
        <v>724.30462453114228</v>
      </c>
      <c r="S166" s="2">
        <f t="shared" si="22"/>
        <v>230.61976116602912</v>
      </c>
    </row>
    <row r="167" spans="2:19" x14ac:dyDescent="0.25">
      <c r="B167" s="39">
        <v>958</v>
      </c>
      <c r="C167" s="39">
        <v>7</v>
      </c>
      <c r="D167" s="40" t="s">
        <v>215</v>
      </c>
      <c r="E167" s="154">
        <f>INDEX('Revised 2018 Lockdown'!H$5:H$253,MATCH(B167,'Revised 2018 Lockdown'!B$5:B$253,0))</f>
        <v>510.68493823667342</v>
      </c>
      <c r="F167" s="7">
        <f>INDEX('Revised 2018 Lockdown'!E$5:E$253,MATCH(B167,'Revised 2018 Lockdown'!B$5:B$253,0))</f>
        <v>165631.01</v>
      </c>
      <c r="G167" s="7">
        <f>INDEX('Revised 2018 Lockdown'!F$5:F$253,MATCH(B167,'Revised 2018 Lockdown'!B$5:B$253,0))</f>
        <v>290.27999999999997</v>
      </c>
      <c r="H167" s="7">
        <f t="shared" si="16"/>
        <v>165340.73000000001</v>
      </c>
      <c r="I167" s="6">
        <f t="shared" si="17"/>
        <v>323.76269128065411</v>
      </c>
      <c r="J167" s="6">
        <f t="shared" si="20"/>
        <v>323.76269128065411</v>
      </c>
      <c r="K167" s="5">
        <f t="shared" si="18"/>
        <v>165340.73000000001</v>
      </c>
      <c r="L167" s="4">
        <f t="shared" si="19"/>
        <v>0</v>
      </c>
      <c r="M167" s="2" cm="1">
        <f t="array" ref="M167">SUMPRODUCT(--($L$6:$L$300&lt;&gt;1),--($C$6:$C$300=$C167),$H$6:$H$300)/SUMPRODUCT(--($L$6:$L$300&lt;&gt;1),--($C$6:$C$300=$C167),$E$6:$E$300)</f>
        <v>477.46219284858569</v>
      </c>
      <c r="N167" s="1" cm="1">
        <f t="array" ref="N167">SUMPRODUCT(--($L$6:$L$300&lt;&gt;1),--($C$6:$C$300=$C167))</f>
        <v>66</v>
      </c>
      <c r="O167" s="3">
        <f t="shared" si="21"/>
        <v>23623.5367822306</v>
      </c>
      <c r="P167" s="2" cm="1">
        <f t="array" ref="P167">SQRT(SUMPRODUCT(--($L$6:$L$300&lt;&gt;1),--($C$6:$C$300=$C167),$E$6:$E$300,$O$6:$O$300)/((N167-1)*SUMPRODUCT(--($L$6:$L$300&lt;&gt;1),--($C$6:$C$300=$C167),$E$6:$E$300)/N167))</f>
        <v>192.61217286848685</v>
      </c>
      <c r="Q167" s="2">
        <f t="shared" si="15"/>
        <v>230.61976116602912</v>
      </c>
      <c r="R167" s="2">
        <f t="shared" si="15"/>
        <v>724.30462453114228</v>
      </c>
      <c r="S167" s="2">
        <f t="shared" si="22"/>
        <v>323.76269128065411</v>
      </c>
    </row>
    <row r="168" spans="2:19" x14ac:dyDescent="0.25">
      <c r="B168" s="10">
        <v>967</v>
      </c>
      <c r="C168" s="10">
        <v>7</v>
      </c>
      <c r="D168" s="9" t="s">
        <v>216</v>
      </c>
      <c r="E168" s="154">
        <f>INDEX('Revised 2018 Lockdown'!H$5:H$253,MATCH(B168,'Revised 2018 Lockdown'!B$5:B$253,0))</f>
        <v>180.72179769743559</v>
      </c>
      <c r="F168" s="7">
        <f>INDEX('Revised 2018 Lockdown'!E$5:E$253,MATCH(B168,'Revised 2018 Lockdown'!B$5:B$253,0))</f>
        <v>79646.62</v>
      </c>
      <c r="G168" s="7">
        <f>INDEX('Revised 2018 Lockdown'!F$5:F$253,MATCH(B168,'Revised 2018 Lockdown'!B$5:B$253,0))</f>
        <v>0</v>
      </c>
      <c r="H168" s="7">
        <f t="shared" si="16"/>
        <v>79646.62</v>
      </c>
      <c r="I168" s="6">
        <f t="shared" si="17"/>
        <v>440.7139648607544</v>
      </c>
      <c r="J168" s="6">
        <f t="shared" si="20"/>
        <v>440.7139648607544</v>
      </c>
      <c r="K168" s="5">
        <f t="shared" si="18"/>
        <v>79646.62</v>
      </c>
      <c r="L168" s="4">
        <f t="shared" si="19"/>
        <v>0</v>
      </c>
      <c r="M168" s="2" cm="1">
        <f t="array" ref="M168">SUMPRODUCT(--($L$6:$L$300&lt;&gt;1),--($C$6:$C$300=$C168),$H$6:$H$300)/SUMPRODUCT(--($L$6:$L$300&lt;&gt;1),--($C$6:$C$300=$C168),$E$6:$E$300)</f>
        <v>477.46219284858569</v>
      </c>
      <c r="N168" s="1" cm="1">
        <f t="array" ref="N168">SUMPRODUCT(--($L$6:$L$300&lt;&gt;1),--($C$6:$C$300=$C168))</f>
        <v>66</v>
      </c>
      <c r="O168" s="3">
        <f t="shared" si="21"/>
        <v>1350.4322602456266</v>
      </c>
      <c r="P168" s="2" cm="1">
        <f t="array" ref="P168">SQRT(SUMPRODUCT(--($L$6:$L$300&lt;&gt;1),--($C$6:$C$300=$C168),$E$6:$E$300,$O$6:$O$300)/((N168-1)*SUMPRODUCT(--($L$6:$L$300&lt;&gt;1),--($C$6:$C$300=$C168),$E$6:$E$300)/N168))</f>
        <v>192.61217286848685</v>
      </c>
      <c r="Q168" s="2">
        <f t="shared" si="15"/>
        <v>230.61976116602912</v>
      </c>
      <c r="R168" s="2">
        <f t="shared" si="15"/>
        <v>724.30462453114228</v>
      </c>
      <c r="S168" s="2">
        <f t="shared" si="22"/>
        <v>440.7139648607544</v>
      </c>
    </row>
    <row r="169" spans="2:19" x14ac:dyDescent="0.25">
      <c r="B169" s="10">
        <v>971</v>
      </c>
      <c r="C169" s="10">
        <v>7</v>
      </c>
      <c r="D169" s="9" t="s">
        <v>217</v>
      </c>
      <c r="E169" s="154">
        <f>INDEX('Revised 2018 Lockdown'!H$5:H$253,MATCH(B169,'Revised 2018 Lockdown'!B$5:B$253,0))</f>
        <v>976</v>
      </c>
      <c r="F169" s="7">
        <f>INDEX('Revised 2018 Lockdown'!E$5:E$253,MATCH(B169,'Revised 2018 Lockdown'!B$5:B$253,0))</f>
        <v>536513.62</v>
      </c>
      <c r="G169" s="7">
        <f>INDEX('Revised 2018 Lockdown'!F$5:F$253,MATCH(B169,'Revised 2018 Lockdown'!B$5:B$253,0))</f>
        <v>137200.55999999997</v>
      </c>
      <c r="H169" s="7">
        <f t="shared" si="16"/>
        <v>399313.06000000006</v>
      </c>
      <c r="I169" s="6">
        <f t="shared" si="17"/>
        <v>409.13223360655741</v>
      </c>
      <c r="J169" s="6">
        <f t="shared" si="20"/>
        <v>409.13223360655741</v>
      </c>
      <c r="K169" s="5">
        <f t="shared" si="18"/>
        <v>399313.06000000006</v>
      </c>
      <c r="L169" s="4">
        <f t="shared" si="19"/>
        <v>0</v>
      </c>
      <c r="M169" s="2" cm="1">
        <f t="array" ref="M169">SUMPRODUCT(--($L$6:$L$300&lt;&gt;1),--($C$6:$C$300=$C169),$H$6:$H$300)/SUMPRODUCT(--($L$6:$L$300&lt;&gt;1),--($C$6:$C$300=$C169),$E$6:$E$300)</f>
        <v>477.46219284858569</v>
      </c>
      <c r="N169" s="1" cm="1">
        <f t="array" ref="N169">SUMPRODUCT(--($L$6:$L$300&lt;&gt;1),--($C$6:$C$300=$C169))</f>
        <v>66</v>
      </c>
      <c r="O169" s="3">
        <f t="shared" si="21"/>
        <v>4668.9833300172459</v>
      </c>
      <c r="P169" s="2" cm="1">
        <f t="array" ref="P169">SQRT(SUMPRODUCT(--($L$6:$L$300&lt;&gt;1),--($C$6:$C$300=$C169),$E$6:$E$300,$O$6:$O$300)/((N169-1)*SUMPRODUCT(--($L$6:$L$300&lt;&gt;1),--($C$6:$C$300=$C169),$E$6:$E$300)/N169))</f>
        <v>192.61217286848685</v>
      </c>
      <c r="Q169" s="2">
        <f t="shared" si="15"/>
        <v>230.61976116602912</v>
      </c>
      <c r="R169" s="2">
        <f t="shared" si="15"/>
        <v>724.30462453114228</v>
      </c>
      <c r="S169" s="2">
        <f t="shared" si="22"/>
        <v>409.13223360655741</v>
      </c>
    </row>
    <row r="170" spans="2:19" x14ac:dyDescent="0.25">
      <c r="B170" s="10">
        <v>975</v>
      </c>
      <c r="C170" s="10">
        <v>7</v>
      </c>
      <c r="D170" s="9" t="s">
        <v>218</v>
      </c>
      <c r="E170" s="154">
        <f>INDEX('Revised 2018 Lockdown'!H$5:H$253,MATCH(B170,'Revised 2018 Lockdown'!B$5:B$253,0))</f>
        <v>19.270619314376521</v>
      </c>
      <c r="F170" s="7">
        <f>INDEX('Revised 2018 Lockdown'!E$5:E$253,MATCH(B170,'Revised 2018 Lockdown'!B$5:B$253,0))</f>
        <v>55760.17</v>
      </c>
      <c r="G170" s="7">
        <f>INDEX('Revised 2018 Lockdown'!F$5:F$253,MATCH(B170,'Revised 2018 Lockdown'!B$5:B$253,0))</f>
        <v>0</v>
      </c>
      <c r="H170" s="7">
        <f t="shared" si="16"/>
        <v>55760.17</v>
      </c>
      <c r="I170" s="6">
        <f t="shared" si="17"/>
        <v>2893.5328486511621</v>
      </c>
      <c r="J170" s="6">
        <f t="shared" si="20"/>
        <v>724.30462453114228</v>
      </c>
      <c r="K170" s="5">
        <f t="shared" si="18"/>
        <v>13957.798686982065</v>
      </c>
      <c r="L170" s="4">
        <f t="shared" si="19"/>
        <v>0</v>
      </c>
      <c r="M170" s="2" cm="1">
        <f t="array" ref="M170">SUMPRODUCT(--($L$6:$L$300&lt;&gt;1),--($C$6:$C$300=$C170),$H$6:$H$300)/SUMPRODUCT(--($L$6:$L$300&lt;&gt;1),--($C$6:$C$300=$C170),$E$6:$E$300)</f>
        <v>477.46219284858569</v>
      </c>
      <c r="N170" s="1" cm="1">
        <f t="array" ref="N170">SUMPRODUCT(--($L$6:$L$300&lt;&gt;1),--($C$6:$C$300=$C170))</f>
        <v>66</v>
      </c>
      <c r="O170" s="3">
        <f t="shared" si="21"/>
        <v>5837397.4138302915</v>
      </c>
      <c r="P170" s="2" cm="1">
        <f t="array" ref="P170">SQRT(SUMPRODUCT(--($L$6:$L$300&lt;&gt;1),--($C$6:$C$300=$C170),$E$6:$E$300,$O$6:$O$300)/((N170-1)*SUMPRODUCT(--($L$6:$L$300&lt;&gt;1),--($C$6:$C$300=$C170),$E$6:$E$300)/N170))</f>
        <v>192.61217286848685</v>
      </c>
      <c r="Q170" s="2">
        <f t="shared" si="15"/>
        <v>230.61976116602912</v>
      </c>
      <c r="R170" s="2">
        <f t="shared" si="15"/>
        <v>724.30462453114228</v>
      </c>
      <c r="S170" s="2">
        <f t="shared" si="22"/>
        <v>724.30462453114228</v>
      </c>
    </row>
    <row r="171" spans="2:19" x14ac:dyDescent="0.25">
      <c r="B171" s="10">
        <v>976</v>
      </c>
      <c r="C171" s="10">
        <v>7</v>
      </c>
      <c r="D171" s="9" t="s">
        <v>219</v>
      </c>
      <c r="E171" s="154">
        <f>INDEX('Revised 2018 Lockdown'!H$5:H$253,MATCH(B171,'Revised 2018 Lockdown'!B$5:B$253,0))</f>
        <v>29.487564416476946</v>
      </c>
      <c r="F171" s="7">
        <f>INDEX('Revised 2018 Lockdown'!E$5:E$253,MATCH(B171,'Revised 2018 Lockdown'!B$5:B$253,0))</f>
        <v>25941.279999999999</v>
      </c>
      <c r="G171" s="7">
        <f>INDEX('Revised 2018 Lockdown'!F$5:F$253,MATCH(B171,'Revised 2018 Lockdown'!B$5:B$253,0))</f>
        <v>0</v>
      </c>
      <c r="H171" s="7">
        <f t="shared" si="16"/>
        <v>25941.279999999999</v>
      </c>
      <c r="I171" s="6">
        <f t="shared" si="17"/>
        <v>879.73627233535206</v>
      </c>
      <c r="J171" s="6">
        <f t="shared" si="20"/>
        <v>724.30462453114228</v>
      </c>
      <c r="K171" s="5">
        <f t="shared" si="18"/>
        <v>21357.979273014207</v>
      </c>
      <c r="L171" s="4">
        <f t="shared" si="19"/>
        <v>0</v>
      </c>
      <c r="M171" s="2" cm="1">
        <f t="array" ref="M171">SUMPRODUCT(--($L$6:$L$300&lt;&gt;1),--($C$6:$C$300=$C171),$H$6:$H$300)/SUMPRODUCT(--($L$6:$L$300&lt;&gt;1),--($C$6:$C$300=$C171),$E$6:$E$300)</f>
        <v>477.46219284858569</v>
      </c>
      <c r="N171" s="1" cm="1">
        <f t="array" ref="N171">SUMPRODUCT(--($L$6:$L$300&lt;&gt;1),--($C$6:$C$300=$C171))</f>
        <v>66</v>
      </c>
      <c r="O171" s="3">
        <f t="shared" si="21"/>
        <v>161824.43502692523</v>
      </c>
      <c r="P171" s="2" cm="1">
        <f t="array" ref="P171">SQRT(SUMPRODUCT(--($L$6:$L$300&lt;&gt;1),--($C$6:$C$300=$C171),$E$6:$E$300,$O$6:$O$300)/((N171-1)*SUMPRODUCT(--($L$6:$L$300&lt;&gt;1),--($C$6:$C$300=$C171),$E$6:$E$300)/N171))</f>
        <v>192.61217286848685</v>
      </c>
      <c r="Q171" s="2">
        <f t="shared" si="15"/>
        <v>230.61976116602912</v>
      </c>
      <c r="R171" s="2">
        <f t="shared" si="15"/>
        <v>724.30462453114228</v>
      </c>
      <c r="S171" s="2">
        <f t="shared" si="22"/>
        <v>724.30462453114228</v>
      </c>
    </row>
    <row r="172" spans="2:19" x14ac:dyDescent="0.25">
      <c r="B172" s="10">
        <v>977</v>
      </c>
      <c r="C172" s="10">
        <v>7</v>
      </c>
      <c r="D172" s="9" t="s">
        <v>220</v>
      </c>
      <c r="E172" s="154">
        <f>INDEX('Revised 2018 Lockdown'!H$5:H$253,MATCH(B172,'Revised 2018 Lockdown'!B$5:B$253,0))</f>
        <v>40.759415747987155</v>
      </c>
      <c r="F172" s="7">
        <f>INDEX('Revised 2018 Lockdown'!E$5:E$253,MATCH(B172,'Revised 2018 Lockdown'!B$5:B$253,0))</f>
        <v>31893.51</v>
      </c>
      <c r="G172" s="7">
        <f>INDEX('Revised 2018 Lockdown'!F$5:F$253,MATCH(B172,'Revised 2018 Lockdown'!B$5:B$253,0))</f>
        <v>0</v>
      </c>
      <c r="H172" s="7">
        <f t="shared" si="16"/>
        <v>31893.51</v>
      </c>
      <c r="I172" s="6">
        <f t="shared" si="17"/>
        <v>782.4820207727098</v>
      </c>
      <c r="J172" s="6">
        <f t="shared" si="20"/>
        <v>724.30462453114228</v>
      </c>
      <c r="K172" s="5">
        <f t="shared" si="18"/>
        <v>29522.233319454564</v>
      </c>
      <c r="L172" s="4">
        <f t="shared" si="19"/>
        <v>0</v>
      </c>
      <c r="M172" s="2" cm="1">
        <f t="array" ref="M172">SUMPRODUCT(--($L$6:$L$300&lt;&gt;1),--($C$6:$C$300=$C172),$H$6:$H$300)/SUMPRODUCT(--($L$6:$L$300&lt;&gt;1),--($C$6:$C$300=$C172),$E$6:$E$300)</f>
        <v>477.46219284858569</v>
      </c>
      <c r="N172" s="1" cm="1">
        <f t="array" ref="N172">SUMPRODUCT(--($L$6:$L$300&lt;&gt;1),--($C$6:$C$300=$C172))</f>
        <v>66</v>
      </c>
      <c r="O172" s="3">
        <f t="shared" si="21"/>
        <v>93037.095426862288</v>
      </c>
      <c r="P172" s="2" cm="1">
        <f t="array" ref="P172">SQRT(SUMPRODUCT(--($L$6:$L$300&lt;&gt;1),--($C$6:$C$300=$C172),$E$6:$E$300,$O$6:$O$300)/((N172-1)*SUMPRODUCT(--($L$6:$L$300&lt;&gt;1),--($C$6:$C$300=$C172),$E$6:$E$300)/N172))</f>
        <v>192.61217286848685</v>
      </c>
      <c r="Q172" s="2">
        <f t="shared" si="15"/>
        <v>230.61976116602912</v>
      </c>
      <c r="R172" s="2">
        <f t="shared" si="15"/>
        <v>724.30462453114228</v>
      </c>
      <c r="S172" s="2">
        <f t="shared" si="22"/>
        <v>724.30462453114228</v>
      </c>
    </row>
    <row r="173" spans="2:19" x14ac:dyDescent="0.25">
      <c r="B173" s="10">
        <v>979</v>
      </c>
      <c r="C173" s="10">
        <v>7</v>
      </c>
      <c r="D173" s="9" t="s">
        <v>305</v>
      </c>
      <c r="E173" s="154">
        <f>INDEX('Revised 2018 Lockdown'!H$5:H$253,MATCH(B173,'Revised 2018 Lockdown'!B$5:B$253,0))</f>
        <v>68.082908668012507</v>
      </c>
      <c r="F173" s="7">
        <f>INDEX('Revised 2018 Lockdown'!E$5:E$253,MATCH(B173,'Revised 2018 Lockdown'!B$5:B$253,0))</f>
        <v>116196.12</v>
      </c>
      <c r="G173" s="7">
        <f>INDEX('Revised 2018 Lockdown'!F$5:F$253,MATCH(B173,'Revised 2018 Lockdown'!B$5:B$253,0))</f>
        <v>0</v>
      </c>
      <c r="H173" s="7">
        <f t="shared" si="16"/>
        <v>116196.12</v>
      </c>
      <c r="I173" s="6">
        <f t="shared" si="17"/>
        <v>1706.6856024997151</v>
      </c>
      <c r="J173" s="6">
        <f t="shared" si="20"/>
        <v>724.30462453114228</v>
      </c>
      <c r="K173" s="5">
        <f t="shared" si="18"/>
        <v>49312.765599772851</v>
      </c>
      <c r="L173" s="4">
        <f t="shared" si="19"/>
        <v>0</v>
      </c>
      <c r="M173" s="2" cm="1">
        <f t="array" ref="M173">SUMPRODUCT(--($L$6:$L$300&lt;&gt;1),--($C$6:$C$300=$C173),$H$6:$H$300)/SUMPRODUCT(--($L$6:$L$300&lt;&gt;1),--($C$6:$C$300=$C173),$E$6:$E$300)</f>
        <v>477.46219284858569</v>
      </c>
      <c r="N173" s="1" cm="1">
        <f t="array" ref="N173">SUMPRODUCT(--($L$6:$L$300&lt;&gt;1),--($C$6:$C$300=$C173))</f>
        <v>66</v>
      </c>
      <c r="O173" s="3">
        <f t="shared" si="21"/>
        <v>1510990.1908343479</v>
      </c>
      <c r="P173" s="2" cm="1">
        <f t="array" ref="P173">SQRT(SUMPRODUCT(--($L$6:$L$300&lt;&gt;1),--($C$6:$C$300=$C173),$E$6:$E$300,$O$6:$O$300)/((N173-1)*SUMPRODUCT(--($L$6:$L$300&lt;&gt;1),--($C$6:$C$300=$C173),$E$6:$E$300)/N173))</f>
        <v>192.61217286848685</v>
      </c>
      <c r="Q173" s="2">
        <f t="shared" si="15"/>
        <v>230.61976116602912</v>
      </c>
      <c r="R173" s="2">
        <f t="shared" si="15"/>
        <v>724.30462453114228</v>
      </c>
      <c r="S173" s="2">
        <f t="shared" si="22"/>
        <v>724.30462453114228</v>
      </c>
    </row>
    <row r="174" spans="2:19" x14ac:dyDescent="0.25">
      <c r="B174" s="10">
        <v>983</v>
      </c>
      <c r="C174" s="10">
        <v>7</v>
      </c>
      <c r="D174" s="9" t="s">
        <v>222</v>
      </c>
      <c r="E174" s="154">
        <f>INDEX('Revised 2018 Lockdown'!H$5:H$253,MATCH(B174,'Revised 2018 Lockdown'!B$5:B$253,0))</f>
        <v>86.136151469782178</v>
      </c>
      <c r="F174" s="7">
        <f>INDEX('Revised 2018 Lockdown'!E$5:E$253,MATCH(B174,'Revised 2018 Lockdown'!B$5:B$253,0))</f>
        <v>30825.599999999999</v>
      </c>
      <c r="G174" s="7">
        <f>INDEX('Revised 2018 Lockdown'!F$5:F$253,MATCH(B174,'Revised 2018 Lockdown'!B$5:B$253,0))</f>
        <v>250</v>
      </c>
      <c r="H174" s="7">
        <f t="shared" si="16"/>
        <v>30575.599999999999</v>
      </c>
      <c r="I174" s="6">
        <f t="shared" si="17"/>
        <v>354.96826220203684</v>
      </c>
      <c r="J174" s="6">
        <f t="shared" si="20"/>
        <v>354.96826220203684</v>
      </c>
      <c r="K174" s="5">
        <f t="shared" si="18"/>
        <v>30575.600000000002</v>
      </c>
      <c r="L174" s="4">
        <f t="shared" si="19"/>
        <v>0</v>
      </c>
      <c r="M174" s="2" cm="1">
        <f t="array" ref="M174">SUMPRODUCT(--($L$6:$L$300&lt;&gt;1),--($C$6:$C$300=$C174),$H$6:$H$300)/SUMPRODUCT(--($L$6:$L$300&lt;&gt;1),--($C$6:$C$300=$C174),$E$6:$E$300)</f>
        <v>477.46219284858569</v>
      </c>
      <c r="N174" s="1" cm="1">
        <f t="array" ref="N174">SUMPRODUCT(--($L$6:$L$300&lt;&gt;1),--($C$6:$C$300=$C174))</f>
        <v>66</v>
      </c>
      <c r="O174" s="3">
        <f t="shared" si="21"/>
        <v>15004.76304524152</v>
      </c>
      <c r="P174" s="2" cm="1">
        <f t="array" ref="P174">SQRT(SUMPRODUCT(--($L$6:$L$300&lt;&gt;1),--($C$6:$C$300=$C174),$E$6:$E$300,$O$6:$O$300)/((N174-1)*SUMPRODUCT(--($L$6:$L$300&lt;&gt;1),--($C$6:$C$300=$C174),$E$6:$E$300)/N174))</f>
        <v>192.61217286848685</v>
      </c>
      <c r="Q174" s="2">
        <f t="shared" si="15"/>
        <v>230.61976116602912</v>
      </c>
      <c r="R174" s="2">
        <f t="shared" si="15"/>
        <v>724.30462453114228</v>
      </c>
      <c r="S174" s="2">
        <f t="shared" si="22"/>
        <v>354.96826220203684</v>
      </c>
    </row>
    <row r="175" spans="2:19" x14ac:dyDescent="0.25">
      <c r="B175" s="10">
        <v>188</v>
      </c>
      <c r="C175" s="10">
        <v>8</v>
      </c>
      <c r="D175" s="9" t="s">
        <v>223</v>
      </c>
      <c r="E175" s="154">
        <f>INDEX('Revised 2018 Lockdown'!H$5:H$253,MATCH(B175,'Revised 2018 Lockdown'!B$5:B$253,0))</f>
        <v>187.63</v>
      </c>
      <c r="F175" s="7">
        <f>INDEX('Revised 2018 Lockdown'!E$5:E$253,MATCH(B175,'Revised 2018 Lockdown'!B$5:B$253,0))</f>
        <v>125246.14</v>
      </c>
      <c r="G175" s="7">
        <f>INDEX('Revised 2018 Lockdown'!F$5:F$253,MATCH(B175,'Revised 2018 Lockdown'!B$5:B$253,0))</f>
        <v>23903.22</v>
      </c>
      <c r="H175" s="7">
        <f t="shared" si="16"/>
        <v>101342.92</v>
      </c>
      <c r="I175" s="6">
        <f t="shared" si="17"/>
        <v>540.12108937803123</v>
      </c>
      <c r="J175" s="6">
        <f t="shared" si="20"/>
        <v>540.12108937803123</v>
      </c>
      <c r="K175" s="5">
        <f t="shared" si="18"/>
        <v>101342.92</v>
      </c>
      <c r="L175" s="4">
        <f t="shared" si="19"/>
        <v>0</v>
      </c>
      <c r="M175" s="2" cm="1">
        <f t="array" ref="M175">SUMPRODUCT(--($L$6:$L$300&lt;&gt;1),--($C$6:$C$300=$C175),$H$6:$H$300)/SUMPRODUCT(--($L$6:$L$300&lt;&gt;1),--($C$6:$C$300=$C175),$E$6:$E$300)</f>
        <v>884.5316790418774</v>
      </c>
      <c r="N175" s="1" cm="1">
        <f t="array" ref="N175">SUMPRODUCT(--($L$6:$L$300&lt;&gt;1),--($C$6:$C$300=$C175))</f>
        <v>50</v>
      </c>
      <c r="O175" s="3">
        <f t="shared" si="21"/>
        <v>118618.65427259821</v>
      </c>
      <c r="P175" s="2" cm="1">
        <f t="array" ref="P175">SQRT(SUMPRODUCT(--($L$6:$L$300&lt;&gt;1),--($C$6:$C$300=$C175),$E$6:$E$300,$O$6:$O$300)/((N175-1)*SUMPRODUCT(--($L$6:$L$300&lt;&gt;1),--($C$6:$C$300=$C175),$E$6:$E$300)/N175))</f>
        <v>660.581657773438</v>
      </c>
      <c r="Q175" s="2">
        <f t="shared" si="15"/>
        <v>37.96222135228038</v>
      </c>
      <c r="R175" s="2">
        <f t="shared" si="15"/>
        <v>1731.1011367314745</v>
      </c>
      <c r="S175" s="2">
        <f t="shared" si="22"/>
        <v>540.12108937803123</v>
      </c>
    </row>
    <row r="176" spans="2:19" x14ac:dyDescent="0.25">
      <c r="B176" s="10">
        <v>232</v>
      </c>
      <c r="C176" s="10">
        <v>8</v>
      </c>
      <c r="D176" s="9" t="s">
        <v>224</v>
      </c>
      <c r="E176" s="154">
        <f>INDEX('Revised 2018 Lockdown'!H$5:H$253,MATCH(B176,'Revised 2018 Lockdown'!B$5:B$253,0))</f>
        <v>97.381103404750618</v>
      </c>
      <c r="F176" s="7">
        <f>INDEX('Revised 2018 Lockdown'!E$5:E$253,MATCH(B176,'Revised 2018 Lockdown'!B$5:B$253,0))</f>
        <v>101873.03</v>
      </c>
      <c r="G176" s="7">
        <f>INDEX('Revised 2018 Lockdown'!F$5:F$253,MATCH(B176,'Revised 2018 Lockdown'!B$5:B$253,0))</f>
        <v>0</v>
      </c>
      <c r="H176" s="7">
        <f t="shared" si="16"/>
        <v>101873.03</v>
      </c>
      <c r="I176" s="6">
        <f t="shared" si="17"/>
        <v>1046.1272920330275</v>
      </c>
      <c r="J176" s="6">
        <f t="shared" si="20"/>
        <v>1046.1272920330275</v>
      </c>
      <c r="K176" s="5">
        <f t="shared" si="18"/>
        <v>101873.03</v>
      </c>
      <c r="L176" s="4">
        <f t="shared" si="19"/>
        <v>0</v>
      </c>
      <c r="M176" s="2" cm="1">
        <f t="array" ref="M176">SUMPRODUCT(--($L$6:$L$300&lt;&gt;1),--($C$6:$C$300=$C176),$H$6:$H$300)/SUMPRODUCT(--($L$6:$L$300&lt;&gt;1),--($C$6:$C$300=$C176),$E$6:$E$300)</f>
        <v>884.5316790418774</v>
      </c>
      <c r="N176" s="1" cm="1">
        <f t="array" ref="N176">SUMPRODUCT(--($L$6:$L$300&lt;&gt;1),--($C$6:$C$300=$C176))</f>
        <v>50</v>
      </c>
      <c r="O176" s="3">
        <f t="shared" si="21"/>
        <v>26113.142137985564</v>
      </c>
      <c r="P176" s="2" cm="1">
        <f t="array" ref="P176">SQRT(SUMPRODUCT(--($L$6:$L$300&lt;&gt;1),--($C$6:$C$300=$C176),$E$6:$E$300,$O$6:$O$300)/((N176-1)*SUMPRODUCT(--($L$6:$L$300&lt;&gt;1),--($C$6:$C$300=$C176),$E$6:$E$300)/N176))</f>
        <v>660.581657773438</v>
      </c>
      <c r="Q176" s="2">
        <f t="shared" si="15"/>
        <v>37.96222135228038</v>
      </c>
      <c r="R176" s="2">
        <f t="shared" si="15"/>
        <v>1731.1011367314745</v>
      </c>
      <c r="S176" s="2">
        <f t="shared" si="22"/>
        <v>1046.1272920330275</v>
      </c>
    </row>
    <row r="177" spans="2:19" x14ac:dyDescent="0.25">
      <c r="B177" s="10">
        <v>245</v>
      </c>
      <c r="C177" s="10">
        <v>8</v>
      </c>
      <c r="D177" s="9" t="s">
        <v>225</v>
      </c>
      <c r="E177" s="154">
        <f>INDEX('Revised 2018 Lockdown'!H$5:H$253,MATCH(B177,'Revised 2018 Lockdown'!B$5:B$253,0))</f>
        <v>182.45317762647645</v>
      </c>
      <c r="F177" s="7">
        <f>INDEX('Revised 2018 Lockdown'!E$5:E$253,MATCH(B177,'Revised 2018 Lockdown'!B$5:B$253,0))</f>
        <v>620305.29</v>
      </c>
      <c r="G177" s="7">
        <f>INDEX('Revised 2018 Lockdown'!F$5:F$253,MATCH(B177,'Revised 2018 Lockdown'!B$5:B$253,0))</f>
        <v>0</v>
      </c>
      <c r="H177" s="7">
        <f t="shared" si="16"/>
        <v>620305.29</v>
      </c>
      <c r="I177" s="6">
        <f t="shared" si="17"/>
        <v>3399.8053531844066</v>
      </c>
      <c r="J177" s="6">
        <f t="shared" si="20"/>
        <v>1731.1011367314745</v>
      </c>
      <c r="K177" s="5">
        <f t="shared" si="18"/>
        <v>315844.90318946302</v>
      </c>
      <c r="L177" s="4">
        <f t="shared" si="19"/>
        <v>0</v>
      </c>
      <c r="M177" s="2" cm="1">
        <f t="array" ref="M177">SUMPRODUCT(--($L$6:$L$300&lt;&gt;1),--($C$6:$C$300=$C177),$H$6:$H$300)/SUMPRODUCT(--($L$6:$L$300&lt;&gt;1),--($C$6:$C$300=$C177),$E$6:$E$300)</f>
        <v>884.5316790418774</v>
      </c>
      <c r="N177" s="1" cm="1">
        <f t="array" ref="N177">SUMPRODUCT(--($L$6:$L$300&lt;&gt;1),--($C$6:$C$300=$C177))</f>
        <v>50</v>
      </c>
      <c r="O177" s="3">
        <f t="shared" si="21"/>
        <v>6326601.6558344578</v>
      </c>
      <c r="P177" s="2" cm="1">
        <f t="array" ref="P177">SQRT(SUMPRODUCT(--($L$6:$L$300&lt;&gt;1),--($C$6:$C$300=$C177),$E$6:$E$300,$O$6:$O$300)/((N177-1)*SUMPRODUCT(--($L$6:$L$300&lt;&gt;1),--($C$6:$C$300=$C177),$E$6:$E$300)/N177))</f>
        <v>660.581657773438</v>
      </c>
      <c r="Q177" s="2">
        <f t="shared" si="15"/>
        <v>37.96222135228038</v>
      </c>
      <c r="R177" s="2">
        <f t="shared" si="15"/>
        <v>1731.1011367314745</v>
      </c>
      <c r="S177" s="2">
        <f t="shared" si="22"/>
        <v>1731.1011367314745</v>
      </c>
    </row>
    <row r="178" spans="2:19" x14ac:dyDescent="0.25">
      <c r="B178" s="10">
        <v>372</v>
      </c>
      <c r="C178" s="10">
        <v>8</v>
      </c>
      <c r="D178" s="9" t="s">
        <v>226</v>
      </c>
      <c r="E178" s="154">
        <f>INDEX('Revised 2018 Lockdown'!H$5:H$253,MATCH(B178,'Revised 2018 Lockdown'!B$5:B$253,0))</f>
        <v>120.44</v>
      </c>
      <c r="F178" s="7">
        <f>INDEX('Revised 2018 Lockdown'!E$5:E$253,MATCH(B178,'Revised 2018 Lockdown'!B$5:B$253,0))</f>
        <v>83312.27</v>
      </c>
      <c r="G178" s="7">
        <f>INDEX('Revised 2018 Lockdown'!F$5:F$253,MATCH(B178,'Revised 2018 Lockdown'!B$5:B$253,0))</f>
        <v>0</v>
      </c>
      <c r="H178" s="7">
        <f t="shared" si="16"/>
        <v>83312.27</v>
      </c>
      <c r="I178" s="6">
        <f t="shared" si="17"/>
        <v>691.73256393224847</v>
      </c>
      <c r="J178" s="6">
        <f t="shared" si="20"/>
        <v>691.73256393224847</v>
      </c>
      <c r="K178" s="5">
        <f t="shared" si="18"/>
        <v>83312.27</v>
      </c>
      <c r="L178" s="4">
        <f t="shared" si="19"/>
        <v>0</v>
      </c>
      <c r="M178" s="2" cm="1">
        <f t="array" ref="M178">SUMPRODUCT(--($L$6:$L$300&lt;&gt;1),--($C$6:$C$300=$C178),$H$6:$H$300)/SUMPRODUCT(--($L$6:$L$300&lt;&gt;1),--($C$6:$C$300=$C178),$E$6:$E$300)</f>
        <v>884.5316790418774</v>
      </c>
      <c r="N178" s="1" cm="1">
        <f t="array" ref="N178">SUMPRODUCT(--($L$6:$L$300&lt;&gt;1),--($C$6:$C$300=$C178))</f>
        <v>50</v>
      </c>
      <c r="O178" s="3">
        <f t="shared" si="21"/>
        <v>37171.498787055949</v>
      </c>
      <c r="P178" s="2" cm="1">
        <f t="array" ref="P178">SQRT(SUMPRODUCT(--($L$6:$L$300&lt;&gt;1),--($C$6:$C$300=$C178),$E$6:$E$300,$O$6:$O$300)/((N178-1)*SUMPRODUCT(--($L$6:$L$300&lt;&gt;1),--($C$6:$C$300=$C178),$E$6:$E$300)/N178))</f>
        <v>660.581657773438</v>
      </c>
      <c r="Q178" s="2">
        <f t="shared" si="15"/>
        <v>37.96222135228038</v>
      </c>
      <c r="R178" s="2">
        <f t="shared" si="15"/>
        <v>1731.1011367314745</v>
      </c>
      <c r="S178" s="2">
        <f t="shared" si="22"/>
        <v>691.73256393224847</v>
      </c>
    </row>
    <row r="179" spans="2:19" x14ac:dyDescent="0.25">
      <c r="B179" s="10">
        <v>375</v>
      </c>
      <c r="C179" s="10">
        <v>8</v>
      </c>
      <c r="D179" s="9" t="s">
        <v>227</v>
      </c>
      <c r="E179" s="154">
        <f>INDEX('Revised 2018 Lockdown'!H$5:H$253,MATCH(B179,'Revised 2018 Lockdown'!B$5:B$253,0))</f>
        <v>165.84</v>
      </c>
      <c r="F179" s="7">
        <f>INDEX('Revised 2018 Lockdown'!E$5:E$253,MATCH(B179,'Revised 2018 Lockdown'!B$5:B$253,0))</f>
        <v>245447.76</v>
      </c>
      <c r="G179" s="7">
        <f>INDEX('Revised 2018 Lockdown'!F$5:F$253,MATCH(B179,'Revised 2018 Lockdown'!B$5:B$253,0))</f>
        <v>0</v>
      </c>
      <c r="H179" s="7">
        <f t="shared" si="16"/>
        <v>245447.76</v>
      </c>
      <c r="I179" s="6">
        <f t="shared" si="17"/>
        <v>1480.027496382055</v>
      </c>
      <c r="J179" s="6">
        <f t="shared" si="20"/>
        <v>1480.027496382055</v>
      </c>
      <c r="K179" s="5">
        <f t="shared" si="18"/>
        <v>245447.76</v>
      </c>
      <c r="L179" s="4">
        <f t="shared" si="19"/>
        <v>0</v>
      </c>
      <c r="M179" s="2" cm="1">
        <f t="array" ref="M179">SUMPRODUCT(--($L$6:$L$300&lt;&gt;1),--($C$6:$C$300=$C179),$H$6:$H$300)/SUMPRODUCT(--($L$6:$L$300&lt;&gt;1),--($C$6:$C$300=$C179),$E$6:$E$300)</f>
        <v>884.5316790418774</v>
      </c>
      <c r="N179" s="1" cm="1">
        <f t="array" ref="N179">SUMPRODUCT(--($L$6:$L$300&lt;&gt;1),--($C$6:$C$300=$C179))</f>
        <v>50</v>
      </c>
      <c r="O179" s="3">
        <f t="shared" si="21"/>
        <v>354615.26846964617</v>
      </c>
      <c r="P179" s="2" cm="1">
        <f t="array" ref="P179">SQRT(SUMPRODUCT(--($L$6:$L$300&lt;&gt;1),--($C$6:$C$300=$C179),$E$6:$E$300,$O$6:$O$300)/((N179-1)*SUMPRODUCT(--($L$6:$L$300&lt;&gt;1),--($C$6:$C$300=$C179),$E$6:$E$300)/N179))</f>
        <v>660.581657773438</v>
      </c>
      <c r="Q179" s="2">
        <f t="shared" ref="Q179:R242" si="23">NORMINV(Q$4,$M179,$P179)</f>
        <v>37.96222135228038</v>
      </c>
      <c r="R179" s="2">
        <f t="shared" si="23"/>
        <v>1731.1011367314745</v>
      </c>
      <c r="S179" s="2">
        <f t="shared" si="22"/>
        <v>1480.027496382055</v>
      </c>
    </row>
    <row r="180" spans="2:19" x14ac:dyDescent="0.25">
      <c r="B180" s="10">
        <v>404</v>
      </c>
      <c r="C180" s="10">
        <v>8</v>
      </c>
      <c r="D180" s="9" t="s">
        <v>228</v>
      </c>
      <c r="E180" s="154">
        <f>INDEX('Revised 2018 Lockdown'!H$5:H$253,MATCH(B180,'Revised 2018 Lockdown'!B$5:B$253,0))</f>
        <v>471.43130890795055</v>
      </c>
      <c r="F180" s="7">
        <f>INDEX('Revised 2018 Lockdown'!E$5:E$253,MATCH(B180,'Revised 2018 Lockdown'!B$5:B$253,0))</f>
        <v>260768.05</v>
      </c>
      <c r="G180" s="7">
        <f>INDEX('Revised 2018 Lockdown'!F$5:F$253,MATCH(B180,'Revised 2018 Lockdown'!B$5:B$253,0))</f>
        <v>28484.19</v>
      </c>
      <c r="H180" s="7">
        <f t="shared" si="16"/>
        <v>232283.86</v>
      </c>
      <c r="I180" s="6">
        <f t="shared" si="17"/>
        <v>492.72047827725976</v>
      </c>
      <c r="J180" s="6">
        <f t="shared" si="20"/>
        <v>492.72047827725976</v>
      </c>
      <c r="K180" s="5">
        <f t="shared" si="18"/>
        <v>232283.86</v>
      </c>
      <c r="L180" s="4">
        <f t="shared" si="19"/>
        <v>0</v>
      </c>
      <c r="M180" s="2" cm="1">
        <f t="array" ref="M180">SUMPRODUCT(--($L$6:$L$300&lt;&gt;1),--($C$6:$C$300=$C180),$H$6:$H$300)/SUMPRODUCT(--($L$6:$L$300&lt;&gt;1),--($C$6:$C$300=$C180),$E$6:$E$300)</f>
        <v>884.5316790418774</v>
      </c>
      <c r="N180" s="1" cm="1">
        <f t="array" ref="N180">SUMPRODUCT(--($L$6:$L$300&lt;&gt;1),--($C$6:$C$300=$C180))</f>
        <v>50</v>
      </c>
      <c r="O180" s="3">
        <f t="shared" si="21"/>
        <v>153516.01704461151</v>
      </c>
      <c r="P180" s="2" cm="1">
        <f t="array" ref="P180">SQRT(SUMPRODUCT(--($L$6:$L$300&lt;&gt;1),--($C$6:$C$300=$C180),$E$6:$E$300,$O$6:$O$300)/((N180-1)*SUMPRODUCT(--($L$6:$L$300&lt;&gt;1),--($C$6:$C$300=$C180),$E$6:$E$300)/N180))</f>
        <v>660.581657773438</v>
      </c>
      <c r="Q180" s="2">
        <f t="shared" si="23"/>
        <v>37.96222135228038</v>
      </c>
      <c r="R180" s="2">
        <f t="shared" si="23"/>
        <v>1731.1011367314745</v>
      </c>
      <c r="S180" s="2">
        <f t="shared" si="22"/>
        <v>492.72047827725976</v>
      </c>
    </row>
    <row r="181" spans="2:19" x14ac:dyDescent="0.25">
      <c r="B181" s="10">
        <v>413</v>
      </c>
      <c r="C181" s="10">
        <v>8</v>
      </c>
      <c r="D181" s="9" t="s">
        <v>229</v>
      </c>
      <c r="E181" s="154">
        <f>INDEX('Revised 2018 Lockdown'!H$5:H$253,MATCH(B181,'Revised 2018 Lockdown'!B$5:B$253,0))</f>
        <v>73.969999999999985</v>
      </c>
      <c r="F181" s="7">
        <f>INDEX('Revised 2018 Lockdown'!E$5:E$253,MATCH(B181,'Revised 2018 Lockdown'!B$5:B$253,0))</f>
        <v>59936.91</v>
      </c>
      <c r="G181" s="7">
        <f>INDEX('Revised 2018 Lockdown'!F$5:F$253,MATCH(B181,'Revised 2018 Lockdown'!B$5:B$253,0))</f>
        <v>95</v>
      </c>
      <c r="H181" s="7">
        <f t="shared" si="16"/>
        <v>59841.91</v>
      </c>
      <c r="I181" s="6">
        <f t="shared" si="17"/>
        <v>809.00243341895384</v>
      </c>
      <c r="J181" s="6">
        <f t="shared" si="20"/>
        <v>809.00243341895384</v>
      </c>
      <c r="K181" s="5">
        <f t="shared" si="18"/>
        <v>59841.91</v>
      </c>
      <c r="L181" s="4">
        <f t="shared" si="19"/>
        <v>0</v>
      </c>
      <c r="M181" s="2" cm="1">
        <f t="array" ref="M181">SUMPRODUCT(--($L$6:$L$300&lt;&gt;1),--($C$6:$C$300=$C181),$H$6:$H$300)/SUMPRODUCT(--($L$6:$L$300&lt;&gt;1),--($C$6:$C$300=$C181),$E$6:$E$300)</f>
        <v>884.5316790418774</v>
      </c>
      <c r="N181" s="1" cm="1">
        <f t="array" ref="N181">SUMPRODUCT(--($L$6:$L$300&lt;&gt;1),--($C$6:$C$300=$C181))</f>
        <v>50</v>
      </c>
      <c r="O181" s="3">
        <f t="shared" si="21"/>
        <v>5704.6669443679166</v>
      </c>
      <c r="P181" s="2" cm="1">
        <f t="array" ref="P181">SQRT(SUMPRODUCT(--($L$6:$L$300&lt;&gt;1),--($C$6:$C$300=$C181),$E$6:$E$300,$O$6:$O$300)/((N181-1)*SUMPRODUCT(--($L$6:$L$300&lt;&gt;1),--($C$6:$C$300=$C181),$E$6:$E$300)/N181))</f>
        <v>660.581657773438</v>
      </c>
      <c r="Q181" s="2">
        <f t="shared" si="23"/>
        <v>37.96222135228038</v>
      </c>
      <c r="R181" s="2">
        <f t="shared" si="23"/>
        <v>1731.1011367314745</v>
      </c>
      <c r="S181" s="2">
        <f t="shared" si="22"/>
        <v>809.00243341895384</v>
      </c>
    </row>
    <row r="182" spans="2:19" x14ac:dyDescent="0.25">
      <c r="B182" s="10">
        <v>537</v>
      </c>
      <c r="C182" s="10">
        <v>8</v>
      </c>
      <c r="D182" s="9" t="s">
        <v>230</v>
      </c>
      <c r="E182" s="154">
        <f>INDEX('Revised 2018 Lockdown'!H$5:H$253,MATCH(B182,'Revised 2018 Lockdown'!B$5:B$253,0))</f>
        <v>21.43637439455869</v>
      </c>
      <c r="F182" s="7">
        <f>INDEX('Revised 2018 Lockdown'!E$5:E$253,MATCH(B182,'Revised 2018 Lockdown'!B$5:B$253,0))</f>
        <v>7779.28</v>
      </c>
      <c r="G182" s="7">
        <f>INDEX('Revised 2018 Lockdown'!F$5:F$253,MATCH(B182,'Revised 2018 Lockdown'!B$5:B$253,0))</f>
        <v>0</v>
      </c>
      <c r="H182" s="7">
        <f t="shared" si="16"/>
        <v>7779.28</v>
      </c>
      <c r="I182" s="6">
        <f t="shared" si="17"/>
        <v>362.90092050149377</v>
      </c>
      <c r="J182" s="6">
        <f t="shared" si="20"/>
        <v>362.90092050149377</v>
      </c>
      <c r="K182" s="5">
        <f t="shared" si="18"/>
        <v>7779.28</v>
      </c>
      <c r="L182" s="4">
        <f t="shared" si="19"/>
        <v>0</v>
      </c>
      <c r="M182" s="2" cm="1">
        <f t="array" ref="M182">SUMPRODUCT(--($L$6:$L$300&lt;&gt;1),--($C$6:$C$300=$C182),$H$6:$H$300)/SUMPRODUCT(--($L$6:$L$300&lt;&gt;1),--($C$6:$C$300=$C182),$E$6:$E$300)</f>
        <v>884.5316790418774</v>
      </c>
      <c r="N182" s="1" cm="1">
        <f t="array" ref="N182">SUMPRODUCT(--($L$6:$L$300&lt;&gt;1),--($C$6:$C$300=$C182))</f>
        <v>50</v>
      </c>
      <c r="O182" s="3">
        <f t="shared" si="21"/>
        <v>272098.64825541596</v>
      </c>
      <c r="P182" s="2" cm="1">
        <f t="array" ref="P182">SQRT(SUMPRODUCT(--($L$6:$L$300&lt;&gt;1),--($C$6:$C$300=$C182),$E$6:$E$300,$O$6:$O$300)/((N182-1)*SUMPRODUCT(--($L$6:$L$300&lt;&gt;1),--($C$6:$C$300=$C182),$E$6:$E$300)/N182))</f>
        <v>660.581657773438</v>
      </c>
      <c r="Q182" s="2">
        <f t="shared" si="23"/>
        <v>37.96222135228038</v>
      </c>
      <c r="R182" s="2">
        <f t="shared" si="23"/>
        <v>1731.1011367314745</v>
      </c>
      <c r="S182" s="2">
        <f t="shared" si="22"/>
        <v>362.90092050149377</v>
      </c>
    </row>
    <row r="183" spans="2:19" x14ac:dyDescent="0.25">
      <c r="B183" s="10">
        <v>545</v>
      </c>
      <c r="C183" s="10">
        <v>8</v>
      </c>
      <c r="D183" s="9" t="s">
        <v>231</v>
      </c>
      <c r="E183" s="154">
        <f>INDEX('Revised 2018 Lockdown'!H$5:H$253,MATCH(B183,'Revised 2018 Lockdown'!B$5:B$253,0))</f>
        <v>14.770835019629734</v>
      </c>
      <c r="F183" s="7">
        <f>INDEX('Revised 2018 Lockdown'!E$5:E$253,MATCH(B183,'Revised 2018 Lockdown'!B$5:B$253,0))</f>
        <v>6792.3</v>
      </c>
      <c r="G183" s="7">
        <f>INDEX('Revised 2018 Lockdown'!F$5:F$253,MATCH(B183,'Revised 2018 Lockdown'!B$5:B$253,0))</f>
        <v>0</v>
      </c>
      <c r="H183" s="7">
        <f t="shared" si="16"/>
        <v>6792.3</v>
      </c>
      <c r="I183" s="6">
        <f t="shared" si="17"/>
        <v>459.84536358123006</v>
      </c>
      <c r="J183" s="6">
        <f t="shared" si="20"/>
        <v>459.84536358123006</v>
      </c>
      <c r="K183" s="5">
        <f t="shared" si="18"/>
        <v>6792.3</v>
      </c>
      <c r="L183" s="4">
        <f t="shared" si="19"/>
        <v>0</v>
      </c>
      <c r="M183" s="2" cm="1">
        <f t="array" ref="M183">SUMPRODUCT(--($L$6:$L$300&lt;&gt;1),--($C$6:$C$300=$C183),$H$6:$H$300)/SUMPRODUCT(--($L$6:$L$300&lt;&gt;1),--($C$6:$C$300=$C183),$E$6:$E$300)</f>
        <v>884.5316790418774</v>
      </c>
      <c r="N183" s="1" cm="1">
        <f t="array" ref="N183">SUMPRODUCT(--($L$6:$L$300&lt;&gt;1),--($C$6:$C$300=$C183))</f>
        <v>50</v>
      </c>
      <c r="O183" s="3">
        <f t="shared" si="21"/>
        <v>180358.46653954047</v>
      </c>
      <c r="P183" s="2" cm="1">
        <f t="array" ref="P183">SQRT(SUMPRODUCT(--($L$6:$L$300&lt;&gt;1),--($C$6:$C$300=$C183),$E$6:$E$300,$O$6:$O$300)/((N183-1)*SUMPRODUCT(--($L$6:$L$300&lt;&gt;1),--($C$6:$C$300=$C183),$E$6:$E$300)/N183))</f>
        <v>660.581657773438</v>
      </c>
      <c r="Q183" s="2">
        <f t="shared" si="23"/>
        <v>37.96222135228038</v>
      </c>
      <c r="R183" s="2">
        <f t="shared" si="23"/>
        <v>1731.1011367314745</v>
      </c>
      <c r="S183" s="2">
        <f t="shared" si="22"/>
        <v>459.84536358123006</v>
      </c>
    </row>
    <row r="184" spans="2:19" x14ac:dyDescent="0.25">
      <c r="B184" s="10">
        <v>602</v>
      </c>
      <c r="C184" s="10">
        <v>8</v>
      </c>
      <c r="D184" s="9" t="s">
        <v>232</v>
      </c>
      <c r="E184" s="154">
        <f>INDEX('Revised 2018 Lockdown'!H$5:H$253,MATCH(B184,'Revised 2018 Lockdown'!B$5:B$253,0))</f>
        <v>19.642035020014156</v>
      </c>
      <c r="F184" s="7">
        <f>INDEX('Revised 2018 Lockdown'!E$5:E$253,MATCH(B184,'Revised 2018 Lockdown'!B$5:B$253,0))</f>
        <v>28173.42</v>
      </c>
      <c r="G184" s="7">
        <f>INDEX('Revised 2018 Lockdown'!F$5:F$253,MATCH(B184,'Revised 2018 Lockdown'!B$5:B$253,0))</f>
        <v>0</v>
      </c>
      <c r="H184" s="7">
        <f t="shared" si="16"/>
        <v>28173.42</v>
      </c>
      <c r="I184" s="6">
        <f t="shared" si="17"/>
        <v>1434.3432323225586</v>
      </c>
      <c r="J184" s="6">
        <f t="shared" si="20"/>
        <v>1434.3432323225586</v>
      </c>
      <c r="K184" s="5">
        <f t="shared" si="18"/>
        <v>28173.419999999995</v>
      </c>
      <c r="L184" s="4">
        <f t="shared" si="19"/>
        <v>0</v>
      </c>
      <c r="M184" s="2" cm="1">
        <f t="array" ref="M184">SUMPRODUCT(--($L$6:$L$300&lt;&gt;1),--($C$6:$C$300=$C184),$H$6:$H$300)/SUMPRODUCT(--($L$6:$L$300&lt;&gt;1),--($C$6:$C$300=$C184),$E$6:$E$300)</f>
        <v>884.5316790418774</v>
      </c>
      <c r="N184" s="1" cm="1">
        <f t="array" ref="N184">SUMPRODUCT(--($L$6:$L$300&lt;&gt;1),--($C$6:$C$300=$C184))</f>
        <v>50</v>
      </c>
      <c r="O184" s="3">
        <f t="shared" si="21"/>
        <v>302292.74412091536</v>
      </c>
      <c r="P184" s="2" cm="1">
        <f t="array" ref="P184">SQRT(SUMPRODUCT(--($L$6:$L$300&lt;&gt;1),--($C$6:$C$300=$C184),$E$6:$E$300,$O$6:$O$300)/((N184-1)*SUMPRODUCT(--($L$6:$L$300&lt;&gt;1),--($C$6:$C$300=$C184),$E$6:$E$300)/N184))</f>
        <v>660.581657773438</v>
      </c>
      <c r="Q184" s="2">
        <f t="shared" si="23"/>
        <v>37.96222135228038</v>
      </c>
      <c r="R184" s="2">
        <f t="shared" si="23"/>
        <v>1731.1011367314745</v>
      </c>
      <c r="S184" s="2">
        <f t="shared" si="22"/>
        <v>1434.3432323225586</v>
      </c>
    </row>
    <row r="185" spans="2:19" x14ac:dyDescent="0.25">
      <c r="B185" s="10">
        <v>605</v>
      </c>
      <c r="C185" s="10">
        <v>8</v>
      </c>
      <c r="D185" s="9" t="s">
        <v>233</v>
      </c>
      <c r="E185" s="154">
        <f>INDEX('Revised 2018 Lockdown'!H$5:H$253,MATCH(B185,'Revised 2018 Lockdown'!B$5:B$253,0))</f>
        <v>10.431092897352221</v>
      </c>
      <c r="F185" s="7">
        <f>INDEX('Revised 2018 Lockdown'!E$5:E$253,MATCH(B185,'Revised 2018 Lockdown'!B$5:B$253,0))</f>
        <v>7392.31</v>
      </c>
      <c r="G185" s="7">
        <f>INDEX('Revised 2018 Lockdown'!F$5:F$253,MATCH(B185,'Revised 2018 Lockdown'!B$5:B$253,0))</f>
        <v>0</v>
      </c>
      <c r="H185" s="7">
        <f t="shared" si="16"/>
        <v>7392.31</v>
      </c>
      <c r="I185" s="6">
        <f t="shared" si="17"/>
        <v>708.68029579876804</v>
      </c>
      <c r="J185" s="6">
        <f t="shared" si="20"/>
        <v>708.68029579876804</v>
      </c>
      <c r="K185" s="5">
        <f t="shared" si="18"/>
        <v>7392.31</v>
      </c>
      <c r="L185" s="4">
        <f t="shared" si="19"/>
        <v>0</v>
      </c>
      <c r="M185" s="2" cm="1">
        <f t="array" ref="M185">SUMPRODUCT(--($L$6:$L$300&lt;&gt;1),--($C$6:$C$300=$C185),$H$6:$H$300)/SUMPRODUCT(--($L$6:$L$300&lt;&gt;1),--($C$6:$C$300=$C185),$E$6:$E$300)</f>
        <v>884.5316790418774</v>
      </c>
      <c r="N185" s="1" cm="1">
        <f t="array" ref="N185">SUMPRODUCT(--($L$6:$L$300&lt;&gt;1),--($C$6:$C$300=$C185))</f>
        <v>50</v>
      </c>
      <c r="O185" s="3">
        <f t="shared" si="21"/>
        <v>30923.708988514922</v>
      </c>
      <c r="P185" s="2" cm="1">
        <f t="array" ref="P185">SQRT(SUMPRODUCT(--($L$6:$L$300&lt;&gt;1),--($C$6:$C$300=$C185),$E$6:$E$300,$O$6:$O$300)/((N185-1)*SUMPRODUCT(--($L$6:$L$300&lt;&gt;1),--($C$6:$C$300=$C185),$E$6:$E$300)/N185))</f>
        <v>660.581657773438</v>
      </c>
      <c r="Q185" s="2">
        <f t="shared" si="23"/>
        <v>37.96222135228038</v>
      </c>
      <c r="R185" s="2">
        <f t="shared" si="23"/>
        <v>1731.1011367314745</v>
      </c>
      <c r="S185" s="2">
        <f t="shared" si="22"/>
        <v>708.68029579876804</v>
      </c>
    </row>
    <row r="186" spans="2:19" x14ac:dyDescent="0.25">
      <c r="B186" s="10">
        <v>607</v>
      </c>
      <c r="C186" s="10">
        <v>8</v>
      </c>
      <c r="D186" s="9" t="s">
        <v>234</v>
      </c>
      <c r="E186" s="154">
        <f>INDEX('Revised 2018 Lockdown'!H$5:H$253,MATCH(B186,'Revised 2018 Lockdown'!B$5:B$253,0))</f>
        <v>15.646639346028332</v>
      </c>
      <c r="F186" s="7">
        <f>INDEX('Revised 2018 Lockdown'!E$5:E$253,MATCH(B186,'Revised 2018 Lockdown'!B$5:B$253,0))</f>
        <v>11273.44</v>
      </c>
      <c r="G186" s="7">
        <f>INDEX('Revised 2018 Lockdown'!F$5:F$253,MATCH(B186,'Revised 2018 Lockdown'!B$5:B$253,0))</f>
        <v>0</v>
      </c>
      <c r="H186" s="7">
        <f t="shared" si="16"/>
        <v>11273.44</v>
      </c>
      <c r="I186" s="6">
        <f t="shared" si="17"/>
        <v>720.50232325841887</v>
      </c>
      <c r="J186" s="6">
        <f t="shared" si="20"/>
        <v>720.50232325841887</v>
      </c>
      <c r="K186" s="5">
        <f t="shared" si="18"/>
        <v>11273.44</v>
      </c>
      <c r="L186" s="4">
        <f t="shared" si="19"/>
        <v>0</v>
      </c>
      <c r="M186" s="2" cm="1">
        <f t="array" ref="M186">SUMPRODUCT(--($L$6:$L$300&lt;&gt;1),--($C$6:$C$300=$C186),$H$6:$H$300)/SUMPRODUCT(--($L$6:$L$300&lt;&gt;1),--($C$6:$C$300=$C186),$E$6:$E$300)</f>
        <v>884.5316790418774</v>
      </c>
      <c r="N186" s="1" cm="1">
        <f t="array" ref="N186">SUMPRODUCT(--($L$6:$L$300&lt;&gt;1),--($C$6:$C$300=$C186))</f>
        <v>50</v>
      </c>
      <c r="O186" s="3">
        <f t="shared" si="21"/>
        <v>26905.629558736418</v>
      </c>
      <c r="P186" s="2" cm="1">
        <f t="array" ref="P186">SQRT(SUMPRODUCT(--($L$6:$L$300&lt;&gt;1),--($C$6:$C$300=$C186),$E$6:$E$300,$O$6:$O$300)/((N186-1)*SUMPRODUCT(--($L$6:$L$300&lt;&gt;1),--($C$6:$C$300=$C186),$E$6:$E$300)/N186))</f>
        <v>660.581657773438</v>
      </c>
      <c r="Q186" s="2">
        <f t="shared" si="23"/>
        <v>37.96222135228038</v>
      </c>
      <c r="R186" s="2">
        <f t="shared" si="23"/>
        <v>1731.1011367314745</v>
      </c>
      <c r="S186" s="2">
        <f t="shared" si="22"/>
        <v>720.50232325841887</v>
      </c>
    </row>
    <row r="187" spans="2:19" x14ac:dyDescent="0.25">
      <c r="B187" s="10">
        <v>610</v>
      </c>
      <c r="C187" s="10">
        <v>8</v>
      </c>
      <c r="D187" s="9" t="s">
        <v>235</v>
      </c>
      <c r="E187" s="154">
        <f>INDEX('Revised 2018 Lockdown'!H$5:H$253,MATCH(B187,'Revised 2018 Lockdown'!B$5:B$253,0))</f>
        <v>73.259013247540878</v>
      </c>
      <c r="F187" s="7">
        <f>INDEX('Revised 2018 Lockdown'!E$5:E$253,MATCH(B187,'Revised 2018 Lockdown'!B$5:B$253,0))</f>
        <v>31778.68</v>
      </c>
      <c r="G187" s="7">
        <f>INDEX('Revised 2018 Lockdown'!F$5:F$253,MATCH(B187,'Revised 2018 Lockdown'!B$5:B$253,0))</f>
        <v>0</v>
      </c>
      <c r="H187" s="7">
        <f t="shared" si="16"/>
        <v>31778.68</v>
      </c>
      <c r="I187" s="6">
        <f t="shared" si="17"/>
        <v>433.78525851311178</v>
      </c>
      <c r="J187" s="6">
        <f t="shared" si="20"/>
        <v>433.78525851311178</v>
      </c>
      <c r="K187" s="5">
        <f t="shared" si="18"/>
        <v>31778.68</v>
      </c>
      <c r="L187" s="4">
        <f t="shared" si="19"/>
        <v>0</v>
      </c>
      <c r="M187" s="2" cm="1">
        <f t="array" ref="M187">SUMPRODUCT(--($L$6:$L$300&lt;&gt;1),--($C$6:$C$300=$C187),$H$6:$H$300)/SUMPRODUCT(--($L$6:$L$300&lt;&gt;1),--($C$6:$C$300=$C187),$E$6:$E$300)</f>
        <v>884.5316790418774</v>
      </c>
      <c r="N187" s="1" cm="1">
        <f t="array" ref="N187">SUMPRODUCT(--($L$6:$L$300&lt;&gt;1),--($C$6:$C$300=$C187))</f>
        <v>50</v>
      </c>
      <c r="O187" s="3">
        <f t="shared" si="21"/>
        <v>203172.33561949481</v>
      </c>
      <c r="P187" s="2" cm="1">
        <f t="array" ref="P187">SQRT(SUMPRODUCT(--($L$6:$L$300&lt;&gt;1),--($C$6:$C$300=$C187),$E$6:$E$300,$O$6:$O$300)/((N187-1)*SUMPRODUCT(--($L$6:$L$300&lt;&gt;1),--($C$6:$C$300=$C187),$E$6:$E$300)/N187))</f>
        <v>660.581657773438</v>
      </c>
      <c r="Q187" s="2">
        <f t="shared" si="23"/>
        <v>37.96222135228038</v>
      </c>
      <c r="R187" s="2">
        <f t="shared" si="23"/>
        <v>1731.1011367314745</v>
      </c>
      <c r="S187" s="2">
        <f t="shared" si="22"/>
        <v>433.78525851311178</v>
      </c>
    </row>
    <row r="188" spans="2:19" x14ac:dyDescent="0.25">
      <c r="B188" s="10">
        <v>611</v>
      </c>
      <c r="C188" s="10">
        <v>8</v>
      </c>
      <c r="D188" s="9" t="s">
        <v>236</v>
      </c>
      <c r="E188" s="154">
        <f>INDEX('Revised 2018 Lockdown'!H$5:H$253,MATCH(B188,'Revised 2018 Lockdown'!B$5:B$253,0))</f>
        <v>19.550165032086241</v>
      </c>
      <c r="F188" s="7">
        <f>INDEX('Revised 2018 Lockdown'!E$5:E$253,MATCH(B188,'Revised 2018 Lockdown'!B$5:B$253,0))</f>
        <v>31143.71</v>
      </c>
      <c r="G188" s="7">
        <f>INDEX('Revised 2018 Lockdown'!F$5:F$253,MATCH(B188,'Revised 2018 Lockdown'!B$5:B$253,0))</f>
        <v>0</v>
      </c>
      <c r="H188" s="7">
        <f t="shared" si="16"/>
        <v>31143.71</v>
      </c>
      <c r="I188" s="6">
        <f t="shared" si="17"/>
        <v>1593.0151970014642</v>
      </c>
      <c r="J188" s="6">
        <f t="shared" si="20"/>
        <v>1593.0151970014642</v>
      </c>
      <c r="K188" s="5">
        <f t="shared" si="18"/>
        <v>31143.71</v>
      </c>
      <c r="L188" s="4">
        <f t="shared" si="19"/>
        <v>0</v>
      </c>
      <c r="M188" s="2" cm="1">
        <f t="array" ref="M188">SUMPRODUCT(--($L$6:$L$300&lt;&gt;1),--($C$6:$C$300=$C188),$H$6:$H$300)/SUMPRODUCT(--($L$6:$L$300&lt;&gt;1),--($C$6:$C$300=$C188),$E$6:$E$300)</f>
        <v>884.5316790418774</v>
      </c>
      <c r="N188" s="1" cm="1">
        <f t="array" ref="N188">SUMPRODUCT(--($L$6:$L$300&lt;&gt;1),--($C$6:$C$300=$C188))</f>
        <v>50</v>
      </c>
      <c r="O188" s="3">
        <f t="shared" si="21"/>
        <v>501948.89522039221</v>
      </c>
      <c r="P188" s="2" cm="1">
        <f t="array" ref="P188">SQRT(SUMPRODUCT(--($L$6:$L$300&lt;&gt;1),--($C$6:$C$300=$C188),$E$6:$E$300,$O$6:$O$300)/((N188-1)*SUMPRODUCT(--($L$6:$L$300&lt;&gt;1),--($C$6:$C$300=$C188),$E$6:$E$300)/N188))</f>
        <v>660.581657773438</v>
      </c>
      <c r="Q188" s="2">
        <f t="shared" si="23"/>
        <v>37.96222135228038</v>
      </c>
      <c r="R188" s="2">
        <f t="shared" si="23"/>
        <v>1731.1011367314745</v>
      </c>
      <c r="S188" s="2">
        <f t="shared" si="22"/>
        <v>1593.0151970014642</v>
      </c>
    </row>
    <row r="189" spans="2:19" x14ac:dyDescent="0.25">
      <c r="B189" s="10">
        <v>616</v>
      </c>
      <c r="C189" s="10">
        <v>8</v>
      </c>
      <c r="D189" s="9" t="s">
        <v>237</v>
      </c>
      <c r="E189" s="154">
        <f>INDEX('Revised 2018 Lockdown'!H$5:H$253,MATCH(B189,'Revised 2018 Lockdown'!B$5:B$253,0))</f>
        <v>186.85</v>
      </c>
      <c r="F189" s="7">
        <f>INDEX('Revised 2018 Lockdown'!E$5:E$253,MATCH(B189,'Revised 2018 Lockdown'!B$5:B$253,0))</f>
        <v>256312.37</v>
      </c>
      <c r="G189" s="7">
        <f>INDEX('Revised 2018 Lockdown'!F$5:F$253,MATCH(B189,'Revised 2018 Lockdown'!B$5:B$253,0))</f>
        <v>0</v>
      </c>
      <c r="H189" s="7">
        <f t="shared" si="16"/>
        <v>256312.37</v>
      </c>
      <c r="I189" s="6">
        <f t="shared" si="17"/>
        <v>1371.7547230398716</v>
      </c>
      <c r="J189" s="6">
        <f t="shared" si="20"/>
        <v>1371.7547230398716</v>
      </c>
      <c r="K189" s="5">
        <f t="shared" si="18"/>
        <v>256312.37</v>
      </c>
      <c r="L189" s="4">
        <f t="shared" si="19"/>
        <v>0</v>
      </c>
      <c r="M189" s="2" cm="1">
        <f t="array" ref="M189">SUMPRODUCT(--($L$6:$L$300&lt;&gt;1),--($C$6:$C$300=$C189),$H$6:$H$300)/SUMPRODUCT(--($L$6:$L$300&lt;&gt;1),--($C$6:$C$300=$C189),$E$6:$E$300)</f>
        <v>884.5316790418774</v>
      </c>
      <c r="N189" s="1" cm="1">
        <f t="array" ref="N189">SUMPRODUCT(--($L$6:$L$300&lt;&gt;1),--($C$6:$C$300=$C189))</f>
        <v>50</v>
      </c>
      <c r="O189" s="3">
        <f t="shared" si="21"/>
        <v>237386.29460267138</v>
      </c>
      <c r="P189" s="2" cm="1">
        <f t="array" ref="P189">SQRT(SUMPRODUCT(--($L$6:$L$300&lt;&gt;1),--($C$6:$C$300=$C189),$E$6:$E$300,$O$6:$O$300)/((N189-1)*SUMPRODUCT(--($L$6:$L$300&lt;&gt;1),--($C$6:$C$300=$C189),$E$6:$E$300)/N189))</f>
        <v>660.581657773438</v>
      </c>
      <c r="Q189" s="2">
        <f t="shared" si="23"/>
        <v>37.96222135228038</v>
      </c>
      <c r="R189" s="2">
        <f t="shared" si="23"/>
        <v>1731.1011367314745</v>
      </c>
      <c r="S189" s="2">
        <f t="shared" si="22"/>
        <v>1371.7547230398716</v>
      </c>
    </row>
    <row r="190" spans="2:19" x14ac:dyDescent="0.25">
      <c r="B190" s="10">
        <v>637</v>
      </c>
      <c r="C190" s="10">
        <v>8</v>
      </c>
      <c r="D190" s="9" t="s">
        <v>314</v>
      </c>
      <c r="E190" s="154">
        <f>INDEX('Revised 2018 Lockdown'!H$5:H$253,MATCH(B190,'Revised 2018 Lockdown'!B$5:B$253,0))</f>
        <v>2.2728298744230755</v>
      </c>
      <c r="F190" s="7">
        <f>INDEX('Revised 2018 Lockdown'!E$5:E$253,MATCH(B190,'Revised 2018 Lockdown'!B$5:B$253,0))</f>
        <v>7158.52</v>
      </c>
      <c r="G190" s="7">
        <f>INDEX('Revised 2018 Lockdown'!F$5:F$253,MATCH(B190,'Revised 2018 Lockdown'!B$5:B$253,0))</f>
        <v>0</v>
      </c>
      <c r="H190" s="7">
        <f t="shared" si="16"/>
        <v>7158.52</v>
      </c>
      <c r="I190" s="6">
        <f t="shared" si="17"/>
        <v>3149.6066118090275</v>
      </c>
      <c r="J190" s="6">
        <f t="shared" si="20"/>
        <v>1731.1011367314745</v>
      </c>
      <c r="K190" s="5">
        <f t="shared" si="18"/>
        <v>3934.4983792110406</v>
      </c>
      <c r="L190" s="4">
        <f t="shared" si="19"/>
        <v>0</v>
      </c>
      <c r="M190" s="2" cm="1">
        <f t="array" ref="M190">SUMPRODUCT(--($L$6:$L$300&lt;&gt;1),--($C$6:$C$300=$C190),$H$6:$H$300)/SUMPRODUCT(--($L$6:$L$300&lt;&gt;1),--($C$6:$C$300=$C190),$E$6:$E$300)</f>
        <v>884.5316790418774</v>
      </c>
      <c r="N190" s="1" cm="1">
        <f t="array" ref="N190">SUMPRODUCT(--($L$6:$L$300&lt;&gt;1),--($C$6:$C$300=$C190))</f>
        <v>50</v>
      </c>
      <c r="O190" s="3">
        <f t="shared" si="21"/>
        <v>5130564.4510501092</v>
      </c>
      <c r="P190" s="2" cm="1">
        <f t="array" ref="P190">SQRT(SUMPRODUCT(--($L$6:$L$300&lt;&gt;1),--($C$6:$C$300=$C190),$E$6:$E$300,$O$6:$O$300)/((N190-1)*SUMPRODUCT(--($L$6:$L$300&lt;&gt;1),--($C$6:$C$300=$C190),$E$6:$E$300)/N190))</f>
        <v>660.581657773438</v>
      </c>
      <c r="Q190" s="2">
        <f t="shared" si="23"/>
        <v>37.96222135228038</v>
      </c>
      <c r="R190" s="2">
        <f t="shared" si="23"/>
        <v>1731.1011367314745</v>
      </c>
      <c r="S190" s="2">
        <f t="shared" si="22"/>
        <v>1731.1011367314745</v>
      </c>
    </row>
    <row r="191" spans="2:19" x14ac:dyDescent="0.25">
      <c r="B191" s="10">
        <v>638</v>
      </c>
      <c r="C191" s="10">
        <v>8</v>
      </c>
      <c r="D191" s="9" t="s">
        <v>315</v>
      </c>
      <c r="E191" s="154">
        <f>INDEX('Revised 2018 Lockdown'!H$5:H$253,MATCH(B191,'Revised 2018 Lockdown'!B$5:B$253,0))</f>
        <v>10.470967105675433</v>
      </c>
      <c r="F191" s="7">
        <f>INDEX('Revised 2018 Lockdown'!E$5:E$253,MATCH(B191,'Revised 2018 Lockdown'!B$5:B$253,0))</f>
        <v>20375.98</v>
      </c>
      <c r="G191" s="7">
        <f>INDEX('Revised 2018 Lockdown'!F$5:F$253,MATCH(B191,'Revised 2018 Lockdown'!B$5:B$253,0))</f>
        <v>0</v>
      </c>
      <c r="H191" s="7">
        <f t="shared" si="16"/>
        <v>20375.98</v>
      </c>
      <c r="I191" s="6">
        <f t="shared" si="17"/>
        <v>1945.9501490512648</v>
      </c>
      <c r="J191" s="6">
        <f t="shared" si="20"/>
        <v>1731.1011367314745</v>
      </c>
      <c r="K191" s="5">
        <f t="shared" si="18"/>
        <v>18126.30305931262</v>
      </c>
      <c r="L191" s="4">
        <f t="shared" si="19"/>
        <v>0</v>
      </c>
      <c r="M191" s="2" cm="1">
        <f t="array" ref="M191">SUMPRODUCT(--($L$6:$L$300&lt;&gt;1),--($C$6:$C$300=$C191),$H$6:$H$300)/SUMPRODUCT(--($L$6:$L$300&lt;&gt;1),--($C$6:$C$300=$C191),$E$6:$E$300)</f>
        <v>884.5316790418774</v>
      </c>
      <c r="N191" s="1" cm="1">
        <f t="array" ref="N191">SUMPRODUCT(--($L$6:$L$300&lt;&gt;1),--($C$6:$C$300=$C191))</f>
        <v>50</v>
      </c>
      <c r="O191" s="3">
        <f t="shared" si="21"/>
        <v>1126609.1684770689</v>
      </c>
      <c r="P191" s="2" cm="1">
        <f t="array" ref="P191">SQRT(SUMPRODUCT(--($L$6:$L$300&lt;&gt;1),--($C$6:$C$300=$C191),$E$6:$E$300,$O$6:$O$300)/((N191-1)*SUMPRODUCT(--($L$6:$L$300&lt;&gt;1),--($C$6:$C$300=$C191),$E$6:$E$300)/N191))</f>
        <v>660.581657773438</v>
      </c>
      <c r="Q191" s="2">
        <f t="shared" si="23"/>
        <v>37.96222135228038</v>
      </c>
      <c r="R191" s="2">
        <f t="shared" si="23"/>
        <v>1731.1011367314745</v>
      </c>
      <c r="S191" s="2">
        <f t="shared" si="22"/>
        <v>1731.1011367314745</v>
      </c>
    </row>
    <row r="192" spans="2:19" x14ac:dyDescent="0.25">
      <c r="B192" s="10">
        <v>639</v>
      </c>
      <c r="C192" s="10">
        <v>8</v>
      </c>
      <c r="D192" s="9" t="s">
        <v>316</v>
      </c>
      <c r="E192" s="154">
        <f>INDEX('Revised 2018 Lockdown'!H$5:H$253,MATCH(B192,'Revised 2018 Lockdown'!B$5:B$253,0))</f>
        <v>21.173204619625494</v>
      </c>
      <c r="F192" s="7">
        <f>INDEX('Revised 2018 Lockdown'!E$5:E$253,MATCH(B192,'Revised 2018 Lockdown'!B$5:B$253,0))</f>
        <v>17243.23</v>
      </c>
      <c r="G192" s="7">
        <f>INDEX('Revised 2018 Lockdown'!F$5:F$253,MATCH(B192,'Revised 2018 Lockdown'!B$5:B$253,0))</f>
        <v>0</v>
      </c>
      <c r="H192" s="7">
        <f t="shared" si="16"/>
        <v>17243.23</v>
      </c>
      <c r="I192" s="6">
        <f t="shared" si="17"/>
        <v>814.3892391243038</v>
      </c>
      <c r="J192" s="6">
        <f t="shared" si="20"/>
        <v>814.3892391243038</v>
      </c>
      <c r="K192" s="5">
        <f t="shared" si="18"/>
        <v>17243.23</v>
      </c>
      <c r="L192" s="4">
        <f t="shared" si="19"/>
        <v>0</v>
      </c>
      <c r="M192" s="2" cm="1">
        <f t="array" ref="M192">SUMPRODUCT(--($L$6:$L$300&lt;&gt;1),--($C$6:$C$300=$C192),$H$6:$H$300)/SUMPRODUCT(--($L$6:$L$300&lt;&gt;1),--($C$6:$C$300=$C192),$E$6:$E$300)</f>
        <v>884.5316790418774</v>
      </c>
      <c r="N192" s="1" cm="1">
        <f t="array" ref="N192">SUMPRODUCT(--($L$6:$L$300&lt;&gt;1),--($C$6:$C$300=$C192))</f>
        <v>50</v>
      </c>
      <c r="O192" s="3">
        <f t="shared" si="21"/>
        <v>4919.9618775904219</v>
      </c>
      <c r="P192" s="2" cm="1">
        <f t="array" ref="P192">SQRT(SUMPRODUCT(--($L$6:$L$300&lt;&gt;1),--($C$6:$C$300=$C192),$E$6:$E$300,$O$6:$O$300)/((N192-1)*SUMPRODUCT(--($L$6:$L$300&lt;&gt;1),--($C$6:$C$300=$C192),$E$6:$E$300)/N192))</f>
        <v>660.581657773438</v>
      </c>
      <c r="Q192" s="2">
        <f t="shared" si="23"/>
        <v>37.96222135228038</v>
      </c>
      <c r="R192" s="2">
        <f t="shared" si="23"/>
        <v>1731.1011367314745</v>
      </c>
      <c r="S192" s="2">
        <f t="shared" si="22"/>
        <v>814.3892391243038</v>
      </c>
    </row>
    <row r="193" spans="2:19" x14ac:dyDescent="0.25">
      <c r="B193" s="10">
        <v>709</v>
      </c>
      <c r="C193" s="10">
        <v>8</v>
      </c>
      <c r="D193" s="9" t="s">
        <v>240</v>
      </c>
      <c r="E193" s="154">
        <f>INDEX('Revised 2018 Lockdown'!H$5:H$253,MATCH(B193,'Revised 2018 Lockdown'!B$5:B$253,0))</f>
        <v>74.93628755379919</v>
      </c>
      <c r="F193" s="7">
        <f>INDEX('Revised 2018 Lockdown'!E$5:E$253,MATCH(B193,'Revised 2018 Lockdown'!B$5:B$253,0))</f>
        <v>45634.17</v>
      </c>
      <c r="G193" s="7">
        <f>INDEX('Revised 2018 Lockdown'!F$5:F$253,MATCH(B193,'Revised 2018 Lockdown'!B$5:B$253,0))</f>
        <v>0</v>
      </c>
      <c r="H193" s="7">
        <f t="shared" si="16"/>
        <v>45634.17</v>
      </c>
      <c r="I193" s="6">
        <f t="shared" si="17"/>
        <v>608.97292206046029</v>
      </c>
      <c r="J193" s="6">
        <f t="shared" si="20"/>
        <v>608.97292206046029</v>
      </c>
      <c r="K193" s="5">
        <f t="shared" si="18"/>
        <v>45634.169999999991</v>
      </c>
      <c r="L193" s="4">
        <f t="shared" si="19"/>
        <v>0</v>
      </c>
      <c r="M193" s="2" cm="1">
        <f t="array" ref="M193">SUMPRODUCT(--($L$6:$L$300&lt;&gt;1),--($C$6:$C$300=$C193),$H$6:$H$300)/SUMPRODUCT(--($L$6:$L$300&lt;&gt;1),--($C$6:$C$300=$C193),$E$6:$E$300)</f>
        <v>884.5316790418774</v>
      </c>
      <c r="N193" s="1" cm="1">
        <f t="array" ref="N193">SUMPRODUCT(--($L$6:$L$300&lt;&gt;1),--($C$6:$C$300=$C193))</f>
        <v>50</v>
      </c>
      <c r="O193" s="3">
        <f t="shared" si="21"/>
        <v>75932.628549143687</v>
      </c>
      <c r="P193" s="2" cm="1">
        <f t="array" ref="P193">SQRT(SUMPRODUCT(--($L$6:$L$300&lt;&gt;1),--($C$6:$C$300=$C193),$E$6:$E$300,$O$6:$O$300)/((N193-1)*SUMPRODUCT(--($L$6:$L$300&lt;&gt;1),--($C$6:$C$300=$C193),$E$6:$E$300)/N193))</f>
        <v>660.581657773438</v>
      </c>
      <c r="Q193" s="2">
        <f t="shared" si="23"/>
        <v>37.96222135228038</v>
      </c>
      <c r="R193" s="2">
        <f t="shared" si="23"/>
        <v>1731.1011367314745</v>
      </c>
      <c r="S193" s="2">
        <f t="shared" si="22"/>
        <v>608.97292206046029</v>
      </c>
    </row>
    <row r="194" spans="2:19" x14ac:dyDescent="0.25">
      <c r="B194" s="10">
        <v>714</v>
      </c>
      <c r="C194" s="10">
        <v>8</v>
      </c>
      <c r="D194" s="9" t="s">
        <v>241</v>
      </c>
      <c r="E194" s="154">
        <f>INDEX('Revised 2018 Lockdown'!H$5:H$253,MATCH(B194,'Revised 2018 Lockdown'!B$5:B$253,0))</f>
        <v>57.802840339332469</v>
      </c>
      <c r="F194" s="7">
        <f>INDEX('Revised 2018 Lockdown'!E$5:E$253,MATCH(B194,'Revised 2018 Lockdown'!B$5:B$253,0))</f>
        <v>49120.9</v>
      </c>
      <c r="G194" s="7">
        <f>INDEX('Revised 2018 Lockdown'!F$5:F$253,MATCH(B194,'Revised 2018 Lockdown'!B$5:B$253,0))</f>
        <v>0</v>
      </c>
      <c r="H194" s="7">
        <f t="shared" si="16"/>
        <v>49120.9</v>
      </c>
      <c r="I194" s="6">
        <f t="shared" si="17"/>
        <v>849.80080064638685</v>
      </c>
      <c r="J194" s="6">
        <f t="shared" si="20"/>
        <v>849.80080064638685</v>
      </c>
      <c r="K194" s="5">
        <f t="shared" si="18"/>
        <v>49120.9</v>
      </c>
      <c r="L194" s="4">
        <f t="shared" si="19"/>
        <v>0</v>
      </c>
      <c r="M194" s="2" cm="1">
        <f t="array" ref="M194">SUMPRODUCT(--($L$6:$L$300&lt;&gt;1),--($C$6:$C$300=$C194),$H$6:$H$300)/SUMPRODUCT(--($L$6:$L$300&lt;&gt;1),--($C$6:$C$300=$C194),$E$6:$E$300)</f>
        <v>884.5316790418774</v>
      </c>
      <c r="N194" s="1" cm="1">
        <f t="array" ref="N194">SUMPRODUCT(--($L$6:$L$300&lt;&gt;1),--($C$6:$C$300=$C194))</f>
        <v>50</v>
      </c>
      <c r="O194" s="3">
        <f t="shared" si="21"/>
        <v>1206.2339141223522</v>
      </c>
      <c r="P194" s="2" cm="1">
        <f t="array" ref="P194">SQRT(SUMPRODUCT(--($L$6:$L$300&lt;&gt;1),--($C$6:$C$300=$C194),$E$6:$E$300,$O$6:$O$300)/((N194-1)*SUMPRODUCT(--($L$6:$L$300&lt;&gt;1),--($C$6:$C$300=$C194),$E$6:$E$300)/N194))</f>
        <v>660.581657773438</v>
      </c>
      <c r="Q194" s="2">
        <f t="shared" si="23"/>
        <v>37.96222135228038</v>
      </c>
      <c r="R194" s="2">
        <f t="shared" si="23"/>
        <v>1731.1011367314745</v>
      </c>
      <c r="S194" s="2">
        <f t="shared" si="22"/>
        <v>849.80080064638685</v>
      </c>
    </row>
    <row r="195" spans="2:19" x14ac:dyDescent="0.25">
      <c r="B195" s="10">
        <v>749</v>
      </c>
      <c r="C195" s="10">
        <v>8</v>
      </c>
      <c r="D195" s="9" t="s">
        <v>242</v>
      </c>
      <c r="E195" s="154">
        <f>INDEX('Revised 2018 Lockdown'!H$5:H$253,MATCH(B195,'Revised 2018 Lockdown'!B$5:B$253,0))</f>
        <v>22.43579824715432</v>
      </c>
      <c r="F195" s="7">
        <f>INDEX('Revised 2018 Lockdown'!E$5:E$253,MATCH(B195,'Revised 2018 Lockdown'!B$5:B$253,0))</f>
        <v>4850.01</v>
      </c>
      <c r="G195" s="7">
        <f>INDEX('Revised 2018 Lockdown'!F$5:F$253,MATCH(B195,'Revised 2018 Lockdown'!B$5:B$253,0))</f>
        <v>0</v>
      </c>
      <c r="H195" s="7">
        <f t="shared" si="16"/>
        <v>4850.01</v>
      </c>
      <c r="I195" s="6">
        <f t="shared" si="17"/>
        <v>216.1728299823323</v>
      </c>
      <c r="J195" s="6">
        <f t="shared" si="20"/>
        <v>216.1728299823323</v>
      </c>
      <c r="K195" s="5">
        <f t="shared" si="18"/>
        <v>4850.01</v>
      </c>
      <c r="L195" s="4">
        <f t="shared" si="19"/>
        <v>0</v>
      </c>
      <c r="M195" s="2" cm="1">
        <f t="array" ref="M195">SUMPRODUCT(--($L$6:$L$300&lt;&gt;1),--($C$6:$C$300=$C195),$H$6:$H$300)/SUMPRODUCT(--($L$6:$L$300&lt;&gt;1),--($C$6:$C$300=$C195),$E$6:$E$300)</f>
        <v>884.5316790418774</v>
      </c>
      <c r="N195" s="1" cm="1">
        <f t="array" ref="N195">SUMPRODUCT(--($L$6:$L$300&lt;&gt;1),--($C$6:$C$300=$C195))</f>
        <v>50</v>
      </c>
      <c r="O195" s="3">
        <f t="shared" si="21"/>
        <v>446703.5511161997</v>
      </c>
      <c r="P195" s="2" cm="1">
        <f t="array" ref="P195">SQRT(SUMPRODUCT(--($L$6:$L$300&lt;&gt;1),--($C$6:$C$300=$C195),$E$6:$E$300,$O$6:$O$300)/((N195-1)*SUMPRODUCT(--($L$6:$L$300&lt;&gt;1),--($C$6:$C$300=$C195),$E$6:$E$300)/N195))</f>
        <v>660.581657773438</v>
      </c>
      <c r="Q195" s="2">
        <f t="shared" si="23"/>
        <v>37.96222135228038</v>
      </c>
      <c r="R195" s="2">
        <f t="shared" si="23"/>
        <v>1731.1011367314745</v>
      </c>
      <c r="S195" s="2">
        <f t="shared" si="22"/>
        <v>216.1728299823323</v>
      </c>
    </row>
    <row r="196" spans="2:19" x14ac:dyDescent="0.25">
      <c r="B196" s="10">
        <v>764</v>
      </c>
      <c r="C196" s="10">
        <v>8</v>
      </c>
      <c r="D196" s="9" t="s">
        <v>243</v>
      </c>
      <c r="E196" s="154">
        <f>INDEX('Revised 2018 Lockdown'!H$5:H$253,MATCH(B196,'Revised 2018 Lockdown'!B$5:B$253,0))</f>
        <v>34.6</v>
      </c>
      <c r="F196" s="7">
        <f>INDEX('Revised 2018 Lockdown'!E$5:E$253,MATCH(B196,'Revised 2018 Lockdown'!B$5:B$253,0))</f>
        <v>12986.28</v>
      </c>
      <c r="G196" s="7">
        <f>INDEX('Revised 2018 Lockdown'!F$5:F$253,MATCH(B196,'Revised 2018 Lockdown'!B$5:B$253,0))</f>
        <v>0</v>
      </c>
      <c r="H196" s="7">
        <f t="shared" si="16"/>
        <v>12986.28</v>
      </c>
      <c r="I196" s="6">
        <f t="shared" si="17"/>
        <v>375.32601156069364</v>
      </c>
      <c r="J196" s="6">
        <f t="shared" si="20"/>
        <v>375.32601156069364</v>
      </c>
      <c r="K196" s="5">
        <f t="shared" si="18"/>
        <v>12986.28</v>
      </c>
      <c r="L196" s="4">
        <f t="shared" si="19"/>
        <v>0</v>
      </c>
      <c r="M196" s="2" cm="1">
        <f t="array" ref="M196">SUMPRODUCT(--($L$6:$L$300&lt;&gt;1),--($C$6:$C$300=$C196),$H$6:$H$300)/SUMPRODUCT(--($L$6:$L$300&lt;&gt;1),--($C$6:$C$300=$C196),$E$6:$E$300)</f>
        <v>884.5316790418774</v>
      </c>
      <c r="N196" s="1" cm="1">
        <f t="array" ref="N196">SUMPRODUCT(--($L$6:$L$300&lt;&gt;1),--($C$6:$C$300=$C196))</f>
        <v>50</v>
      </c>
      <c r="O196" s="3">
        <f t="shared" si="21"/>
        <v>259290.41179495788</v>
      </c>
      <c r="P196" s="2" cm="1">
        <f t="array" ref="P196">SQRT(SUMPRODUCT(--($L$6:$L$300&lt;&gt;1),--($C$6:$C$300=$C196),$E$6:$E$300,$O$6:$O$300)/((N196-1)*SUMPRODUCT(--($L$6:$L$300&lt;&gt;1),--($C$6:$C$300=$C196),$E$6:$E$300)/N196))</f>
        <v>660.581657773438</v>
      </c>
      <c r="Q196" s="2">
        <f t="shared" si="23"/>
        <v>37.96222135228038</v>
      </c>
      <c r="R196" s="2">
        <f t="shared" si="23"/>
        <v>1731.1011367314745</v>
      </c>
      <c r="S196" s="2">
        <f t="shared" si="22"/>
        <v>375.32601156069364</v>
      </c>
    </row>
    <row r="197" spans="2:19" x14ac:dyDescent="0.25">
      <c r="B197" s="10">
        <v>775</v>
      </c>
      <c r="C197" s="10">
        <v>8</v>
      </c>
      <c r="D197" s="9" t="s">
        <v>244</v>
      </c>
      <c r="E197" s="154">
        <f>INDEX('Revised 2018 Lockdown'!H$5:H$253,MATCH(B197,'Revised 2018 Lockdown'!B$5:B$253,0))</f>
        <v>125.81110210139802</v>
      </c>
      <c r="F197" s="7">
        <f>INDEX('Revised 2018 Lockdown'!E$5:E$253,MATCH(B197,'Revised 2018 Lockdown'!B$5:B$253,0))</f>
        <v>62319.01</v>
      </c>
      <c r="G197" s="7">
        <f>INDEX('Revised 2018 Lockdown'!F$5:F$253,MATCH(B197,'Revised 2018 Lockdown'!B$5:B$253,0))</f>
        <v>0</v>
      </c>
      <c r="H197" s="7">
        <f t="shared" si="16"/>
        <v>62319.01</v>
      </c>
      <c r="I197" s="6">
        <f t="shared" si="17"/>
        <v>495.33792295829119</v>
      </c>
      <c r="J197" s="6">
        <f t="shared" si="20"/>
        <v>495.33792295829119</v>
      </c>
      <c r="K197" s="5">
        <f t="shared" si="18"/>
        <v>62319.01</v>
      </c>
      <c r="L197" s="4">
        <f t="shared" si="19"/>
        <v>0</v>
      </c>
      <c r="M197" s="2" cm="1">
        <f t="array" ref="M197">SUMPRODUCT(--($L$6:$L$300&lt;&gt;1),--($C$6:$C$300=$C197),$H$6:$H$300)/SUMPRODUCT(--($L$6:$L$300&lt;&gt;1),--($C$6:$C$300=$C197),$E$6:$E$300)</f>
        <v>884.5316790418774</v>
      </c>
      <c r="N197" s="1" cm="1">
        <f t="array" ref="N197">SUMPRODUCT(--($L$6:$L$300&lt;&gt;1),--($C$6:$C$300=$C197))</f>
        <v>50</v>
      </c>
      <c r="O197" s="3">
        <f t="shared" si="21"/>
        <v>151471.77977445</v>
      </c>
      <c r="P197" s="2" cm="1">
        <f t="array" ref="P197">SQRT(SUMPRODUCT(--($L$6:$L$300&lt;&gt;1),--($C$6:$C$300=$C197),$E$6:$E$300,$O$6:$O$300)/((N197-1)*SUMPRODUCT(--($L$6:$L$300&lt;&gt;1),--($C$6:$C$300=$C197),$E$6:$E$300)/N197))</f>
        <v>660.581657773438</v>
      </c>
      <c r="Q197" s="2">
        <f t="shared" si="23"/>
        <v>37.96222135228038</v>
      </c>
      <c r="R197" s="2">
        <f t="shared" si="23"/>
        <v>1731.1011367314745</v>
      </c>
      <c r="S197" s="2">
        <f t="shared" si="22"/>
        <v>495.33792295829119</v>
      </c>
    </row>
    <row r="198" spans="2:19" x14ac:dyDescent="0.25">
      <c r="B198" s="10">
        <v>790</v>
      </c>
      <c r="C198" s="10">
        <v>8</v>
      </c>
      <c r="D198" s="9" t="s">
        <v>245</v>
      </c>
      <c r="E198" s="154">
        <f>INDEX('Revised 2018 Lockdown'!H$5:H$253,MATCH(B198,'Revised 2018 Lockdown'!B$5:B$253,0))</f>
        <v>21.43637439455869</v>
      </c>
      <c r="F198" s="7">
        <f>INDEX('Revised 2018 Lockdown'!E$5:E$253,MATCH(B198,'Revised 2018 Lockdown'!B$5:B$253,0))</f>
        <v>7906.08</v>
      </c>
      <c r="G198" s="7">
        <f>INDEX('Revised 2018 Lockdown'!F$5:F$253,MATCH(B198,'Revised 2018 Lockdown'!B$5:B$253,0))</f>
        <v>0</v>
      </c>
      <c r="H198" s="7">
        <f t="shared" ref="H198:H246" si="24">F198-G198</f>
        <v>7906.08</v>
      </c>
      <c r="I198" s="6">
        <f t="shared" ref="I198:I246" si="25">H198/E198</f>
        <v>368.81609989079323</v>
      </c>
      <c r="J198" s="6">
        <f t="shared" si="20"/>
        <v>368.81609989079323</v>
      </c>
      <c r="K198" s="5">
        <f t="shared" ref="K198:K246" si="26">J198*E198</f>
        <v>7906.08</v>
      </c>
      <c r="L198" s="4">
        <f t="shared" ref="L198:L246" si="27">IF(ISERROR(I198),1,0)</f>
        <v>0</v>
      </c>
      <c r="M198" s="2" cm="1">
        <f t="array" ref="M198">SUMPRODUCT(--($L$6:$L$300&lt;&gt;1),--($C$6:$C$300=$C198),$H$6:$H$300)/SUMPRODUCT(--($L$6:$L$300&lt;&gt;1),--($C$6:$C$300=$C198),$E$6:$E$300)</f>
        <v>884.5316790418774</v>
      </c>
      <c r="N198" s="1" cm="1">
        <f t="array" ref="N198">SUMPRODUCT(--($L$6:$L$300&lt;&gt;1),--($C$6:$C$300=$C198))</f>
        <v>50</v>
      </c>
      <c r="O198" s="3">
        <f t="shared" si="21"/>
        <v>265962.55857913819</v>
      </c>
      <c r="P198" s="2" cm="1">
        <f t="array" ref="P198">SQRT(SUMPRODUCT(--($L$6:$L$300&lt;&gt;1),--($C$6:$C$300=$C198),$E$6:$E$300,$O$6:$O$300)/((N198-1)*SUMPRODUCT(--($L$6:$L$300&lt;&gt;1),--($C$6:$C$300=$C198),$E$6:$E$300)/N198))</f>
        <v>660.581657773438</v>
      </c>
      <c r="Q198" s="2">
        <f t="shared" si="23"/>
        <v>37.96222135228038</v>
      </c>
      <c r="R198" s="2">
        <f t="shared" si="23"/>
        <v>1731.1011367314745</v>
      </c>
      <c r="S198" s="2">
        <f t="shared" si="22"/>
        <v>368.81609989079323</v>
      </c>
    </row>
    <row r="199" spans="2:19" x14ac:dyDescent="0.25">
      <c r="B199" s="10">
        <v>795</v>
      </c>
      <c r="C199" s="10">
        <v>8</v>
      </c>
      <c r="D199" s="9" t="s">
        <v>317</v>
      </c>
      <c r="E199" s="154">
        <f>INDEX('Revised 2018 Lockdown'!H$5:H$253,MATCH(B199,'Revised 2018 Lockdown'!B$5:B$253,0))</f>
        <v>330.20629396618199</v>
      </c>
      <c r="F199" s="7">
        <f>INDEX('Revised 2018 Lockdown'!E$5:E$253,MATCH(B199,'Revised 2018 Lockdown'!B$5:B$253,0))</f>
        <v>328034.84000000003</v>
      </c>
      <c r="G199" s="7">
        <f>INDEX('Revised 2018 Lockdown'!F$5:F$253,MATCH(B199,'Revised 2018 Lockdown'!B$5:B$253,0))</f>
        <v>121984.66</v>
      </c>
      <c r="H199" s="7">
        <f t="shared" si="24"/>
        <v>206050.18000000002</v>
      </c>
      <c r="I199" s="6">
        <f t="shared" si="25"/>
        <v>624.00439896249407</v>
      </c>
      <c r="J199" s="6">
        <f t="shared" ref="J199:J246" si="28">IF(ISERROR(IF($J$2=1,MAX(MIN(I199,R199),Q199),MIN(I199,R199))),R199,IF($J$2=1,MAX(MIN(I199,R199),Q199),MIN(I199,R199)))</f>
        <v>624.00439896249407</v>
      </c>
      <c r="K199" s="5">
        <f t="shared" si="26"/>
        <v>206050.18000000002</v>
      </c>
      <c r="L199" s="4">
        <f t="shared" si="27"/>
        <v>0</v>
      </c>
      <c r="M199" s="2" cm="1">
        <f t="array" ref="M199">SUMPRODUCT(--($L$6:$L$300&lt;&gt;1),--($C$6:$C$300=$C199),$H$6:$H$300)/SUMPRODUCT(--($L$6:$L$300&lt;&gt;1),--($C$6:$C$300=$C199),$E$6:$E$300)</f>
        <v>884.5316790418774</v>
      </c>
      <c r="N199" s="1" cm="1">
        <f t="array" ref="N199">SUMPRODUCT(--($L$6:$L$300&lt;&gt;1),--($C$6:$C$300=$C199))</f>
        <v>50</v>
      </c>
      <c r="O199" s="3">
        <f t="shared" ref="O199:O254" si="29">IF(ISERROR((I199-M199)^2),0,(I199-M199)^2)</f>
        <v>67874.463665561445</v>
      </c>
      <c r="P199" s="2" cm="1">
        <f t="array" ref="P199">SQRT(SUMPRODUCT(--($L$6:$L$300&lt;&gt;1),--($C$6:$C$300=$C199),$E$6:$E$300,$O$6:$O$300)/((N199-1)*SUMPRODUCT(--($L$6:$L$300&lt;&gt;1),--($C$6:$C$300=$C199),$E$6:$E$300)/N199))</f>
        <v>660.581657773438</v>
      </c>
      <c r="Q199" s="2">
        <f t="shared" si="23"/>
        <v>37.96222135228038</v>
      </c>
      <c r="R199" s="2">
        <f t="shared" si="23"/>
        <v>1731.1011367314745</v>
      </c>
      <c r="S199" s="2">
        <f t="shared" ref="S199:S254" si="30">IF(ISERROR(MAX(MIN(I199,R199),Q199)),R199,MAX(MIN(I199,R199),Q199))</f>
        <v>624.00439896249407</v>
      </c>
    </row>
    <row r="200" spans="2:19" x14ac:dyDescent="0.25">
      <c r="B200" s="10">
        <v>796</v>
      </c>
      <c r="C200" s="10">
        <v>8</v>
      </c>
      <c r="D200" s="9" t="s">
        <v>246</v>
      </c>
      <c r="E200" s="154">
        <f>INDEX('Revised 2018 Lockdown'!H$5:H$253,MATCH(B200,'Revised 2018 Lockdown'!B$5:B$253,0))</f>
        <v>23.924524993927111</v>
      </c>
      <c r="F200" s="7">
        <f>INDEX('Revised 2018 Lockdown'!E$5:E$253,MATCH(B200,'Revised 2018 Lockdown'!B$5:B$253,0))</f>
        <v>19423.14</v>
      </c>
      <c r="G200" s="7">
        <f>INDEX('Revised 2018 Lockdown'!F$5:F$253,MATCH(B200,'Revised 2018 Lockdown'!B$5:B$253,0))</f>
        <v>0</v>
      </c>
      <c r="H200" s="7">
        <f t="shared" si="24"/>
        <v>19423.14</v>
      </c>
      <c r="I200" s="6">
        <f t="shared" si="25"/>
        <v>811.85060121069398</v>
      </c>
      <c r="J200" s="6">
        <f t="shared" si="28"/>
        <v>811.85060121069398</v>
      </c>
      <c r="K200" s="5">
        <f t="shared" si="26"/>
        <v>19423.14</v>
      </c>
      <c r="L200" s="4">
        <f t="shared" si="27"/>
        <v>0</v>
      </c>
      <c r="M200" s="2" cm="1">
        <f t="array" ref="M200">SUMPRODUCT(--($L$6:$L$300&lt;&gt;1),--($C$6:$C$300=$C200),$H$6:$H$300)/SUMPRODUCT(--($L$6:$L$300&lt;&gt;1),--($C$6:$C$300=$C200),$E$6:$E$300)</f>
        <v>884.5316790418774</v>
      </c>
      <c r="N200" s="1" cm="1">
        <f t="array" ref="N200">SUMPRODUCT(--($L$6:$L$300&lt;&gt;1),--($C$6:$C$300=$C200))</f>
        <v>50</v>
      </c>
      <c r="O200" s="3">
        <f t="shared" si="29"/>
        <v>5282.5390747025413</v>
      </c>
      <c r="P200" s="2" cm="1">
        <f t="array" ref="P200">SQRT(SUMPRODUCT(--($L$6:$L$300&lt;&gt;1),--($C$6:$C$300=$C200),$E$6:$E$300,$O$6:$O$300)/((N200-1)*SUMPRODUCT(--($L$6:$L$300&lt;&gt;1),--($C$6:$C$300=$C200),$E$6:$E$300)/N200))</f>
        <v>660.581657773438</v>
      </c>
      <c r="Q200" s="2">
        <f t="shared" si="23"/>
        <v>37.96222135228038</v>
      </c>
      <c r="R200" s="2">
        <f t="shared" si="23"/>
        <v>1731.1011367314745</v>
      </c>
      <c r="S200" s="2">
        <f t="shared" si="30"/>
        <v>811.85060121069398</v>
      </c>
    </row>
    <row r="201" spans="2:19" x14ac:dyDescent="0.25">
      <c r="B201" s="10">
        <v>797</v>
      </c>
      <c r="C201" s="10">
        <v>8</v>
      </c>
      <c r="D201" s="9" t="s">
        <v>247</v>
      </c>
      <c r="E201" s="154">
        <f>INDEX('Revised 2018 Lockdown'!H$5:H$253,MATCH(B201,'Revised 2018 Lockdown'!B$5:B$253,0))</f>
        <v>27.819307714015707</v>
      </c>
      <c r="F201" s="7">
        <f>INDEX('Revised 2018 Lockdown'!E$5:E$253,MATCH(B201,'Revised 2018 Lockdown'!B$5:B$253,0))</f>
        <v>39509.410000000003</v>
      </c>
      <c r="G201" s="7">
        <f>INDEX('Revised 2018 Lockdown'!F$5:F$253,MATCH(B201,'Revised 2018 Lockdown'!B$5:B$253,0))</f>
        <v>1800</v>
      </c>
      <c r="H201" s="7">
        <f t="shared" si="24"/>
        <v>37709.410000000003</v>
      </c>
      <c r="I201" s="6">
        <f t="shared" si="25"/>
        <v>1355.5121639853583</v>
      </c>
      <c r="J201" s="6">
        <f t="shared" si="28"/>
        <v>1355.5121639853583</v>
      </c>
      <c r="K201" s="5">
        <f t="shared" si="26"/>
        <v>37709.410000000003</v>
      </c>
      <c r="L201" s="4">
        <f t="shared" si="27"/>
        <v>0</v>
      </c>
      <c r="M201" s="2" cm="1">
        <f t="array" ref="M201">SUMPRODUCT(--($L$6:$L$300&lt;&gt;1),--($C$6:$C$300=$C201),$H$6:$H$300)/SUMPRODUCT(--($L$6:$L$300&lt;&gt;1),--($C$6:$C$300=$C201),$E$6:$E$300)</f>
        <v>884.5316790418774</v>
      </c>
      <c r="N201" s="1" cm="1">
        <f t="array" ref="N201">SUMPRODUCT(--($L$6:$L$300&lt;&gt;1),--($C$6:$C$300=$C201))</f>
        <v>50</v>
      </c>
      <c r="O201" s="3">
        <f t="shared" si="29"/>
        <v>221822.61719759641</v>
      </c>
      <c r="P201" s="2" cm="1">
        <f t="array" ref="P201">SQRT(SUMPRODUCT(--($L$6:$L$300&lt;&gt;1),--($C$6:$C$300=$C201),$E$6:$E$300,$O$6:$O$300)/((N201-1)*SUMPRODUCT(--($L$6:$L$300&lt;&gt;1),--($C$6:$C$300=$C201),$E$6:$E$300)/N201))</f>
        <v>660.581657773438</v>
      </c>
      <c r="Q201" s="2">
        <f t="shared" si="23"/>
        <v>37.96222135228038</v>
      </c>
      <c r="R201" s="2">
        <f t="shared" si="23"/>
        <v>1731.1011367314745</v>
      </c>
      <c r="S201" s="2">
        <f t="shared" si="30"/>
        <v>1355.5121639853583</v>
      </c>
    </row>
    <row r="202" spans="2:19" x14ac:dyDescent="0.25">
      <c r="B202" s="10">
        <v>801</v>
      </c>
      <c r="C202" s="10">
        <v>8</v>
      </c>
      <c r="D202" s="9" t="s">
        <v>248</v>
      </c>
      <c r="E202" s="154">
        <f>INDEX('Revised 2018 Lockdown'!H$5:H$253,MATCH(B202,'Revised 2018 Lockdown'!B$5:B$253,0))</f>
        <v>143.33481235470978</v>
      </c>
      <c r="F202" s="7">
        <f>INDEX('Revised 2018 Lockdown'!E$5:E$253,MATCH(B202,'Revised 2018 Lockdown'!B$5:B$253,0))</f>
        <v>102578.78</v>
      </c>
      <c r="G202" s="7">
        <f>INDEX('Revised 2018 Lockdown'!F$5:F$253,MATCH(B202,'Revised 2018 Lockdown'!B$5:B$253,0))</f>
        <v>0</v>
      </c>
      <c r="H202" s="7">
        <f t="shared" si="24"/>
        <v>102578.78</v>
      </c>
      <c r="I202" s="6">
        <f t="shared" si="25"/>
        <v>715.65852227265577</v>
      </c>
      <c r="J202" s="6">
        <f t="shared" si="28"/>
        <v>715.65852227265577</v>
      </c>
      <c r="K202" s="5">
        <f t="shared" si="26"/>
        <v>102578.78000000001</v>
      </c>
      <c r="L202" s="4">
        <f t="shared" si="27"/>
        <v>0</v>
      </c>
      <c r="M202" s="2" cm="1">
        <f t="array" ref="M202">SUMPRODUCT(--($L$6:$L$300&lt;&gt;1),--($C$6:$C$300=$C202),$H$6:$H$300)/SUMPRODUCT(--($L$6:$L$300&lt;&gt;1),--($C$6:$C$300=$C202),$E$6:$E$300)</f>
        <v>884.5316790418774</v>
      </c>
      <c r="N202" s="1" cm="1">
        <f t="array" ref="N202">SUMPRODUCT(--($L$6:$L$300&lt;&gt;1),--($C$6:$C$300=$C202))</f>
        <v>50</v>
      </c>
      <c r="O202" s="3">
        <f t="shared" si="29"/>
        <v>28518.143077202101</v>
      </c>
      <c r="P202" s="2" cm="1">
        <f t="array" ref="P202">SQRT(SUMPRODUCT(--($L$6:$L$300&lt;&gt;1),--($C$6:$C$300=$C202),$E$6:$E$300,$O$6:$O$300)/((N202-1)*SUMPRODUCT(--($L$6:$L$300&lt;&gt;1),--($C$6:$C$300=$C202),$E$6:$E$300)/N202))</f>
        <v>660.581657773438</v>
      </c>
      <c r="Q202" s="2">
        <f t="shared" si="23"/>
        <v>37.96222135228038</v>
      </c>
      <c r="R202" s="2">
        <f t="shared" si="23"/>
        <v>1731.1011367314745</v>
      </c>
      <c r="S202" s="2">
        <f t="shared" si="30"/>
        <v>715.65852227265577</v>
      </c>
    </row>
    <row r="203" spans="2:19" x14ac:dyDescent="0.25">
      <c r="B203" s="10">
        <v>810</v>
      </c>
      <c r="C203" s="10">
        <v>8</v>
      </c>
      <c r="D203" s="9" t="s">
        <v>249</v>
      </c>
      <c r="E203" s="154">
        <f>INDEX('Revised 2018 Lockdown'!H$5:H$253,MATCH(B203,'Revised 2018 Lockdown'!B$5:B$253,0))</f>
        <v>129.91</v>
      </c>
      <c r="F203" s="7">
        <f>INDEX('Revised 2018 Lockdown'!E$5:E$253,MATCH(B203,'Revised 2018 Lockdown'!B$5:B$253,0))</f>
        <v>133935.18</v>
      </c>
      <c r="G203" s="7">
        <f>INDEX('Revised 2018 Lockdown'!F$5:F$253,MATCH(B203,'Revised 2018 Lockdown'!B$5:B$253,0))</f>
        <v>0</v>
      </c>
      <c r="H203" s="7">
        <f t="shared" si="24"/>
        <v>133935.18</v>
      </c>
      <c r="I203" s="6">
        <f t="shared" si="25"/>
        <v>1030.9843737972442</v>
      </c>
      <c r="J203" s="6">
        <f t="shared" si="28"/>
        <v>1030.9843737972442</v>
      </c>
      <c r="K203" s="5">
        <f t="shared" si="26"/>
        <v>133935.18</v>
      </c>
      <c r="L203" s="4">
        <f t="shared" si="27"/>
        <v>0</v>
      </c>
      <c r="M203" s="2" cm="1">
        <f t="array" ref="M203">SUMPRODUCT(--($L$6:$L$300&lt;&gt;1),--($C$6:$C$300=$C203),$H$6:$H$300)/SUMPRODUCT(--($L$6:$L$300&lt;&gt;1),--($C$6:$C$300=$C203),$E$6:$E$300)</f>
        <v>884.5316790418774</v>
      </c>
      <c r="N203" s="1" cm="1">
        <f t="array" ref="N203">SUMPRODUCT(--($L$6:$L$300&lt;&gt;1),--($C$6:$C$300=$C203))</f>
        <v>50</v>
      </c>
      <c r="O203" s="3">
        <f t="shared" si="29"/>
        <v>21448.391801108639</v>
      </c>
      <c r="P203" s="2" cm="1">
        <f t="array" ref="P203">SQRT(SUMPRODUCT(--($L$6:$L$300&lt;&gt;1),--($C$6:$C$300=$C203),$E$6:$E$300,$O$6:$O$300)/((N203-1)*SUMPRODUCT(--($L$6:$L$300&lt;&gt;1),--($C$6:$C$300=$C203),$E$6:$E$300)/N203))</f>
        <v>660.581657773438</v>
      </c>
      <c r="Q203" s="2">
        <f t="shared" si="23"/>
        <v>37.96222135228038</v>
      </c>
      <c r="R203" s="2">
        <f t="shared" si="23"/>
        <v>1731.1011367314745</v>
      </c>
      <c r="S203" s="2">
        <f t="shared" si="30"/>
        <v>1030.9843737972442</v>
      </c>
    </row>
    <row r="204" spans="2:19" x14ac:dyDescent="0.25">
      <c r="B204" s="10">
        <v>812</v>
      </c>
      <c r="C204" s="10">
        <v>8</v>
      </c>
      <c r="D204" s="9" t="s">
        <v>250</v>
      </c>
      <c r="E204" s="154">
        <f>INDEX('Revised 2018 Lockdown'!H$5:H$253,MATCH(B204,'Revised 2018 Lockdown'!B$5:B$253,0))</f>
        <v>52.402684578365019</v>
      </c>
      <c r="F204" s="7">
        <f>INDEX('Revised 2018 Lockdown'!E$5:E$253,MATCH(B204,'Revised 2018 Lockdown'!B$5:B$253,0))</f>
        <v>75414.47</v>
      </c>
      <c r="G204" s="7">
        <f>INDEX('Revised 2018 Lockdown'!F$5:F$253,MATCH(B204,'Revised 2018 Lockdown'!B$5:B$253,0))</f>
        <v>196</v>
      </c>
      <c r="H204" s="7">
        <f t="shared" si="24"/>
        <v>75218.47</v>
      </c>
      <c r="I204" s="6">
        <f t="shared" si="25"/>
        <v>1435.3934460650651</v>
      </c>
      <c r="J204" s="6">
        <f t="shared" si="28"/>
        <v>1435.3934460650651</v>
      </c>
      <c r="K204" s="5">
        <f t="shared" si="26"/>
        <v>75218.47</v>
      </c>
      <c r="L204" s="4">
        <f t="shared" si="27"/>
        <v>0</v>
      </c>
      <c r="M204" s="2" cm="1">
        <f t="array" ref="M204">SUMPRODUCT(--($L$6:$L$300&lt;&gt;1),--($C$6:$C$300=$C204),$H$6:$H$300)/SUMPRODUCT(--($L$6:$L$300&lt;&gt;1),--($C$6:$C$300=$C204),$E$6:$E$300)</f>
        <v>884.5316790418774</v>
      </c>
      <c r="N204" s="1" cm="1">
        <f t="array" ref="N204">SUMPRODUCT(--($L$6:$L$300&lt;&gt;1),--($C$6:$C$300=$C204))</f>
        <v>50</v>
      </c>
      <c r="O204" s="3">
        <f t="shared" si="29"/>
        <v>303448.68636790867</v>
      </c>
      <c r="P204" s="2" cm="1">
        <f t="array" ref="P204">SQRT(SUMPRODUCT(--($L$6:$L$300&lt;&gt;1),--($C$6:$C$300=$C204),$E$6:$E$300,$O$6:$O$300)/((N204-1)*SUMPRODUCT(--($L$6:$L$300&lt;&gt;1),--($C$6:$C$300=$C204),$E$6:$E$300)/N204))</f>
        <v>660.581657773438</v>
      </c>
      <c r="Q204" s="2">
        <f t="shared" si="23"/>
        <v>37.96222135228038</v>
      </c>
      <c r="R204" s="2">
        <f t="shared" si="23"/>
        <v>1731.1011367314745</v>
      </c>
      <c r="S204" s="2">
        <f t="shared" si="30"/>
        <v>1435.3934460650651</v>
      </c>
    </row>
    <row r="205" spans="2:19" x14ac:dyDescent="0.25">
      <c r="B205" s="10">
        <v>818</v>
      </c>
      <c r="C205" s="10">
        <v>8</v>
      </c>
      <c r="D205" s="9" t="s">
        <v>251</v>
      </c>
      <c r="E205" s="154">
        <f>INDEX('Revised 2018 Lockdown'!H$5:H$253,MATCH(B205,'Revised 2018 Lockdown'!B$5:B$253,0))</f>
        <v>39.084698998412264</v>
      </c>
      <c r="F205" s="7">
        <f>INDEX('Revised 2018 Lockdown'!E$5:E$253,MATCH(B205,'Revised 2018 Lockdown'!B$5:B$253,0))</f>
        <v>16701.97</v>
      </c>
      <c r="G205" s="7">
        <f>INDEX('Revised 2018 Lockdown'!F$5:F$253,MATCH(B205,'Revised 2018 Lockdown'!B$5:B$253,0))</f>
        <v>0</v>
      </c>
      <c r="H205" s="7">
        <f t="shared" si="24"/>
        <v>16701.97</v>
      </c>
      <c r="I205" s="6">
        <f t="shared" si="25"/>
        <v>427.32758414433442</v>
      </c>
      <c r="J205" s="6">
        <f t="shared" si="28"/>
        <v>427.32758414433442</v>
      </c>
      <c r="K205" s="5">
        <f t="shared" si="26"/>
        <v>16701.97</v>
      </c>
      <c r="L205" s="4">
        <f t="shared" si="27"/>
        <v>0</v>
      </c>
      <c r="M205" s="2" cm="1">
        <f t="array" ref="M205">SUMPRODUCT(--($L$6:$L$300&lt;&gt;1),--($C$6:$C$300=$C205),$H$6:$H$300)/SUMPRODUCT(--($L$6:$L$300&lt;&gt;1),--($C$6:$C$300=$C205),$E$6:$E$300)</f>
        <v>884.5316790418774</v>
      </c>
      <c r="N205" s="1" cm="1">
        <f t="array" ref="N205">SUMPRODUCT(--($L$6:$L$300&lt;&gt;1),--($C$6:$C$300=$C205))</f>
        <v>50</v>
      </c>
      <c r="O205" s="3">
        <f t="shared" si="29"/>
        <v>209035.58439108147</v>
      </c>
      <c r="P205" s="2" cm="1">
        <f t="array" ref="P205">SQRT(SUMPRODUCT(--($L$6:$L$300&lt;&gt;1),--($C$6:$C$300=$C205),$E$6:$E$300,$O$6:$O$300)/((N205-1)*SUMPRODUCT(--($L$6:$L$300&lt;&gt;1),--($C$6:$C$300=$C205),$E$6:$E$300)/N205))</f>
        <v>660.581657773438</v>
      </c>
      <c r="Q205" s="2">
        <f t="shared" si="23"/>
        <v>37.96222135228038</v>
      </c>
      <c r="R205" s="2">
        <f t="shared" si="23"/>
        <v>1731.1011367314745</v>
      </c>
      <c r="S205" s="2">
        <f t="shared" si="30"/>
        <v>427.32758414433442</v>
      </c>
    </row>
    <row r="206" spans="2:19" ht="28.55" x14ac:dyDescent="0.25">
      <c r="B206" s="10">
        <v>833</v>
      </c>
      <c r="C206" s="10">
        <v>8</v>
      </c>
      <c r="D206" s="9" t="s">
        <v>252</v>
      </c>
      <c r="E206" s="154">
        <f>INDEX('Revised 2018 Lockdown'!H$5:H$253,MATCH(B206,'Revised 2018 Lockdown'!B$5:B$253,0))</f>
        <v>68.497718442678561</v>
      </c>
      <c r="F206" s="7">
        <f>INDEX('Revised 2018 Lockdown'!E$5:E$253,MATCH(B206,'Revised 2018 Lockdown'!B$5:B$253,0))</f>
        <v>37369.64</v>
      </c>
      <c r="G206" s="7">
        <f>INDEX('Revised 2018 Lockdown'!F$5:F$253,MATCH(B206,'Revised 2018 Lockdown'!B$5:B$253,0))</f>
        <v>0</v>
      </c>
      <c r="H206" s="7">
        <f t="shared" si="24"/>
        <v>37369.64</v>
      </c>
      <c r="I206" s="6">
        <f t="shared" si="25"/>
        <v>545.56036098154573</v>
      </c>
      <c r="J206" s="6">
        <f t="shared" si="28"/>
        <v>545.56036098154573</v>
      </c>
      <c r="K206" s="5">
        <f t="shared" si="26"/>
        <v>37369.64</v>
      </c>
      <c r="L206" s="4">
        <f t="shared" si="27"/>
        <v>0</v>
      </c>
      <c r="M206" s="2" cm="1">
        <f t="array" ref="M206">SUMPRODUCT(--($L$6:$L$300&lt;&gt;1),--($C$6:$C$300=$C206),$H$6:$H$300)/SUMPRODUCT(--($L$6:$L$300&lt;&gt;1),--($C$6:$C$300=$C206),$E$6:$E$300)</f>
        <v>884.5316790418774</v>
      </c>
      <c r="N206" s="1" cm="1">
        <f t="array" ref="N206">SUMPRODUCT(--($L$6:$L$300&lt;&gt;1),--($C$6:$C$300=$C206))</f>
        <v>50</v>
      </c>
      <c r="O206" s="3">
        <f t="shared" si="29"/>
        <v>114901.55446755854</v>
      </c>
      <c r="P206" s="2" cm="1">
        <f t="array" ref="P206">SQRT(SUMPRODUCT(--($L$6:$L$300&lt;&gt;1),--($C$6:$C$300=$C206),$E$6:$E$300,$O$6:$O$300)/((N206-1)*SUMPRODUCT(--($L$6:$L$300&lt;&gt;1),--($C$6:$C$300=$C206),$E$6:$E$300)/N206))</f>
        <v>660.581657773438</v>
      </c>
      <c r="Q206" s="2">
        <f t="shared" si="23"/>
        <v>37.96222135228038</v>
      </c>
      <c r="R206" s="2">
        <f t="shared" si="23"/>
        <v>1731.1011367314745</v>
      </c>
      <c r="S206" s="2">
        <f t="shared" si="30"/>
        <v>545.56036098154573</v>
      </c>
    </row>
    <row r="207" spans="2:19" x14ac:dyDescent="0.25">
      <c r="B207" s="10">
        <v>834</v>
      </c>
      <c r="C207" s="10">
        <v>8</v>
      </c>
      <c r="D207" s="9" t="s">
        <v>253</v>
      </c>
      <c r="E207" s="154">
        <f>INDEX('Revised 2018 Lockdown'!H$5:H$253,MATCH(B207,'Revised 2018 Lockdown'!B$5:B$253,0))</f>
        <v>93.830000000000013</v>
      </c>
      <c r="F207" s="7">
        <f>INDEX('Revised 2018 Lockdown'!E$5:E$253,MATCH(B207,'Revised 2018 Lockdown'!B$5:B$253,0))</f>
        <v>64791.31</v>
      </c>
      <c r="G207" s="7">
        <f>INDEX('Revised 2018 Lockdown'!F$5:F$253,MATCH(B207,'Revised 2018 Lockdown'!B$5:B$253,0))</f>
        <v>5551.2800000000007</v>
      </c>
      <c r="H207" s="7">
        <f t="shared" si="24"/>
        <v>59240.03</v>
      </c>
      <c r="I207" s="6">
        <f t="shared" si="25"/>
        <v>631.35489715442816</v>
      </c>
      <c r="J207" s="6">
        <f t="shared" si="28"/>
        <v>631.35489715442816</v>
      </c>
      <c r="K207" s="5">
        <f t="shared" si="26"/>
        <v>59240.03</v>
      </c>
      <c r="L207" s="4">
        <f t="shared" si="27"/>
        <v>0</v>
      </c>
      <c r="M207" s="2" cm="1">
        <f t="array" ref="M207">SUMPRODUCT(--($L$6:$L$300&lt;&gt;1),--($C$6:$C$300=$C207),$H$6:$H$300)/SUMPRODUCT(--($L$6:$L$300&lt;&gt;1),--($C$6:$C$300=$C207),$E$6:$E$300)</f>
        <v>884.5316790418774</v>
      </c>
      <c r="N207" s="1" cm="1">
        <f t="array" ref="N207">SUMPRODUCT(--($L$6:$L$300&lt;&gt;1),--($C$6:$C$300=$C207))</f>
        <v>50</v>
      </c>
      <c r="O207" s="3">
        <f t="shared" si="29"/>
        <v>64098.482886885045</v>
      </c>
      <c r="P207" s="2" cm="1">
        <f t="array" ref="P207">SQRT(SUMPRODUCT(--($L$6:$L$300&lt;&gt;1),--($C$6:$C$300=$C207),$E$6:$E$300,$O$6:$O$300)/((N207-1)*SUMPRODUCT(--($L$6:$L$300&lt;&gt;1),--($C$6:$C$300=$C207),$E$6:$E$300)/N207))</f>
        <v>660.581657773438</v>
      </c>
      <c r="Q207" s="2">
        <f t="shared" si="23"/>
        <v>37.96222135228038</v>
      </c>
      <c r="R207" s="2">
        <f t="shared" si="23"/>
        <v>1731.1011367314745</v>
      </c>
      <c r="S207" s="2">
        <f t="shared" si="30"/>
        <v>631.35489715442816</v>
      </c>
    </row>
    <row r="208" spans="2:19" x14ac:dyDescent="0.25">
      <c r="B208" s="10">
        <v>837</v>
      </c>
      <c r="C208" s="10">
        <v>8</v>
      </c>
      <c r="D208" s="9" t="s">
        <v>254</v>
      </c>
      <c r="E208" s="154">
        <f>INDEX('Revised 2018 Lockdown'!H$5:H$253,MATCH(B208,'Revised 2018 Lockdown'!B$5:B$253,0))</f>
        <v>191.19000000000003</v>
      </c>
      <c r="F208" s="7">
        <f>INDEX('Revised 2018 Lockdown'!E$5:E$253,MATCH(B208,'Revised 2018 Lockdown'!B$5:B$253,0))</f>
        <v>133882.48000000001</v>
      </c>
      <c r="G208" s="7">
        <f>INDEX('Revised 2018 Lockdown'!F$5:F$253,MATCH(B208,'Revised 2018 Lockdown'!B$5:B$253,0))</f>
        <v>0</v>
      </c>
      <c r="H208" s="7">
        <f t="shared" si="24"/>
        <v>133882.48000000001</v>
      </c>
      <c r="I208" s="6">
        <f t="shared" si="25"/>
        <v>700.25880014645111</v>
      </c>
      <c r="J208" s="6">
        <f t="shared" si="28"/>
        <v>700.25880014645111</v>
      </c>
      <c r="K208" s="5">
        <f t="shared" si="26"/>
        <v>133882.48000000001</v>
      </c>
      <c r="L208" s="4">
        <f t="shared" si="27"/>
        <v>0</v>
      </c>
      <c r="M208" s="2" cm="1">
        <f t="array" ref="M208">SUMPRODUCT(--($L$6:$L$300&lt;&gt;1),--($C$6:$C$300=$C208),$H$6:$H$300)/SUMPRODUCT(--($L$6:$L$300&lt;&gt;1),--($C$6:$C$300=$C208),$E$6:$E$300)</f>
        <v>884.5316790418774</v>
      </c>
      <c r="N208" s="1" cm="1">
        <f t="array" ref="N208">SUMPRODUCT(--($L$6:$L$300&lt;&gt;1),--($C$6:$C$300=$C208))</f>
        <v>50</v>
      </c>
      <c r="O208" s="3">
        <f t="shared" si="29"/>
        <v>33956.493896408443</v>
      </c>
      <c r="P208" s="2" cm="1">
        <f t="array" ref="P208">SQRT(SUMPRODUCT(--($L$6:$L$300&lt;&gt;1),--($C$6:$C$300=$C208),$E$6:$E$300,$O$6:$O$300)/((N208-1)*SUMPRODUCT(--($L$6:$L$300&lt;&gt;1),--($C$6:$C$300=$C208),$E$6:$E$300)/N208))</f>
        <v>660.581657773438</v>
      </c>
      <c r="Q208" s="2">
        <f t="shared" si="23"/>
        <v>37.96222135228038</v>
      </c>
      <c r="R208" s="2">
        <f t="shared" si="23"/>
        <v>1731.1011367314745</v>
      </c>
      <c r="S208" s="2">
        <f t="shared" si="30"/>
        <v>700.25880014645111</v>
      </c>
    </row>
    <row r="209" spans="2:19" x14ac:dyDescent="0.25">
      <c r="B209" s="10">
        <v>845</v>
      </c>
      <c r="C209" s="10">
        <v>8</v>
      </c>
      <c r="D209" s="9" t="s">
        <v>319</v>
      </c>
      <c r="E209" s="154">
        <f>INDEX('Revised 2018 Lockdown'!H$5:H$253,MATCH(B209,'Revised 2018 Lockdown'!B$5:B$253,0))</f>
        <v>5.5265652735971607</v>
      </c>
      <c r="F209" s="7">
        <f>INDEX('Revised 2018 Lockdown'!E$5:E$253,MATCH(B209,'Revised 2018 Lockdown'!B$5:B$253,0))</f>
        <v>9336.9500000000007</v>
      </c>
      <c r="G209" s="7">
        <f>INDEX('Revised 2018 Lockdown'!F$5:F$253,MATCH(B209,'Revised 2018 Lockdown'!B$5:B$253,0))</f>
        <v>0</v>
      </c>
      <c r="H209" s="7">
        <f t="shared" si="24"/>
        <v>9336.9500000000007</v>
      </c>
      <c r="I209" s="6">
        <f t="shared" si="25"/>
        <v>1689.4670627716509</v>
      </c>
      <c r="J209" s="6">
        <f t="shared" si="28"/>
        <v>1689.4670627716509</v>
      </c>
      <c r="K209" s="5">
        <f t="shared" si="26"/>
        <v>9336.9500000000007</v>
      </c>
      <c r="L209" s="4">
        <f t="shared" si="27"/>
        <v>0</v>
      </c>
      <c r="M209" s="2" cm="1">
        <f t="array" ref="M209">SUMPRODUCT(--($L$6:$L$300&lt;&gt;1),--($C$6:$C$300=$C209),$H$6:$H$300)/SUMPRODUCT(--($L$6:$L$300&lt;&gt;1),--($C$6:$C$300=$C209),$E$6:$E$300)</f>
        <v>884.5316790418774</v>
      </c>
      <c r="N209" s="1" cm="1">
        <f t="array" ref="N209">SUMPRODUCT(--($L$6:$L$300&lt;&gt;1),--($C$6:$C$300=$C209))</f>
        <v>50</v>
      </c>
      <c r="O209" s="3">
        <f t="shared" si="29"/>
        <v>647920.97198019782</v>
      </c>
      <c r="P209" s="2" cm="1">
        <f t="array" ref="P209">SQRT(SUMPRODUCT(--($L$6:$L$300&lt;&gt;1),--($C$6:$C$300=$C209),$E$6:$E$300,$O$6:$O$300)/((N209-1)*SUMPRODUCT(--($L$6:$L$300&lt;&gt;1),--($C$6:$C$300=$C209),$E$6:$E$300)/N209))</f>
        <v>660.581657773438</v>
      </c>
      <c r="Q209" s="2">
        <f t="shared" si="23"/>
        <v>37.96222135228038</v>
      </c>
      <c r="R209" s="2">
        <f t="shared" si="23"/>
        <v>1731.1011367314745</v>
      </c>
      <c r="S209" s="2">
        <f t="shared" si="30"/>
        <v>1689.4670627716509</v>
      </c>
    </row>
    <row r="210" spans="2:19" x14ac:dyDescent="0.25">
      <c r="B210" s="10">
        <v>847</v>
      </c>
      <c r="C210" s="10">
        <v>8</v>
      </c>
      <c r="D210" s="9" t="s">
        <v>255</v>
      </c>
      <c r="E210" s="154">
        <f>INDEX('Revised 2018 Lockdown'!H$5:H$253,MATCH(B210,'Revised 2018 Lockdown'!B$5:B$253,0))</f>
        <v>70.589802523602913</v>
      </c>
      <c r="F210" s="7">
        <f>INDEX('Revised 2018 Lockdown'!E$5:E$253,MATCH(B210,'Revised 2018 Lockdown'!B$5:B$253,0))</f>
        <v>114871.03</v>
      </c>
      <c r="G210" s="7">
        <f>INDEX('Revised 2018 Lockdown'!F$5:F$253,MATCH(B210,'Revised 2018 Lockdown'!B$5:B$253,0))</f>
        <v>0</v>
      </c>
      <c r="H210" s="7">
        <f t="shared" si="24"/>
        <v>114871.03</v>
      </c>
      <c r="I210" s="6">
        <f t="shared" si="25"/>
        <v>1627.3034615954748</v>
      </c>
      <c r="J210" s="6">
        <f t="shared" si="28"/>
        <v>1627.3034615954748</v>
      </c>
      <c r="K210" s="5">
        <f t="shared" si="26"/>
        <v>114871.03</v>
      </c>
      <c r="L210" s="4">
        <f t="shared" si="27"/>
        <v>0</v>
      </c>
      <c r="M210" s="2" cm="1">
        <f t="array" ref="M210">SUMPRODUCT(--($L$6:$L$300&lt;&gt;1),--($C$6:$C$300=$C210),$H$6:$H$300)/SUMPRODUCT(--($L$6:$L$300&lt;&gt;1),--($C$6:$C$300=$C210),$E$6:$E$300)</f>
        <v>884.5316790418774</v>
      </c>
      <c r="N210" s="1" cm="1">
        <f t="array" ref="N210">SUMPRODUCT(--($L$6:$L$300&lt;&gt;1),--($C$6:$C$300=$C210))</f>
        <v>50</v>
      </c>
      <c r="O210" s="3">
        <f t="shared" si="29"/>
        <v>551709.92095784855</v>
      </c>
      <c r="P210" s="2" cm="1">
        <f t="array" ref="P210">SQRT(SUMPRODUCT(--($L$6:$L$300&lt;&gt;1),--($C$6:$C$300=$C210),$E$6:$E$300,$O$6:$O$300)/((N210-1)*SUMPRODUCT(--($L$6:$L$300&lt;&gt;1),--($C$6:$C$300=$C210),$E$6:$E$300)/N210))</f>
        <v>660.581657773438</v>
      </c>
      <c r="Q210" s="2">
        <f t="shared" si="23"/>
        <v>37.96222135228038</v>
      </c>
      <c r="R210" s="2">
        <f t="shared" si="23"/>
        <v>1731.1011367314745</v>
      </c>
      <c r="S210" s="2">
        <f t="shared" si="30"/>
        <v>1627.3034615954748</v>
      </c>
    </row>
    <row r="211" spans="2:19" x14ac:dyDescent="0.25">
      <c r="B211" s="10">
        <v>866</v>
      </c>
      <c r="C211" s="10">
        <v>8</v>
      </c>
      <c r="D211" s="9" t="s">
        <v>256</v>
      </c>
      <c r="E211" s="154">
        <f>INDEX('Revised 2018 Lockdown'!H$5:H$253,MATCH(B211,'Revised 2018 Lockdown'!B$5:B$253,0))</f>
        <v>160.53138279575614</v>
      </c>
      <c r="F211" s="7">
        <f>INDEX('Revised 2018 Lockdown'!E$5:E$253,MATCH(B211,'Revised 2018 Lockdown'!B$5:B$253,0))</f>
        <v>63164.800000000003</v>
      </c>
      <c r="G211" s="7">
        <f>INDEX('Revised 2018 Lockdown'!F$5:F$253,MATCH(B211,'Revised 2018 Lockdown'!B$5:B$253,0))</f>
        <v>0</v>
      </c>
      <c r="H211" s="7">
        <f t="shared" si="24"/>
        <v>63164.800000000003</v>
      </c>
      <c r="I211" s="6">
        <f t="shared" si="25"/>
        <v>393.47321937894532</v>
      </c>
      <c r="J211" s="6">
        <f t="shared" si="28"/>
        <v>393.47321937894532</v>
      </c>
      <c r="K211" s="5">
        <f t="shared" si="26"/>
        <v>63164.800000000003</v>
      </c>
      <c r="L211" s="4">
        <f t="shared" si="27"/>
        <v>0</v>
      </c>
      <c r="M211" s="2" cm="1">
        <f t="array" ref="M211">SUMPRODUCT(--($L$6:$L$300&lt;&gt;1),--($C$6:$C$300=$C211),$H$6:$H$300)/SUMPRODUCT(--($L$6:$L$300&lt;&gt;1),--($C$6:$C$300=$C211),$E$6:$E$300)</f>
        <v>884.5316790418774</v>
      </c>
      <c r="N211" s="1" cm="1">
        <f t="array" ref="N211">SUMPRODUCT(--($L$6:$L$300&lt;&gt;1),--($C$6:$C$300=$C211))</f>
        <v>50</v>
      </c>
      <c r="O211" s="3">
        <f t="shared" si="29"/>
        <v>241138.41080653149</v>
      </c>
      <c r="P211" s="2" cm="1">
        <f t="array" ref="P211">SQRT(SUMPRODUCT(--($L$6:$L$300&lt;&gt;1),--($C$6:$C$300=$C211),$E$6:$E$300,$O$6:$O$300)/((N211-1)*SUMPRODUCT(--($L$6:$L$300&lt;&gt;1),--($C$6:$C$300=$C211),$E$6:$E$300)/N211))</f>
        <v>660.581657773438</v>
      </c>
      <c r="Q211" s="2">
        <f t="shared" si="23"/>
        <v>37.96222135228038</v>
      </c>
      <c r="R211" s="2">
        <f t="shared" si="23"/>
        <v>1731.1011367314745</v>
      </c>
      <c r="S211" s="2">
        <f t="shared" si="30"/>
        <v>393.47321937894532</v>
      </c>
    </row>
    <row r="212" spans="2:19" x14ac:dyDescent="0.25">
      <c r="B212" s="10">
        <v>871</v>
      </c>
      <c r="C212" s="10">
        <v>8</v>
      </c>
      <c r="D212" s="9" t="s">
        <v>257</v>
      </c>
      <c r="E212" s="154">
        <f>INDEX('Revised 2018 Lockdown'!H$5:H$253,MATCH(B212,'Revised 2018 Lockdown'!B$5:B$253,0))</f>
        <v>16.078387570207461</v>
      </c>
      <c r="F212" s="7">
        <f>INDEX('Revised 2018 Lockdown'!E$5:E$253,MATCH(B212,'Revised 2018 Lockdown'!B$5:B$253,0))</f>
        <v>11872.16</v>
      </c>
      <c r="G212" s="7">
        <f>INDEX('Revised 2018 Lockdown'!F$5:F$253,MATCH(B212,'Revised 2018 Lockdown'!B$5:B$253,0))</f>
        <v>0</v>
      </c>
      <c r="H212" s="7">
        <f t="shared" si="24"/>
        <v>11872.16</v>
      </c>
      <c r="I212" s="6">
        <f t="shared" si="25"/>
        <v>738.39245062101782</v>
      </c>
      <c r="J212" s="6">
        <f t="shared" si="28"/>
        <v>738.39245062101782</v>
      </c>
      <c r="K212" s="5">
        <f t="shared" si="26"/>
        <v>11872.16</v>
      </c>
      <c r="L212" s="4">
        <f t="shared" si="27"/>
        <v>0</v>
      </c>
      <c r="M212" s="2" cm="1">
        <f t="array" ref="M212">SUMPRODUCT(--($L$6:$L$300&lt;&gt;1),--($C$6:$C$300=$C212),$H$6:$H$300)/SUMPRODUCT(--($L$6:$L$300&lt;&gt;1),--($C$6:$C$300=$C212),$E$6:$E$300)</f>
        <v>884.5316790418774</v>
      </c>
      <c r="N212" s="1" cm="1">
        <f t="array" ref="N212">SUMPRODUCT(--($L$6:$L$300&lt;&gt;1),--($C$6:$C$300=$C212))</f>
        <v>50</v>
      </c>
      <c r="O212" s="3">
        <f t="shared" si="29"/>
        <v>21356.674083444173</v>
      </c>
      <c r="P212" s="2" cm="1">
        <f t="array" ref="P212">SQRT(SUMPRODUCT(--($L$6:$L$300&lt;&gt;1),--($C$6:$C$300=$C212),$E$6:$E$300,$O$6:$O$300)/((N212-1)*SUMPRODUCT(--($L$6:$L$300&lt;&gt;1),--($C$6:$C$300=$C212),$E$6:$E$300)/N212))</f>
        <v>660.581657773438</v>
      </c>
      <c r="Q212" s="2">
        <f t="shared" si="23"/>
        <v>37.96222135228038</v>
      </c>
      <c r="R212" s="2">
        <f t="shared" si="23"/>
        <v>1731.1011367314745</v>
      </c>
      <c r="S212" s="2">
        <f t="shared" si="30"/>
        <v>738.39245062101782</v>
      </c>
    </row>
    <row r="213" spans="2:19" x14ac:dyDescent="0.25">
      <c r="B213" s="10">
        <v>873</v>
      </c>
      <c r="C213" s="10">
        <v>8</v>
      </c>
      <c r="D213" s="9" t="s">
        <v>258</v>
      </c>
      <c r="E213" s="154">
        <f>INDEX('Revised 2018 Lockdown'!H$5:H$253,MATCH(B213,'Revised 2018 Lockdown'!B$5:B$253,0))</f>
        <v>159.24</v>
      </c>
      <c r="F213" s="7">
        <f>INDEX('Revised 2018 Lockdown'!E$5:E$253,MATCH(B213,'Revised 2018 Lockdown'!B$5:B$253,0))</f>
        <v>68071.05</v>
      </c>
      <c r="G213" s="7">
        <f>INDEX('Revised 2018 Lockdown'!F$5:F$253,MATCH(B213,'Revised 2018 Lockdown'!B$5:B$253,0))</f>
        <v>0</v>
      </c>
      <c r="H213" s="7">
        <f t="shared" si="24"/>
        <v>68071.05</v>
      </c>
      <c r="I213" s="6">
        <f t="shared" si="25"/>
        <v>427.47456669178598</v>
      </c>
      <c r="J213" s="6">
        <f t="shared" si="28"/>
        <v>427.47456669178598</v>
      </c>
      <c r="K213" s="5">
        <f t="shared" si="26"/>
        <v>68071.05</v>
      </c>
      <c r="L213" s="4">
        <f t="shared" si="27"/>
        <v>0</v>
      </c>
      <c r="M213" s="2" cm="1">
        <f t="array" ref="M213">SUMPRODUCT(--($L$6:$L$300&lt;&gt;1),--($C$6:$C$300=$C213),$H$6:$H$300)/SUMPRODUCT(--($L$6:$L$300&lt;&gt;1),--($C$6:$C$300=$C213),$E$6:$E$300)</f>
        <v>884.5316790418774</v>
      </c>
      <c r="N213" s="1" cm="1">
        <f t="array" ref="N213">SUMPRODUCT(--($L$6:$L$300&lt;&gt;1),--($C$6:$C$300=$C213))</f>
        <v>50</v>
      </c>
      <c r="O213" s="3">
        <f t="shared" si="29"/>
        <v>208901.2039498041</v>
      </c>
      <c r="P213" s="2" cm="1">
        <f t="array" ref="P213">SQRT(SUMPRODUCT(--($L$6:$L$300&lt;&gt;1),--($C$6:$C$300=$C213),$E$6:$E$300,$O$6:$O$300)/((N213-1)*SUMPRODUCT(--($L$6:$L$300&lt;&gt;1),--($C$6:$C$300=$C213),$E$6:$E$300)/N213))</f>
        <v>660.581657773438</v>
      </c>
      <c r="Q213" s="2">
        <f t="shared" si="23"/>
        <v>37.96222135228038</v>
      </c>
      <c r="R213" s="2">
        <f t="shared" si="23"/>
        <v>1731.1011367314745</v>
      </c>
      <c r="S213" s="2">
        <f t="shared" si="30"/>
        <v>427.47456669178598</v>
      </c>
    </row>
    <row r="214" spans="2:19" x14ac:dyDescent="0.25">
      <c r="B214" s="10">
        <v>895</v>
      </c>
      <c r="C214" s="10">
        <v>8</v>
      </c>
      <c r="D214" s="9" t="s">
        <v>259</v>
      </c>
      <c r="E214" s="154">
        <f>INDEX('Revised 2018 Lockdown'!H$5:H$253,MATCH(B214,'Revised 2018 Lockdown'!B$5:B$253,0))</f>
        <v>9.8090552475101163</v>
      </c>
      <c r="F214" s="7">
        <f>INDEX('Revised 2018 Lockdown'!E$5:E$253,MATCH(B214,'Revised 2018 Lockdown'!B$5:B$253,0))</f>
        <v>4417.1099999999997</v>
      </c>
      <c r="G214" s="7">
        <f>INDEX('Revised 2018 Lockdown'!F$5:F$253,MATCH(B214,'Revised 2018 Lockdown'!B$5:B$253,0))</f>
        <v>0</v>
      </c>
      <c r="H214" s="7">
        <f t="shared" si="24"/>
        <v>4417.1099999999997</v>
      </c>
      <c r="I214" s="6">
        <f t="shared" si="25"/>
        <v>450.30942211496034</v>
      </c>
      <c r="J214" s="6">
        <f t="shared" si="28"/>
        <v>450.30942211496034</v>
      </c>
      <c r="K214" s="5">
        <f t="shared" si="26"/>
        <v>4417.1099999999997</v>
      </c>
      <c r="L214" s="4">
        <f t="shared" si="27"/>
        <v>0</v>
      </c>
      <c r="M214" s="2" cm="1">
        <f t="array" ref="M214">SUMPRODUCT(--($L$6:$L$300&lt;&gt;1),--($C$6:$C$300=$C214),$H$6:$H$300)/SUMPRODUCT(--($L$6:$L$300&lt;&gt;1),--($C$6:$C$300=$C214),$E$6:$E$300)</f>
        <v>884.5316790418774</v>
      </c>
      <c r="N214" s="1" cm="1">
        <f t="array" ref="N214">SUMPRODUCT(--($L$6:$L$300&lt;&gt;1),--($C$6:$C$300=$C214))</f>
        <v>50</v>
      </c>
      <c r="O214" s="3">
        <f t="shared" si="29"/>
        <v>188548.96841070557</v>
      </c>
      <c r="P214" s="2" cm="1">
        <f t="array" ref="P214">SQRT(SUMPRODUCT(--($L$6:$L$300&lt;&gt;1),--($C$6:$C$300=$C214),$E$6:$E$300,$O$6:$O$300)/((N214-1)*SUMPRODUCT(--($L$6:$L$300&lt;&gt;1),--($C$6:$C$300=$C214),$E$6:$E$300)/N214))</f>
        <v>660.581657773438</v>
      </c>
      <c r="Q214" s="2">
        <f t="shared" si="23"/>
        <v>37.96222135228038</v>
      </c>
      <c r="R214" s="2">
        <f t="shared" si="23"/>
        <v>1731.1011367314745</v>
      </c>
      <c r="S214" s="2">
        <f t="shared" si="30"/>
        <v>450.30942211496034</v>
      </c>
    </row>
    <row r="215" spans="2:19" x14ac:dyDescent="0.25">
      <c r="B215" s="39">
        <v>905</v>
      </c>
      <c r="C215" s="39">
        <v>8</v>
      </c>
      <c r="D215" s="40" t="s">
        <v>261</v>
      </c>
      <c r="E215" s="154">
        <f>INDEX('Revised 2018 Lockdown'!H$5:H$253,MATCH(B215,'Revised 2018 Lockdown'!B$5:B$253,0))</f>
        <v>92.836231091018377</v>
      </c>
      <c r="F215" s="7">
        <f>INDEX('Revised 2018 Lockdown'!E$5:E$253,MATCH(B215,'Revised 2018 Lockdown'!B$5:B$253,0))</f>
        <v>57092.91</v>
      </c>
      <c r="G215" s="7">
        <f>INDEX('Revised 2018 Lockdown'!F$5:F$253,MATCH(B215,'Revised 2018 Lockdown'!B$5:B$253,0))</f>
        <v>0</v>
      </c>
      <c r="H215" s="7">
        <f t="shared" si="24"/>
        <v>57092.91</v>
      </c>
      <c r="I215" s="6">
        <f t="shared" si="25"/>
        <v>614.98521998404965</v>
      </c>
      <c r="J215" s="6">
        <f t="shared" si="28"/>
        <v>614.98521998404965</v>
      </c>
      <c r="K215" s="5">
        <f t="shared" si="26"/>
        <v>57092.91</v>
      </c>
      <c r="L215" s="4">
        <f t="shared" si="27"/>
        <v>0</v>
      </c>
      <c r="M215" s="2" cm="1">
        <f t="array" ref="M215">SUMPRODUCT(--($L$6:$L$300&lt;&gt;1),--($C$6:$C$300=$C215),$H$6:$H$300)/SUMPRODUCT(--($L$6:$L$300&lt;&gt;1),--($C$6:$C$300=$C215),$E$6:$E$300)</f>
        <v>884.5316790418774</v>
      </c>
      <c r="N215" s="1" cm="1">
        <f t="array" ref="N215">SUMPRODUCT(--($L$6:$L$300&lt;&gt;1),--($C$6:$C$300=$C215))</f>
        <v>50</v>
      </c>
      <c r="O215" s="3">
        <f t="shared" si="29"/>
        <v>72655.293590613204</v>
      </c>
      <c r="P215" s="2" cm="1">
        <f t="array" ref="P215">SQRT(SUMPRODUCT(--($L$6:$L$300&lt;&gt;1),--($C$6:$C$300=$C215),$E$6:$E$300,$O$6:$O$300)/((N215-1)*SUMPRODUCT(--($L$6:$L$300&lt;&gt;1),--($C$6:$C$300=$C215),$E$6:$E$300)/N215))</f>
        <v>660.581657773438</v>
      </c>
      <c r="Q215" s="2">
        <f t="shared" si="23"/>
        <v>37.96222135228038</v>
      </c>
      <c r="R215" s="2">
        <f t="shared" si="23"/>
        <v>1731.1011367314745</v>
      </c>
      <c r="S215" s="2">
        <f t="shared" si="30"/>
        <v>614.98521998404965</v>
      </c>
    </row>
    <row r="216" spans="2:19" x14ac:dyDescent="0.25">
      <c r="B216" s="39">
        <v>907</v>
      </c>
      <c r="C216" s="39">
        <v>8</v>
      </c>
      <c r="D216" s="40" t="s">
        <v>262</v>
      </c>
      <c r="E216" s="154">
        <f>INDEX('Revised 2018 Lockdown'!H$5:H$253,MATCH(B216,'Revised 2018 Lockdown'!B$5:B$253,0))</f>
        <v>17.277728875220131</v>
      </c>
      <c r="F216" s="7">
        <f>INDEX('Revised 2018 Lockdown'!E$5:E$253,MATCH(B216,'Revised 2018 Lockdown'!B$5:B$253,0))</f>
        <v>19453.25</v>
      </c>
      <c r="G216" s="7">
        <f>INDEX('Revised 2018 Lockdown'!F$5:F$253,MATCH(B216,'Revised 2018 Lockdown'!B$5:B$253,0))</f>
        <v>0</v>
      </c>
      <c r="H216" s="7">
        <f t="shared" si="24"/>
        <v>19453.25</v>
      </c>
      <c r="I216" s="6">
        <f t="shared" si="25"/>
        <v>1125.9147623215699</v>
      </c>
      <c r="J216" s="6">
        <f t="shared" si="28"/>
        <v>1125.9147623215699</v>
      </c>
      <c r="K216" s="5">
        <f t="shared" si="26"/>
        <v>19453.25</v>
      </c>
      <c r="L216" s="4">
        <f t="shared" si="27"/>
        <v>0</v>
      </c>
      <c r="M216" s="2" cm="1">
        <f t="array" ref="M216">SUMPRODUCT(--($L$6:$L$300&lt;&gt;1),--($C$6:$C$300=$C216),$H$6:$H$300)/SUMPRODUCT(--($L$6:$L$300&lt;&gt;1),--($C$6:$C$300=$C216),$E$6:$E$300)</f>
        <v>884.5316790418774</v>
      </c>
      <c r="N216" s="1" cm="1">
        <f t="array" ref="N216">SUMPRODUCT(--($L$6:$L$300&lt;&gt;1),--($C$6:$C$300=$C216))</f>
        <v>50</v>
      </c>
      <c r="O216" s="3">
        <f t="shared" si="29"/>
        <v>58265.792893610982</v>
      </c>
      <c r="P216" s="2" cm="1">
        <f t="array" ref="P216">SQRT(SUMPRODUCT(--($L$6:$L$300&lt;&gt;1),--($C$6:$C$300=$C216),$E$6:$E$300,$O$6:$O$300)/((N216-1)*SUMPRODUCT(--($L$6:$L$300&lt;&gt;1),--($C$6:$C$300=$C216),$E$6:$E$300)/N216))</f>
        <v>660.581657773438</v>
      </c>
      <c r="Q216" s="2">
        <f t="shared" si="23"/>
        <v>37.96222135228038</v>
      </c>
      <c r="R216" s="2">
        <f t="shared" si="23"/>
        <v>1731.1011367314745</v>
      </c>
      <c r="S216" s="2">
        <f t="shared" si="30"/>
        <v>1125.9147623215699</v>
      </c>
    </row>
    <row r="217" spans="2:19" x14ac:dyDescent="0.25">
      <c r="B217" s="10">
        <v>918</v>
      </c>
      <c r="C217" s="10">
        <v>8</v>
      </c>
      <c r="D217" s="9" t="s">
        <v>263</v>
      </c>
      <c r="E217" s="154">
        <f>INDEX('Revised 2018 Lockdown'!H$5:H$253,MATCH(B217,'Revised 2018 Lockdown'!B$5:B$253,0))</f>
        <v>63.790529260598753</v>
      </c>
      <c r="F217" s="7">
        <f>INDEX('Revised 2018 Lockdown'!E$5:E$253,MATCH(B217,'Revised 2018 Lockdown'!B$5:B$253,0))</f>
        <v>58594.77</v>
      </c>
      <c r="G217" s="7">
        <f>INDEX('Revised 2018 Lockdown'!F$5:F$253,MATCH(B217,'Revised 2018 Lockdown'!B$5:B$253,0))</f>
        <v>0</v>
      </c>
      <c r="H217" s="7">
        <f t="shared" si="24"/>
        <v>58594.77</v>
      </c>
      <c r="I217" s="6">
        <f t="shared" si="25"/>
        <v>918.54967624781887</v>
      </c>
      <c r="J217" s="6">
        <f t="shared" si="28"/>
        <v>918.54967624781887</v>
      </c>
      <c r="K217" s="5">
        <f t="shared" si="26"/>
        <v>58594.77</v>
      </c>
      <c r="L217" s="4">
        <f t="shared" si="27"/>
        <v>0</v>
      </c>
      <c r="M217" s="2" cm="1">
        <f t="array" ref="M217">SUMPRODUCT(--($L$6:$L$300&lt;&gt;1),--($C$6:$C$300=$C217),$H$6:$H$300)/SUMPRODUCT(--($L$6:$L$300&lt;&gt;1),--($C$6:$C$300=$C217),$E$6:$E$300)</f>
        <v>884.5316790418774</v>
      </c>
      <c r="N217" s="1" cm="1">
        <f t="array" ref="N217">SUMPRODUCT(--($L$6:$L$300&lt;&gt;1),--($C$6:$C$300=$C217))</f>
        <v>50</v>
      </c>
      <c r="O217" s="3">
        <f t="shared" si="29"/>
        <v>1157.2241339034417</v>
      </c>
      <c r="P217" s="2" cm="1">
        <f t="array" ref="P217">SQRT(SUMPRODUCT(--($L$6:$L$300&lt;&gt;1),--($C$6:$C$300=$C217),$E$6:$E$300,$O$6:$O$300)/((N217-1)*SUMPRODUCT(--($L$6:$L$300&lt;&gt;1),--($C$6:$C$300=$C217),$E$6:$E$300)/N217))</f>
        <v>660.581657773438</v>
      </c>
      <c r="Q217" s="2">
        <f t="shared" si="23"/>
        <v>37.96222135228038</v>
      </c>
      <c r="R217" s="2">
        <f t="shared" si="23"/>
        <v>1731.1011367314745</v>
      </c>
      <c r="S217" s="2">
        <f t="shared" si="30"/>
        <v>918.54967624781887</v>
      </c>
    </row>
    <row r="218" spans="2:19" x14ac:dyDescent="0.25">
      <c r="B218" s="10">
        <v>922</v>
      </c>
      <c r="C218" s="10">
        <v>8</v>
      </c>
      <c r="D218" s="9" t="s">
        <v>264</v>
      </c>
      <c r="E218" s="154">
        <f>INDEX('Revised 2018 Lockdown'!H$5:H$253,MATCH(B218,'Revised 2018 Lockdown'!B$5:B$253,0))</f>
        <v>137.07</v>
      </c>
      <c r="F218" s="7">
        <f>INDEX('Revised 2018 Lockdown'!E$5:E$253,MATCH(B218,'Revised 2018 Lockdown'!B$5:B$253,0))</f>
        <v>138545.48000000001</v>
      </c>
      <c r="G218" s="7">
        <f>INDEX('Revised 2018 Lockdown'!F$5:F$253,MATCH(B218,'Revised 2018 Lockdown'!B$5:B$253,0))</f>
        <v>12389.89</v>
      </c>
      <c r="H218" s="7">
        <f t="shared" si="24"/>
        <v>126155.59000000001</v>
      </c>
      <c r="I218" s="6">
        <f t="shared" si="25"/>
        <v>920.37345881666317</v>
      </c>
      <c r="J218" s="6">
        <f t="shared" si="28"/>
        <v>920.37345881666317</v>
      </c>
      <c r="K218" s="5">
        <f t="shared" si="26"/>
        <v>126155.59000000001</v>
      </c>
      <c r="L218" s="4">
        <f t="shared" si="27"/>
        <v>0</v>
      </c>
      <c r="M218" s="2" cm="1">
        <f t="array" ref="M218">SUMPRODUCT(--($L$6:$L$300&lt;&gt;1),--($C$6:$C$300=$C218),$H$6:$H$300)/SUMPRODUCT(--($L$6:$L$300&lt;&gt;1),--($C$6:$C$300=$C218),$E$6:$E$300)</f>
        <v>884.5316790418774</v>
      </c>
      <c r="N218" s="1" cm="1">
        <f t="array" ref="N218">SUMPRODUCT(--($L$6:$L$300&lt;&gt;1),--($C$6:$C$300=$C218))</f>
        <v>50</v>
      </c>
      <c r="O218" s="3">
        <f t="shared" si="29"/>
        <v>1284.6331774242428</v>
      </c>
      <c r="P218" s="2" cm="1">
        <f t="array" ref="P218">SQRT(SUMPRODUCT(--($L$6:$L$300&lt;&gt;1),--($C$6:$C$300=$C218),$E$6:$E$300,$O$6:$O$300)/((N218-1)*SUMPRODUCT(--($L$6:$L$300&lt;&gt;1),--($C$6:$C$300=$C218),$E$6:$E$300)/N218))</f>
        <v>660.581657773438</v>
      </c>
      <c r="Q218" s="2">
        <f t="shared" si="23"/>
        <v>37.96222135228038</v>
      </c>
      <c r="R218" s="2">
        <f t="shared" si="23"/>
        <v>1731.1011367314745</v>
      </c>
      <c r="S218" s="2">
        <f t="shared" si="30"/>
        <v>920.37345881666317</v>
      </c>
    </row>
    <row r="219" spans="2:19" x14ac:dyDescent="0.25">
      <c r="B219" s="10">
        <v>924</v>
      </c>
      <c r="C219" s="10">
        <v>8</v>
      </c>
      <c r="D219" s="9" t="s">
        <v>265</v>
      </c>
      <c r="E219" s="154">
        <f>INDEX('Revised 2018 Lockdown'!H$5:H$253,MATCH(B219,'Revised 2018 Lockdown'!B$5:B$253,0))</f>
        <v>101.88088769949739</v>
      </c>
      <c r="F219" s="7">
        <f>INDEX('Revised 2018 Lockdown'!E$5:E$253,MATCH(B219,'Revised 2018 Lockdown'!B$5:B$253,0))</f>
        <v>59433.15</v>
      </c>
      <c r="G219" s="7">
        <f>INDEX('Revised 2018 Lockdown'!F$5:F$253,MATCH(B219,'Revised 2018 Lockdown'!B$5:B$253,0))</f>
        <v>0</v>
      </c>
      <c r="H219" s="7">
        <f t="shared" si="24"/>
        <v>59433.15</v>
      </c>
      <c r="I219" s="6">
        <f t="shared" si="25"/>
        <v>583.35916914368624</v>
      </c>
      <c r="J219" s="6">
        <f t="shared" si="28"/>
        <v>583.35916914368624</v>
      </c>
      <c r="K219" s="5">
        <f t="shared" si="26"/>
        <v>59433.15</v>
      </c>
      <c r="L219" s="4">
        <f t="shared" si="27"/>
        <v>0</v>
      </c>
      <c r="M219" s="2" cm="1">
        <f t="array" ref="M219">SUMPRODUCT(--($L$6:$L$300&lt;&gt;1),--($C$6:$C$300=$C219),$H$6:$H$300)/SUMPRODUCT(--($L$6:$L$300&lt;&gt;1),--($C$6:$C$300=$C219),$E$6:$E$300)</f>
        <v>884.5316790418774</v>
      </c>
      <c r="N219" s="1" cm="1">
        <f t="array" ref="N219">SUMPRODUCT(--($L$6:$L$300&lt;&gt;1),--($C$6:$C$300=$C219))</f>
        <v>50</v>
      </c>
      <c r="O219" s="3">
        <f t="shared" si="29"/>
        <v>90704.880718376051</v>
      </c>
      <c r="P219" s="2" cm="1">
        <f t="array" ref="P219">SQRT(SUMPRODUCT(--($L$6:$L$300&lt;&gt;1),--($C$6:$C$300=$C219),$E$6:$E$300,$O$6:$O$300)/((N219-1)*SUMPRODUCT(--($L$6:$L$300&lt;&gt;1),--($C$6:$C$300=$C219),$E$6:$E$300)/N219))</f>
        <v>660.581657773438</v>
      </c>
      <c r="Q219" s="2">
        <f t="shared" si="23"/>
        <v>37.96222135228038</v>
      </c>
      <c r="R219" s="2">
        <f t="shared" si="23"/>
        <v>1731.1011367314745</v>
      </c>
      <c r="S219" s="2">
        <f t="shared" si="30"/>
        <v>583.35916914368624</v>
      </c>
    </row>
    <row r="220" spans="2:19" x14ac:dyDescent="0.25">
      <c r="B220" s="10">
        <v>929</v>
      </c>
      <c r="C220" s="10">
        <v>8</v>
      </c>
      <c r="D220" s="9" t="s">
        <v>266</v>
      </c>
      <c r="E220" s="154">
        <f>INDEX('Revised 2018 Lockdown'!H$5:H$253,MATCH(B220,'Revised 2018 Lockdown'!B$5:B$253,0))</f>
        <v>63.123226579614247</v>
      </c>
      <c r="F220" s="7">
        <f>INDEX('Revised 2018 Lockdown'!E$5:E$253,MATCH(B220,'Revised 2018 Lockdown'!B$5:B$253,0))</f>
        <v>48337.61</v>
      </c>
      <c r="G220" s="7">
        <f>INDEX('Revised 2018 Lockdown'!F$5:F$253,MATCH(B220,'Revised 2018 Lockdown'!B$5:B$253,0))</f>
        <v>0</v>
      </c>
      <c r="H220" s="7">
        <f t="shared" si="24"/>
        <v>48337.61</v>
      </c>
      <c r="I220" s="6">
        <f t="shared" si="25"/>
        <v>765.76583009479293</v>
      </c>
      <c r="J220" s="6">
        <f t="shared" si="28"/>
        <v>765.76583009479293</v>
      </c>
      <c r="K220" s="5">
        <f t="shared" si="26"/>
        <v>48337.61</v>
      </c>
      <c r="L220" s="4">
        <f t="shared" si="27"/>
        <v>0</v>
      </c>
      <c r="M220" s="2" cm="1">
        <f t="array" ref="M220">SUMPRODUCT(--($L$6:$L$300&lt;&gt;1),--($C$6:$C$300=$C220),$H$6:$H$300)/SUMPRODUCT(--($L$6:$L$300&lt;&gt;1),--($C$6:$C$300=$C220),$E$6:$E$300)</f>
        <v>884.5316790418774</v>
      </c>
      <c r="N220" s="1" cm="1">
        <f t="array" ref="N220">SUMPRODUCT(--($L$6:$L$300&lt;&gt;1),--($C$6:$C$300=$C220))</f>
        <v>50</v>
      </c>
      <c r="O220" s="3">
        <f t="shared" si="29"/>
        <v>14105.326876121684</v>
      </c>
      <c r="P220" s="2" cm="1">
        <f t="array" ref="P220">SQRT(SUMPRODUCT(--($L$6:$L$300&lt;&gt;1),--($C$6:$C$300=$C220),$E$6:$E$300,$O$6:$O$300)/((N220-1)*SUMPRODUCT(--($L$6:$L$300&lt;&gt;1),--($C$6:$C$300=$C220),$E$6:$E$300)/N220))</f>
        <v>660.581657773438</v>
      </c>
      <c r="Q220" s="2">
        <f t="shared" si="23"/>
        <v>37.96222135228038</v>
      </c>
      <c r="R220" s="2">
        <f t="shared" si="23"/>
        <v>1731.1011367314745</v>
      </c>
      <c r="S220" s="2">
        <f t="shared" si="30"/>
        <v>765.76583009479293</v>
      </c>
    </row>
    <row r="221" spans="2:19" x14ac:dyDescent="0.25">
      <c r="B221" s="10">
        <v>955</v>
      </c>
      <c r="C221" s="10">
        <v>8</v>
      </c>
      <c r="D221" s="9" t="s">
        <v>267</v>
      </c>
      <c r="E221" s="154">
        <f>INDEX('Revised 2018 Lockdown'!H$5:H$253,MATCH(B221,'Revised 2018 Lockdown'!B$5:B$253,0))</f>
        <v>40.67169248967609</v>
      </c>
      <c r="F221" s="7">
        <f>INDEX('Revised 2018 Lockdown'!E$5:E$253,MATCH(B221,'Revised 2018 Lockdown'!B$5:B$253,0))</f>
        <v>22678.11</v>
      </c>
      <c r="G221" s="7">
        <f>INDEX('Revised 2018 Lockdown'!F$5:F$253,MATCH(B221,'Revised 2018 Lockdown'!B$5:B$253,0))</f>
        <v>0</v>
      </c>
      <c r="H221" s="7">
        <f t="shared" si="24"/>
        <v>22678.11</v>
      </c>
      <c r="I221" s="6">
        <f t="shared" si="25"/>
        <v>557.58953246798137</v>
      </c>
      <c r="J221" s="6">
        <f t="shared" si="28"/>
        <v>557.58953246798137</v>
      </c>
      <c r="K221" s="5">
        <f t="shared" si="26"/>
        <v>22678.11</v>
      </c>
      <c r="L221" s="4">
        <f t="shared" si="27"/>
        <v>0</v>
      </c>
      <c r="M221" s="2" cm="1">
        <f t="array" ref="M221">SUMPRODUCT(--($L$6:$L$300&lt;&gt;1),--($C$6:$C$300=$C221),$H$6:$H$300)/SUMPRODUCT(--($L$6:$L$300&lt;&gt;1),--($C$6:$C$300=$C221),$E$6:$E$300)</f>
        <v>884.5316790418774</v>
      </c>
      <c r="N221" s="1" cm="1">
        <f t="array" ref="N221">SUMPRODUCT(--($L$6:$L$300&lt;&gt;1),--($C$6:$C$300=$C221))</f>
        <v>50</v>
      </c>
      <c r="O221" s="3">
        <f t="shared" si="29"/>
        <v>106891.16720634692</v>
      </c>
      <c r="P221" s="2" cm="1">
        <f t="array" ref="P221">SQRT(SUMPRODUCT(--($L$6:$L$300&lt;&gt;1),--($C$6:$C$300=$C221),$E$6:$E$300,$O$6:$O$300)/((N221-1)*SUMPRODUCT(--($L$6:$L$300&lt;&gt;1),--($C$6:$C$300=$C221),$E$6:$E$300)/N221))</f>
        <v>660.581657773438</v>
      </c>
      <c r="Q221" s="2">
        <f t="shared" si="23"/>
        <v>37.96222135228038</v>
      </c>
      <c r="R221" s="2">
        <f t="shared" si="23"/>
        <v>1731.1011367314745</v>
      </c>
      <c r="S221" s="2">
        <f t="shared" si="30"/>
        <v>557.58953246798137</v>
      </c>
    </row>
    <row r="222" spans="2:19" x14ac:dyDescent="0.25">
      <c r="B222" s="10">
        <v>973</v>
      </c>
      <c r="C222" s="10">
        <v>8</v>
      </c>
      <c r="D222" s="9" t="s">
        <v>268</v>
      </c>
      <c r="E222" s="154">
        <f>INDEX('Revised 2018 Lockdown'!H$5:H$253,MATCH(B222,'Revised 2018 Lockdown'!B$5:B$253,0))</f>
        <v>7.5601498980809678</v>
      </c>
      <c r="F222" s="7">
        <f>INDEX('Revised 2018 Lockdown'!E$5:E$253,MATCH(B222,'Revised 2018 Lockdown'!B$5:B$253,0))</f>
        <v>10497.69</v>
      </c>
      <c r="G222" s="7">
        <f>INDEX('Revised 2018 Lockdown'!F$5:F$253,MATCH(B222,'Revised 2018 Lockdown'!B$5:B$253,0))</f>
        <v>0</v>
      </c>
      <c r="H222" s="7">
        <f t="shared" si="24"/>
        <v>10497.69</v>
      </c>
      <c r="I222" s="6">
        <f t="shared" si="25"/>
        <v>1388.5558013426009</v>
      </c>
      <c r="J222" s="6">
        <f t="shared" si="28"/>
        <v>1388.5558013426009</v>
      </c>
      <c r="K222" s="5">
        <f t="shared" si="26"/>
        <v>10497.69</v>
      </c>
      <c r="L222" s="4">
        <f t="shared" si="27"/>
        <v>0</v>
      </c>
      <c r="M222" s="2" cm="1">
        <f t="array" ref="M222">SUMPRODUCT(--($L$6:$L$300&lt;&gt;1),--($C$6:$C$300=$C222),$H$6:$H$300)/SUMPRODUCT(--($L$6:$L$300&lt;&gt;1),--($C$6:$C$300=$C222),$E$6:$E$300)</f>
        <v>884.5316790418774</v>
      </c>
      <c r="N222" s="1" cm="1">
        <f t="array" ref="N222">SUMPRODUCT(--($L$6:$L$300&lt;&gt;1),--($C$6:$C$300=$C222))</f>
        <v>50</v>
      </c>
      <c r="O222" s="3">
        <f t="shared" si="29"/>
        <v>254040.31586101474</v>
      </c>
      <c r="P222" s="2" cm="1">
        <f t="array" ref="P222">SQRT(SUMPRODUCT(--($L$6:$L$300&lt;&gt;1),--($C$6:$C$300=$C222),$E$6:$E$300,$O$6:$O$300)/((N222-1)*SUMPRODUCT(--($L$6:$L$300&lt;&gt;1),--($C$6:$C$300=$C222),$E$6:$E$300)/N222))</f>
        <v>660.581657773438</v>
      </c>
      <c r="Q222" s="2">
        <f t="shared" si="23"/>
        <v>37.96222135228038</v>
      </c>
      <c r="R222" s="2">
        <f t="shared" si="23"/>
        <v>1731.1011367314745</v>
      </c>
      <c r="S222" s="2">
        <f t="shared" si="30"/>
        <v>1388.5558013426009</v>
      </c>
    </row>
    <row r="223" spans="2:19" x14ac:dyDescent="0.25">
      <c r="B223" s="10">
        <v>974</v>
      </c>
      <c r="C223" s="10">
        <v>8</v>
      </c>
      <c r="D223" s="9" t="s">
        <v>269</v>
      </c>
      <c r="E223" s="154">
        <f>INDEX('Revised 2018 Lockdown'!H$5:H$253,MATCH(B223,'Revised 2018 Lockdown'!B$5:B$253,0))</f>
        <v>15.839999999999998</v>
      </c>
      <c r="F223" s="7">
        <f>INDEX('Revised 2018 Lockdown'!E$5:E$253,MATCH(B223,'Revised 2018 Lockdown'!B$5:B$253,0))</f>
        <v>14226.72</v>
      </c>
      <c r="G223" s="7">
        <f>INDEX('Revised 2018 Lockdown'!F$5:F$253,MATCH(B223,'Revised 2018 Lockdown'!B$5:B$253,0))</f>
        <v>0</v>
      </c>
      <c r="H223" s="7">
        <f t="shared" si="24"/>
        <v>14226.72</v>
      </c>
      <c r="I223" s="6">
        <f t="shared" si="25"/>
        <v>898.15151515151524</v>
      </c>
      <c r="J223" s="6">
        <f t="shared" si="28"/>
        <v>898.15151515151524</v>
      </c>
      <c r="K223" s="5">
        <f t="shared" si="26"/>
        <v>14226.72</v>
      </c>
      <c r="L223" s="4">
        <f t="shared" si="27"/>
        <v>0</v>
      </c>
      <c r="M223" s="2" cm="1">
        <f t="array" ref="M223">SUMPRODUCT(--($L$6:$L$300&lt;&gt;1),--($C$6:$C$300=$C223),$H$6:$H$300)/SUMPRODUCT(--($L$6:$L$300&lt;&gt;1),--($C$6:$C$300=$C223),$E$6:$E$300)</f>
        <v>884.5316790418774</v>
      </c>
      <c r="N223" s="1" cm="1">
        <f t="array" ref="N223">SUMPRODUCT(--($L$6:$L$300&lt;&gt;1),--($C$6:$C$300=$C223))</f>
        <v>50</v>
      </c>
      <c r="O223" s="3">
        <f t="shared" si="29"/>
        <v>185.49993565339494</v>
      </c>
      <c r="P223" s="2" cm="1">
        <f t="array" ref="P223">SQRT(SUMPRODUCT(--($L$6:$L$300&lt;&gt;1),--($C$6:$C$300=$C223),$E$6:$E$300,$O$6:$O$300)/((N223-1)*SUMPRODUCT(--($L$6:$L$300&lt;&gt;1),--($C$6:$C$300=$C223),$E$6:$E$300)/N223))</f>
        <v>660.581657773438</v>
      </c>
      <c r="Q223" s="2">
        <f t="shared" si="23"/>
        <v>37.96222135228038</v>
      </c>
      <c r="R223" s="2">
        <f t="shared" si="23"/>
        <v>1731.1011367314745</v>
      </c>
      <c r="S223" s="2">
        <f t="shared" si="30"/>
        <v>898.15151515151524</v>
      </c>
    </row>
    <row r="224" spans="2:19" x14ac:dyDescent="0.25">
      <c r="B224" s="10">
        <v>985</v>
      </c>
      <c r="C224" s="10">
        <v>8</v>
      </c>
      <c r="D224" s="9" t="s">
        <v>271</v>
      </c>
      <c r="E224" s="154">
        <f>INDEX('Revised 2018 Lockdown'!H$5:H$253,MATCH(B224,'Revised 2018 Lockdown'!B$5:B$253,0))</f>
        <v>44.348575474077556</v>
      </c>
      <c r="F224" s="7">
        <f>INDEX('Revised 2018 Lockdown'!E$5:E$253,MATCH(B224,'Revised 2018 Lockdown'!B$5:B$253,0))</f>
        <v>97273.34</v>
      </c>
      <c r="G224" s="7">
        <f>INDEX('Revised 2018 Lockdown'!F$5:F$253,MATCH(B224,'Revised 2018 Lockdown'!B$5:B$253,0))</f>
        <v>0</v>
      </c>
      <c r="H224" s="7">
        <f t="shared" si="24"/>
        <v>97273.34</v>
      </c>
      <c r="I224" s="6">
        <f t="shared" si="25"/>
        <v>2193.3813873425947</v>
      </c>
      <c r="J224" s="6">
        <f t="shared" si="28"/>
        <v>1731.1011367314745</v>
      </c>
      <c r="K224" s="5">
        <f t="shared" si="26"/>
        <v>76771.869415597248</v>
      </c>
      <c r="L224" s="4">
        <f t="shared" si="27"/>
        <v>0</v>
      </c>
      <c r="M224" s="2" cm="1">
        <f t="array" ref="M224">SUMPRODUCT(--($L$6:$L$300&lt;&gt;1),--($C$6:$C$300=$C224),$H$6:$H$300)/SUMPRODUCT(--($L$6:$L$300&lt;&gt;1),--($C$6:$C$300=$C224),$E$6:$E$300)</f>
        <v>884.5316790418774</v>
      </c>
      <c r="N224" s="1" cm="1">
        <f t="array" ref="N224">SUMPRODUCT(--($L$6:$L$300&lt;&gt;1),--($C$6:$C$300=$C224))</f>
        <v>50</v>
      </c>
      <c r="O224" s="3">
        <f t="shared" si="29"/>
        <v>1713087.5589188728</v>
      </c>
      <c r="P224" s="2" cm="1">
        <f t="array" ref="P224">SQRT(SUMPRODUCT(--($L$6:$L$300&lt;&gt;1),--($C$6:$C$300=$C224),$E$6:$E$300,$O$6:$O$300)/((N224-1)*SUMPRODUCT(--($L$6:$L$300&lt;&gt;1),--($C$6:$C$300=$C224),$E$6:$E$300)/N224))</f>
        <v>660.581657773438</v>
      </c>
      <c r="Q224" s="2">
        <f t="shared" si="23"/>
        <v>37.96222135228038</v>
      </c>
      <c r="R224" s="2">
        <f t="shared" si="23"/>
        <v>1731.1011367314745</v>
      </c>
      <c r="S224" s="2">
        <f t="shared" si="30"/>
        <v>1731.1011367314745</v>
      </c>
    </row>
    <row r="225" spans="2:19" x14ac:dyDescent="0.25">
      <c r="B225" s="10">
        <v>159</v>
      </c>
      <c r="C225" s="10">
        <v>9</v>
      </c>
      <c r="D225" s="9" t="s">
        <v>273</v>
      </c>
      <c r="E225" s="154">
        <f>INDEX('Revised 2018 Lockdown'!H$5:H$253,MATCH(B225,'Revised 2018 Lockdown'!B$5:B$253,0))</f>
        <v>836.31061134951221</v>
      </c>
      <c r="F225" s="7">
        <f>INDEX('Revised 2018 Lockdown'!E$5:E$253,MATCH(B225,'Revised 2018 Lockdown'!B$5:B$253,0))</f>
        <v>185850.32</v>
      </c>
      <c r="G225" s="7">
        <f>INDEX('Revised 2018 Lockdown'!F$5:F$253,MATCH(B225,'Revised 2018 Lockdown'!B$5:B$253,0))</f>
        <v>0</v>
      </c>
      <c r="H225" s="7">
        <f t="shared" si="24"/>
        <v>185850.32</v>
      </c>
      <c r="I225" s="6">
        <f t="shared" si="25"/>
        <v>222.22642816895834</v>
      </c>
      <c r="J225" s="6">
        <f t="shared" si="28"/>
        <v>222.22642816895834</v>
      </c>
      <c r="K225" s="5">
        <f t="shared" si="26"/>
        <v>185850.32</v>
      </c>
      <c r="L225" s="4">
        <f t="shared" si="27"/>
        <v>0</v>
      </c>
      <c r="M225" s="2" cm="1">
        <f t="array" ref="M225">SUMPRODUCT(--($L$6:$L$300&lt;&gt;1),--($C$6:$C$300=$C225),$H$6:$H$300)/SUMPRODUCT(--($L$6:$L$300&lt;&gt;1),--($C$6:$C$300=$C225),$E$6:$E$300)</f>
        <v>654.06771202989376</v>
      </c>
      <c r="N225" s="1" cm="1">
        <f t="array" ref="N225">SUMPRODUCT(--($L$6:$L$300&lt;&gt;1),--($C$6:$C$300=$C225))</f>
        <v>30</v>
      </c>
      <c r="O225" s="3">
        <f t="shared" si="29"/>
        <v>186486.89444666097</v>
      </c>
      <c r="P225" s="2" cm="1">
        <f t="array" ref="P225">SQRT(SUMPRODUCT(--($L$6:$L$300&lt;&gt;1),--($C$6:$C$300=$C225),$E$6:$E$300,$O$6:$O$300)/((N225-1)*SUMPRODUCT(--($L$6:$L$300&lt;&gt;1),--($C$6:$C$300=$C225),$E$6:$E$300)/N225))</f>
        <v>549.91343193675789</v>
      </c>
      <c r="Q225" s="2">
        <f t="shared" si="23"/>
        <v>-50.67470758266245</v>
      </c>
      <c r="R225" s="2">
        <f t="shared" si="23"/>
        <v>1358.81013164245</v>
      </c>
      <c r="S225" s="2">
        <f t="shared" si="30"/>
        <v>222.22642816895834</v>
      </c>
    </row>
    <row r="226" spans="2:19" x14ac:dyDescent="0.25">
      <c r="B226" s="10">
        <v>173</v>
      </c>
      <c r="C226" s="10">
        <v>9</v>
      </c>
      <c r="D226" s="9" t="s">
        <v>274</v>
      </c>
      <c r="E226" s="154">
        <f>INDEX('Revised 2018 Lockdown'!H$5:H$253,MATCH(B226,'Revised 2018 Lockdown'!B$5:B$253,0))</f>
        <v>331.48</v>
      </c>
      <c r="F226" s="7">
        <f>INDEX('Revised 2018 Lockdown'!E$5:E$253,MATCH(B226,'Revised 2018 Lockdown'!B$5:B$253,0))</f>
        <v>163416.66</v>
      </c>
      <c r="G226" s="7">
        <f>INDEX('Revised 2018 Lockdown'!F$5:F$253,MATCH(B226,'Revised 2018 Lockdown'!B$5:B$253,0))</f>
        <v>8.85</v>
      </c>
      <c r="H226" s="7">
        <f t="shared" si="24"/>
        <v>163407.81</v>
      </c>
      <c r="I226" s="6">
        <f t="shared" si="25"/>
        <v>492.96431157234218</v>
      </c>
      <c r="J226" s="6">
        <f t="shared" si="28"/>
        <v>492.96431157234218</v>
      </c>
      <c r="K226" s="5">
        <f t="shared" si="26"/>
        <v>163407.81</v>
      </c>
      <c r="L226" s="4">
        <f t="shared" si="27"/>
        <v>0</v>
      </c>
      <c r="M226" s="2" cm="1">
        <f t="array" ref="M226">SUMPRODUCT(--($L$6:$L$300&lt;&gt;1),--($C$6:$C$300=$C226),$H$6:$H$300)/SUMPRODUCT(--($L$6:$L$300&lt;&gt;1),--($C$6:$C$300=$C226),$E$6:$E$300)</f>
        <v>654.06771202989376</v>
      </c>
      <c r="N226" s="1" cm="1">
        <f t="array" ref="N226">SUMPRODUCT(--($L$6:$L$300&lt;&gt;1),--($C$6:$C$300=$C226))</f>
        <v>30</v>
      </c>
      <c r="O226" s="3">
        <f t="shared" si="29"/>
        <v>25954.305638986229</v>
      </c>
      <c r="P226" s="2" cm="1">
        <f t="array" ref="P226">SQRT(SUMPRODUCT(--($L$6:$L$300&lt;&gt;1),--($C$6:$C$300=$C226),$E$6:$E$300,$O$6:$O$300)/((N226-1)*SUMPRODUCT(--($L$6:$L$300&lt;&gt;1),--($C$6:$C$300=$C226),$E$6:$E$300)/N226))</f>
        <v>549.91343193675789</v>
      </c>
      <c r="Q226" s="2">
        <f t="shared" si="23"/>
        <v>-50.67470758266245</v>
      </c>
      <c r="R226" s="2">
        <f t="shared" si="23"/>
        <v>1358.81013164245</v>
      </c>
      <c r="S226" s="2">
        <f t="shared" si="30"/>
        <v>492.96431157234218</v>
      </c>
    </row>
    <row r="227" spans="2:19" x14ac:dyDescent="0.25">
      <c r="B227" s="10">
        <v>204</v>
      </c>
      <c r="C227" s="10">
        <v>9</v>
      </c>
      <c r="D227" s="9" t="s">
        <v>275</v>
      </c>
      <c r="E227" s="154">
        <f>INDEX('Revised 2018 Lockdown'!H$5:H$253,MATCH(B227,'Revised 2018 Lockdown'!B$5:B$253,0))</f>
        <v>581.54937871071559</v>
      </c>
      <c r="F227" s="7">
        <f>INDEX('Revised 2018 Lockdown'!E$5:E$253,MATCH(B227,'Revised 2018 Lockdown'!B$5:B$253,0))</f>
        <v>440563.7</v>
      </c>
      <c r="G227" s="7">
        <f>INDEX('Revised 2018 Lockdown'!F$5:F$253,MATCH(B227,'Revised 2018 Lockdown'!B$5:B$253,0))</f>
        <v>14024.64</v>
      </c>
      <c r="H227" s="7">
        <f t="shared" si="24"/>
        <v>426539.06</v>
      </c>
      <c r="I227" s="6">
        <f t="shared" si="25"/>
        <v>733.45286851759579</v>
      </c>
      <c r="J227" s="6">
        <f t="shared" si="28"/>
        <v>733.45286851759579</v>
      </c>
      <c r="K227" s="5">
        <f t="shared" si="26"/>
        <v>426539.06</v>
      </c>
      <c r="L227" s="4">
        <f t="shared" si="27"/>
        <v>0</v>
      </c>
      <c r="M227" s="2" cm="1">
        <f t="array" ref="M227">SUMPRODUCT(--($L$6:$L$300&lt;&gt;1),--($C$6:$C$300=$C227),$H$6:$H$300)/SUMPRODUCT(--($L$6:$L$300&lt;&gt;1),--($C$6:$C$300=$C227),$E$6:$E$300)</f>
        <v>654.06771202989376</v>
      </c>
      <c r="N227" s="1" cm="1">
        <f t="array" ref="N227">SUMPRODUCT(--($L$6:$L$300&lt;&gt;1),--($C$6:$C$300=$C227))</f>
        <v>30</v>
      </c>
      <c r="O227" s="3">
        <f t="shared" si="29"/>
        <v>6302.0030705769404</v>
      </c>
      <c r="P227" s="2" cm="1">
        <f t="array" ref="P227">SQRT(SUMPRODUCT(--($L$6:$L$300&lt;&gt;1),--($C$6:$C$300=$C227),$E$6:$E$300,$O$6:$O$300)/((N227-1)*SUMPRODUCT(--($L$6:$L$300&lt;&gt;1),--($C$6:$C$300=$C227),$E$6:$E$300)/N227))</f>
        <v>549.91343193675789</v>
      </c>
      <c r="Q227" s="2">
        <f t="shared" si="23"/>
        <v>-50.67470758266245</v>
      </c>
      <c r="R227" s="2">
        <f t="shared" si="23"/>
        <v>1358.81013164245</v>
      </c>
      <c r="S227" s="2">
        <f t="shared" si="30"/>
        <v>733.45286851759579</v>
      </c>
    </row>
    <row r="228" spans="2:19" x14ac:dyDescent="0.25">
      <c r="B228" s="10">
        <v>230</v>
      </c>
      <c r="C228" s="10">
        <v>9</v>
      </c>
      <c r="D228" s="9" t="s">
        <v>277</v>
      </c>
      <c r="E228" s="154">
        <f>INDEX('Revised 2018 Lockdown'!H$5:H$253,MATCH(B228,'Revised 2018 Lockdown'!B$5:B$253,0))</f>
        <v>138.87109847515134</v>
      </c>
      <c r="F228" s="7">
        <f>INDEX('Revised 2018 Lockdown'!E$5:E$253,MATCH(B228,'Revised 2018 Lockdown'!B$5:B$253,0))</f>
        <v>74126.899999999994</v>
      </c>
      <c r="G228" s="7">
        <f>INDEX('Revised 2018 Lockdown'!F$5:F$253,MATCH(B228,'Revised 2018 Lockdown'!B$5:B$253,0))</f>
        <v>2183.36</v>
      </c>
      <c r="H228" s="7">
        <f t="shared" si="24"/>
        <v>71943.539999999994</v>
      </c>
      <c r="I228" s="6">
        <f t="shared" si="25"/>
        <v>518.05984679290975</v>
      </c>
      <c r="J228" s="6">
        <f t="shared" si="28"/>
        <v>518.05984679290975</v>
      </c>
      <c r="K228" s="5">
        <f t="shared" si="26"/>
        <v>71943.539999999994</v>
      </c>
      <c r="L228" s="4">
        <f t="shared" si="27"/>
        <v>0</v>
      </c>
      <c r="M228" s="2" cm="1">
        <f t="array" ref="M228">SUMPRODUCT(--($L$6:$L$300&lt;&gt;1),--($C$6:$C$300=$C228),$H$6:$H$300)/SUMPRODUCT(--($L$6:$L$300&lt;&gt;1),--($C$6:$C$300=$C228),$E$6:$E$300)</f>
        <v>654.06771202989376</v>
      </c>
      <c r="N228" s="1" cm="1">
        <f t="array" ref="N228">SUMPRODUCT(--($L$6:$L$300&lt;&gt;1),--($C$6:$C$300=$C228))</f>
        <v>30</v>
      </c>
      <c r="O228" s="3">
        <f t="shared" si="29"/>
        <v>18498.139406321603</v>
      </c>
      <c r="P228" s="2" cm="1">
        <f t="array" ref="P228">SQRT(SUMPRODUCT(--($L$6:$L$300&lt;&gt;1),--($C$6:$C$300=$C228),$E$6:$E$300,$O$6:$O$300)/((N228-1)*SUMPRODUCT(--($L$6:$L$300&lt;&gt;1),--($C$6:$C$300=$C228),$E$6:$E$300)/N228))</f>
        <v>549.91343193675789</v>
      </c>
      <c r="Q228" s="2">
        <f t="shared" si="23"/>
        <v>-50.67470758266245</v>
      </c>
      <c r="R228" s="2">
        <f t="shared" si="23"/>
        <v>1358.81013164245</v>
      </c>
      <c r="S228" s="2">
        <f t="shared" si="30"/>
        <v>518.05984679290975</v>
      </c>
    </row>
    <row r="229" spans="2:19" x14ac:dyDescent="0.25">
      <c r="B229" s="10">
        <v>277</v>
      </c>
      <c r="C229" s="10">
        <v>9</v>
      </c>
      <c r="D229" s="9" t="s">
        <v>278</v>
      </c>
      <c r="E229" s="154">
        <f>INDEX('Revised 2018 Lockdown'!H$5:H$253,MATCH(B229,'Revised 2018 Lockdown'!B$5:B$253,0))</f>
        <v>116.68788323704716</v>
      </c>
      <c r="F229" s="7">
        <f>INDEX('Revised 2018 Lockdown'!E$5:E$253,MATCH(B229,'Revised 2018 Lockdown'!B$5:B$253,0))</f>
        <v>80836.320000000007</v>
      </c>
      <c r="G229" s="7">
        <f>INDEX('Revised 2018 Lockdown'!F$5:F$253,MATCH(B229,'Revised 2018 Lockdown'!B$5:B$253,0))</f>
        <v>0</v>
      </c>
      <c r="H229" s="7">
        <f t="shared" si="24"/>
        <v>80836.320000000007</v>
      </c>
      <c r="I229" s="6">
        <f t="shared" si="25"/>
        <v>692.75676066369272</v>
      </c>
      <c r="J229" s="6">
        <f t="shared" si="28"/>
        <v>692.75676066369272</v>
      </c>
      <c r="K229" s="5">
        <f t="shared" si="26"/>
        <v>80836.320000000007</v>
      </c>
      <c r="L229" s="4">
        <f t="shared" si="27"/>
        <v>0</v>
      </c>
      <c r="M229" s="2" cm="1">
        <f t="array" ref="M229">SUMPRODUCT(--($L$6:$L$300&lt;&gt;1),--($C$6:$C$300=$C229),$H$6:$H$300)/SUMPRODUCT(--($L$6:$L$300&lt;&gt;1),--($C$6:$C$300=$C229),$E$6:$E$300)</f>
        <v>654.06771202989376</v>
      </c>
      <c r="N229" s="1" cm="1">
        <f t="array" ref="N229">SUMPRODUCT(--($L$6:$L$300&lt;&gt;1),--($C$6:$C$300=$C229))</f>
        <v>30</v>
      </c>
      <c r="O229" s="3">
        <f t="shared" si="29"/>
        <v>1496.8424841884612</v>
      </c>
      <c r="P229" s="2" cm="1">
        <f t="array" ref="P229">SQRT(SUMPRODUCT(--($L$6:$L$300&lt;&gt;1),--($C$6:$C$300=$C229),$E$6:$E$300,$O$6:$O$300)/((N229-1)*SUMPRODUCT(--($L$6:$L$300&lt;&gt;1),--($C$6:$C$300=$C229),$E$6:$E$300)/N229))</f>
        <v>549.91343193675789</v>
      </c>
      <c r="Q229" s="2">
        <f t="shared" si="23"/>
        <v>-50.67470758266245</v>
      </c>
      <c r="R229" s="2">
        <f t="shared" si="23"/>
        <v>1358.81013164245</v>
      </c>
      <c r="S229" s="2">
        <f t="shared" si="30"/>
        <v>692.75676066369272</v>
      </c>
    </row>
    <row r="230" spans="2:19" x14ac:dyDescent="0.25">
      <c r="B230" s="10">
        <v>279</v>
      </c>
      <c r="C230" s="10">
        <v>9</v>
      </c>
      <c r="D230" s="9" t="s">
        <v>279</v>
      </c>
      <c r="E230" s="154">
        <f>INDEX('Revised 2018 Lockdown'!H$5:H$253,MATCH(B230,'Revised 2018 Lockdown'!B$5:B$253,0))</f>
        <v>433.73772503612372</v>
      </c>
      <c r="F230" s="7">
        <f>INDEX('Revised 2018 Lockdown'!E$5:E$253,MATCH(B230,'Revised 2018 Lockdown'!B$5:B$253,0))</f>
        <v>170142.93</v>
      </c>
      <c r="G230" s="7">
        <f>INDEX('Revised 2018 Lockdown'!F$5:F$253,MATCH(B230,'Revised 2018 Lockdown'!B$5:B$253,0))</f>
        <v>671.56</v>
      </c>
      <c r="H230" s="7">
        <f t="shared" si="24"/>
        <v>169471.37</v>
      </c>
      <c r="I230" s="6">
        <f t="shared" si="25"/>
        <v>390.72314953901144</v>
      </c>
      <c r="J230" s="6">
        <f t="shared" si="28"/>
        <v>390.72314953901144</v>
      </c>
      <c r="K230" s="5">
        <f t="shared" si="26"/>
        <v>169471.37</v>
      </c>
      <c r="L230" s="4">
        <f t="shared" si="27"/>
        <v>0</v>
      </c>
      <c r="M230" s="2" cm="1">
        <f t="array" ref="M230">SUMPRODUCT(--($L$6:$L$300&lt;&gt;1),--($C$6:$C$300=$C230),$H$6:$H$300)/SUMPRODUCT(--($L$6:$L$300&lt;&gt;1),--($C$6:$C$300=$C230),$E$6:$E$300)</f>
        <v>654.06771202989376</v>
      </c>
      <c r="N230" s="1" cm="1">
        <f t="array" ref="N230">SUMPRODUCT(--($L$6:$L$300&lt;&gt;1),--($C$6:$C$300=$C230))</f>
        <v>30</v>
      </c>
      <c r="O230" s="3">
        <f t="shared" si="29"/>
        <v>69350.358593514218</v>
      </c>
      <c r="P230" s="2" cm="1">
        <f t="array" ref="P230">SQRT(SUMPRODUCT(--($L$6:$L$300&lt;&gt;1),--($C$6:$C$300=$C230),$E$6:$E$300,$O$6:$O$300)/((N230-1)*SUMPRODUCT(--($L$6:$L$300&lt;&gt;1),--($C$6:$C$300=$C230),$E$6:$E$300)/N230))</f>
        <v>549.91343193675789</v>
      </c>
      <c r="Q230" s="2">
        <f t="shared" si="23"/>
        <v>-50.67470758266245</v>
      </c>
      <c r="R230" s="2">
        <f t="shared" si="23"/>
        <v>1358.81013164245</v>
      </c>
      <c r="S230" s="2">
        <f t="shared" si="30"/>
        <v>390.72314953901144</v>
      </c>
    </row>
    <row r="231" spans="2:19" x14ac:dyDescent="0.25">
      <c r="B231" s="10">
        <v>331</v>
      </c>
      <c r="C231" s="10">
        <v>9</v>
      </c>
      <c r="D231" s="9" t="s">
        <v>280</v>
      </c>
      <c r="E231" s="154">
        <f>INDEX('Revised 2018 Lockdown'!H$5:H$253,MATCH(B231,'Revised 2018 Lockdown'!B$5:B$253,0))</f>
        <v>394.99809912383472</v>
      </c>
      <c r="F231" s="7">
        <f>INDEX('Revised 2018 Lockdown'!E$5:E$253,MATCH(B231,'Revised 2018 Lockdown'!B$5:B$253,0))</f>
        <v>154031.09</v>
      </c>
      <c r="G231" s="7">
        <f>INDEX('Revised 2018 Lockdown'!F$5:F$253,MATCH(B231,'Revised 2018 Lockdown'!B$5:B$253,0))</f>
        <v>1052.98</v>
      </c>
      <c r="H231" s="7">
        <f t="shared" si="24"/>
        <v>152978.10999999999</v>
      </c>
      <c r="I231" s="6">
        <f t="shared" si="25"/>
        <v>387.28821819479253</v>
      </c>
      <c r="J231" s="6">
        <f t="shared" si="28"/>
        <v>387.28821819479253</v>
      </c>
      <c r="K231" s="5">
        <f t="shared" si="26"/>
        <v>152978.10999999999</v>
      </c>
      <c r="L231" s="4">
        <f t="shared" si="27"/>
        <v>0</v>
      </c>
      <c r="M231" s="2" cm="1">
        <f t="array" ref="M231">SUMPRODUCT(--($L$6:$L$300&lt;&gt;1),--($C$6:$C$300=$C231),$H$6:$H$300)/SUMPRODUCT(--($L$6:$L$300&lt;&gt;1),--($C$6:$C$300=$C231),$E$6:$E$300)</f>
        <v>654.06771202989376</v>
      </c>
      <c r="N231" s="1" cm="1">
        <f t="array" ref="N231">SUMPRODUCT(--($L$6:$L$300&lt;&gt;1),--($C$6:$C$300=$C231))</f>
        <v>30</v>
      </c>
      <c r="O231" s="3">
        <f t="shared" si="29"/>
        <v>71171.298330912803</v>
      </c>
      <c r="P231" s="2" cm="1">
        <f t="array" ref="P231">SQRT(SUMPRODUCT(--($L$6:$L$300&lt;&gt;1),--($C$6:$C$300=$C231),$E$6:$E$300,$O$6:$O$300)/((N231-1)*SUMPRODUCT(--($L$6:$L$300&lt;&gt;1),--($C$6:$C$300=$C231),$E$6:$E$300)/N231))</f>
        <v>549.91343193675789</v>
      </c>
      <c r="Q231" s="2">
        <f t="shared" si="23"/>
        <v>-50.67470758266245</v>
      </c>
      <c r="R231" s="2">
        <f t="shared" si="23"/>
        <v>1358.81013164245</v>
      </c>
      <c r="S231" s="2">
        <f t="shared" si="30"/>
        <v>387.28821819479253</v>
      </c>
    </row>
    <row r="232" spans="2:19" x14ac:dyDescent="0.25">
      <c r="B232" s="10">
        <v>369</v>
      </c>
      <c r="C232" s="10">
        <v>9</v>
      </c>
      <c r="D232" s="9" t="s">
        <v>281</v>
      </c>
      <c r="E232" s="154">
        <f>INDEX('Revised 2018 Lockdown'!H$5:H$253,MATCH(B232,'Revised 2018 Lockdown'!B$5:B$253,0))</f>
        <v>361.24999999999994</v>
      </c>
      <c r="F232" s="7">
        <f>INDEX('Revised 2018 Lockdown'!E$5:E$253,MATCH(B232,'Revised 2018 Lockdown'!B$5:B$253,0))</f>
        <v>450151.28</v>
      </c>
      <c r="G232" s="7">
        <f>INDEX('Revised 2018 Lockdown'!F$5:F$253,MATCH(B232,'Revised 2018 Lockdown'!B$5:B$253,0))</f>
        <v>0</v>
      </c>
      <c r="H232" s="7">
        <f t="shared" si="24"/>
        <v>450151.28</v>
      </c>
      <c r="I232" s="6">
        <f t="shared" si="25"/>
        <v>1246.0935086505192</v>
      </c>
      <c r="J232" s="6">
        <f t="shared" si="28"/>
        <v>1246.0935086505192</v>
      </c>
      <c r="K232" s="5">
        <f t="shared" si="26"/>
        <v>450151.27999999997</v>
      </c>
      <c r="L232" s="4">
        <f t="shared" si="27"/>
        <v>0</v>
      </c>
      <c r="M232" s="2" cm="1">
        <f t="array" ref="M232">SUMPRODUCT(--($L$6:$L$300&lt;&gt;1),--($C$6:$C$300=$C232),$H$6:$H$300)/SUMPRODUCT(--($L$6:$L$300&lt;&gt;1),--($C$6:$C$300=$C232),$E$6:$E$300)</f>
        <v>654.06771202989376</v>
      </c>
      <c r="N232" s="1" cm="1">
        <f t="array" ref="N232">SUMPRODUCT(--($L$6:$L$300&lt;&gt;1),--($C$6:$C$300=$C232))</f>
        <v>30</v>
      </c>
      <c r="O232" s="3">
        <f t="shared" si="29"/>
        <v>350494.54386428616</v>
      </c>
      <c r="P232" s="2" cm="1">
        <f t="array" ref="P232">SQRT(SUMPRODUCT(--($L$6:$L$300&lt;&gt;1),--($C$6:$C$300=$C232),$E$6:$E$300,$O$6:$O$300)/((N232-1)*SUMPRODUCT(--($L$6:$L$300&lt;&gt;1),--($C$6:$C$300=$C232),$E$6:$E$300)/N232))</f>
        <v>549.91343193675789</v>
      </c>
      <c r="Q232" s="2">
        <f t="shared" si="23"/>
        <v>-50.67470758266245</v>
      </c>
      <c r="R232" s="2">
        <f t="shared" si="23"/>
        <v>1358.81013164245</v>
      </c>
      <c r="S232" s="2">
        <f t="shared" si="30"/>
        <v>1246.0935086505192</v>
      </c>
    </row>
    <row r="233" spans="2:19" x14ac:dyDescent="0.25">
      <c r="B233" s="10">
        <v>416</v>
      </c>
      <c r="C233" s="10">
        <v>9</v>
      </c>
      <c r="D233" s="9" t="s">
        <v>282</v>
      </c>
      <c r="E233" s="154">
        <f>INDEX('Revised 2018 Lockdown'!H$5:H$253,MATCH(B233,'Revised 2018 Lockdown'!B$5:B$253,0))</f>
        <v>77.118547672694447</v>
      </c>
      <c r="F233" s="7">
        <f>INDEX('Revised 2018 Lockdown'!E$5:E$253,MATCH(B233,'Revised 2018 Lockdown'!B$5:B$253,0))</f>
        <v>53379.53</v>
      </c>
      <c r="G233" s="7">
        <f>INDEX('Revised 2018 Lockdown'!F$5:F$253,MATCH(B233,'Revised 2018 Lockdown'!B$5:B$253,0))</f>
        <v>735</v>
      </c>
      <c r="H233" s="7">
        <f t="shared" si="24"/>
        <v>52644.53</v>
      </c>
      <c r="I233" s="6">
        <f t="shared" si="25"/>
        <v>682.6442093208658</v>
      </c>
      <c r="J233" s="6">
        <f t="shared" si="28"/>
        <v>682.6442093208658</v>
      </c>
      <c r="K233" s="5">
        <f t="shared" si="26"/>
        <v>52644.53</v>
      </c>
      <c r="L233" s="4">
        <f t="shared" si="27"/>
        <v>0</v>
      </c>
      <c r="M233" s="2" cm="1">
        <f t="array" ref="M233">SUMPRODUCT(--($L$6:$L$300&lt;&gt;1),--($C$6:$C$300=$C233),$H$6:$H$300)/SUMPRODUCT(--($L$6:$L$300&lt;&gt;1),--($C$6:$C$300=$C233),$E$6:$E$300)</f>
        <v>654.06771202989376</v>
      </c>
      <c r="N233" s="1" cm="1">
        <f t="array" ref="N233">SUMPRODUCT(--($L$6:$L$300&lt;&gt;1),--($C$6:$C$300=$C233))</f>
        <v>30</v>
      </c>
      <c r="O233" s="3">
        <f t="shared" si="29"/>
        <v>816.61619742093251</v>
      </c>
      <c r="P233" s="2" cm="1">
        <f t="array" ref="P233">SQRT(SUMPRODUCT(--($L$6:$L$300&lt;&gt;1),--($C$6:$C$300=$C233),$E$6:$E$300,$O$6:$O$300)/((N233-1)*SUMPRODUCT(--($L$6:$L$300&lt;&gt;1),--($C$6:$C$300=$C233),$E$6:$E$300)/N233))</f>
        <v>549.91343193675789</v>
      </c>
      <c r="Q233" s="2">
        <f t="shared" si="23"/>
        <v>-50.67470758266245</v>
      </c>
      <c r="R233" s="2">
        <f t="shared" si="23"/>
        <v>1358.81013164245</v>
      </c>
      <c r="S233" s="2">
        <f t="shared" si="30"/>
        <v>682.6442093208658</v>
      </c>
    </row>
    <row r="234" spans="2:19" x14ac:dyDescent="0.25">
      <c r="B234" s="10">
        <v>508</v>
      </c>
      <c r="C234" s="10">
        <v>9</v>
      </c>
      <c r="D234" s="9" t="s">
        <v>284</v>
      </c>
      <c r="E234" s="154">
        <f>INDEX('Revised 2018 Lockdown'!H$5:H$253,MATCH(B234,'Revised 2018 Lockdown'!B$5:B$253,0))</f>
        <v>97.534402669301102</v>
      </c>
      <c r="F234" s="7">
        <f>INDEX('Revised 2018 Lockdown'!E$5:E$253,MATCH(B234,'Revised 2018 Lockdown'!B$5:B$253,0))</f>
        <v>70511.86</v>
      </c>
      <c r="G234" s="7">
        <f>INDEX('Revised 2018 Lockdown'!F$5:F$253,MATCH(B234,'Revised 2018 Lockdown'!B$5:B$253,0))</f>
        <v>0</v>
      </c>
      <c r="H234" s="7">
        <f t="shared" si="24"/>
        <v>70511.86</v>
      </c>
      <c r="I234" s="6">
        <f t="shared" si="25"/>
        <v>722.94347502261962</v>
      </c>
      <c r="J234" s="6">
        <f t="shared" si="28"/>
        <v>722.94347502261962</v>
      </c>
      <c r="K234" s="5">
        <f t="shared" si="26"/>
        <v>70511.86</v>
      </c>
      <c r="L234" s="4">
        <f t="shared" si="27"/>
        <v>0</v>
      </c>
      <c r="M234" s="2" cm="1">
        <f t="array" ref="M234">SUMPRODUCT(--($L$6:$L$300&lt;&gt;1),--($C$6:$C$300=$C234),$H$6:$H$300)/SUMPRODUCT(--($L$6:$L$300&lt;&gt;1),--($C$6:$C$300=$C234),$E$6:$E$300)</f>
        <v>654.06771202989376</v>
      </c>
      <c r="N234" s="1" cm="1">
        <f t="array" ref="N234">SUMPRODUCT(--($L$6:$L$300&lt;&gt;1),--($C$6:$C$300=$C234))</f>
        <v>30</v>
      </c>
      <c r="O234" s="3">
        <f t="shared" si="29"/>
        <v>4743.8707278301463</v>
      </c>
      <c r="P234" s="2" cm="1">
        <f t="array" ref="P234">SQRT(SUMPRODUCT(--($L$6:$L$300&lt;&gt;1),--($C$6:$C$300=$C234),$E$6:$E$300,$O$6:$O$300)/((N234-1)*SUMPRODUCT(--($L$6:$L$300&lt;&gt;1),--($C$6:$C$300=$C234),$E$6:$E$300)/N234))</f>
        <v>549.91343193675789</v>
      </c>
      <c r="Q234" s="2">
        <f t="shared" si="23"/>
        <v>-50.67470758266245</v>
      </c>
      <c r="R234" s="2">
        <f t="shared" si="23"/>
        <v>1358.81013164245</v>
      </c>
      <c r="S234" s="2">
        <f t="shared" si="30"/>
        <v>722.94347502261962</v>
      </c>
    </row>
    <row r="235" spans="2:19" x14ac:dyDescent="0.25">
      <c r="B235" s="10">
        <v>512</v>
      </c>
      <c r="C235" s="10">
        <v>9</v>
      </c>
      <c r="D235" s="9" t="s">
        <v>285</v>
      </c>
      <c r="E235" s="154">
        <f>INDEX('Revised 2018 Lockdown'!H$5:H$253,MATCH(B235,'Revised 2018 Lockdown'!B$5:B$253,0))</f>
        <v>240.71591575946039</v>
      </c>
      <c r="F235" s="7">
        <f>INDEX('Revised 2018 Lockdown'!E$5:E$253,MATCH(B235,'Revised 2018 Lockdown'!B$5:B$253,0))</f>
        <v>292037.07</v>
      </c>
      <c r="G235" s="7">
        <f>INDEX('Revised 2018 Lockdown'!F$5:F$253,MATCH(B235,'Revised 2018 Lockdown'!B$5:B$253,0))</f>
        <v>6673.84</v>
      </c>
      <c r="H235" s="7">
        <f t="shared" si="24"/>
        <v>285363.23</v>
      </c>
      <c r="I235" s="6">
        <f t="shared" si="25"/>
        <v>1185.4772007894742</v>
      </c>
      <c r="J235" s="6">
        <f t="shared" si="28"/>
        <v>1185.4772007894742</v>
      </c>
      <c r="K235" s="5">
        <f t="shared" si="26"/>
        <v>285363.23</v>
      </c>
      <c r="L235" s="4">
        <f t="shared" si="27"/>
        <v>0</v>
      </c>
      <c r="M235" s="2" cm="1">
        <f t="array" ref="M235">SUMPRODUCT(--($L$6:$L$300&lt;&gt;1),--($C$6:$C$300=$C235),$H$6:$H$300)/SUMPRODUCT(--($L$6:$L$300&lt;&gt;1),--($C$6:$C$300=$C235),$E$6:$E$300)</f>
        <v>654.06771202989376</v>
      </c>
      <c r="N235" s="1" cm="1">
        <f t="array" ref="N235">SUMPRODUCT(--($L$6:$L$300&lt;&gt;1),--($C$6:$C$300=$C235))</f>
        <v>30</v>
      </c>
      <c r="O235" s="3">
        <f t="shared" si="29"/>
        <v>282396.04474371864</v>
      </c>
      <c r="P235" s="2" cm="1">
        <f t="array" ref="P235">SQRT(SUMPRODUCT(--($L$6:$L$300&lt;&gt;1),--($C$6:$C$300=$C235),$E$6:$E$300,$O$6:$O$300)/((N235-1)*SUMPRODUCT(--($L$6:$L$300&lt;&gt;1),--($C$6:$C$300=$C235),$E$6:$E$300)/N235))</f>
        <v>549.91343193675789</v>
      </c>
      <c r="Q235" s="2">
        <f t="shared" si="23"/>
        <v>-50.67470758266245</v>
      </c>
      <c r="R235" s="2">
        <f t="shared" si="23"/>
        <v>1358.81013164245</v>
      </c>
      <c r="S235" s="2">
        <f t="shared" si="30"/>
        <v>1185.4772007894742</v>
      </c>
    </row>
    <row r="236" spans="2:19" x14ac:dyDescent="0.25">
      <c r="B236" s="10">
        <v>516</v>
      </c>
      <c r="C236" s="10">
        <v>9</v>
      </c>
      <c r="D236" s="9" t="s">
        <v>286</v>
      </c>
      <c r="E236" s="154">
        <f>INDEX('Revised 2018 Lockdown'!H$5:H$253,MATCH(B236,'Revised 2018 Lockdown'!B$5:B$253,0))</f>
        <v>342.01065921214706</v>
      </c>
      <c r="F236" s="7">
        <f>INDEX('Revised 2018 Lockdown'!E$5:E$253,MATCH(B236,'Revised 2018 Lockdown'!B$5:B$253,0))</f>
        <v>167497.34</v>
      </c>
      <c r="G236" s="7">
        <f>INDEX('Revised 2018 Lockdown'!F$5:F$253,MATCH(B236,'Revised 2018 Lockdown'!B$5:B$253,0))</f>
        <v>180.64</v>
      </c>
      <c r="H236" s="7">
        <f t="shared" si="24"/>
        <v>167316.69999999998</v>
      </c>
      <c r="I236" s="6">
        <f t="shared" si="25"/>
        <v>489.21486945883311</v>
      </c>
      <c r="J236" s="6">
        <f t="shared" si="28"/>
        <v>489.21486945883311</v>
      </c>
      <c r="K236" s="5">
        <f t="shared" si="26"/>
        <v>167316.69999999998</v>
      </c>
      <c r="L236" s="4">
        <f t="shared" si="27"/>
        <v>0</v>
      </c>
      <c r="M236" s="2" cm="1">
        <f t="array" ref="M236">SUMPRODUCT(--($L$6:$L$300&lt;&gt;1),--($C$6:$C$300=$C236),$H$6:$H$300)/SUMPRODUCT(--($L$6:$L$300&lt;&gt;1),--($C$6:$C$300=$C236),$E$6:$E$300)</f>
        <v>654.06771202989376</v>
      </c>
      <c r="N236" s="1" cm="1">
        <f t="array" ref="N236">SUMPRODUCT(--($L$6:$L$300&lt;&gt;1),--($C$6:$C$300=$C236))</f>
        <v>30</v>
      </c>
      <c r="O236" s="3">
        <f t="shared" si="29"/>
        <v>27176.459703758905</v>
      </c>
      <c r="P236" s="2" cm="1">
        <f t="array" ref="P236">SQRT(SUMPRODUCT(--($L$6:$L$300&lt;&gt;1),--($C$6:$C$300=$C236),$E$6:$E$300,$O$6:$O$300)/((N236-1)*SUMPRODUCT(--($L$6:$L$300&lt;&gt;1),--($C$6:$C$300=$C236),$E$6:$E$300)/N236))</f>
        <v>549.91343193675789</v>
      </c>
      <c r="Q236" s="2">
        <f t="shared" si="23"/>
        <v>-50.67470758266245</v>
      </c>
      <c r="R236" s="2">
        <f t="shared" si="23"/>
        <v>1358.81013164245</v>
      </c>
      <c r="S236" s="2">
        <f t="shared" si="30"/>
        <v>489.21486945883311</v>
      </c>
    </row>
    <row r="237" spans="2:19" x14ac:dyDescent="0.25">
      <c r="B237" s="41">
        <v>521</v>
      </c>
      <c r="C237" s="41">
        <v>9</v>
      </c>
      <c r="D237" s="42" t="s">
        <v>287</v>
      </c>
      <c r="E237" s="154">
        <f>INDEX('Revised 2018 Lockdown'!H$5:H$253,MATCH(B237,'Revised 2018 Lockdown'!B$5:B$253,0))</f>
        <v>150.54889539237996</v>
      </c>
      <c r="F237" s="7">
        <f>INDEX('Revised 2018 Lockdown'!E$5:E$253,MATCH(B237,'Revised 2018 Lockdown'!B$5:B$253,0))</f>
        <v>373633.01</v>
      </c>
      <c r="G237" s="7">
        <f>INDEX('Revised 2018 Lockdown'!F$5:F$253,MATCH(B237,'Revised 2018 Lockdown'!B$5:B$253,0))</f>
        <v>8.85</v>
      </c>
      <c r="H237" s="7">
        <f t="shared" si="24"/>
        <v>373624.16000000003</v>
      </c>
      <c r="I237" s="6">
        <f t="shared" si="25"/>
        <v>2481.746272705705</v>
      </c>
      <c r="J237" s="6">
        <f t="shared" si="28"/>
        <v>1358.81013164245</v>
      </c>
      <c r="K237" s="5">
        <f t="shared" si="26"/>
        <v>204567.36436674526</v>
      </c>
      <c r="L237" s="4">
        <f t="shared" si="27"/>
        <v>0</v>
      </c>
      <c r="M237" s="2" cm="1">
        <f t="array" ref="M237">SUMPRODUCT(--($L$6:$L$300&lt;&gt;1),--($C$6:$C$300=$C237),$H$6:$H$300)/SUMPRODUCT(--($L$6:$L$300&lt;&gt;1),--($C$6:$C$300=$C237),$E$6:$E$300)</f>
        <v>654.06771202989376</v>
      </c>
      <c r="N237" s="1" cm="1">
        <f t="array" ref="N237">SUMPRODUCT(--($L$6:$L$300&lt;&gt;1),--($C$6:$C$300=$C237))</f>
        <v>30</v>
      </c>
      <c r="O237" s="3">
        <f t="shared" si="29"/>
        <v>3340408.921154005</v>
      </c>
      <c r="P237" s="2" cm="1">
        <f t="array" ref="P237">SQRT(SUMPRODUCT(--($L$6:$L$300&lt;&gt;1),--($C$6:$C$300=$C237),$E$6:$E$300,$O$6:$O$300)/((N237-1)*SUMPRODUCT(--($L$6:$L$300&lt;&gt;1),--($C$6:$C$300=$C237),$E$6:$E$300)/N237))</f>
        <v>549.91343193675789</v>
      </c>
      <c r="Q237" s="2">
        <f t="shared" si="23"/>
        <v>-50.67470758266245</v>
      </c>
      <c r="R237" s="2">
        <f t="shared" si="23"/>
        <v>1358.81013164245</v>
      </c>
      <c r="S237" s="2">
        <f t="shared" si="30"/>
        <v>1358.81013164245</v>
      </c>
    </row>
    <row r="238" spans="2:19" x14ac:dyDescent="0.25">
      <c r="B238" s="41">
        <v>522</v>
      </c>
      <c r="C238" s="41">
        <v>9</v>
      </c>
      <c r="D238" s="42" t="s">
        <v>288</v>
      </c>
      <c r="E238" s="154">
        <f>INDEX('Revised 2018 Lockdown'!H$5:H$253,MATCH(B238,'Revised 2018 Lockdown'!B$5:B$253,0))</f>
        <v>107.92268224354619</v>
      </c>
      <c r="F238" s="7">
        <f>INDEX('Revised 2018 Lockdown'!E$5:E$253,MATCH(B238,'Revised 2018 Lockdown'!B$5:B$253,0))</f>
        <v>93639.74</v>
      </c>
      <c r="G238" s="7">
        <f>INDEX('Revised 2018 Lockdown'!F$5:F$253,MATCH(B238,'Revised 2018 Lockdown'!B$5:B$253,0))</f>
        <v>36</v>
      </c>
      <c r="H238" s="7">
        <f t="shared" si="24"/>
        <v>93603.74</v>
      </c>
      <c r="I238" s="6">
        <f t="shared" si="25"/>
        <v>867.32221674000823</v>
      </c>
      <c r="J238" s="6">
        <f t="shared" si="28"/>
        <v>867.32221674000823</v>
      </c>
      <c r="K238" s="5">
        <f t="shared" si="26"/>
        <v>93603.74</v>
      </c>
      <c r="L238" s="4">
        <f t="shared" si="27"/>
        <v>0</v>
      </c>
      <c r="M238" s="2" cm="1">
        <f t="array" ref="M238">SUMPRODUCT(--($L$6:$L$300&lt;&gt;1),--($C$6:$C$300=$C238),$H$6:$H$300)/SUMPRODUCT(--($L$6:$L$300&lt;&gt;1),--($C$6:$C$300=$C238),$E$6:$E$300)</f>
        <v>654.06771202989376</v>
      </c>
      <c r="N238" s="1" cm="1">
        <f t="array" ref="N238">SUMPRODUCT(--($L$6:$L$300&lt;&gt;1),--($C$6:$C$300=$C238))</f>
        <v>30</v>
      </c>
      <c r="O238" s="3">
        <f t="shared" si="29"/>
        <v>45477.483779156239</v>
      </c>
      <c r="P238" s="2" cm="1">
        <f t="array" ref="P238">SQRT(SUMPRODUCT(--($L$6:$L$300&lt;&gt;1),--($C$6:$C$300=$C238),$E$6:$E$300,$O$6:$O$300)/((N238-1)*SUMPRODUCT(--($L$6:$L$300&lt;&gt;1),--($C$6:$C$300=$C238),$E$6:$E$300)/N238))</f>
        <v>549.91343193675789</v>
      </c>
      <c r="Q238" s="2">
        <f t="shared" si="23"/>
        <v>-50.67470758266245</v>
      </c>
      <c r="R238" s="2">
        <f t="shared" si="23"/>
        <v>1358.81013164245</v>
      </c>
      <c r="S238" s="2">
        <f t="shared" si="30"/>
        <v>867.32221674000823</v>
      </c>
    </row>
    <row r="239" spans="2:19" x14ac:dyDescent="0.25">
      <c r="B239" s="41">
        <v>523</v>
      </c>
      <c r="C239" s="41">
        <v>9</v>
      </c>
      <c r="D239" s="42" t="s">
        <v>289</v>
      </c>
      <c r="E239" s="154">
        <f>INDEX('Revised 2018 Lockdown'!H$5:H$253,MATCH(B239,'Revised 2018 Lockdown'!B$5:B$253,0))</f>
        <v>909.72292386160336</v>
      </c>
      <c r="F239" s="7">
        <f>INDEX('Revised 2018 Lockdown'!E$5:E$253,MATCH(B239,'Revised 2018 Lockdown'!B$5:B$253,0))</f>
        <v>285802.86</v>
      </c>
      <c r="G239" s="7">
        <f>INDEX('Revised 2018 Lockdown'!F$5:F$253,MATCH(B239,'Revised 2018 Lockdown'!B$5:B$253,0))</f>
        <v>321.60000000000002</v>
      </c>
      <c r="H239" s="7">
        <f t="shared" si="24"/>
        <v>285481.26</v>
      </c>
      <c r="I239" s="6">
        <f t="shared" si="25"/>
        <v>313.81121934158318</v>
      </c>
      <c r="J239" s="6">
        <f t="shared" si="28"/>
        <v>313.81121934158318</v>
      </c>
      <c r="K239" s="5">
        <f t="shared" si="26"/>
        <v>285481.26</v>
      </c>
      <c r="L239" s="4">
        <f t="shared" si="27"/>
        <v>0</v>
      </c>
      <c r="M239" s="2" cm="1">
        <f t="array" ref="M239">SUMPRODUCT(--($L$6:$L$300&lt;&gt;1),--($C$6:$C$300=$C239),$H$6:$H$300)/SUMPRODUCT(--($L$6:$L$300&lt;&gt;1),--($C$6:$C$300=$C239),$E$6:$E$300)</f>
        <v>654.06771202989376</v>
      </c>
      <c r="N239" s="1" cm="1">
        <f t="array" ref="N239">SUMPRODUCT(--($L$6:$L$300&lt;&gt;1),--($C$6:$C$300=$C239))</f>
        <v>30</v>
      </c>
      <c r="O239" s="3">
        <f t="shared" si="29"/>
        <v>115774.48081655035</v>
      </c>
      <c r="P239" s="2" cm="1">
        <f t="array" ref="P239">SQRT(SUMPRODUCT(--($L$6:$L$300&lt;&gt;1),--($C$6:$C$300=$C239),$E$6:$E$300,$O$6:$O$300)/((N239-1)*SUMPRODUCT(--($L$6:$L$300&lt;&gt;1),--($C$6:$C$300=$C239),$E$6:$E$300)/N239))</f>
        <v>549.91343193675789</v>
      </c>
      <c r="Q239" s="2">
        <f t="shared" si="23"/>
        <v>-50.67470758266245</v>
      </c>
      <c r="R239" s="2">
        <f t="shared" si="23"/>
        <v>1358.81013164245</v>
      </c>
      <c r="S239" s="2">
        <f t="shared" si="30"/>
        <v>313.81121934158318</v>
      </c>
    </row>
    <row r="240" spans="2:19" x14ac:dyDescent="0.25">
      <c r="B240" s="41">
        <v>527</v>
      </c>
      <c r="C240" s="41">
        <v>9</v>
      </c>
      <c r="D240" s="42" t="s">
        <v>290</v>
      </c>
      <c r="E240" s="154">
        <f>INDEX('Revised 2018 Lockdown'!H$5:H$253,MATCH(B240,'Revised 2018 Lockdown'!B$5:B$253,0))</f>
        <v>178.04356936970052</v>
      </c>
      <c r="F240" s="7">
        <f>INDEX('Revised 2018 Lockdown'!E$5:E$253,MATCH(B240,'Revised 2018 Lockdown'!B$5:B$253,0))</f>
        <v>119863.42</v>
      </c>
      <c r="G240" s="7">
        <f>INDEX('Revised 2018 Lockdown'!F$5:F$253,MATCH(B240,'Revised 2018 Lockdown'!B$5:B$253,0))</f>
        <v>135</v>
      </c>
      <c r="H240" s="7">
        <f t="shared" si="24"/>
        <v>119728.42</v>
      </c>
      <c r="I240" s="6">
        <f t="shared" si="25"/>
        <v>672.46697212292236</v>
      </c>
      <c r="J240" s="6">
        <f t="shared" si="28"/>
        <v>672.46697212292236</v>
      </c>
      <c r="K240" s="5">
        <f t="shared" si="26"/>
        <v>119728.42</v>
      </c>
      <c r="L240" s="4">
        <f t="shared" si="27"/>
        <v>0</v>
      </c>
      <c r="M240" s="2" cm="1">
        <f t="array" ref="M240">SUMPRODUCT(--($L$6:$L$300&lt;&gt;1),--($C$6:$C$300=$C240),$H$6:$H$300)/SUMPRODUCT(--($L$6:$L$300&lt;&gt;1),--($C$6:$C$300=$C240),$E$6:$E$300)</f>
        <v>654.06771202989376</v>
      </c>
      <c r="N240" s="1" cm="1">
        <f t="array" ref="N240">SUMPRODUCT(--($L$6:$L$300&lt;&gt;1),--($C$6:$C$300=$C240))</f>
        <v>30</v>
      </c>
      <c r="O240" s="3">
        <f t="shared" si="29"/>
        <v>338.53277197091489</v>
      </c>
      <c r="P240" s="2" cm="1">
        <f t="array" ref="P240">SQRT(SUMPRODUCT(--($L$6:$L$300&lt;&gt;1),--($C$6:$C$300=$C240),$E$6:$E$300,$O$6:$O$300)/((N240-1)*SUMPRODUCT(--($L$6:$L$300&lt;&gt;1),--($C$6:$C$300=$C240),$E$6:$E$300)/N240))</f>
        <v>549.91343193675789</v>
      </c>
      <c r="Q240" s="2">
        <f t="shared" si="23"/>
        <v>-50.67470758266245</v>
      </c>
      <c r="R240" s="2">
        <f t="shared" si="23"/>
        <v>1358.81013164245</v>
      </c>
      <c r="S240" s="2">
        <f t="shared" si="30"/>
        <v>672.46697212292236</v>
      </c>
    </row>
    <row r="241" spans="2:19" x14ac:dyDescent="0.25">
      <c r="B241" s="41">
        <v>543</v>
      </c>
      <c r="C241" s="41">
        <v>9</v>
      </c>
      <c r="D241" s="42" t="s">
        <v>291</v>
      </c>
      <c r="E241" s="154">
        <f>INDEX('Revised 2018 Lockdown'!H$5:H$253,MATCH(B241,'Revised 2018 Lockdown'!B$5:B$253,0))</f>
        <v>64.881659320046367</v>
      </c>
      <c r="F241" s="7">
        <f>INDEX('Revised 2018 Lockdown'!E$5:E$253,MATCH(B241,'Revised 2018 Lockdown'!B$5:B$253,0))</f>
        <v>42102.49</v>
      </c>
      <c r="G241" s="7">
        <f>INDEX('Revised 2018 Lockdown'!F$5:F$253,MATCH(B241,'Revised 2018 Lockdown'!B$5:B$253,0))</f>
        <v>0</v>
      </c>
      <c r="H241" s="7">
        <f t="shared" si="24"/>
        <v>42102.49</v>
      </c>
      <c r="I241" s="6">
        <f t="shared" si="25"/>
        <v>648.91204141863966</v>
      </c>
      <c r="J241" s="6">
        <f t="shared" si="28"/>
        <v>648.91204141863966</v>
      </c>
      <c r="K241" s="5">
        <f t="shared" si="26"/>
        <v>42102.49</v>
      </c>
      <c r="L241" s="4">
        <f t="shared" si="27"/>
        <v>0</v>
      </c>
      <c r="M241" s="2" cm="1">
        <f t="array" ref="M241">SUMPRODUCT(--($L$6:$L$300&lt;&gt;1),--($C$6:$C$300=$C241),$H$6:$H$300)/SUMPRODUCT(--($L$6:$L$300&lt;&gt;1),--($C$6:$C$300=$C241),$E$6:$E$300)</f>
        <v>654.06771202989376</v>
      </c>
      <c r="N241" s="1" cm="1">
        <f t="array" ref="N241">SUMPRODUCT(--($L$6:$L$300&lt;&gt;1),--($C$6:$C$300=$C241))</f>
        <v>30</v>
      </c>
      <c r="O241" s="3">
        <f t="shared" si="29"/>
        <v>26.580939451749174</v>
      </c>
      <c r="P241" s="2" cm="1">
        <f t="array" ref="P241">SQRT(SUMPRODUCT(--($L$6:$L$300&lt;&gt;1),--($C$6:$C$300=$C241),$E$6:$E$300,$O$6:$O$300)/((N241-1)*SUMPRODUCT(--($L$6:$L$300&lt;&gt;1),--($C$6:$C$300=$C241),$E$6:$E$300)/N241))</f>
        <v>549.91343193675789</v>
      </c>
      <c r="Q241" s="2">
        <f t="shared" si="23"/>
        <v>-50.67470758266245</v>
      </c>
      <c r="R241" s="2">
        <f t="shared" si="23"/>
        <v>1358.81013164245</v>
      </c>
      <c r="S241" s="2">
        <f t="shared" si="30"/>
        <v>648.91204141863966</v>
      </c>
    </row>
    <row r="242" spans="2:19" x14ac:dyDescent="0.25">
      <c r="B242" s="41">
        <v>547</v>
      </c>
      <c r="C242" s="41">
        <v>9</v>
      </c>
      <c r="D242" s="42" t="s">
        <v>292</v>
      </c>
      <c r="E242" s="154">
        <f>INDEX('Revised 2018 Lockdown'!H$5:H$253,MATCH(B242,'Revised 2018 Lockdown'!B$5:B$253,0))</f>
        <v>231.39171343327169</v>
      </c>
      <c r="F242" s="7">
        <f>INDEX('Revised 2018 Lockdown'!E$5:E$253,MATCH(B242,'Revised 2018 Lockdown'!B$5:B$253,0))</f>
        <v>122807.2</v>
      </c>
      <c r="G242" s="7">
        <f>INDEX('Revised 2018 Lockdown'!F$5:F$253,MATCH(B242,'Revised 2018 Lockdown'!B$5:B$253,0))</f>
        <v>0</v>
      </c>
      <c r="H242" s="7">
        <f t="shared" si="24"/>
        <v>122807.2</v>
      </c>
      <c r="I242" s="6">
        <f t="shared" si="25"/>
        <v>530.73292114851347</v>
      </c>
      <c r="J242" s="6">
        <f t="shared" si="28"/>
        <v>530.73292114851347</v>
      </c>
      <c r="K242" s="5">
        <f t="shared" si="26"/>
        <v>122807.20000000001</v>
      </c>
      <c r="L242" s="4">
        <f t="shared" si="27"/>
        <v>0</v>
      </c>
      <c r="M242" s="2" cm="1">
        <f t="array" ref="M242">SUMPRODUCT(--($L$6:$L$300&lt;&gt;1),--($C$6:$C$300=$C242),$H$6:$H$300)/SUMPRODUCT(--($L$6:$L$300&lt;&gt;1),--($C$6:$C$300=$C242),$E$6:$E$300)</f>
        <v>654.06771202989376</v>
      </c>
      <c r="N242" s="1" cm="1">
        <f t="array" ref="N242">SUMPRODUCT(--($L$6:$L$300&lt;&gt;1),--($C$6:$C$300=$C242))</f>
        <v>30</v>
      </c>
      <c r="O242" s="3">
        <f t="shared" si="29"/>
        <v>15211.470641753805</v>
      </c>
      <c r="P242" s="2" cm="1">
        <f t="array" ref="P242">SQRT(SUMPRODUCT(--($L$6:$L$300&lt;&gt;1),--($C$6:$C$300=$C242),$E$6:$E$300,$O$6:$O$300)/((N242-1)*SUMPRODUCT(--($L$6:$L$300&lt;&gt;1),--($C$6:$C$300=$C242),$E$6:$E$300)/N242))</f>
        <v>549.91343193675789</v>
      </c>
      <c r="Q242" s="2">
        <f t="shared" si="23"/>
        <v>-50.67470758266245</v>
      </c>
      <c r="R242" s="2">
        <f t="shared" si="23"/>
        <v>1358.81013164245</v>
      </c>
      <c r="S242" s="2">
        <f t="shared" si="30"/>
        <v>530.73292114851347</v>
      </c>
    </row>
    <row r="243" spans="2:19" x14ac:dyDescent="0.25">
      <c r="B243" s="41">
        <v>552</v>
      </c>
      <c r="C243" s="41">
        <v>9</v>
      </c>
      <c r="D243" s="42" t="s">
        <v>293</v>
      </c>
      <c r="E243" s="154">
        <f>INDEX('Revised 2018 Lockdown'!H$5:H$253,MATCH(B243,'Revised 2018 Lockdown'!B$5:B$253,0))</f>
        <v>114.55</v>
      </c>
      <c r="F243" s="7">
        <f>INDEX('Revised 2018 Lockdown'!E$5:E$253,MATCH(B243,'Revised 2018 Lockdown'!B$5:B$253,0))</f>
        <v>108827.49</v>
      </c>
      <c r="G243" s="7">
        <f>INDEX('Revised 2018 Lockdown'!F$5:F$253,MATCH(B243,'Revised 2018 Lockdown'!B$5:B$253,0))</f>
        <v>0</v>
      </c>
      <c r="H243" s="7">
        <f t="shared" si="24"/>
        <v>108827.49</v>
      </c>
      <c r="I243" s="6">
        <f t="shared" si="25"/>
        <v>950.04356176342219</v>
      </c>
      <c r="J243" s="6">
        <f t="shared" si="28"/>
        <v>950.04356176342219</v>
      </c>
      <c r="K243" s="5">
        <f t="shared" si="26"/>
        <v>108827.49</v>
      </c>
      <c r="L243" s="4">
        <f t="shared" si="27"/>
        <v>0</v>
      </c>
      <c r="M243" s="2" cm="1">
        <f t="array" ref="M243">SUMPRODUCT(--($L$6:$L$300&lt;&gt;1),--($C$6:$C$300=$C243),$H$6:$H$300)/SUMPRODUCT(--($L$6:$L$300&lt;&gt;1),--($C$6:$C$300=$C243),$E$6:$E$300)</f>
        <v>654.06771202989376</v>
      </c>
      <c r="N243" s="1" cm="1">
        <f t="array" ref="N243">SUMPRODUCT(--($L$6:$L$300&lt;&gt;1),--($C$6:$C$300=$C243))</f>
        <v>30</v>
      </c>
      <c r="O243" s="3">
        <f t="shared" si="29"/>
        <v>87601.70362548421</v>
      </c>
      <c r="P243" s="2" cm="1">
        <f t="array" ref="P243">SQRT(SUMPRODUCT(--($L$6:$L$300&lt;&gt;1),--($C$6:$C$300=$C243),$E$6:$E$300,$O$6:$O$300)/((N243-1)*SUMPRODUCT(--($L$6:$L$300&lt;&gt;1),--($C$6:$C$300=$C243),$E$6:$E$300)/N243))</f>
        <v>549.91343193675789</v>
      </c>
      <c r="Q243" s="2">
        <f t="shared" ref="Q243:R254" si="31">NORMINV(Q$4,$M243,$P243)</f>
        <v>-50.67470758266245</v>
      </c>
      <c r="R243" s="2">
        <f t="shared" si="31"/>
        <v>1358.81013164245</v>
      </c>
      <c r="S243" s="2">
        <f t="shared" si="30"/>
        <v>950.04356176342219</v>
      </c>
    </row>
    <row r="244" spans="2:19" x14ac:dyDescent="0.25">
      <c r="B244" s="41">
        <v>567</v>
      </c>
      <c r="C244" s="41">
        <v>9</v>
      </c>
      <c r="D244" s="42" t="s">
        <v>294</v>
      </c>
      <c r="E244" s="154">
        <f>INDEX('Revised 2018 Lockdown'!H$5:H$253,MATCH(B244,'Revised 2018 Lockdown'!B$5:B$253,0))</f>
        <v>343.68793351840543</v>
      </c>
      <c r="F244" s="7">
        <f>INDEX('Revised 2018 Lockdown'!E$5:E$253,MATCH(B244,'Revised 2018 Lockdown'!B$5:B$253,0))</f>
        <v>195195.07</v>
      </c>
      <c r="G244" s="7">
        <f>INDEX('Revised 2018 Lockdown'!F$5:F$253,MATCH(B244,'Revised 2018 Lockdown'!B$5:B$253,0))</f>
        <v>152</v>
      </c>
      <c r="H244" s="7">
        <f t="shared" si="24"/>
        <v>195043.07</v>
      </c>
      <c r="I244" s="6">
        <f t="shared" si="25"/>
        <v>567.50048802500339</v>
      </c>
      <c r="J244" s="6">
        <f t="shared" si="28"/>
        <v>567.50048802500339</v>
      </c>
      <c r="K244" s="5">
        <f t="shared" si="26"/>
        <v>195043.07</v>
      </c>
      <c r="L244" s="4">
        <f t="shared" si="27"/>
        <v>0</v>
      </c>
      <c r="M244" s="2" cm="1">
        <f t="array" ref="M244">SUMPRODUCT(--($L$6:$L$300&lt;&gt;1),--($C$6:$C$300=$C244),$H$6:$H$300)/SUMPRODUCT(--($L$6:$L$300&lt;&gt;1),--($C$6:$C$300=$C244),$E$6:$E$300)</f>
        <v>654.06771202989376</v>
      </c>
      <c r="N244" s="1" cm="1">
        <f t="array" ref="N244">SUMPRODUCT(--($L$6:$L$300&lt;&gt;1),--($C$6:$C$300=$C244))</f>
        <v>30</v>
      </c>
      <c r="O244" s="3">
        <f t="shared" si="29"/>
        <v>7493.8842719128661</v>
      </c>
      <c r="P244" s="2" cm="1">
        <f t="array" ref="P244">SQRT(SUMPRODUCT(--($L$6:$L$300&lt;&gt;1),--($C$6:$C$300=$C244),$E$6:$E$300,$O$6:$O$300)/((N244-1)*SUMPRODUCT(--($L$6:$L$300&lt;&gt;1),--($C$6:$C$300=$C244),$E$6:$E$300)/N244))</f>
        <v>549.91343193675789</v>
      </c>
      <c r="Q244" s="2">
        <f t="shared" si="31"/>
        <v>-50.67470758266245</v>
      </c>
      <c r="R244" s="2">
        <f t="shared" si="31"/>
        <v>1358.81013164245</v>
      </c>
      <c r="S244" s="2">
        <f t="shared" si="30"/>
        <v>567.50048802500339</v>
      </c>
    </row>
    <row r="245" spans="2:19" x14ac:dyDescent="0.25">
      <c r="B245" s="41">
        <v>629</v>
      </c>
      <c r="C245" s="41">
        <v>9</v>
      </c>
      <c r="D245" s="42" t="s">
        <v>295</v>
      </c>
      <c r="E245" s="154">
        <f>INDEX('Revised 2018 Lockdown'!H$5:H$253,MATCH(B245,'Revised 2018 Lockdown'!B$5:B$253,0))</f>
        <v>258.73</v>
      </c>
      <c r="F245" s="7">
        <f>INDEX('Revised 2018 Lockdown'!E$5:E$253,MATCH(B245,'Revised 2018 Lockdown'!B$5:B$253,0))</f>
        <v>183277.62</v>
      </c>
      <c r="G245" s="7">
        <f>INDEX('Revised 2018 Lockdown'!F$5:F$253,MATCH(B245,'Revised 2018 Lockdown'!B$5:B$253,0))</f>
        <v>561.61</v>
      </c>
      <c r="H245" s="7">
        <f t="shared" si="24"/>
        <v>182716.01</v>
      </c>
      <c r="I245" s="6">
        <f t="shared" si="25"/>
        <v>706.20341668921264</v>
      </c>
      <c r="J245" s="6">
        <f t="shared" si="28"/>
        <v>706.20341668921264</v>
      </c>
      <c r="K245" s="5">
        <f t="shared" si="26"/>
        <v>182716.01</v>
      </c>
      <c r="L245" s="4">
        <f t="shared" si="27"/>
        <v>0</v>
      </c>
      <c r="M245" s="2" cm="1">
        <f t="array" ref="M245">SUMPRODUCT(--($L$6:$L$300&lt;&gt;1),--($C$6:$C$300=$C245),$H$6:$H$300)/SUMPRODUCT(--($L$6:$L$300&lt;&gt;1),--($C$6:$C$300=$C245),$E$6:$E$300)</f>
        <v>654.06771202989376</v>
      </c>
      <c r="N245" s="1" cm="1">
        <f t="array" ref="N245">SUMPRODUCT(--($L$6:$L$300&lt;&gt;1),--($C$6:$C$300=$C245))</f>
        <v>30</v>
      </c>
      <c r="O245" s="3">
        <f t="shared" si="29"/>
        <v>2718.1317003237255</v>
      </c>
      <c r="P245" s="2" cm="1">
        <f t="array" ref="P245">SQRT(SUMPRODUCT(--($L$6:$L$300&lt;&gt;1),--($C$6:$C$300=$C245),$E$6:$E$300,$O$6:$O$300)/((N245-1)*SUMPRODUCT(--($L$6:$L$300&lt;&gt;1),--($C$6:$C$300=$C245),$E$6:$E$300)/N245))</f>
        <v>549.91343193675789</v>
      </c>
      <c r="Q245" s="2">
        <f t="shared" si="31"/>
        <v>-50.67470758266245</v>
      </c>
      <c r="R245" s="2">
        <f t="shared" si="31"/>
        <v>1358.81013164245</v>
      </c>
      <c r="S245" s="2">
        <f t="shared" si="30"/>
        <v>706.20341668921264</v>
      </c>
    </row>
    <row r="246" spans="2:19" x14ac:dyDescent="0.25">
      <c r="B246" s="41">
        <v>630</v>
      </c>
      <c r="C246" s="41">
        <v>9</v>
      </c>
      <c r="D246" s="42" t="s">
        <v>296</v>
      </c>
      <c r="E246" s="154">
        <f>INDEX('Revised 2018 Lockdown'!H$5:H$253,MATCH(B246,'Revised 2018 Lockdown'!B$5:B$253,0))</f>
        <v>179.48000000000002</v>
      </c>
      <c r="F246" s="7">
        <f>INDEX('Revised 2018 Lockdown'!E$5:E$253,MATCH(B246,'Revised 2018 Lockdown'!B$5:B$253,0))</f>
        <v>233180.61</v>
      </c>
      <c r="G246" s="7">
        <f>INDEX('Revised 2018 Lockdown'!F$5:F$253,MATCH(B246,'Revised 2018 Lockdown'!B$5:B$253,0))</f>
        <v>2518.79</v>
      </c>
      <c r="H246" s="7">
        <f t="shared" si="24"/>
        <v>230661.81999999998</v>
      </c>
      <c r="I246" s="6">
        <f t="shared" si="25"/>
        <v>1285.1672609761531</v>
      </c>
      <c r="J246" s="6">
        <f t="shared" si="28"/>
        <v>1285.1672609761531</v>
      </c>
      <c r="K246" s="5">
        <f t="shared" si="26"/>
        <v>230661.81999999998</v>
      </c>
      <c r="L246" s="4">
        <f t="shared" si="27"/>
        <v>0</v>
      </c>
      <c r="M246" s="2" cm="1">
        <f t="array" ref="M246">SUMPRODUCT(--($L$6:$L$300&lt;&gt;1),--($C$6:$C$300=$C246),$H$6:$H$300)/SUMPRODUCT(--($L$6:$L$300&lt;&gt;1),--($C$6:$C$300=$C246),$E$6:$E$300)</f>
        <v>654.06771202989376</v>
      </c>
      <c r="N246" s="1" cm="1">
        <f t="array" ref="N246">SUMPRODUCT(--($L$6:$L$300&lt;&gt;1),--($C$6:$C$300=$C246))</f>
        <v>30</v>
      </c>
      <c r="O246" s="3">
        <f t="shared" si="29"/>
        <v>398286.64068017201</v>
      </c>
      <c r="P246" s="2" cm="1">
        <f t="array" ref="P246">SQRT(SUMPRODUCT(--($L$6:$L$300&lt;&gt;1),--($C$6:$C$300=$C246),$E$6:$E$300,$O$6:$O$300)/((N246-1)*SUMPRODUCT(--($L$6:$L$300&lt;&gt;1),--($C$6:$C$300=$C246),$E$6:$E$300)/N246))</f>
        <v>549.91343193675789</v>
      </c>
      <c r="Q246" s="2">
        <f t="shared" si="31"/>
        <v>-50.67470758266245</v>
      </c>
      <c r="R246" s="2">
        <f t="shared" si="31"/>
        <v>1358.81013164245</v>
      </c>
      <c r="S246" s="2">
        <f t="shared" si="30"/>
        <v>1285.1672609761531</v>
      </c>
    </row>
    <row r="247" spans="2:19" x14ac:dyDescent="0.25">
      <c r="B247" s="1">
        <v>695</v>
      </c>
      <c r="C247" s="1">
        <v>9</v>
      </c>
      <c r="D247" t="s">
        <v>297</v>
      </c>
      <c r="E247" s="154">
        <f>INDEX('Revised 2018 Lockdown'!H$5:H$253,MATCH(B247,'Revised 2018 Lockdown'!B$5:B$253,0))</f>
        <v>29.69831035912819</v>
      </c>
      <c r="F247" s="7">
        <f>INDEX('Revised 2018 Lockdown'!E$5:E$253,MATCH(B247,'Revised 2018 Lockdown'!B$5:B$253,0))</f>
        <v>40518.69</v>
      </c>
      <c r="G247" s="7">
        <f>INDEX('Revised 2018 Lockdown'!F$5:F$253,MATCH(B247,'Revised 2018 Lockdown'!B$5:B$253,0))</f>
        <v>0</v>
      </c>
      <c r="H247" s="7">
        <f t="shared" ref="H247:H254" si="32">F247-G247</f>
        <v>40518.69</v>
      </c>
      <c r="I247" s="6">
        <f t="shared" ref="I247:I254" si="33">H247/E247</f>
        <v>1364.3432744161494</v>
      </c>
      <c r="J247" s="6">
        <f t="shared" ref="J247:J254" si="34">IF(ISERROR(IF($J$2=1,MAX(MIN(I247,R247),Q247),MIN(I247,R247))),R247,IF($J$2=1,MAX(MIN(I247,R247),Q247),MIN(I247,R247)))</f>
        <v>1358.81013164245</v>
      </c>
      <c r="K247" s="5">
        <f t="shared" ref="K247:K254" si="35">J247*E247</f>
        <v>40354.365008645313</v>
      </c>
      <c r="L247" s="4">
        <f t="shared" ref="L247:L254" si="36">IF(ISERROR(I247),1,0)</f>
        <v>0</v>
      </c>
      <c r="M247" s="2" cm="1">
        <f t="array" ref="M247">SUMPRODUCT(--($L$6:$L$300&lt;&gt;1),--($C$6:$C$300=$C247),$H$6:$H$300)/SUMPRODUCT(--($L$6:$L$300&lt;&gt;1),--($C$6:$C$300=$C247),$E$6:$E$300)</f>
        <v>654.06771202989376</v>
      </c>
      <c r="N247" s="1" cm="1">
        <f t="array" ref="N247">SUMPRODUCT(--($L$6:$L$300&lt;&gt;1),--($C$6:$C$300=$C247))</f>
        <v>30</v>
      </c>
      <c r="O247" s="3">
        <f t="shared" si="29"/>
        <v>504491.37452311168</v>
      </c>
      <c r="P247" s="2" cm="1">
        <f t="array" ref="P247">SQRT(SUMPRODUCT(--($L$6:$L$300&lt;&gt;1),--($C$6:$C$300=$C247),$E$6:$E$300,$O$6:$O$300)/((N247-1)*SUMPRODUCT(--($L$6:$L$300&lt;&gt;1),--($C$6:$C$300=$C247),$E$6:$E$300)/N247))</f>
        <v>549.91343193675789</v>
      </c>
      <c r="Q247" s="2">
        <f t="shared" si="31"/>
        <v>-50.67470758266245</v>
      </c>
      <c r="R247" s="2">
        <f t="shared" si="31"/>
        <v>1358.81013164245</v>
      </c>
      <c r="S247" s="2">
        <f t="shared" si="30"/>
        <v>1358.81013164245</v>
      </c>
    </row>
    <row r="248" spans="2:19" x14ac:dyDescent="0.25">
      <c r="B248" s="1">
        <v>771</v>
      </c>
      <c r="C248" s="1">
        <v>9</v>
      </c>
      <c r="D248" t="s">
        <v>298</v>
      </c>
      <c r="E248" s="154">
        <f>INDEX('Revised 2018 Lockdown'!H$5:H$253,MATCH(B248,'Revised 2018 Lockdown'!B$5:B$253,0))</f>
        <v>176.36629506344221</v>
      </c>
      <c r="F248" s="7">
        <f>INDEX('Revised 2018 Lockdown'!E$5:E$253,MATCH(B248,'Revised 2018 Lockdown'!B$5:B$253,0))</f>
        <v>63559.46</v>
      </c>
      <c r="G248" s="7">
        <f>INDEX('Revised 2018 Lockdown'!F$5:F$253,MATCH(B248,'Revised 2018 Lockdown'!B$5:B$253,0))</f>
        <v>0</v>
      </c>
      <c r="H248" s="7">
        <f t="shared" si="32"/>
        <v>63559.46</v>
      </c>
      <c r="I248" s="6">
        <f t="shared" si="33"/>
        <v>360.38325790728032</v>
      </c>
      <c r="J248" s="6">
        <f t="shared" si="34"/>
        <v>360.38325790728032</v>
      </c>
      <c r="K248" s="5">
        <f t="shared" si="35"/>
        <v>63559.459999999992</v>
      </c>
      <c r="L248" s="4">
        <f t="shared" si="36"/>
        <v>0</v>
      </c>
      <c r="M248" s="2" cm="1">
        <f t="array" ref="M248">SUMPRODUCT(--($L$6:$L$300&lt;&gt;1),--($C$6:$C$300=$C248),$H$6:$H$300)/SUMPRODUCT(--($L$6:$L$300&lt;&gt;1),--($C$6:$C$300=$C248),$E$6:$E$300)</f>
        <v>654.06771202989376</v>
      </c>
      <c r="N248" s="1" cm="1">
        <f t="array" ref="N248">SUMPRODUCT(--($L$6:$L$300&lt;&gt;1),--($C$6:$C$300=$C248))</f>
        <v>30</v>
      </c>
      <c r="O248" s="3">
        <f t="shared" si="29"/>
        <v>86250.558593297435</v>
      </c>
      <c r="P248" s="2" cm="1">
        <f t="array" ref="P248">SQRT(SUMPRODUCT(--($L$6:$L$300&lt;&gt;1),--($C$6:$C$300=$C248),$E$6:$E$300,$O$6:$O$300)/((N248-1)*SUMPRODUCT(--($L$6:$L$300&lt;&gt;1),--($C$6:$C$300=$C248),$E$6:$E$300)/N248))</f>
        <v>549.91343193675789</v>
      </c>
      <c r="Q248" s="2">
        <f t="shared" si="31"/>
        <v>-50.67470758266245</v>
      </c>
      <c r="R248" s="2">
        <f t="shared" si="31"/>
        <v>1358.81013164245</v>
      </c>
      <c r="S248" s="2">
        <f t="shared" si="30"/>
        <v>360.38325790728032</v>
      </c>
    </row>
    <row r="249" spans="2:19" x14ac:dyDescent="0.25">
      <c r="B249" s="1">
        <v>830</v>
      </c>
      <c r="C249" s="1">
        <v>9</v>
      </c>
      <c r="D249" t="s">
        <v>299</v>
      </c>
      <c r="E249" s="154">
        <f>INDEX('Revised 2018 Lockdown'!H$5:H$253,MATCH(B249,'Revised 2018 Lockdown'!B$5:B$253,0))</f>
        <v>22.210358152227126</v>
      </c>
      <c r="F249" s="7">
        <f>INDEX('Revised 2018 Lockdown'!E$5:E$253,MATCH(B249,'Revised 2018 Lockdown'!B$5:B$253,0))</f>
        <v>25322.05</v>
      </c>
      <c r="G249" s="7">
        <f>INDEX('Revised 2018 Lockdown'!F$5:F$253,MATCH(B249,'Revised 2018 Lockdown'!B$5:B$253,0))</f>
        <v>0</v>
      </c>
      <c r="H249" s="7">
        <f t="shared" si="32"/>
        <v>25322.05</v>
      </c>
      <c r="I249" s="6">
        <f t="shared" si="33"/>
        <v>1140.1009306759356</v>
      </c>
      <c r="J249" s="6">
        <f t="shared" si="34"/>
        <v>1140.1009306759356</v>
      </c>
      <c r="K249" s="5">
        <f t="shared" si="35"/>
        <v>25322.05</v>
      </c>
      <c r="L249" s="4">
        <f t="shared" si="36"/>
        <v>0</v>
      </c>
      <c r="M249" s="2" cm="1">
        <f t="array" ref="M249">SUMPRODUCT(--($L$6:$L$300&lt;&gt;1),--($C$6:$C$300=$C249),$H$6:$H$300)/SUMPRODUCT(--($L$6:$L$300&lt;&gt;1),--($C$6:$C$300=$C249),$E$6:$E$300)</f>
        <v>654.06771202989376</v>
      </c>
      <c r="N249" s="1" cm="1">
        <f t="array" ref="N249">SUMPRODUCT(--($L$6:$L$300&lt;&gt;1),--($C$6:$C$300=$C249))</f>
        <v>30</v>
      </c>
      <c r="O249" s="3">
        <f t="shared" si="29"/>
        <v>236228.28962743114</v>
      </c>
      <c r="P249" s="2" cm="1">
        <f t="array" ref="P249">SQRT(SUMPRODUCT(--($L$6:$L$300&lt;&gt;1),--($C$6:$C$300=$C249),$E$6:$E$300,$O$6:$O$300)/((N249-1)*SUMPRODUCT(--($L$6:$L$300&lt;&gt;1),--($C$6:$C$300=$C249),$E$6:$E$300)/N249))</f>
        <v>549.91343193675789</v>
      </c>
      <c r="Q249" s="2">
        <f t="shared" si="31"/>
        <v>-50.67470758266245</v>
      </c>
      <c r="R249" s="2">
        <f t="shared" si="31"/>
        <v>1358.81013164245</v>
      </c>
      <c r="S249" s="2">
        <f t="shared" si="30"/>
        <v>1140.1009306759356</v>
      </c>
    </row>
    <row r="250" spans="2:19" x14ac:dyDescent="0.25">
      <c r="B250" s="1">
        <v>936</v>
      </c>
      <c r="C250" s="1">
        <v>9</v>
      </c>
      <c r="D250" t="s">
        <v>300</v>
      </c>
      <c r="E250" s="154">
        <f>INDEX('Revised 2018 Lockdown'!H$5:H$253,MATCH(B250,'Revised 2018 Lockdown'!B$5:B$253,0))</f>
        <v>43.383691867789167</v>
      </c>
      <c r="F250" s="7">
        <f>INDEX('Revised 2018 Lockdown'!E$5:E$253,MATCH(B250,'Revised 2018 Lockdown'!B$5:B$253,0))</f>
        <v>69869.86</v>
      </c>
      <c r="G250" s="7">
        <f>INDEX('Revised 2018 Lockdown'!F$5:F$253,MATCH(B250,'Revised 2018 Lockdown'!B$5:B$253,0))</f>
        <v>0</v>
      </c>
      <c r="H250" s="7">
        <f t="shared" si="32"/>
        <v>69869.86</v>
      </c>
      <c r="I250" s="6">
        <f t="shared" si="33"/>
        <v>1610.5097789493536</v>
      </c>
      <c r="J250" s="6">
        <f t="shared" si="34"/>
        <v>1358.81013164245</v>
      </c>
      <c r="K250" s="5">
        <f t="shared" si="35"/>
        <v>58950.200058006085</v>
      </c>
      <c r="L250" s="4">
        <f t="shared" si="36"/>
        <v>0</v>
      </c>
      <c r="M250" s="2" cm="1">
        <f t="array" ref="M250">SUMPRODUCT(--($L$6:$L$300&lt;&gt;1),--($C$6:$C$300=$C250),$H$6:$H$300)/SUMPRODUCT(--($L$6:$L$300&lt;&gt;1),--($C$6:$C$300=$C250),$E$6:$E$300)</f>
        <v>654.06771202989376</v>
      </c>
      <c r="N250" s="1" cm="1">
        <f t="array" ref="N250">SUMPRODUCT(--($L$6:$L$300&lt;&gt;1),--($C$6:$C$300=$C250))</f>
        <v>30</v>
      </c>
      <c r="O250" s="3">
        <f t="shared" si="29"/>
        <v>914781.42737316852</v>
      </c>
      <c r="P250" s="2" cm="1">
        <f t="array" ref="P250">SQRT(SUMPRODUCT(--($L$6:$L$300&lt;&gt;1),--($C$6:$C$300=$C250),$E$6:$E$300,$O$6:$O$300)/((N250-1)*SUMPRODUCT(--($L$6:$L$300&lt;&gt;1),--($C$6:$C$300=$C250),$E$6:$E$300)/N250))</f>
        <v>549.91343193675789</v>
      </c>
      <c r="Q250" s="2">
        <f t="shared" si="31"/>
        <v>-50.67470758266245</v>
      </c>
      <c r="R250" s="2">
        <f t="shared" si="31"/>
        <v>1358.81013164245</v>
      </c>
      <c r="S250" s="2">
        <f t="shared" si="30"/>
        <v>1358.81013164245</v>
      </c>
    </row>
    <row r="251" spans="2:19" x14ac:dyDescent="0.25">
      <c r="B251" s="1">
        <v>952</v>
      </c>
      <c r="C251" s="1">
        <v>9</v>
      </c>
      <c r="D251" t="s">
        <v>301</v>
      </c>
      <c r="E251" s="154">
        <f>INDEX('Revised 2018 Lockdown'!H$5:H$253,MATCH(B251,'Revised 2018 Lockdown'!B$5:B$253,0))</f>
        <v>65.756366888363871</v>
      </c>
      <c r="F251" s="7">
        <f>INDEX('Revised 2018 Lockdown'!E$5:E$253,MATCH(B251,'Revised 2018 Lockdown'!B$5:B$253,0))</f>
        <v>81300.5</v>
      </c>
      <c r="G251" s="7">
        <f>INDEX('Revised 2018 Lockdown'!F$5:F$253,MATCH(B251,'Revised 2018 Lockdown'!B$5:B$253,0))</f>
        <v>3878.1</v>
      </c>
      <c r="H251" s="7">
        <f t="shared" si="32"/>
        <v>77422.399999999994</v>
      </c>
      <c r="I251" s="6">
        <f t="shared" si="33"/>
        <v>1177.4129816423986</v>
      </c>
      <c r="J251" s="6">
        <f t="shared" si="34"/>
        <v>1177.4129816423986</v>
      </c>
      <c r="K251" s="5">
        <f t="shared" si="35"/>
        <v>77422.399999999994</v>
      </c>
      <c r="L251" s="4">
        <f t="shared" si="36"/>
        <v>0</v>
      </c>
      <c r="M251" s="2" cm="1">
        <f t="array" ref="M251">SUMPRODUCT(--($L$6:$L$300&lt;&gt;1),--($C$6:$C$300=$C251),$H$6:$H$300)/SUMPRODUCT(--($L$6:$L$300&lt;&gt;1),--($C$6:$C$300=$C251),$E$6:$E$300)</f>
        <v>654.06771202989376</v>
      </c>
      <c r="N251" s="1" cm="1">
        <f t="array" ref="N251">SUMPRODUCT(--($L$6:$L$300&lt;&gt;1),--($C$6:$C$300=$C251))</f>
        <v>30</v>
      </c>
      <c r="O251" s="3">
        <f t="shared" si="29"/>
        <v>273890.27122578537</v>
      </c>
      <c r="P251" s="2" cm="1">
        <f t="array" ref="P251">SQRT(SUMPRODUCT(--($L$6:$L$300&lt;&gt;1),--($C$6:$C$300=$C251),$E$6:$E$300,$O$6:$O$300)/((N251-1)*SUMPRODUCT(--($L$6:$L$300&lt;&gt;1),--($C$6:$C$300=$C251),$E$6:$E$300)/N251))</f>
        <v>549.91343193675789</v>
      </c>
      <c r="Q251" s="2">
        <f t="shared" si="31"/>
        <v>-50.67470758266245</v>
      </c>
      <c r="R251" s="2">
        <f t="shared" si="31"/>
        <v>1358.81013164245</v>
      </c>
      <c r="S251" s="2">
        <f t="shared" si="30"/>
        <v>1177.4129816423986</v>
      </c>
    </row>
    <row r="252" spans="2:19" x14ac:dyDescent="0.25">
      <c r="B252" s="1">
        <v>982</v>
      </c>
      <c r="C252" s="1">
        <v>9</v>
      </c>
      <c r="D252" t="s">
        <v>302</v>
      </c>
      <c r="E252" s="154">
        <f>INDEX('Revised 2018 Lockdown'!H$5:H$253,MATCH(B252,'Revised 2018 Lockdown'!B$5:B$253,0))</f>
        <v>97.412690933606555</v>
      </c>
      <c r="F252" s="7">
        <f>INDEX('Revised 2018 Lockdown'!E$5:E$253,MATCH(B252,'Revised 2018 Lockdown'!B$5:B$253,0))</f>
        <v>107892.54</v>
      </c>
      <c r="G252" s="7">
        <f>INDEX('Revised 2018 Lockdown'!F$5:F$253,MATCH(B252,'Revised 2018 Lockdown'!B$5:B$253,0))</f>
        <v>0</v>
      </c>
      <c r="H252" s="7">
        <f t="shared" si="32"/>
        <v>107892.54</v>
      </c>
      <c r="I252" s="6">
        <f t="shared" si="33"/>
        <v>1107.5819686937523</v>
      </c>
      <c r="J252" s="6">
        <f t="shared" si="34"/>
        <v>1107.5819686937523</v>
      </c>
      <c r="K252" s="5">
        <f t="shared" si="35"/>
        <v>107892.53999999998</v>
      </c>
      <c r="L252" s="4">
        <f t="shared" si="36"/>
        <v>0</v>
      </c>
      <c r="M252" s="2" cm="1">
        <f t="array" ref="M252">SUMPRODUCT(--($L$6:$L$300&lt;&gt;1),--($C$6:$C$300=$C252),$H$6:$H$300)/SUMPRODUCT(--($L$6:$L$300&lt;&gt;1),--($C$6:$C$300=$C252),$E$6:$E$300)</f>
        <v>654.06771202989376</v>
      </c>
      <c r="N252" s="1" cm="1">
        <f t="array" ref="N252">SUMPRODUCT(--($L$6:$L$300&lt;&gt;1),--($C$6:$C$300=$C252))</f>
        <v>30</v>
      </c>
      <c r="O252" s="3">
        <f t="shared" si="29"/>
        <v>205675.18099737214</v>
      </c>
      <c r="P252" s="2" cm="1">
        <f t="array" ref="P252">SQRT(SUMPRODUCT(--($L$6:$L$300&lt;&gt;1),--($C$6:$C$300=$C252),$E$6:$E$300,$O$6:$O$300)/((N252-1)*SUMPRODUCT(--($L$6:$L$300&lt;&gt;1),--($C$6:$C$300=$C252),$E$6:$E$300)/N252))</f>
        <v>549.91343193675789</v>
      </c>
      <c r="Q252" s="2">
        <f t="shared" si="31"/>
        <v>-50.67470758266245</v>
      </c>
      <c r="R252" s="2">
        <f t="shared" si="31"/>
        <v>1358.81013164245</v>
      </c>
      <c r="S252" s="2">
        <f t="shared" si="30"/>
        <v>1107.5819686937523</v>
      </c>
    </row>
    <row r="253" spans="2:19" x14ac:dyDescent="0.25">
      <c r="B253" s="1">
        <v>987</v>
      </c>
      <c r="C253" s="1">
        <v>9</v>
      </c>
      <c r="D253" t="s">
        <v>303</v>
      </c>
      <c r="E253" s="154">
        <f>INDEX('Revised 2018 Lockdown'!H$5:H$253,MATCH(B253,'Revised 2018 Lockdown'!B$5:B$253,0))</f>
        <v>253.77541145224947</v>
      </c>
      <c r="F253" s="7">
        <f>INDEX('Revised 2018 Lockdown'!E$5:E$253,MATCH(B253,'Revised 2018 Lockdown'!B$5:B$253,0))</f>
        <v>88557.58</v>
      </c>
      <c r="G253" s="7">
        <f>INDEX('Revised 2018 Lockdown'!F$5:F$253,MATCH(B253,'Revised 2018 Lockdown'!B$5:B$253,0))</f>
        <v>0</v>
      </c>
      <c r="H253" s="7">
        <f t="shared" si="32"/>
        <v>88557.58</v>
      </c>
      <c r="I253" s="6">
        <f t="shared" si="33"/>
        <v>348.96044298863467</v>
      </c>
      <c r="J253" s="6">
        <f t="shared" si="34"/>
        <v>348.96044298863467</v>
      </c>
      <c r="K253" s="5">
        <f t="shared" si="35"/>
        <v>88557.58</v>
      </c>
      <c r="L253" s="4">
        <f t="shared" si="36"/>
        <v>0</v>
      </c>
      <c r="M253" s="2" cm="1">
        <f t="array" ref="M253">SUMPRODUCT(--($L$6:$L$300&lt;&gt;1),--($C$6:$C$300=$C253),$H$6:$H$300)/SUMPRODUCT(--($L$6:$L$300&lt;&gt;1),--($C$6:$C$300=$C253),$E$6:$E$300)</f>
        <v>654.06771202989376</v>
      </c>
      <c r="N253" s="1" cm="1">
        <f t="array" ref="N253">SUMPRODUCT(--($L$6:$L$300&lt;&gt;1),--($C$6:$C$300=$C253))</f>
        <v>30</v>
      </c>
      <c r="O253" s="3">
        <f t="shared" si="29"/>
        <v>93090.445621815263</v>
      </c>
      <c r="P253" s="2" cm="1">
        <f t="array" ref="P253">SQRT(SUMPRODUCT(--($L$6:$L$300&lt;&gt;1),--($C$6:$C$300=$C253),$E$6:$E$300,$O$6:$O$300)/((N253-1)*SUMPRODUCT(--($L$6:$L$300&lt;&gt;1),--($C$6:$C$300=$C253),$E$6:$E$300)/N253))</f>
        <v>549.91343193675789</v>
      </c>
      <c r="Q253" s="2">
        <f t="shared" si="31"/>
        <v>-50.67470758266245</v>
      </c>
      <c r="R253" s="2">
        <f t="shared" si="31"/>
        <v>1358.81013164245</v>
      </c>
      <c r="S253" s="2">
        <f t="shared" si="30"/>
        <v>348.96044298863467</v>
      </c>
    </row>
    <row r="254" spans="2:19" x14ac:dyDescent="0.25">
      <c r="B254" s="1">
        <v>998</v>
      </c>
      <c r="C254" s="1">
        <v>9</v>
      </c>
      <c r="D254" t="s">
        <v>304</v>
      </c>
      <c r="E254" s="154">
        <f>INDEX('Revised 2018 Lockdown'!H$5:H$253,MATCH(B254,'Revised 2018 Lockdown'!B$5:B$253,0))</f>
        <v>43.600114358919271</v>
      </c>
      <c r="F254" s="7">
        <f>INDEX('Revised 2018 Lockdown'!E$5:E$253,MATCH(B254,'Revised 2018 Lockdown'!B$5:B$253,0))</f>
        <v>219857.96</v>
      </c>
      <c r="G254" s="7">
        <f>INDEX('Revised 2018 Lockdown'!F$5:F$253,MATCH(B254,'Revised 2018 Lockdown'!B$5:B$253,0))</f>
        <v>0</v>
      </c>
      <c r="H254" s="7">
        <f t="shared" si="32"/>
        <v>219857.96</v>
      </c>
      <c r="I254" s="6">
        <f t="shared" si="33"/>
        <v>5042.6005351755157</v>
      </c>
      <c r="J254" s="6">
        <f t="shared" si="34"/>
        <v>1358.81013164245</v>
      </c>
      <c r="K254" s="5">
        <f t="shared" si="35"/>
        <v>59244.277131668969</v>
      </c>
      <c r="L254" s="4">
        <f t="shared" si="36"/>
        <v>0</v>
      </c>
      <c r="M254" s="2" cm="1">
        <f t="array" ref="M254">SUMPRODUCT(--($L$6:$L$300&lt;&gt;1),--($C$6:$C$300=$C254),$H$6:$H$300)/SUMPRODUCT(--($L$6:$L$300&lt;&gt;1),--($C$6:$C$300=$C254),$E$6:$E$300)</f>
        <v>654.06771202989376</v>
      </c>
      <c r="N254" s="1" cm="1">
        <f t="array" ref="N254">SUMPRODUCT(--($L$6:$L$300&lt;&gt;1),--($C$6:$C$300=$C254))</f>
        <v>30</v>
      </c>
      <c r="O254" s="3">
        <f t="shared" si="29"/>
        <v>19259220.339826487</v>
      </c>
      <c r="P254" s="2" cm="1">
        <f t="array" ref="P254">SQRT(SUMPRODUCT(--($L$6:$L$300&lt;&gt;1),--($C$6:$C$300=$C254),$E$6:$E$300,$O$6:$O$300)/((N254-1)*SUMPRODUCT(--($L$6:$L$300&lt;&gt;1),--($C$6:$C$300=$C254),$E$6:$E$300)/N254))</f>
        <v>549.91343193675789</v>
      </c>
      <c r="Q254" s="2">
        <f t="shared" si="31"/>
        <v>-50.67470758266245</v>
      </c>
      <c r="R254" s="2">
        <f t="shared" si="31"/>
        <v>1358.81013164245</v>
      </c>
      <c r="S254" s="2">
        <f t="shared" si="30"/>
        <v>1358.81013164245</v>
      </c>
    </row>
  </sheetData>
  <conditionalFormatting sqref="E6:S6 E75:L254 E74:K74 E7:L73 M7:S254">
    <cfRule type="expression" dxfId="24" priority="10">
      <formula>$C6&lt;&gt;$C5</formula>
    </cfRule>
  </conditionalFormatting>
  <conditionalFormatting sqref="J6:J254">
    <cfRule type="expression" dxfId="23" priority="9">
      <formula>$J6&lt;$I6=TRUE</formula>
    </cfRule>
  </conditionalFormatting>
  <conditionalFormatting sqref="B51:D77 B151:D163 B165:D170 B214:D236 B84:D149 B79:D81 B172:D182 B184:D212 B6:D49">
    <cfRule type="expression" dxfId="22" priority="5">
      <formula>$C6&lt;&gt;$C5</formula>
    </cfRule>
  </conditionalFormatting>
  <conditionalFormatting sqref="B50:D50 B78:D78 B164:D164 B213:D213 B82:D82 B183:D183">
    <cfRule type="expression" dxfId="21" priority="6">
      <formula>$C50&lt;&gt;$C48</formula>
    </cfRule>
  </conditionalFormatting>
  <conditionalFormatting sqref="B150:D150 B171:D171">
    <cfRule type="expression" dxfId="20" priority="7">
      <formula>$C150&lt;&gt;#REF!</formula>
    </cfRule>
  </conditionalFormatting>
  <conditionalFormatting sqref="B83:D83">
    <cfRule type="expression" dxfId="19" priority="8">
      <formula>$C83&lt;&gt;$C80</formula>
    </cfRule>
  </conditionalFormatting>
  <conditionalFormatting sqref="E6:E254">
    <cfRule type="expression" dxfId="18" priority="4">
      <formula>$C6&lt;&gt;$C5</formula>
    </cfRule>
  </conditionalFormatting>
  <conditionalFormatting sqref="E4:H4">
    <cfRule type="expression" dxfId="17" priority="3">
      <formula>$C4&lt;&gt;$C3</formula>
    </cfRule>
  </conditionalFormatting>
  <conditionalFormatting sqref="L74">
    <cfRule type="expression" dxfId="16" priority="2">
      <formula>$C74&lt;&gt;$C73</formula>
    </cfRule>
  </conditionalFormatting>
  <conditionalFormatting sqref="K4">
    <cfRule type="expression" dxfId="15" priority="1">
      <formula>$C4&lt;&gt;$C3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60DE5-541C-49A5-B2CB-56D389B83AF2}">
  <sheetPr codeName="Sheet4">
    <tabColor rgb="FFFFCCFF"/>
  </sheetPr>
  <dimension ref="A1:I253"/>
  <sheetViews>
    <sheetView workbookViewId="0"/>
  </sheetViews>
  <sheetFormatPr defaultColWidth="8.875" defaultRowHeight="14.3" x14ac:dyDescent="0.25"/>
  <cols>
    <col min="1" max="1" width="4.875" style="34" customWidth="1"/>
    <col min="2" max="2" width="8.5" style="34" customWidth="1"/>
    <col min="3" max="3" width="8.875" style="34" customWidth="1"/>
    <col min="4" max="4" width="53" style="34" customWidth="1"/>
    <col min="5" max="8" width="13.875" style="34" customWidth="1"/>
    <col min="9" max="9" width="12.875" style="34" customWidth="1"/>
    <col min="10" max="16384" width="8.875" style="34"/>
  </cols>
  <sheetData>
    <row r="1" spans="1:9" x14ac:dyDescent="0.25">
      <c r="E1" s="34" t="s">
        <v>14</v>
      </c>
      <c r="F1" s="174">
        <v>1000</v>
      </c>
      <c r="H1" s="34" t="s">
        <v>15</v>
      </c>
      <c r="I1" s="175">
        <f t="array" ref="I1">AVERAGE(IF($I$5:$I$300&lt;&gt;0,IF($I$5:$I$300&lt;=F1,$I$5:$I$300)))</f>
        <v>496.92277537825879</v>
      </c>
    </row>
    <row r="2" spans="1:9" x14ac:dyDescent="0.25">
      <c r="B2" s="31" t="s">
        <v>376</v>
      </c>
      <c r="E2" s="32"/>
      <c r="H2" s="34" t="s">
        <v>16</v>
      </c>
      <c r="I2" s="175">
        <f t="array" ref="I2">STDEV(IF($I$5:$I$300&lt;&gt;0,IF($I$5:$I$300&lt;=F1,$I$5:$I$300)))</f>
        <v>204.19717224333849</v>
      </c>
    </row>
    <row r="3" spans="1:9" ht="14.95" thickBot="1" x14ac:dyDescent="0.3">
      <c r="E3" s="33">
        <f>SUM(E5:E300)</f>
        <v>366925765.61999971</v>
      </c>
      <c r="F3" s="33">
        <f>SUM(F5:F300)</f>
        <v>75152503.179999992</v>
      </c>
      <c r="G3" s="33">
        <f>SUM(G5:G300)</f>
        <v>291773262.43999994</v>
      </c>
      <c r="H3" s="155">
        <f>SUM(H5:H300)</f>
        <v>780346.13362871122</v>
      </c>
      <c r="I3" s="174">
        <f>G3/H3</f>
        <v>373.90236187013096</v>
      </c>
    </row>
    <row r="4" spans="1:9" ht="43.5" thickBot="1" x14ac:dyDescent="0.3">
      <c r="B4" s="176" t="s">
        <v>11</v>
      </c>
      <c r="C4" s="176" t="s">
        <v>10</v>
      </c>
      <c r="D4" s="176" t="s">
        <v>9</v>
      </c>
      <c r="E4" s="176" t="s">
        <v>17</v>
      </c>
      <c r="F4" s="176" t="s">
        <v>18</v>
      </c>
      <c r="G4" s="176" t="s">
        <v>19</v>
      </c>
      <c r="H4" s="177" t="s">
        <v>20</v>
      </c>
      <c r="I4" s="176" t="s">
        <v>21</v>
      </c>
    </row>
    <row r="5" spans="1:9" x14ac:dyDescent="0.25">
      <c r="A5" s="37">
        <v>1</v>
      </c>
      <c r="B5" s="185">
        <v>1</v>
      </c>
      <c r="C5" s="179">
        <f>INDEX('[1]Full Program List'!B$2:B$300,MATCH(B5,'[1]Full Program List'!A$2:A$300,0))</f>
        <v>1</v>
      </c>
      <c r="D5" s="180" t="str">
        <f>INDEX('[1]Full Program List'!C$2:C$300,MATCH(B5,'[1]Full Program List'!A$2:A$300,0))</f>
        <v>HALTON, REGIONAL MUNICIPALITY OF</v>
      </c>
      <c r="E5" s="181">
        <f>INDEX('[1]Gross Costs'!$S$5:$S$255,MATCH(B5,'[1]Gross Costs'!$B$5:$B$255,0))</f>
        <v>9766397.1899999995</v>
      </c>
      <c r="F5" s="182">
        <f>INDEX('[1]Gross Costs'!$T$5:$T$255,MATCH(B5,'[1]Gross Costs'!$B$5:$B$255,0))</f>
        <v>568925.55000000005</v>
      </c>
      <c r="G5" s="182">
        <f t="shared" ref="G5:G68" si="0">E5-F5</f>
        <v>9197471.6399999987</v>
      </c>
      <c r="H5" s="183">
        <f>INDEX([1]Tonnes!$N$5:$N$255,MATCH(B5,[1]Tonnes!$B$5:$B$255,0))</f>
        <v>38728.502695461008</v>
      </c>
      <c r="I5" s="184">
        <f t="shared" ref="I5:I68" si="1">IFERROR(G5/H5,0)</f>
        <v>237.48585666540487</v>
      </c>
    </row>
    <row r="6" spans="1:9" x14ac:dyDescent="0.25">
      <c r="A6" s="37">
        <v>1</v>
      </c>
      <c r="B6" s="185">
        <v>20</v>
      </c>
      <c r="C6" s="179">
        <f>INDEX('[1]Full Program List'!B$2:B$300,MATCH(B6,'[1]Full Program List'!A$2:A$300,0))</f>
        <v>1</v>
      </c>
      <c r="D6" s="180" t="str">
        <f>INDEX('[1]Full Program List'!C$2:C$300,MATCH(B6,'[1]Full Program List'!A$2:A$300,0))</f>
        <v>TORONTO, CITY OF</v>
      </c>
      <c r="E6" s="181">
        <f>INDEX('[1]Gross Costs'!$S$5:$S$255,MATCH(B6,'[1]Gross Costs'!$B$5:$B$255,0))</f>
        <v>72113420.859999999</v>
      </c>
      <c r="F6" s="182">
        <f>INDEX('[1]Gross Costs'!$T$5:$T$255,MATCH(B6,'[1]Gross Costs'!$B$5:$B$255,0))</f>
        <v>10663964.02</v>
      </c>
      <c r="G6" s="182">
        <f t="shared" si="0"/>
        <v>61449456.840000004</v>
      </c>
      <c r="H6" s="183">
        <f>INDEX([1]Tonnes!$N$5:$N$255,MATCH(B6,[1]Tonnes!$B$5:$B$255,0))</f>
        <v>95138.34</v>
      </c>
      <c r="I6" s="184">
        <f t="shared" si="1"/>
        <v>645.89582748658438</v>
      </c>
    </row>
    <row r="7" spans="1:9" x14ac:dyDescent="0.25">
      <c r="A7" s="37">
        <v>1</v>
      </c>
      <c r="B7" s="185">
        <v>50</v>
      </c>
      <c r="C7" s="179">
        <f>INDEX('[1]Full Program List'!B$2:B$300,MATCH(B7,'[1]Full Program List'!A$2:A$300,0))</f>
        <v>1</v>
      </c>
      <c r="D7" s="180" t="str">
        <f>INDEX('[1]Full Program List'!C$2:C$300,MATCH(B7,'[1]Full Program List'!A$2:A$300,0))</f>
        <v>LONDON, CITY OF</v>
      </c>
      <c r="E7" s="181">
        <f>INDEX('[1]Gross Costs'!$S$5:$S$255,MATCH(B7,'[1]Gross Costs'!$B$5:$B$255,0))</f>
        <v>10267643.390000001</v>
      </c>
      <c r="F7" s="182">
        <f>INDEX('[1]Gross Costs'!$T$5:$T$255,MATCH(B7,'[1]Gross Costs'!$B$5:$B$255,0))</f>
        <v>3253400.57</v>
      </c>
      <c r="G7" s="182">
        <f t="shared" si="0"/>
        <v>7014242.8200000003</v>
      </c>
      <c r="H7" s="183">
        <f>INDEX([1]Tonnes!$N$5:$N$255,MATCH(B7,[1]Tonnes!$B$5:$B$255,0))</f>
        <v>21832.32</v>
      </c>
      <c r="I7" s="184">
        <f t="shared" si="1"/>
        <v>321.27794114413859</v>
      </c>
    </row>
    <row r="8" spans="1:9" x14ac:dyDescent="0.25">
      <c r="A8" s="37">
        <v>1</v>
      </c>
      <c r="B8" s="185">
        <v>97</v>
      </c>
      <c r="C8" s="179">
        <f>INDEX('[1]Full Program List'!B$2:B$300,MATCH(B8,'[1]Full Program List'!A$2:A$300,0))</f>
        <v>1</v>
      </c>
      <c r="D8" s="180" t="str">
        <f>INDEX('[1]Full Program List'!C$2:C$300,MATCH(B8,'[1]Full Program List'!A$2:A$300,0))</f>
        <v>YORK, REGIONAL MUNICIPALITY OF</v>
      </c>
      <c r="E8" s="181">
        <f>INDEX('[1]Gross Costs'!$S$5:$S$255,MATCH(B8,'[1]Gross Costs'!$B$5:$B$255,0))</f>
        <v>29681294.399999999</v>
      </c>
      <c r="F8" s="182">
        <f>INDEX('[1]Gross Costs'!$T$5:$T$255,MATCH(B8,'[1]Gross Costs'!$B$5:$B$255,0))</f>
        <v>5193562.6999999993</v>
      </c>
      <c r="G8" s="182">
        <f t="shared" si="0"/>
        <v>24487731.699999999</v>
      </c>
      <c r="H8" s="183">
        <f>INDEX([1]Tonnes!$N$5:$N$255,MATCH(B8,[1]Tonnes!$B$5:$B$255,0))</f>
        <v>65818.306144817994</v>
      </c>
      <c r="I8" s="184">
        <f t="shared" si="1"/>
        <v>372.05046945633023</v>
      </c>
    </row>
    <row r="9" spans="1:9" x14ac:dyDescent="0.25">
      <c r="A9" s="37">
        <v>1</v>
      </c>
      <c r="B9" s="185">
        <v>172</v>
      </c>
      <c r="C9" s="179">
        <f>INDEX('[1]Full Program List'!B$2:B$300,MATCH(B9,'[1]Full Program List'!A$2:A$300,0))</f>
        <v>1</v>
      </c>
      <c r="D9" s="180" t="str">
        <f>INDEX('[1]Full Program List'!C$2:C$300,MATCH(B9,'[1]Full Program List'!A$2:A$300,0))</f>
        <v>HAMILTON, CITY OF</v>
      </c>
      <c r="E9" s="181">
        <f>INDEX('[1]Gross Costs'!$S$5:$S$255,MATCH(B9,'[1]Gross Costs'!$B$5:$B$255,0))</f>
        <v>15497137.449999999</v>
      </c>
      <c r="F9" s="182">
        <f>INDEX('[1]Gross Costs'!$T$5:$T$255,MATCH(B9,'[1]Gross Costs'!$B$5:$B$255,0))</f>
        <v>3445193.7500000005</v>
      </c>
      <c r="G9" s="182">
        <f t="shared" si="0"/>
        <v>12051943.699999999</v>
      </c>
      <c r="H9" s="183">
        <f>INDEX([1]Tonnes!$N$5:$N$255,MATCH(B9,[1]Tonnes!$B$5:$B$255,0))</f>
        <v>34341.100000000006</v>
      </c>
      <c r="I9" s="184">
        <f t="shared" si="1"/>
        <v>350.94809717801695</v>
      </c>
    </row>
    <row r="10" spans="1:9" x14ac:dyDescent="0.25">
      <c r="A10" s="37">
        <v>1</v>
      </c>
      <c r="B10" s="185">
        <v>270</v>
      </c>
      <c r="C10" s="179">
        <f>INDEX('[1]Full Program List'!B$2:B$300,MATCH(B10,'[1]Full Program List'!A$2:A$300,0))</f>
        <v>1</v>
      </c>
      <c r="D10" s="180" t="str">
        <f>INDEX('[1]Full Program List'!C$2:C$300,MATCH(B10,'[1]Full Program List'!A$2:A$300,0))</f>
        <v>PEEL, REGIONAL MUNICIPALITY OF</v>
      </c>
      <c r="E10" s="181">
        <f>INDEX('[1]Gross Costs'!$S$5:$S$255,MATCH(B10,'[1]Gross Costs'!$B$5:$B$255,0))</f>
        <v>36853205.850000001</v>
      </c>
      <c r="F10" s="182">
        <f>INDEX('[1]Gross Costs'!$T$5:$T$255,MATCH(B10,'[1]Gross Costs'!$B$5:$B$255,0))</f>
        <v>6800569.6699999999</v>
      </c>
      <c r="G10" s="182">
        <f t="shared" si="0"/>
        <v>30052636.18</v>
      </c>
      <c r="H10" s="183">
        <f>INDEX([1]Tonnes!$N$5:$N$255,MATCH(B10,[1]Tonnes!$B$5:$B$255,0))</f>
        <v>81774.8</v>
      </c>
      <c r="I10" s="184">
        <f t="shared" si="1"/>
        <v>367.50485699751022</v>
      </c>
    </row>
    <row r="11" spans="1:9" x14ac:dyDescent="0.25">
      <c r="A11" s="37">
        <v>2</v>
      </c>
      <c r="B11" s="185">
        <v>6</v>
      </c>
      <c r="C11" s="179">
        <f>INDEX('[1]Full Program List'!B$2:B$300,MATCH(B11,'[1]Full Program List'!A$2:A$300,0))</f>
        <v>2</v>
      </c>
      <c r="D11" s="180" t="str">
        <f>INDEX('[1]Full Program List'!C$2:C$300,MATCH(B11,'[1]Full Program List'!A$2:A$300,0))</f>
        <v>DURHAM, REGIONAL MUNICIPALITY OF</v>
      </c>
      <c r="E11" s="181">
        <f>INDEX('[1]Gross Costs'!$S$5:$S$255,MATCH(B11,'[1]Gross Costs'!$B$5:$B$255,0))</f>
        <v>19454497.760000002</v>
      </c>
      <c r="F11" s="182">
        <f>INDEX('[1]Gross Costs'!$T$5:$T$255,MATCH(B11,'[1]Gross Costs'!$B$5:$B$255,0))</f>
        <v>4664058.9000000004</v>
      </c>
      <c r="G11" s="182">
        <f t="shared" si="0"/>
        <v>14790438.860000001</v>
      </c>
      <c r="H11" s="183">
        <f>INDEX([1]Tonnes!$N$5:$N$255,MATCH(B11,[1]Tonnes!$B$5:$B$255,0))</f>
        <v>43278</v>
      </c>
      <c r="I11" s="184">
        <f t="shared" si="1"/>
        <v>341.75421368824811</v>
      </c>
    </row>
    <row r="12" spans="1:9" x14ac:dyDescent="0.25">
      <c r="A12" s="37">
        <v>2</v>
      </c>
      <c r="B12" s="185">
        <v>18</v>
      </c>
      <c r="C12" s="179">
        <f>INDEX('[1]Full Program List'!B$2:B$300,MATCH(B12,'[1]Full Program List'!A$2:A$300,0))</f>
        <v>2</v>
      </c>
      <c r="D12" s="180" t="str">
        <f>INDEX('[1]Full Program List'!C$2:C$300,MATCH(B12,'[1]Full Program List'!A$2:A$300,0))</f>
        <v>ESSEX-WINDSOR SOLID WASTE AUTHORITY</v>
      </c>
      <c r="E12" s="181">
        <f>INDEX('[1]Gross Costs'!$S$5:$S$255,MATCH(B12,'[1]Gross Costs'!$B$5:$B$255,0))</f>
        <v>8164283.8399999999</v>
      </c>
      <c r="F12" s="182">
        <f>INDEX('[1]Gross Costs'!$T$5:$T$255,MATCH(B12,'[1]Gross Costs'!$B$5:$B$255,0))</f>
        <v>3204604.9</v>
      </c>
      <c r="G12" s="182">
        <f t="shared" si="0"/>
        <v>4959678.9399999995</v>
      </c>
      <c r="H12" s="183">
        <f>INDEX([1]Tonnes!$N$5:$N$255,MATCH(B12,[1]Tonnes!$B$5:$B$255,0))</f>
        <v>23157.74</v>
      </c>
      <c r="I12" s="184">
        <f t="shared" si="1"/>
        <v>214.16938526816517</v>
      </c>
    </row>
    <row r="13" spans="1:9" x14ac:dyDescent="0.25">
      <c r="A13" s="37">
        <v>2</v>
      </c>
      <c r="B13" s="185">
        <v>53</v>
      </c>
      <c r="C13" s="179">
        <f>INDEX('[1]Full Program List'!B$2:B$300,MATCH(B13,'[1]Full Program List'!A$2:A$300,0))</f>
        <v>2</v>
      </c>
      <c r="D13" s="180" t="str">
        <f>INDEX('[1]Full Program List'!C$2:C$300,MATCH(B13,'[1]Full Program List'!A$2:A$300,0))</f>
        <v>WATERLOO, REGIONAL MUNICIPALITY OF</v>
      </c>
      <c r="E13" s="181">
        <f>INDEX('[1]Gross Costs'!$S$5:$S$255,MATCH(B13,'[1]Gross Costs'!$B$5:$B$255,0))</f>
        <v>11201363.85</v>
      </c>
      <c r="F13" s="182">
        <f>INDEX('[1]Gross Costs'!$T$5:$T$255,MATCH(B13,'[1]Gross Costs'!$B$5:$B$255,0))</f>
        <v>3914991.95</v>
      </c>
      <c r="G13" s="182">
        <f t="shared" si="0"/>
        <v>7286371.8999999994</v>
      </c>
      <c r="H13" s="183">
        <f>INDEX([1]Tonnes!$N$5:$N$255,MATCH(B13,[1]Tonnes!$B$5:$B$255,0))</f>
        <v>36449.64</v>
      </c>
      <c r="I13" s="184">
        <f t="shared" si="1"/>
        <v>199.90243799390061</v>
      </c>
    </row>
    <row r="14" spans="1:9" x14ac:dyDescent="0.25">
      <c r="A14" s="37">
        <v>2</v>
      </c>
      <c r="B14" s="185">
        <v>335</v>
      </c>
      <c r="C14" s="179">
        <f>INDEX('[1]Full Program List'!B$2:B$300,MATCH(B14,'[1]Full Program List'!A$2:A$300,0))</f>
        <v>2</v>
      </c>
      <c r="D14" s="180" t="str">
        <f>INDEX('[1]Full Program List'!C$2:C$300,MATCH(B14,'[1]Full Program List'!A$2:A$300,0))</f>
        <v>SIMCOE, COUNTY OF</v>
      </c>
      <c r="E14" s="181">
        <f>INDEX('[1]Gross Costs'!$S$5:$S$255,MATCH(B14,'[1]Gross Costs'!$B$5:$B$255,0))</f>
        <v>10253567.189999999</v>
      </c>
      <c r="F14" s="182">
        <f>INDEX('[1]Gross Costs'!$T$5:$T$255,MATCH(B14,'[1]Gross Costs'!$B$5:$B$255,0))</f>
        <v>3115651.2</v>
      </c>
      <c r="G14" s="182">
        <f t="shared" si="0"/>
        <v>7137915.9899999993</v>
      </c>
      <c r="H14" s="183">
        <f>INDEX([1]Tonnes!$N$5:$N$255,MATCH(B14,[1]Tonnes!$B$5:$B$255,0))</f>
        <v>24830.720000000001</v>
      </c>
      <c r="I14" s="184">
        <f t="shared" si="1"/>
        <v>287.46310980913961</v>
      </c>
    </row>
    <row r="15" spans="1:9" x14ac:dyDescent="0.25">
      <c r="A15" s="37">
        <v>2</v>
      </c>
      <c r="B15" s="185">
        <v>357</v>
      </c>
      <c r="C15" s="179">
        <f>INDEX('[1]Full Program List'!B$2:B$300,MATCH(B15,'[1]Full Program List'!A$2:A$300,0))</f>
        <v>2</v>
      </c>
      <c r="D15" s="180" t="str">
        <f>INDEX('[1]Full Program List'!C$2:C$300,MATCH(B15,'[1]Full Program List'!A$2:A$300,0))</f>
        <v>NIAGARA, REGIONAL MUNICIPALITY OF</v>
      </c>
      <c r="E15" s="181">
        <f>INDEX('[1]Gross Costs'!$S$5:$S$255,MATCH(B15,'[1]Gross Costs'!$B$5:$B$255,0))</f>
        <v>12842982.59</v>
      </c>
      <c r="F15" s="182">
        <f>INDEX('[1]Gross Costs'!$T$5:$T$255,MATCH(B15,'[1]Gross Costs'!$B$5:$B$255,0))</f>
        <v>4901152.2100000009</v>
      </c>
      <c r="G15" s="182">
        <f t="shared" si="0"/>
        <v>7941830.379999999</v>
      </c>
      <c r="H15" s="183">
        <f>INDEX([1]Tonnes!$N$5:$N$255,MATCH(B15,[1]Tonnes!$B$5:$B$255,0))</f>
        <v>35854.92</v>
      </c>
      <c r="I15" s="184">
        <f t="shared" si="1"/>
        <v>221.49904057797366</v>
      </c>
    </row>
    <row r="16" spans="1:9" x14ac:dyDescent="0.25">
      <c r="A16" s="37">
        <v>2</v>
      </c>
      <c r="B16" s="185">
        <v>441</v>
      </c>
      <c r="C16" s="179">
        <f>INDEX('[1]Full Program List'!B$2:B$300,MATCH(B16,'[1]Full Program List'!A$2:A$300,0))</f>
        <v>2</v>
      </c>
      <c r="D16" s="180" t="str">
        <f>INDEX('[1]Full Program List'!C$2:C$300,MATCH(B16,'[1]Full Program List'!A$2:A$300,0))</f>
        <v>OTTAWA, CITY OF</v>
      </c>
      <c r="E16" s="181">
        <f>INDEX('[1]Gross Costs'!$S$5:$S$255,MATCH(B16,'[1]Gross Costs'!$B$5:$B$255,0))</f>
        <v>19699847.25</v>
      </c>
      <c r="F16" s="182">
        <f>INDEX('[1]Gross Costs'!$T$5:$T$255,MATCH(B16,'[1]Gross Costs'!$B$5:$B$255,0))</f>
        <v>8176719.9399999995</v>
      </c>
      <c r="G16" s="182">
        <f t="shared" si="0"/>
        <v>11523127.310000001</v>
      </c>
      <c r="H16" s="183">
        <f>INDEX([1]Tonnes!$N$5:$N$255,MATCH(B16,[1]Tonnes!$B$5:$B$255,0))</f>
        <v>56329.880000000012</v>
      </c>
      <c r="I16" s="184">
        <f t="shared" si="1"/>
        <v>204.5650960023348</v>
      </c>
    </row>
    <row r="17" spans="1:9" x14ac:dyDescent="0.25">
      <c r="A17" s="37">
        <v>3</v>
      </c>
      <c r="B17" s="185">
        <v>14</v>
      </c>
      <c r="C17" s="179">
        <f>INDEX('[1]Full Program List'!B$2:B$300,MATCH(B17,'[1]Full Program List'!A$2:A$300,0))</f>
        <v>3</v>
      </c>
      <c r="D17" s="180" t="str">
        <f>INDEX('[1]Full Program List'!C$2:C$300,MATCH(B17,'[1]Full Program List'!A$2:A$300,0))</f>
        <v>BARRIE, CITY OF</v>
      </c>
      <c r="E17" s="181">
        <f>INDEX('[1]Gross Costs'!$S$5:$S$255,MATCH(B17,'[1]Gross Costs'!$B$5:$B$255,0))</f>
        <v>2597615.2599999998</v>
      </c>
      <c r="F17" s="182">
        <f>INDEX('[1]Gross Costs'!$T$5:$T$255,MATCH(B17,'[1]Gross Costs'!$B$5:$B$255,0))</f>
        <v>261823.18</v>
      </c>
      <c r="G17" s="182">
        <f t="shared" si="0"/>
        <v>2335792.0799999996</v>
      </c>
      <c r="H17" s="183">
        <f>INDEX([1]Tonnes!$N$5:$N$255,MATCH(B17,[1]Tonnes!$B$5:$B$255,0))</f>
        <v>11321.630000000001</v>
      </c>
      <c r="I17" s="184">
        <f t="shared" si="1"/>
        <v>206.3123490168818</v>
      </c>
    </row>
    <row r="18" spans="1:9" x14ac:dyDescent="0.25">
      <c r="A18" s="37">
        <v>3</v>
      </c>
      <c r="B18" s="185">
        <v>36</v>
      </c>
      <c r="C18" s="179">
        <f>INDEX('[1]Full Program List'!B$2:B$300,MATCH(B18,'[1]Full Program List'!A$2:A$300,0))</f>
        <v>3</v>
      </c>
      <c r="D18" s="180" t="str">
        <f>INDEX('[1]Full Program List'!C$2:C$300,MATCH(B18,'[1]Full Program List'!A$2:A$300,0))</f>
        <v>GUELPH, CITY OF</v>
      </c>
      <c r="E18" s="181">
        <f>INDEX('[1]Gross Costs'!$S$5:$S$255,MATCH(B18,'[1]Gross Costs'!$B$5:$B$255,0))</f>
        <v>6197835.3200000003</v>
      </c>
      <c r="F18" s="182">
        <f>INDEX('[1]Gross Costs'!$T$5:$T$255,MATCH(B18,'[1]Gross Costs'!$B$5:$B$255,0))</f>
        <v>874483.81000000017</v>
      </c>
      <c r="G18" s="182">
        <f t="shared" si="0"/>
        <v>5323351.51</v>
      </c>
      <c r="H18" s="183">
        <f>INDEX([1]Tonnes!$N$5:$N$255,MATCH(B18,[1]Tonnes!$B$5:$B$255,0))</f>
        <v>8138.780484742425</v>
      </c>
      <c r="I18" s="184">
        <f t="shared" si="1"/>
        <v>654.07237853134859</v>
      </c>
    </row>
    <row r="19" spans="1:9" x14ac:dyDescent="0.25">
      <c r="A19" s="37">
        <v>3</v>
      </c>
      <c r="B19" s="185">
        <v>55</v>
      </c>
      <c r="C19" s="179">
        <f>INDEX('[1]Full Program List'!B$2:B$300,MATCH(B19,'[1]Full Program List'!A$2:A$300,0))</f>
        <v>3</v>
      </c>
      <c r="D19" s="180" t="str">
        <f>INDEX('[1]Full Program List'!C$2:C$300,MATCH(B19,'[1]Full Program List'!A$2:A$300,0))</f>
        <v>SAULT STE. MARIE, CITY OF</v>
      </c>
      <c r="E19" s="181">
        <f>INDEX('[1]Gross Costs'!$S$5:$S$255,MATCH(B19,'[1]Gross Costs'!$B$5:$B$255,0))</f>
        <v>1492885.07</v>
      </c>
      <c r="F19" s="182">
        <f>INDEX('[1]Gross Costs'!$T$5:$T$255,MATCH(B19,'[1]Gross Costs'!$B$5:$B$255,0))</f>
        <v>67559.319999999992</v>
      </c>
      <c r="G19" s="182">
        <f t="shared" si="0"/>
        <v>1425325.75</v>
      </c>
      <c r="H19" s="183">
        <f>INDEX([1]Tonnes!$N$5:$N$255,MATCH(B19,[1]Tonnes!$B$5:$B$255,0))</f>
        <v>3445.1599999999994</v>
      </c>
      <c r="I19" s="184">
        <f t="shared" si="1"/>
        <v>413.71830335891519</v>
      </c>
    </row>
    <row r="20" spans="1:9" x14ac:dyDescent="0.25">
      <c r="A20" s="37">
        <v>3</v>
      </c>
      <c r="B20" s="185">
        <v>103</v>
      </c>
      <c r="C20" s="179">
        <f>INDEX('[1]Full Program List'!B$2:B$300,MATCH(B20,'[1]Full Program List'!A$2:A$300,0))</f>
        <v>3</v>
      </c>
      <c r="D20" s="180" t="str">
        <f>INDEX('[1]Full Program List'!C$2:C$300,MATCH(B20,'[1]Full Program List'!A$2:A$300,0))</f>
        <v>SARNIA, CITY OF</v>
      </c>
      <c r="E20" s="181">
        <f>INDEX('[1]Gross Costs'!$S$5:$S$255,MATCH(B20,'[1]Gross Costs'!$B$5:$B$255,0))</f>
        <v>1485991.22</v>
      </c>
      <c r="F20" s="182">
        <f>INDEX('[1]Gross Costs'!$T$5:$T$255,MATCH(B20,'[1]Gross Costs'!$B$5:$B$255,0))</f>
        <v>554001.79</v>
      </c>
      <c r="G20" s="182">
        <f t="shared" si="0"/>
        <v>931989.42999999993</v>
      </c>
      <c r="H20" s="186">
        <f>INDEX([1]Tonnes!$N$5:$N$255,MATCH(B20,[1]Tonnes!$B$5:$B$255,0))</f>
        <v>4118.84</v>
      </c>
      <c r="I20" s="184">
        <f t="shared" si="1"/>
        <v>226.27473511959676</v>
      </c>
    </row>
    <row r="21" spans="1:9" x14ac:dyDescent="0.25">
      <c r="A21" s="37">
        <v>3</v>
      </c>
      <c r="B21" s="185">
        <v>123</v>
      </c>
      <c r="C21" s="179">
        <f>INDEX('[1]Full Program List'!B$2:B$300,MATCH(B21,'[1]Full Program List'!A$2:A$300,0))</f>
        <v>3</v>
      </c>
      <c r="D21" s="180" t="str">
        <f>INDEX('[1]Full Program List'!C$2:C$300,MATCH(B21,'[1]Full Program List'!A$2:A$300,0))</f>
        <v>THUNDER BAY, CITY OF</v>
      </c>
      <c r="E21" s="181">
        <f>INDEX('[1]Gross Costs'!$S$5:$S$255,MATCH(B21,'[1]Gross Costs'!$B$5:$B$255,0))</f>
        <v>1284089.29</v>
      </c>
      <c r="F21" s="182">
        <f>INDEX('[1]Gross Costs'!$T$5:$T$255,MATCH(B21,'[1]Gross Costs'!$B$5:$B$255,0))</f>
        <v>0</v>
      </c>
      <c r="G21" s="182">
        <f t="shared" si="0"/>
        <v>1284089.29</v>
      </c>
      <c r="H21" s="186">
        <f>INDEX([1]Tonnes!$N$5:$N$255,MATCH(B21,[1]Tonnes!$B$5:$B$255,0))</f>
        <v>6660.5800000000008</v>
      </c>
      <c r="I21" s="184">
        <f t="shared" si="1"/>
        <v>192.78941023154138</v>
      </c>
    </row>
    <row r="22" spans="1:9" x14ac:dyDescent="0.25">
      <c r="A22" s="37">
        <v>3</v>
      </c>
      <c r="B22" s="185">
        <v>179</v>
      </c>
      <c r="C22" s="179">
        <f>INDEX('[1]Full Program List'!B$2:B$300,MATCH(B22,'[1]Full Program List'!A$2:A$300,0))</f>
        <v>3</v>
      </c>
      <c r="D22" s="180" t="str">
        <f>INDEX('[1]Full Program List'!C$2:C$300,MATCH(B22,'[1]Full Program List'!A$2:A$300,0))</f>
        <v>BRANTFORD, CITY OF</v>
      </c>
      <c r="E22" s="181">
        <f>INDEX('[1]Gross Costs'!$S$5:$S$255,MATCH(B22,'[1]Gross Costs'!$B$5:$B$255,0))</f>
        <v>2468879.0699999998</v>
      </c>
      <c r="F22" s="182">
        <f>INDEX('[1]Gross Costs'!$T$5:$T$255,MATCH(B22,'[1]Gross Costs'!$B$5:$B$255,0))</f>
        <v>713319.58000000007</v>
      </c>
      <c r="G22" s="182">
        <f t="shared" si="0"/>
        <v>1755559.4899999998</v>
      </c>
      <c r="H22" s="186">
        <f>INDEX([1]Tonnes!$N$5:$N$255,MATCH(B22,[1]Tonnes!$B$5:$B$255,0))</f>
        <v>6074.0999999999995</v>
      </c>
      <c r="I22" s="184">
        <f t="shared" si="1"/>
        <v>289.02380434961555</v>
      </c>
    </row>
    <row r="23" spans="1:9" x14ac:dyDescent="0.25">
      <c r="A23" s="37">
        <v>3</v>
      </c>
      <c r="B23" s="185">
        <v>293</v>
      </c>
      <c r="C23" s="179">
        <f>INDEX('[1]Full Program List'!B$2:B$300,MATCH(B23,'[1]Full Program List'!A$2:A$300,0))</f>
        <v>3</v>
      </c>
      <c r="D23" s="180" t="str">
        <f>INDEX('[1]Full Program List'!C$2:C$300,MATCH(B23,'[1]Full Program List'!A$2:A$300,0))</f>
        <v>PETERBOROUGH, CITY OF</v>
      </c>
      <c r="E23" s="181">
        <f>INDEX('[1]Gross Costs'!$S$5:$S$255,MATCH(B23,'[1]Gross Costs'!$B$5:$B$255,0))</f>
        <v>2370064.7599999998</v>
      </c>
      <c r="F23" s="182">
        <f>INDEX('[1]Gross Costs'!$T$5:$T$255,MATCH(B23,'[1]Gross Costs'!$B$5:$B$255,0))</f>
        <v>992904.63</v>
      </c>
      <c r="G23" s="182">
        <f t="shared" si="0"/>
        <v>1377160.13</v>
      </c>
      <c r="H23" s="186">
        <f>INDEX([1]Tonnes!$N$5:$N$255,MATCH(B23,[1]Tonnes!$B$5:$B$255,0))</f>
        <v>7960.05</v>
      </c>
      <c r="I23" s="184">
        <f t="shared" si="1"/>
        <v>173.00897984309142</v>
      </c>
    </row>
    <row r="24" spans="1:9" x14ac:dyDescent="0.25">
      <c r="A24" s="37">
        <v>4</v>
      </c>
      <c r="B24" s="185">
        <v>12</v>
      </c>
      <c r="C24" s="179">
        <f>INDEX('[1]Full Program List'!B$2:B$300,MATCH(B24,'[1]Full Program List'!A$2:A$300,0))</f>
        <v>4</v>
      </c>
      <c r="D24" s="180" t="str">
        <f>INDEX('[1]Full Program List'!C$2:C$300,MATCH(B24,'[1]Full Program List'!A$2:A$300,0))</f>
        <v>NORTHUMBERLAND, COUNTY OF</v>
      </c>
      <c r="E24" s="181">
        <f>INDEX('[1]Gross Costs'!$S$5:$S$255,MATCH(B24,'[1]Gross Costs'!$B$5:$B$255,0))</f>
        <v>2922626.6</v>
      </c>
      <c r="F24" s="182">
        <f>INDEX('[1]Gross Costs'!$T$5:$T$255,MATCH(B24,'[1]Gross Costs'!$B$5:$B$255,0))</f>
        <v>693708.37</v>
      </c>
      <c r="G24" s="182">
        <f t="shared" si="0"/>
        <v>2228918.23</v>
      </c>
      <c r="H24" s="186">
        <f>INDEX([1]Tonnes!$N$5:$N$255,MATCH(B24,[1]Tonnes!$B$5:$B$255,0))</f>
        <v>5092.2999999999993</v>
      </c>
      <c r="I24" s="184">
        <f t="shared" si="1"/>
        <v>437.70363686349987</v>
      </c>
    </row>
    <row r="25" spans="1:9" x14ac:dyDescent="0.25">
      <c r="A25" s="37">
        <v>4</v>
      </c>
      <c r="B25" s="185">
        <v>21</v>
      </c>
      <c r="C25" s="179">
        <f>INDEX('[1]Full Program List'!B$2:B$300,MATCH(B25,'[1]Full Program List'!A$2:A$300,0))</f>
        <v>4</v>
      </c>
      <c r="D25" s="180" t="str">
        <f>INDEX('[1]Full Program List'!C$2:C$300,MATCH(B25,'[1]Full Program List'!A$2:A$300,0))</f>
        <v>WELLINGTON, COUNTY OF</v>
      </c>
      <c r="E25" s="181">
        <f>INDEX('[1]Gross Costs'!$S$5:$S$255,MATCH(B25,'[1]Gross Costs'!$B$5:$B$255,0))</f>
        <v>3018158.71</v>
      </c>
      <c r="F25" s="182">
        <f>INDEX('[1]Gross Costs'!$T$5:$T$255,MATCH(B25,'[1]Gross Costs'!$B$5:$B$255,0))</f>
        <v>630793.78</v>
      </c>
      <c r="G25" s="182">
        <f t="shared" si="0"/>
        <v>2387364.9299999997</v>
      </c>
      <c r="H25" s="186">
        <f>INDEX([1]Tonnes!$N$5:$N$255,MATCH(B25,[1]Tonnes!$B$5:$B$255,0))</f>
        <v>5179.17</v>
      </c>
      <c r="I25" s="184">
        <f t="shared" si="1"/>
        <v>460.95512022196601</v>
      </c>
    </row>
    <row r="26" spans="1:9" x14ac:dyDescent="0.25">
      <c r="A26" s="37">
        <v>4</v>
      </c>
      <c r="B26" s="185">
        <v>34</v>
      </c>
      <c r="C26" s="179">
        <f>INDEX('[1]Full Program List'!B$2:B$300,MATCH(B26,'[1]Full Program List'!A$2:A$300,0))</f>
        <v>4</v>
      </c>
      <c r="D26" s="180" t="str">
        <f>INDEX('[1]Full Program List'!C$2:C$300,MATCH(B26,'[1]Full Program List'!A$2:A$300,0))</f>
        <v>NORFOLK, COUNTY OF</v>
      </c>
      <c r="E26" s="181">
        <f>INDEX('[1]Gross Costs'!$S$5:$S$255,MATCH(B26,'[1]Gross Costs'!$B$5:$B$255,0))</f>
        <v>2143525.2799999998</v>
      </c>
      <c r="F26" s="182">
        <f>INDEX('[1]Gross Costs'!$T$5:$T$255,MATCH(B26,'[1]Gross Costs'!$B$5:$B$255,0))</f>
        <v>564954.64</v>
      </c>
      <c r="G26" s="182">
        <f t="shared" si="0"/>
        <v>1578570.6399999997</v>
      </c>
      <c r="H26" s="186">
        <f>INDEX([1]Tonnes!$N$5:$N$255,MATCH(B26,[1]Tonnes!$B$5:$B$255,0))</f>
        <v>4762.82</v>
      </c>
      <c r="I26" s="184">
        <f t="shared" si="1"/>
        <v>331.43613237535743</v>
      </c>
    </row>
    <row r="27" spans="1:9" x14ac:dyDescent="0.25">
      <c r="A27" s="37">
        <v>4</v>
      </c>
      <c r="B27" s="185">
        <v>87</v>
      </c>
      <c r="C27" s="179">
        <f>INDEX('[1]Full Program List'!B$2:B$300,MATCH(B27,'[1]Full Program List'!A$2:A$300,0))</f>
        <v>4</v>
      </c>
      <c r="D27" s="180" t="str">
        <f>INDEX('[1]Full Program List'!C$2:C$300,MATCH(B27,'[1]Full Program List'!A$2:A$300,0))</f>
        <v>QUINTE WASTE SOLUTIONS</v>
      </c>
      <c r="E27" s="181">
        <f>INDEX('[1]Gross Costs'!$S$5:$S$255,MATCH(B27,'[1]Gross Costs'!$B$5:$B$255,0))</f>
        <v>5182853.97</v>
      </c>
      <c r="F27" s="182">
        <f>INDEX('[1]Gross Costs'!$T$5:$T$255,MATCH(B27,'[1]Gross Costs'!$B$5:$B$255,0))</f>
        <v>1110329.5500000003</v>
      </c>
      <c r="G27" s="182">
        <f t="shared" si="0"/>
        <v>4072524.4199999995</v>
      </c>
      <c r="H27" s="186">
        <f>INDEX([1]Tonnes!$N$5:$N$255,MATCH(B27,[1]Tonnes!$B$5:$B$255,0))</f>
        <v>10810.4</v>
      </c>
      <c r="I27" s="184">
        <f t="shared" si="1"/>
        <v>376.72282431732401</v>
      </c>
    </row>
    <row r="28" spans="1:9" x14ac:dyDescent="0.25">
      <c r="A28" s="37">
        <v>4</v>
      </c>
      <c r="B28" s="185">
        <v>88</v>
      </c>
      <c r="C28" s="179">
        <f>INDEX('[1]Full Program List'!B$2:B$300,MATCH(B28,'[1]Full Program List'!A$2:A$300,0))</f>
        <v>4</v>
      </c>
      <c r="D28" s="180" t="str">
        <f>INDEX('[1]Full Program List'!C$2:C$300,MATCH(B28,'[1]Full Program List'!A$2:A$300,0))</f>
        <v>PETERBOROUGH, COUNTY OF</v>
      </c>
      <c r="E28" s="181">
        <f>INDEX('[1]Gross Costs'!$S$5:$S$255,MATCH(B28,'[1]Gross Costs'!$B$5:$B$255,0))</f>
        <v>2125011.54</v>
      </c>
      <c r="F28" s="182">
        <f>INDEX('[1]Gross Costs'!$T$5:$T$255,MATCH(B28,'[1]Gross Costs'!$B$5:$B$255,0))</f>
        <v>560089.80000000005</v>
      </c>
      <c r="G28" s="182">
        <f t="shared" si="0"/>
        <v>1564921.74</v>
      </c>
      <c r="H28" s="186">
        <f>INDEX([1]Tonnes!$N$5:$N$255,MATCH(B28,[1]Tonnes!$B$5:$B$255,0))</f>
        <v>4759.3799999999992</v>
      </c>
      <c r="I28" s="184">
        <f t="shared" si="1"/>
        <v>328.80789934823451</v>
      </c>
    </row>
    <row r="29" spans="1:9" x14ac:dyDescent="0.25">
      <c r="A29" s="37">
        <v>4</v>
      </c>
      <c r="B29" s="185">
        <v>89</v>
      </c>
      <c r="C29" s="179">
        <f>INDEX('[1]Full Program List'!B$2:B$300,MATCH(B29,'[1]Full Program List'!A$2:A$300,0))</f>
        <v>4</v>
      </c>
      <c r="D29" s="180" t="str">
        <f>INDEX('[1]Full Program List'!C$2:C$300,MATCH(B29,'[1]Full Program List'!A$2:A$300,0))</f>
        <v>MUSKOKA,  DISTRICT MUNICIPALITY OF</v>
      </c>
      <c r="E29" s="181">
        <f>INDEX('[1]Gross Costs'!$S$5:$S$255,MATCH(B29,'[1]Gross Costs'!$B$5:$B$255,0))</f>
        <v>3750607.74</v>
      </c>
      <c r="F29" s="182">
        <f>INDEX('[1]Gross Costs'!$T$5:$T$255,MATCH(B29,'[1]Gross Costs'!$B$5:$B$255,0))</f>
        <v>559601.63</v>
      </c>
      <c r="G29" s="182">
        <f t="shared" si="0"/>
        <v>3191006.1100000003</v>
      </c>
      <c r="H29" s="186">
        <f>INDEX([1]Tonnes!$N$5:$N$255,MATCH(B29,[1]Tonnes!$B$5:$B$255,0))</f>
        <v>5636.98</v>
      </c>
      <c r="I29" s="184">
        <f t="shared" si="1"/>
        <v>566.0843412607461</v>
      </c>
    </row>
    <row r="30" spans="1:9" x14ac:dyDescent="0.25">
      <c r="A30" s="37">
        <v>4</v>
      </c>
      <c r="B30" s="185">
        <v>143</v>
      </c>
      <c r="C30" s="179">
        <f>INDEX('[1]Full Program List'!B$2:B$300,MATCH(B30,'[1]Full Program List'!A$2:A$300,0))</f>
        <v>4</v>
      </c>
      <c r="D30" s="180" t="str">
        <f>INDEX('[1]Full Program List'!C$2:C$300,MATCH(B30,'[1]Full Program List'!A$2:A$300,0))</f>
        <v>NORTH BAY, CITY OF</v>
      </c>
      <c r="E30" s="181">
        <f>INDEX('[1]Gross Costs'!$S$5:$S$255,MATCH(B30,'[1]Gross Costs'!$B$5:$B$255,0))</f>
        <v>956347.7</v>
      </c>
      <c r="F30" s="182">
        <f>INDEX('[1]Gross Costs'!$T$5:$T$255,MATCH(B30,'[1]Gross Costs'!$B$5:$B$255,0))</f>
        <v>393346.75</v>
      </c>
      <c r="G30" s="182">
        <f t="shared" si="0"/>
        <v>563000.94999999995</v>
      </c>
      <c r="H30" s="186">
        <f>INDEX([1]Tonnes!$N$5:$N$255,MATCH(B30,[1]Tonnes!$B$5:$B$255,0))</f>
        <v>2834.8</v>
      </c>
      <c r="I30" s="184">
        <f t="shared" si="1"/>
        <v>198.60341117539153</v>
      </c>
    </row>
    <row r="31" spans="1:9" x14ac:dyDescent="0.25">
      <c r="A31" s="37">
        <v>4</v>
      </c>
      <c r="B31" s="185">
        <v>183</v>
      </c>
      <c r="C31" s="179">
        <f>INDEX('[1]Full Program List'!B$2:B$300,MATCH(B31,'[1]Full Program List'!A$2:A$300,0))</f>
        <v>4</v>
      </c>
      <c r="D31" s="180" t="str">
        <f>INDEX('[1]Full Program List'!C$2:C$300,MATCH(B31,'[1]Full Program List'!A$2:A$300,0))</f>
        <v>GREATER SUDBURY, CITY OF</v>
      </c>
      <c r="E31" s="181">
        <f>INDEX('[1]Gross Costs'!$S$5:$S$255,MATCH(B31,'[1]Gross Costs'!$B$5:$B$255,0))</f>
        <v>6716202.5899999999</v>
      </c>
      <c r="F31" s="182">
        <f>INDEX('[1]Gross Costs'!$T$5:$T$255,MATCH(B31,'[1]Gross Costs'!$B$5:$B$255,0))</f>
        <v>412366.9599999999</v>
      </c>
      <c r="G31" s="182">
        <f t="shared" si="0"/>
        <v>6303835.6299999999</v>
      </c>
      <c r="H31" s="186">
        <f>INDEX([1]Tonnes!$N$5:$N$255,MATCH(B31,[1]Tonnes!$B$5:$B$255,0))</f>
        <v>11774.169999999998</v>
      </c>
      <c r="I31" s="184">
        <f t="shared" si="1"/>
        <v>535.39532977696103</v>
      </c>
    </row>
    <row r="32" spans="1:9" x14ac:dyDescent="0.25">
      <c r="A32" s="37">
        <v>4</v>
      </c>
      <c r="B32" s="185">
        <v>186</v>
      </c>
      <c r="C32" s="179">
        <f>INDEX('[1]Full Program List'!B$2:B$300,MATCH(B32,'[1]Full Program List'!A$2:A$300,0))</f>
        <v>4</v>
      </c>
      <c r="D32" s="180" t="str">
        <f>INDEX('[1]Full Program List'!C$2:C$300,MATCH(B32,'[1]Full Program List'!A$2:A$300,0))</f>
        <v>BLUEWATER RECYCLING ASSOCIATION</v>
      </c>
      <c r="E32" s="181">
        <f>INDEX('[1]Gross Costs'!$S$5:$S$255,MATCH(B32,'[1]Gross Costs'!$B$5:$B$255,0))</f>
        <v>8005773.7000000002</v>
      </c>
      <c r="F32" s="182">
        <f>INDEX('[1]Gross Costs'!$T$5:$T$255,MATCH(B32,'[1]Gross Costs'!$B$5:$B$255,0))</f>
        <v>1431664.65</v>
      </c>
      <c r="G32" s="182">
        <f t="shared" si="0"/>
        <v>6574109.0500000007</v>
      </c>
      <c r="H32" s="186">
        <f>INDEX([1]Tonnes!$N$5:$N$255,MATCH(B32,[1]Tonnes!$B$5:$B$255,0))</f>
        <v>11101.34</v>
      </c>
      <c r="I32" s="184">
        <f t="shared" si="1"/>
        <v>592.19058690212182</v>
      </c>
    </row>
    <row r="33" spans="1:9" x14ac:dyDescent="0.25">
      <c r="A33" s="37">
        <v>4</v>
      </c>
      <c r="B33" s="185">
        <v>190</v>
      </c>
      <c r="C33" s="179">
        <f>INDEX('[1]Full Program List'!B$2:B$300,MATCH(B33,'[1]Full Program List'!A$2:A$300,0))</f>
        <v>4</v>
      </c>
      <c r="D33" s="180" t="str">
        <f>INDEX('[1]Full Program List'!C$2:C$300,MATCH(B33,'[1]Full Program List'!A$2:A$300,0))</f>
        <v>BRUCE AREA SOLID WASTE RECYCLING</v>
      </c>
      <c r="E33" s="181">
        <f>INDEX('[1]Gross Costs'!$S$5:$S$255,MATCH(B33,'[1]Gross Costs'!$B$5:$B$255,0))</f>
        <v>2284236.41</v>
      </c>
      <c r="F33" s="182">
        <f>INDEX('[1]Gross Costs'!$T$5:$T$255,MATCH(B33,'[1]Gross Costs'!$B$5:$B$255,0))</f>
        <v>599429.44999999995</v>
      </c>
      <c r="G33" s="182">
        <f t="shared" si="0"/>
        <v>1684806.9600000002</v>
      </c>
      <c r="H33" s="186">
        <f>INDEX([1]Tonnes!$N$5:$N$255,MATCH(B33,[1]Tonnes!$B$5:$B$255,0))</f>
        <v>3309.0599999999995</v>
      </c>
      <c r="I33" s="184">
        <f t="shared" si="1"/>
        <v>509.14971623361333</v>
      </c>
    </row>
    <row r="34" spans="1:9" x14ac:dyDescent="0.25">
      <c r="A34" s="37">
        <v>4</v>
      </c>
      <c r="B34" s="185">
        <v>324</v>
      </c>
      <c r="C34" s="179">
        <f>INDEX('[1]Full Program List'!B$2:B$300,MATCH(B34,'[1]Full Program List'!A$2:A$300,0))</f>
        <v>4</v>
      </c>
      <c r="D34" s="180" t="str">
        <f>INDEX('[1]Full Program List'!C$2:C$300,MATCH(B34,'[1]Full Program List'!A$2:A$300,0))</f>
        <v>KINGSTON, CITY OF</v>
      </c>
      <c r="E34" s="181">
        <f>INDEX('[1]Gross Costs'!$S$5:$S$255,MATCH(B34,'[1]Gross Costs'!$B$5:$B$255,0))</f>
        <v>4196501.4400000004</v>
      </c>
      <c r="F34" s="182">
        <f>INDEX('[1]Gross Costs'!$T$5:$T$255,MATCH(B34,'[1]Gross Costs'!$B$5:$B$255,0))</f>
        <v>1059029.5799999998</v>
      </c>
      <c r="G34" s="182">
        <f t="shared" si="0"/>
        <v>3137471.8600000003</v>
      </c>
      <c r="H34" s="186">
        <f>INDEX([1]Tonnes!$N$5:$N$255,MATCH(B34,[1]Tonnes!$B$5:$B$255,0))</f>
        <v>7987.3900000000021</v>
      </c>
      <c r="I34" s="184">
        <f t="shared" si="1"/>
        <v>392.80313844697696</v>
      </c>
    </row>
    <row r="35" spans="1:9" x14ac:dyDescent="0.25">
      <c r="A35" s="37">
        <v>4</v>
      </c>
      <c r="B35" s="185">
        <v>429</v>
      </c>
      <c r="C35" s="179">
        <f>INDEX('[1]Full Program List'!B$2:B$300,MATCH(B35,'[1]Full Program List'!A$2:A$300,0))</f>
        <v>4</v>
      </c>
      <c r="D35" s="180" t="str">
        <f>INDEX('[1]Full Program List'!C$2:C$300,MATCH(B35,'[1]Full Program List'!A$2:A$300,0))</f>
        <v>CHATHAM-KENT, MUNICIPALITY OF</v>
      </c>
      <c r="E35" s="181">
        <f>INDEX('[1]Gross Costs'!$S$5:$S$255,MATCH(B35,'[1]Gross Costs'!$B$5:$B$255,0))</f>
        <v>1673741.25</v>
      </c>
      <c r="F35" s="182">
        <f>INDEX('[1]Gross Costs'!$T$5:$T$255,MATCH(B35,'[1]Gross Costs'!$B$5:$B$255,0))</f>
        <v>427615.25</v>
      </c>
      <c r="G35" s="182">
        <f t="shared" si="0"/>
        <v>1246126</v>
      </c>
      <c r="H35" s="186">
        <f>INDEX([1]Tonnes!$N$5:$N$255,MATCH(B35,[1]Tonnes!$B$5:$B$255,0))</f>
        <v>4357.0309999999999</v>
      </c>
      <c r="I35" s="184">
        <f t="shared" si="1"/>
        <v>286.00347346622044</v>
      </c>
    </row>
    <row r="36" spans="1:9" x14ac:dyDescent="0.25">
      <c r="A36" s="37">
        <v>4</v>
      </c>
      <c r="B36" s="185">
        <v>601</v>
      </c>
      <c r="C36" s="179">
        <f>INDEX('[1]Full Program List'!B$2:B$300,MATCH(B36,'[1]Full Program List'!A$2:A$300,0))</f>
        <v>4</v>
      </c>
      <c r="D36" s="180" t="str">
        <f>INDEX('[1]Full Program List'!C$2:C$300,MATCH(B36,'[1]Full Program List'!A$2:A$300,0))</f>
        <v>KAWARTHA LAKES, CITY OF</v>
      </c>
      <c r="E36" s="181">
        <f>INDEX('[1]Gross Costs'!$S$5:$S$255,MATCH(B36,'[1]Gross Costs'!$B$5:$B$255,0))</f>
        <v>3078679.08</v>
      </c>
      <c r="F36" s="182">
        <f>INDEX('[1]Gross Costs'!$T$5:$T$255,MATCH(B36,'[1]Gross Costs'!$B$5:$B$255,0))</f>
        <v>303552.10000000003</v>
      </c>
      <c r="G36" s="182">
        <f t="shared" si="0"/>
        <v>2775126.98</v>
      </c>
      <c r="H36" s="186">
        <f>INDEX([1]Tonnes!$N$5:$N$255,MATCH(B36,[1]Tonnes!$B$5:$B$255,0))</f>
        <v>5915.7199999999993</v>
      </c>
      <c r="I36" s="184">
        <f t="shared" si="1"/>
        <v>469.11060361207092</v>
      </c>
    </row>
    <row r="37" spans="1:9" x14ac:dyDescent="0.25">
      <c r="A37" s="37">
        <v>4</v>
      </c>
      <c r="B37" s="185">
        <v>760</v>
      </c>
      <c r="C37" s="179">
        <f>INDEX('[1]Full Program List'!B$2:B$300,MATCH(B37,'[1]Full Program List'!A$2:A$300,0))</f>
        <v>4</v>
      </c>
      <c r="D37" s="180" t="str">
        <f>INDEX('[1]Full Program List'!C$2:C$300,MATCH(B37,'[1]Full Program List'!A$2:A$300,0))</f>
        <v>DUFFERIN, COUNTY OF</v>
      </c>
      <c r="E37" s="181">
        <f>INDEX('[1]Gross Costs'!$S$5:$S$255,MATCH(B37,'[1]Gross Costs'!$B$5:$B$255,0))</f>
        <v>1442808.39</v>
      </c>
      <c r="F37" s="182">
        <f>INDEX('[1]Gross Costs'!$T$5:$T$255,MATCH(B37,'[1]Gross Costs'!$B$5:$B$255,0))</f>
        <v>717833.62</v>
      </c>
      <c r="G37" s="182">
        <f t="shared" si="0"/>
        <v>724974.7699999999</v>
      </c>
      <c r="H37" s="186">
        <f>INDEX([1]Tonnes!$N$5:$N$255,MATCH(B37,[1]Tonnes!$B$5:$B$255,0))</f>
        <v>5286.9399999999987</v>
      </c>
      <c r="I37" s="184">
        <f t="shared" si="1"/>
        <v>137.12559060628644</v>
      </c>
    </row>
    <row r="38" spans="1:9" x14ac:dyDescent="0.25">
      <c r="A38" s="37">
        <v>4</v>
      </c>
      <c r="B38" s="185">
        <v>878</v>
      </c>
      <c r="C38" s="179">
        <f>INDEX('[1]Full Program List'!B$2:B$300,MATCH(B38,'[1]Full Program List'!A$2:A$300,0))</f>
        <v>4</v>
      </c>
      <c r="D38" s="180" t="str">
        <f>INDEX('[1]Full Program List'!C$2:C$300,MATCH(B38,'[1]Full Program List'!A$2:A$300,0))</f>
        <v>OXFORD,  RESTRUCTURED COUNTY OF</v>
      </c>
      <c r="E38" s="181">
        <f>INDEX('[1]Gross Costs'!$S$5:$S$255,MATCH(B38,'[1]Gross Costs'!$B$5:$B$255,0))</f>
        <v>2910917.69</v>
      </c>
      <c r="F38" s="182">
        <f>INDEX('[1]Gross Costs'!$T$5:$T$255,MATCH(B38,'[1]Gross Costs'!$B$5:$B$255,0))</f>
        <v>838992.06</v>
      </c>
      <c r="G38" s="182">
        <f t="shared" si="0"/>
        <v>2071925.63</v>
      </c>
      <c r="H38" s="186">
        <f>INDEX([1]Tonnes!$N$5:$N$255,MATCH(B38,[1]Tonnes!$B$5:$B$255,0))</f>
        <v>7663.16</v>
      </c>
      <c r="I38" s="184">
        <f t="shared" si="1"/>
        <v>270.37483622944058</v>
      </c>
    </row>
    <row r="39" spans="1:9" x14ac:dyDescent="0.25">
      <c r="A39" s="37">
        <v>5</v>
      </c>
      <c r="B39" s="185">
        <v>8</v>
      </c>
      <c r="C39" s="179">
        <f>INDEX('[1]Full Program List'!B$2:B$300,MATCH(B39,'[1]Full Program List'!A$2:A$300,0))</f>
        <v>5</v>
      </c>
      <c r="D39" s="180" t="str">
        <f>INDEX('[1]Full Program List'!C$2:C$300,MATCH(B39,'[1]Full Program List'!A$2:A$300,0))</f>
        <v>STRATFORD, CITY OF</v>
      </c>
      <c r="E39" s="181">
        <f>INDEX('[1]Gross Costs'!$S$5:$S$255,MATCH(B39,'[1]Gross Costs'!$B$5:$B$255,0))</f>
        <v>627029.24</v>
      </c>
      <c r="F39" s="182">
        <f>INDEX('[1]Gross Costs'!$T$5:$T$255,MATCH(B39,'[1]Gross Costs'!$B$5:$B$255,0))</f>
        <v>25077.3</v>
      </c>
      <c r="G39" s="182">
        <f t="shared" si="0"/>
        <v>601951.93999999994</v>
      </c>
      <c r="H39" s="186">
        <f>INDEX([1]Tonnes!$N$5:$N$255,MATCH(B39,[1]Tonnes!$B$5:$B$255,0))</f>
        <v>2105.2199999999998</v>
      </c>
      <c r="I39" s="184">
        <f t="shared" si="1"/>
        <v>285.9330331271791</v>
      </c>
    </row>
    <row r="40" spans="1:9" x14ac:dyDescent="0.25">
      <c r="A40" s="37">
        <v>5</v>
      </c>
      <c r="B40" s="185">
        <v>41</v>
      </c>
      <c r="C40" s="179">
        <f>INDEX('[1]Full Program List'!B$2:B$300,MATCH(B40,'[1]Full Program List'!A$2:A$300,0))</f>
        <v>5</v>
      </c>
      <c r="D40" s="180" t="str">
        <f>INDEX('[1]Full Program List'!C$2:C$300,MATCH(B40,'[1]Full Program List'!A$2:A$300,0))</f>
        <v>OWEN SOUND, CITY OF</v>
      </c>
      <c r="E40" s="181">
        <f>INDEX('[1]Gross Costs'!$S$5:$S$255,MATCH(B40,'[1]Gross Costs'!$B$5:$B$255,0))</f>
        <v>652189.06000000006</v>
      </c>
      <c r="F40" s="182">
        <f>INDEX('[1]Gross Costs'!$T$5:$T$255,MATCH(B40,'[1]Gross Costs'!$B$5:$B$255,0))</f>
        <v>215017.75000000003</v>
      </c>
      <c r="G40" s="182">
        <f t="shared" si="0"/>
        <v>437171.31000000006</v>
      </c>
      <c r="H40" s="186">
        <f>INDEX([1]Tonnes!$N$5:$N$255,MATCH(B40,[1]Tonnes!$B$5:$B$255,0))</f>
        <v>1688.06</v>
      </c>
      <c r="I40" s="184">
        <f t="shared" si="1"/>
        <v>258.97853749274321</v>
      </c>
    </row>
    <row r="41" spans="1:9" x14ac:dyDescent="0.25">
      <c r="A41" s="37">
        <v>5</v>
      </c>
      <c r="B41" s="185">
        <v>56</v>
      </c>
      <c r="C41" s="179">
        <f>INDEX('[1]Full Program List'!B$2:B$300,MATCH(B41,'[1]Full Program List'!A$2:A$300,0))</f>
        <v>5</v>
      </c>
      <c r="D41" s="180" t="str">
        <f>INDEX('[1]Full Program List'!C$2:C$300,MATCH(B41,'[1]Full Program List'!A$2:A$300,0))</f>
        <v>ORILLIA, CITY OF</v>
      </c>
      <c r="E41" s="181">
        <f>INDEX('[1]Gross Costs'!$S$5:$S$255,MATCH(B41,'[1]Gross Costs'!$B$5:$B$255,0))</f>
        <v>561942.06999999995</v>
      </c>
      <c r="F41" s="182">
        <f>INDEX('[1]Gross Costs'!$T$5:$T$255,MATCH(B41,'[1]Gross Costs'!$B$5:$B$255,0))</f>
        <v>2316.81</v>
      </c>
      <c r="G41" s="182">
        <f t="shared" si="0"/>
        <v>559625.25999999989</v>
      </c>
      <c r="H41" s="186">
        <f>INDEX([1]Tonnes!$N$5:$N$255,MATCH(B41,[1]Tonnes!$B$5:$B$255,0))</f>
        <v>3016.58</v>
      </c>
      <c r="I41" s="184">
        <f t="shared" si="1"/>
        <v>185.51646566641691</v>
      </c>
    </row>
    <row r="42" spans="1:9" x14ac:dyDescent="0.25">
      <c r="A42" s="37">
        <v>5</v>
      </c>
      <c r="B42" s="185">
        <v>67</v>
      </c>
      <c r="C42" s="179">
        <f>INDEX('[1]Full Program List'!B$2:B$300,MATCH(B42,'[1]Full Program List'!A$2:A$300,0))</f>
        <v>5</v>
      </c>
      <c r="D42" s="180" t="str">
        <f>INDEX('[1]Full Program List'!C$2:C$300,MATCH(B42,'[1]Full Program List'!A$2:A$300,0))</f>
        <v>BROCKVILLE, CITY OF</v>
      </c>
      <c r="E42" s="181">
        <f>INDEX('[1]Gross Costs'!$S$5:$S$255,MATCH(B42,'[1]Gross Costs'!$B$5:$B$255,0))</f>
        <v>218449.94</v>
      </c>
      <c r="F42" s="182">
        <f>INDEX('[1]Gross Costs'!$T$5:$T$255,MATCH(B42,'[1]Gross Costs'!$B$5:$B$255,0))</f>
        <v>0</v>
      </c>
      <c r="G42" s="182">
        <f t="shared" si="0"/>
        <v>218449.94</v>
      </c>
      <c r="H42" s="186">
        <f>INDEX([1]Tonnes!$N$5:$N$255,MATCH(B42,[1]Tonnes!$B$5:$B$255,0))</f>
        <v>1474.6758017491509</v>
      </c>
      <c r="I42" s="184">
        <f t="shared" si="1"/>
        <v>148.13421345958949</v>
      </c>
    </row>
    <row r="43" spans="1:9" x14ac:dyDescent="0.25">
      <c r="A43" s="37">
        <v>5</v>
      </c>
      <c r="B43" s="185">
        <v>157</v>
      </c>
      <c r="C43" s="179">
        <f>INDEX('[1]Full Program List'!B$2:B$300,MATCH(B43,'[1]Full Program List'!A$2:A$300,0))</f>
        <v>5</v>
      </c>
      <c r="D43" s="180" t="str">
        <f>INDEX('[1]Full Program List'!C$2:C$300,MATCH(B43,'[1]Full Program List'!A$2:A$300,0))</f>
        <v>HANOVER, TOWN OF</v>
      </c>
      <c r="E43" s="181">
        <f>INDEX('[1]Gross Costs'!$S$5:$S$255,MATCH(B43,'[1]Gross Costs'!$B$5:$B$255,0))</f>
        <v>145211.09</v>
      </c>
      <c r="F43" s="182">
        <f>INDEX('[1]Gross Costs'!$T$5:$T$255,MATCH(B43,'[1]Gross Costs'!$B$5:$B$255,0))</f>
        <v>320</v>
      </c>
      <c r="G43" s="182">
        <f t="shared" si="0"/>
        <v>144891.09</v>
      </c>
      <c r="H43" s="186">
        <f>INDEX([1]Tonnes!$N$5:$N$255,MATCH(B43,[1]Tonnes!$B$5:$B$255,0))</f>
        <v>446.65493195328992</v>
      </c>
      <c r="I43" s="184">
        <f t="shared" si="1"/>
        <v>324.39155964621108</v>
      </c>
    </row>
    <row r="44" spans="1:9" x14ac:dyDescent="0.25">
      <c r="A44" s="37">
        <v>5</v>
      </c>
      <c r="B44" s="185">
        <v>214</v>
      </c>
      <c r="C44" s="179">
        <f>INDEX('[1]Full Program List'!B$2:B$300,MATCH(B44,'[1]Full Program List'!A$2:A$300,0))</f>
        <v>5</v>
      </c>
      <c r="D44" s="180" t="str">
        <f>INDEX('[1]Full Program List'!C$2:C$300,MATCH(B44,'[1]Full Program List'!A$2:A$300,0))</f>
        <v>CORNWALL, CITY OF</v>
      </c>
      <c r="E44" s="181">
        <f>INDEX('[1]Gross Costs'!$S$5:$S$255,MATCH(B44,'[1]Gross Costs'!$B$5:$B$255,0))</f>
        <v>1677840.57</v>
      </c>
      <c r="F44" s="182">
        <f>INDEX('[1]Gross Costs'!$T$5:$T$255,MATCH(B44,'[1]Gross Costs'!$B$5:$B$255,0))</f>
        <v>291173.04000000004</v>
      </c>
      <c r="G44" s="182">
        <f t="shared" si="0"/>
        <v>1386667.53</v>
      </c>
      <c r="H44" s="186">
        <f>INDEX([1]Tonnes!$N$5:$N$255,MATCH(B44,[1]Tonnes!$B$5:$B$255,0))</f>
        <v>2922.96</v>
      </c>
      <c r="I44" s="184">
        <f t="shared" si="1"/>
        <v>474.40523647261682</v>
      </c>
    </row>
    <row r="45" spans="1:9" x14ac:dyDescent="0.25">
      <c r="A45" s="37">
        <v>5</v>
      </c>
      <c r="B45" s="185">
        <v>223</v>
      </c>
      <c r="C45" s="179">
        <f>INDEX('[1]Full Program List'!B$2:B$300,MATCH(B45,'[1]Full Program List'!A$2:A$300,0))</f>
        <v>5</v>
      </c>
      <c r="D45" s="180" t="str">
        <f>INDEX('[1]Full Program List'!C$2:C$300,MATCH(B45,'[1]Full Program List'!A$2:A$300,0))</f>
        <v>PARRY SOUND, TOWN OF</v>
      </c>
      <c r="E45" s="181">
        <f>INDEX('[1]Gross Costs'!$S$5:$S$255,MATCH(B45,'[1]Gross Costs'!$B$5:$B$255,0))</f>
        <v>207354.56</v>
      </c>
      <c r="F45" s="182">
        <f>INDEX('[1]Gross Costs'!$T$5:$T$255,MATCH(B45,'[1]Gross Costs'!$B$5:$B$255,0))</f>
        <v>1303.98</v>
      </c>
      <c r="G45" s="182">
        <f t="shared" si="0"/>
        <v>206050.58</v>
      </c>
      <c r="H45" s="186">
        <f>INDEX([1]Tonnes!$N$5:$N$255,MATCH(B45,[1]Tonnes!$B$5:$B$255,0))</f>
        <v>298.2</v>
      </c>
      <c r="I45" s="184">
        <f t="shared" si="1"/>
        <v>690.98115358819587</v>
      </c>
    </row>
    <row r="46" spans="1:9" x14ac:dyDescent="0.25">
      <c r="A46" s="37">
        <v>5</v>
      </c>
      <c r="B46" s="185">
        <v>224</v>
      </c>
      <c r="C46" s="179">
        <f>INDEX('[1]Full Program List'!B$2:B$300,MATCH(B46,'[1]Full Program List'!A$2:A$300,0))</f>
        <v>5</v>
      </c>
      <c r="D46" s="180" t="str">
        <f>INDEX('[1]Full Program List'!C$2:C$300,MATCH(B46,'[1]Full Program List'!A$2:A$300,0))</f>
        <v>PRESCOTT,TOWN OF</v>
      </c>
      <c r="E46" s="181">
        <f>INDEX('[1]Gross Costs'!$S$5:$S$255,MATCH(B46,'[1]Gross Costs'!$B$5:$B$255,0))</f>
        <v>73965.39</v>
      </c>
      <c r="F46" s="182">
        <f>INDEX('[1]Gross Costs'!$T$5:$T$255,MATCH(B46,'[1]Gross Costs'!$B$5:$B$255,0))</f>
        <v>245</v>
      </c>
      <c r="G46" s="182">
        <f t="shared" si="0"/>
        <v>73720.39</v>
      </c>
      <c r="H46" s="186">
        <f>INDEX([1]Tonnes!$N$5:$N$255,MATCH(B46,[1]Tonnes!$B$5:$B$255,0))</f>
        <v>257.07384904737762</v>
      </c>
      <c r="I46" s="184">
        <f t="shared" si="1"/>
        <v>286.76736382631299</v>
      </c>
    </row>
    <row r="47" spans="1:9" x14ac:dyDescent="0.25">
      <c r="A47" s="37">
        <v>5</v>
      </c>
      <c r="B47" s="185">
        <v>233</v>
      </c>
      <c r="C47" s="179">
        <f>INDEX('[1]Full Program List'!B$2:B$300,MATCH(B47,'[1]Full Program List'!A$2:A$300,0))</f>
        <v>5</v>
      </c>
      <c r="D47" s="180" t="str">
        <f>INDEX('[1]Full Program List'!C$2:C$300,MATCH(B47,'[1]Full Program List'!A$2:A$300,0))</f>
        <v>ST. THOMAS, CITY OF</v>
      </c>
      <c r="E47" s="181">
        <f>INDEX('[1]Gross Costs'!$S$5:$S$255,MATCH(B47,'[1]Gross Costs'!$B$5:$B$255,0))</f>
        <v>657892.93999999994</v>
      </c>
      <c r="F47" s="182">
        <f>INDEX('[1]Gross Costs'!$T$5:$T$255,MATCH(B47,'[1]Gross Costs'!$B$5:$B$255,0))</f>
        <v>285320.61</v>
      </c>
      <c r="G47" s="182">
        <f t="shared" si="0"/>
        <v>372572.32999999996</v>
      </c>
      <c r="H47" s="186">
        <f>INDEX([1]Tonnes!$N$5:$N$255,MATCH(B47,[1]Tonnes!$B$5:$B$255,0))</f>
        <v>2096.4900000000002</v>
      </c>
      <c r="I47" s="184">
        <f t="shared" si="1"/>
        <v>177.71242886920516</v>
      </c>
    </row>
    <row r="48" spans="1:9" x14ac:dyDescent="0.25">
      <c r="A48" s="37">
        <v>5</v>
      </c>
      <c r="B48" s="185">
        <v>272</v>
      </c>
      <c r="C48" s="179">
        <f>INDEX('[1]Full Program List'!B$2:B$300,MATCH(B48,'[1]Full Program List'!A$2:A$300,0))</f>
        <v>5</v>
      </c>
      <c r="D48" s="180" t="str">
        <f>INDEX('[1]Full Program List'!C$2:C$300,MATCH(B48,'[1]Full Program List'!A$2:A$300,0))</f>
        <v>GANANOQUE, TOWN OF</v>
      </c>
      <c r="E48" s="181">
        <f>INDEX('[1]Gross Costs'!$S$5:$S$255,MATCH(B48,'[1]Gross Costs'!$B$5:$B$255,0))</f>
        <v>79352.12</v>
      </c>
      <c r="F48" s="182">
        <f>INDEX('[1]Gross Costs'!$T$5:$T$255,MATCH(B48,'[1]Gross Costs'!$B$5:$B$255,0))</f>
        <v>0</v>
      </c>
      <c r="G48" s="182">
        <f t="shared" si="0"/>
        <v>79352.12</v>
      </c>
      <c r="H48" s="186">
        <f>INDEX([1]Tonnes!$N$5:$N$255,MATCH(B48,[1]Tonnes!$B$5:$B$255,0))</f>
        <v>365.3662530466043</v>
      </c>
      <c r="I48" s="184">
        <f t="shared" si="1"/>
        <v>217.18513775786028</v>
      </c>
    </row>
    <row r="49" spans="1:9" x14ac:dyDescent="0.25">
      <c r="A49" s="37">
        <v>5</v>
      </c>
      <c r="B49" s="185">
        <v>427</v>
      </c>
      <c r="C49" s="179">
        <f>INDEX('[1]Full Program List'!B$2:B$300,MATCH(B49,'[1]Full Program List'!A$2:A$300,0))</f>
        <v>5</v>
      </c>
      <c r="D49" s="180" t="str">
        <f>INDEX('[1]Full Program List'!C$2:C$300,MATCH(B49,'[1]Full Program List'!A$2:A$300,0))</f>
        <v>AYLMER, TOWN OF</v>
      </c>
      <c r="E49" s="181">
        <f>INDEX('[1]Gross Costs'!$S$5:$S$255,MATCH(B49,'[1]Gross Costs'!$B$5:$B$255,0))</f>
        <v>198493.19</v>
      </c>
      <c r="F49" s="182">
        <f>INDEX('[1]Gross Costs'!$T$5:$T$255,MATCH(B49,'[1]Gross Costs'!$B$5:$B$255,0))</f>
        <v>56867.6</v>
      </c>
      <c r="G49" s="182">
        <f t="shared" si="0"/>
        <v>141625.59</v>
      </c>
      <c r="H49" s="186">
        <f>INDEX([1]Tonnes!$N$5:$N$255,MATCH(B49,[1]Tonnes!$B$5:$B$255,0))</f>
        <v>444.9199999999999</v>
      </c>
      <c r="I49" s="184">
        <f t="shared" si="1"/>
        <v>318.31697833318356</v>
      </c>
    </row>
    <row r="50" spans="1:9" x14ac:dyDescent="0.25">
      <c r="A50" s="37">
        <v>5</v>
      </c>
      <c r="B50" s="185">
        <v>524</v>
      </c>
      <c r="C50" s="179">
        <f>INDEX('[1]Full Program List'!B$2:B$300,MATCH(B50,'[1]Full Program List'!A$2:A$300,0))</f>
        <v>5</v>
      </c>
      <c r="D50" s="180" t="str">
        <f>INDEX('[1]Full Program List'!C$2:C$300,MATCH(B50,'[1]Full Program List'!A$2:A$300,0))</f>
        <v>Arnprior, Town of</v>
      </c>
      <c r="E50" s="181">
        <f>INDEX('[1]Gross Costs'!$S$5:$S$255,MATCH(B50,'[1]Gross Costs'!$B$5:$B$255,0))</f>
        <v>234790.57</v>
      </c>
      <c r="F50" s="182">
        <f>INDEX('[1]Gross Costs'!$T$5:$T$255,MATCH(B50,'[1]Gross Costs'!$B$5:$B$255,0))</f>
        <v>453.75</v>
      </c>
      <c r="G50" s="182">
        <f t="shared" si="0"/>
        <v>234336.82</v>
      </c>
      <c r="H50" s="186">
        <f>INDEX([1]Tonnes!$N$5:$N$255,MATCH(B50,[1]Tonnes!$B$5:$B$255,0))</f>
        <v>503.24541510407607</v>
      </c>
      <c r="I50" s="184">
        <f t="shared" si="1"/>
        <v>465.65117727210065</v>
      </c>
    </row>
    <row r="51" spans="1:9" x14ac:dyDescent="0.25">
      <c r="A51" s="37">
        <v>5</v>
      </c>
      <c r="B51" s="185">
        <v>565</v>
      </c>
      <c r="C51" s="179">
        <f>INDEX('[1]Full Program List'!B$2:B$300,MATCH(B51,'[1]Full Program List'!A$2:A$300,0))</f>
        <v>5</v>
      </c>
      <c r="D51" s="180" t="str">
        <f>INDEX('[1]Full Program List'!C$2:C$300,MATCH(B51,'[1]Full Program List'!A$2:A$300,0))</f>
        <v>RENFREW, TOWN OF</v>
      </c>
      <c r="E51" s="181">
        <f>INDEX('[1]Gross Costs'!$S$5:$S$255,MATCH(B51,'[1]Gross Costs'!$B$5:$B$255,0))</f>
        <v>165733.01</v>
      </c>
      <c r="F51" s="182">
        <f>INDEX('[1]Gross Costs'!$T$5:$T$255,MATCH(B51,'[1]Gross Costs'!$B$5:$B$255,0))</f>
        <v>710</v>
      </c>
      <c r="G51" s="182">
        <f t="shared" si="0"/>
        <v>165023.01</v>
      </c>
      <c r="H51" s="186">
        <f>INDEX([1]Tonnes!$N$5:$N$255,MATCH(B51,[1]Tonnes!$B$5:$B$255,0))</f>
        <v>471.64773139908056</v>
      </c>
      <c r="I51" s="184">
        <f t="shared" si="1"/>
        <v>349.8861523418783</v>
      </c>
    </row>
    <row r="52" spans="1:9" x14ac:dyDescent="0.25">
      <c r="A52" s="37">
        <v>5</v>
      </c>
      <c r="B52" s="185">
        <v>696</v>
      </c>
      <c r="C52" s="179">
        <f>INDEX('[1]Full Program List'!B$2:B$300,MATCH(B52,'[1]Full Program List'!A$2:A$300,0))</f>
        <v>5</v>
      </c>
      <c r="D52" s="180" t="str">
        <f>INDEX('[1]Full Program List'!C$2:C$300,MATCH(B52,'[1]Full Program List'!A$2:A$300,0))</f>
        <v>PETROLIA, TOWN OF</v>
      </c>
      <c r="E52" s="181">
        <f>INDEX('[1]Gross Costs'!$S$5:$S$255,MATCH(B52,'[1]Gross Costs'!$B$5:$B$255,0))</f>
        <v>126909.24</v>
      </c>
      <c r="F52" s="182">
        <f>INDEX('[1]Gross Costs'!$T$5:$T$255,MATCH(B52,'[1]Gross Costs'!$B$5:$B$255,0))</f>
        <v>38.94</v>
      </c>
      <c r="G52" s="182">
        <f t="shared" si="0"/>
        <v>126870.3</v>
      </c>
      <c r="H52" s="186">
        <f>INDEX([1]Tonnes!$N$5:$N$255,MATCH(B52,[1]Tonnes!$B$5:$B$255,0))</f>
        <v>295.10104095842627</v>
      </c>
      <c r="I52" s="184">
        <f t="shared" si="1"/>
        <v>429.92156038471393</v>
      </c>
    </row>
    <row r="53" spans="1:9" x14ac:dyDescent="0.25">
      <c r="A53" s="37">
        <v>5</v>
      </c>
      <c r="B53" s="185">
        <v>731</v>
      </c>
      <c r="C53" s="179">
        <f>INDEX('[1]Full Program List'!B$2:B$300,MATCH(B53,'[1]Full Program List'!A$2:A$300,0))</f>
        <v>5</v>
      </c>
      <c r="D53" s="180" t="str">
        <f>INDEX('[1]Full Program List'!C$2:C$300,MATCH(B53,'[1]Full Program List'!A$2:A$300,0))</f>
        <v>CARLETON PLACE, TOWN OF</v>
      </c>
      <c r="E53" s="181">
        <f>INDEX('[1]Gross Costs'!$S$5:$S$255,MATCH(B53,'[1]Gross Costs'!$B$5:$B$255,0))</f>
        <v>225089.16</v>
      </c>
      <c r="F53" s="182">
        <f>INDEX('[1]Gross Costs'!$T$5:$T$255,MATCH(B53,'[1]Gross Costs'!$B$5:$B$255,0))</f>
        <v>35311</v>
      </c>
      <c r="G53" s="182">
        <f t="shared" si="0"/>
        <v>189778.16</v>
      </c>
      <c r="H53" s="186">
        <f>INDEX([1]Tonnes!$N$5:$N$255,MATCH(B53,[1]Tonnes!$B$5:$B$255,0))</f>
        <v>859.8900000000001</v>
      </c>
      <c r="I53" s="184">
        <f t="shared" si="1"/>
        <v>220.70050820453775</v>
      </c>
    </row>
    <row r="54" spans="1:9" x14ac:dyDescent="0.25">
      <c r="A54" s="37">
        <v>5</v>
      </c>
      <c r="B54" s="185">
        <v>732</v>
      </c>
      <c r="C54" s="179">
        <f>INDEX('[1]Full Program List'!B$2:B$300,MATCH(B54,'[1]Full Program List'!A$2:A$300,0))</f>
        <v>5</v>
      </c>
      <c r="D54" s="180" t="str">
        <f>INDEX('[1]Full Program List'!C$2:C$300,MATCH(B54,'[1]Full Program List'!A$2:A$300,0))</f>
        <v>CASSELMAN,  VILLAGE OF</v>
      </c>
      <c r="E54" s="181">
        <f>INDEX('[1]Gross Costs'!$S$5:$S$255,MATCH(B54,'[1]Gross Costs'!$B$5:$B$255,0))</f>
        <v>69856.94</v>
      </c>
      <c r="F54" s="182">
        <f>INDEX('[1]Gross Costs'!$T$5:$T$255,MATCH(B54,'[1]Gross Costs'!$B$5:$B$255,0))</f>
        <v>0</v>
      </c>
      <c r="G54" s="182">
        <f t="shared" si="0"/>
        <v>69856.94</v>
      </c>
      <c r="H54" s="186">
        <f>INDEX([1]Tonnes!$N$5:$N$255,MATCH(B54,[1]Tonnes!$B$5:$B$255,0))</f>
        <v>215.10540422039867</v>
      </c>
      <c r="I54" s="184">
        <f t="shared" si="1"/>
        <v>324.75678727450304</v>
      </c>
    </row>
    <row r="55" spans="1:9" x14ac:dyDescent="0.25">
      <c r="A55" s="37">
        <v>5</v>
      </c>
      <c r="B55" s="185">
        <v>754</v>
      </c>
      <c r="C55" s="179">
        <f>INDEX('[1]Full Program List'!B$2:B$300,MATCH(B55,'[1]Full Program List'!A$2:A$300,0))</f>
        <v>5</v>
      </c>
      <c r="D55" s="180" t="str">
        <f>INDEX('[1]Full Program List'!C$2:C$300,MATCH(B55,'[1]Full Program List'!A$2:A$300,0))</f>
        <v>DESERONTO, TOWN OF</v>
      </c>
      <c r="E55" s="181">
        <f>INDEX('[1]Gross Costs'!$S$5:$S$255,MATCH(B55,'[1]Gross Costs'!$B$5:$B$255,0))</f>
        <v>34950.230000000003</v>
      </c>
      <c r="F55" s="182">
        <f>INDEX('[1]Gross Costs'!$T$5:$T$255,MATCH(B55,'[1]Gross Costs'!$B$5:$B$255,0))</f>
        <v>0</v>
      </c>
      <c r="G55" s="182">
        <f t="shared" si="0"/>
        <v>34950.230000000003</v>
      </c>
      <c r="H55" s="186">
        <f>INDEX([1]Tonnes!$N$5:$N$255,MATCH(B55,[1]Tonnes!$B$5:$B$255,0))</f>
        <v>114.00956480658041</v>
      </c>
      <c r="I55" s="184">
        <f t="shared" si="1"/>
        <v>306.55524437176643</v>
      </c>
    </row>
    <row r="56" spans="1:9" x14ac:dyDescent="0.25">
      <c r="A56" s="37">
        <v>5</v>
      </c>
      <c r="B56" s="185">
        <v>885</v>
      </c>
      <c r="C56" s="179">
        <f>INDEX('[1]Full Program List'!B$2:B$300,MATCH(B56,'[1]Full Program List'!A$2:A$300,0))</f>
        <v>5</v>
      </c>
      <c r="D56" s="180" t="str">
        <f>INDEX('[1]Full Program List'!C$2:C$300,MATCH(B56,'[1]Full Program List'!A$2:A$300,0))</f>
        <v>PERTH, TOWN OF</v>
      </c>
      <c r="E56" s="181">
        <f>INDEX('[1]Gross Costs'!$S$5:$S$255,MATCH(B56,'[1]Gross Costs'!$B$5:$B$255,0))</f>
        <v>145965.66</v>
      </c>
      <c r="F56" s="182">
        <f>INDEX('[1]Gross Costs'!$T$5:$T$255,MATCH(B56,'[1]Gross Costs'!$B$5:$B$255,0))</f>
        <v>61071.180000000008</v>
      </c>
      <c r="G56" s="182">
        <f t="shared" si="0"/>
        <v>84894.48</v>
      </c>
      <c r="H56" s="186">
        <f>INDEX([1]Tonnes!$N$5:$N$255,MATCH(B56,[1]Tonnes!$B$5:$B$255,0))</f>
        <v>442.95</v>
      </c>
      <c r="I56" s="184">
        <f t="shared" si="1"/>
        <v>191.65702675245512</v>
      </c>
    </row>
    <row r="57" spans="1:9" x14ac:dyDescent="0.25">
      <c r="A57" s="37">
        <v>5</v>
      </c>
      <c r="B57" s="185">
        <v>909</v>
      </c>
      <c r="C57" s="179">
        <f>INDEX('[1]Full Program List'!B$2:B$300,MATCH(B57,'[1]Full Program List'!A$2:A$300,0))</f>
        <v>5</v>
      </c>
      <c r="D57" s="180" t="str">
        <f>INDEX('[1]Full Program List'!C$2:C$300,MATCH(B57,'[1]Full Program List'!A$2:A$300,0))</f>
        <v>SMITHS FALLS, TOWN OF</v>
      </c>
      <c r="E57" s="181">
        <f>INDEX('[1]Gross Costs'!$S$5:$S$255,MATCH(B57,'[1]Gross Costs'!$B$5:$B$255,0))</f>
        <v>238013.06</v>
      </c>
      <c r="F57" s="182">
        <f>INDEX('[1]Gross Costs'!$T$5:$T$255,MATCH(B57,'[1]Gross Costs'!$B$5:$B$255,0))</f>
        <v>67250.02</v>
      </c>
      <c r="G57" s="182">
        <f t="shared" si="0"/>
        <v>170763.03999999998</v>
      </c>
      <c r="H57" s="186">
        <f>INDEX([1]Tonnes!$N$5:$N$255,MATCH(B57,[1]Tonnes!$B$5:$B$255,0))</f>
        <v>496.92000000000007</v>
      </c>
      <c r="I57" s="184">
        <f t="shared" si="1"/>
        <v>343.64292038959985</v>
      </c>
    </row>
    <row r="58" spans="1:9" x14ac:dyDescent="0.25">
      <c r="A58" s="37">
        <v>5</v>
      </c>
      <c r="B58" s="185">
        <v>923</v>
      </c>
      <c r="C58" s="179">
        <f>INDEX('[1]Full Program List'!B$2:B$300,MATCH(B58,'[1]Full Program List'!A$2:A$300,0))</f>
        <v>5</v>
      </c>
      <c r="D58" s="180" t="str">
        <f>INDEX('[1]Full Program List'!C$2:C$300,MATCH(B58,'[1]Full Program List'!A$2:A$300,0))</f>
        <v>SUNDRIDGE, VILLAGE OF</v>
      </c>
      <c r="E58" s="181">
        <f>INDEX('[1]Gross Costs'!$S$5:$S$255,MATCH(B58,'[1]Gross Costs'!$B$5:$B$255,0))</f>
        <v>30138.59</v>
      </c>
      <c r="F58" s="182">
        <f>INDEX('[1]Gross Costs'!$T$5:$T$255,MATCH(B58,'[1]Gross Costs'!$B$5:$B$255,0))</f>
        <v>156</v>
      </c>
      <c r="G58" s="182">
        <f t="shared" si="0"/>
        <v>29982.59</v>
      </c>
      <c r="H58" s="186">
        <f>INDEX([1]Tonnes!$N$5:$N$255,MATCH(B58,[1]Tonnes!$B$5:$B$255,0))</f>
        <v>49.064782259954448</v>
      </c>
      <c r="I58" s="184">
        <f t="shared" si="1"/>
        <v>611.0816887181237</v>
      </c>
    </row>
    <row r="59" spans="1:9" x14ac:dyDescent="0.25">
      <c r="A59" s="37">
        <v>5</v>
      </c>
      <c r="B59" s="185">
        <v>394</v>
      </c>
      <c r="C59" s="179">
        <f>INDEX('[1]Full Program List'!B$2:B$300,MATCH(B59,'[1]Full Program List'!A$2:A$300,0))</f>
        <v>6</v>
      </c>
      <c r="D59" s="180" t="str">
        <f>INDEX('[1]Full Program List'!C$2:C$300,MATCH(B59,'[1]Full Program List'!A$2:A$300,0))</f>
        <v>WEST NIPISSING, MUNICIPALITY OF</v>
      </c>
      <c r="E59" s="181">
        <f>INDEX('[1]Gross Costs'!$S$5:$S$255,MATCH(B59,'[1]Gross Costs'!$B$5:$B$255,0))</f>
        <v>378356.65</v>
      </c>
      <c r="F59" s="182">
        <f>INDEX('[1]Gross Costs'!$T$5:$T$255,MATCH(B59,'[1]Gross Costs'!$B$5:$B$255,0))</f>
        <v>36610</v>
      </c>
      <c r="G59" s="182">
        <f t="shared" si="0"/>
        <v>341746.65</v>
      </c>
      <c r="H59" s="186">
        <f>INDEX([1]Tonnes!$N$5:$N$255,MATCH(B59,[1]Tonnes!$B$5:$B$255,0))</f>
        <v>634.74</v>
      </c>
      <c r="I59" s="184">
        <f t="shared" si="1"/>
        <v>538.40414973059842</v>
      </c>
    </row>
    <row r="60" spans="1:9" x14ac:dyDescent="0.25">
      <c r="A60" s="37">
        <v>6</v>
      </c>
      <c r="B60" s="185">
        <v>414</v>
      </c>
      <c r="C60" s="179">
        <f>INDEX('[1]Full Program List'!B$2:B$300,MATCH(B60,'[1]Full Program List'!A$2:A$300,0))</f>
        <v>6</v>
      </c>
      <c r="D60" s="180" t="str">
        <f>INDEX('[1]Full Program List'!C$2:C$300,MATCH(B60,'[1]Full Program List'!A$2:A$300,0))</f>
        <v>KIRKLAND LAKE, TOWN OF</v>
      </c>
      <c r="E60" s="181">
        <f>INDEX('[1]Gross Costs'!$S$5:$S$255,MATCH(B60,'[1]Gross Costs'!$B$5:$B$255,0))</f>
        <v>291185.07</v>
      </c>
      <c r="F60" s="182">
        <f>INDEX('[1]Gross Costs'!$T$5:$T$255,MATCH(B60,'[1]Gross Costs'!$B$5:$B$255,0))</f>
        <v>10663.29</v>
      </c>
      <c r="G60" s="182">
        <f t="shared" si="0"/>
        <v>280521.78000000003</v>
      </c>
      <c r="H60" s="186">
        <f>INDEX([1]Tonnes!$N$5:$N$255,MATCH(B60,[1]Tonnes!$B$5:$B$255,0))</f>
        <v>248.32677336420244</v>
      </c>
      <c r="I60" s="184">
        <f t="shared" si="1"/>
        <v>1129.6477467960315</v>
      </c>
    </row>
    <row r="61" spans="1:9" x14ac:dyDescent="0.25">
      <c r="A61" s="37">
        <v>6</v>
      </c>
      <c r="B61" s="185">
        <v>426</v>
      </c>
      <c r="C61" s="179">
        <f>INDEX('[1]Full Program List'!B$2:B$300,MATCH(B61,'[1]Full Program List'!A$2:A$300,0))</f>
        <v>6</v>
      </c>
      <c r="D61" s="180" t="str">
        <f>INDEX('[1]Full Program List'!C$2:C$300,MATCH(B61,'[1]Full Program List'!A$2:A$300,0))</f>
        <v>ELLIOT LAKE, CITY OF</v>
      </c>
      <c r="E61" s="181">
        <f>INDEX('[1]Gross Costs'!$S$5:$S$255,MATCH(B61,'[1]Gross Costs'!$B$5:$B$255,0))</f>
        <v>147683.84</v>
      </c>
      <c r="F61" s="182">
        <f>INDEX('[1]Gross Costs'!$T$5:$T$255,MATCH(B61,'[1]Gross Costs'!$B$5:$B$255,0))</f>
        <v>0</v>
      </c>
      <c r="G61" s="182">
        <f t="shared" si="0"/>
        <v>147683.84</v>
      </c>
      <c r="H61" s="186">
        <f>INDEX([1]Tonnes!$N$5:$N$255,MATCH(B61,[1]Tonnes!$B$5:$B$255,0))</f>
        <v>398.46987658571351</v>
      </c>
      <c r="I61" s="184">
        <f t="shared" si="1"/>
        <v>370.62736401915248</v>
      </c>
    </row>
    <row r="62" spans="1:9" x14ac:dyDescent="0.25">
      <c r="A62" s="37">
        <v>6</v>
      </c>
      <c r="B62" s="185">
        <v>430</v>
      </c>
      <c r="C62" s="179">
        <f>INDEX('[1]Full Program List'!B$2:B$300,MATCH(B62,'[1]Full Program List'!A$2:A$300,0))</f>
        <v>6</v>
      </c>
      <c r="D62" s="180" t="str">
        <f>INDEX('[1]Full Program List'!C$2:C$300,MATCH(B62,'[1]Full Program List'!A$2:A$300,0))</f>
        <v>TIMMINS, CITY OF</v>
      </c>
      <c r="E62" s="181">
        <f>INDEX('[1]Gross Costs'!$S$5:$S$255,MATCH(B62,'[1]Gross Costs'!$B$5:$B$255,0))</f>
        <v>1674152.86</v>
      </c>
      <c r="F62" s="182">
        <f>INDEX('[1]Gross Costs'!$T$5:$T$255,MATCH(B62,'[1]Gross Costs'!$B$5:$B$255,0))</f>
        <v>100</v>
      </c>
      <c r="G62" s="182">
        <f t="shared" si="0"/>
        <v>1674052.86</v>
      </c>
      <c r="H62" s="186">
        <f>INDEX([1]Tonnes!$N$5:$N$255,MATCH(B62,[1]Tonnes!$B$5:$B$255,0))</f>
        <v>2885.2977142676095</v>
      </c>
      <c r="I62" s="184">
        <f t="shared" si="1"/>
        <v>580.20108348678116</v>
      </c>
    </row>
    <row r="63" spans="1:9" x14ac:dyDescent="0.25">
      <c r="A63" s="37">
        <v>6</v>
      </c>
      <c r="B63" s="185">
        <v>443</v>
      </c>
      <c r="C63" s="179">
        <f>INDEX('[1]Full Program List'!B$2:B$300,MATCH(B63,'[1]Full Program List'!A$2:A$300,0))</f>
        <v>6</v>
      </c>
      <c r="D63" s="180" t="str">
        <f>INDEX('[1]Full Program List'!C$2:C$300,MATCH(B63,'[1]Full Program List'!A$2:A$300,0))</f>
        <v>GAUTHIER, TOWNSHIP OF</v>
      </c>
      <c r="E63" s="181">
        <f>INDEX('[1]Gross Costs'!$S$5:$S$255,MATCH(B63,'[1]Gross Costs'!$B$5:$B$255,0))</f>
        <v>15830.2</v>
      </c>
      <c r="F63" s="182">
        <f>INDEX('[1]Gross Costs'!$T$5:$T$255,MATCH(B63,'[1]Gross Costs'!$B$5:$B$255,0))</f>
        <v>0</v>
      </c>
      <c r="G63" s="182">
        <f t="shared" si="0"/>
        <v>15830.2</v>
      </c>
      <c r="H63" s="186">
        <f>INDEX([1]Tonnes!$N$5:$N$255,MATCH(B63,[1]Tonnes!$B$5:$B$255,0))</f>
        <v>11.627319147048576</v>
      </c>
      <c r="I63" s="184">
        <f t="shared" si="1"/>
        <v>1361.4660266737637</v>
      </c>
    </row>
    <row r="64" spans="1:9" x14ac:dyDescent="0.25">
      <c r="A64" s="37">
        <v>6</v>
      </c>
      <c r="B64" s="185">
        <v>562</v>
      </c>
      <c r="C64" s="179">
        <f>INDEX('[1]Full Program List'!B$2:B$300,MATCH(B64,'[1]Full Program List'!A$2:A$300,0))</f>
        <v>6</v>
      </c>
      <c r="D64" s="180" t="str">
        <f>INDEX('[1]Full Program List'!C$2:C$300,MATCH(B64,'[1]Full Program List'!A$2:A$300,0))</f>
        <v>PRINCE, TOWNSHIP OF</v>
      </c>
      <c r="E64" s="181">
        <f>INDEX('[1]Gross Costs'!$S$5:$S$255,MATCH(B64,'[1]Gross Costs'!$B$5:$B$255,0))</f>
        <v>47597.599999999999</v>
      </c>
      <c r="F64" s="182">
        <f>INDEX('[1]Gross Costs'!$T$5:$T$255,MATCH(B64,'[1]Gross Costs'!$B$5:$B$255,0))</f>
        <v>0</v>
      </c>
      <c r="G64" s="182">
        <f t="shared" si="0"/>
        <v>47597.599999999999</v>
      </c>
      <c r="H64" s="186">
        <f>INDEX([1]Tonnes!$N$5:$N$255,MATCH(B64,[1]Tonnes!$B$5:$B$255,0))</f>
        <v>55.566474597654711</v>
      </c>
      <c r="I64" s="184">
        <f t="shared" si="1"/>
        <v>856.58844374497971</v>
      </c>
    </row>
    <row r="65" spans="1:9" x14ac:dyDescent="0.25">
      <c r="A65" s="37">
        <v>6</v>
      </c>
      <c r="B65" s="185">
        <v>603</v>
      </c>
      <c r="C65" s="179">
        <f>INDEX('[1]Full Program List'!B$2:B$300,MATCH(B65,'[1]Full Program List'!A$2:A$300,0))</f>
        <v>6</v>
      </c>
      <c r="D65" s="180" t="str">
        <f>INDEX('[1]Full Program List'!C$2:C$300,MATCH(B65,'[1]Full Program List'!A$2:A$300,0))</f>
        <v>SABLES-SPANISH RIVERS, TOWNSHIP OF</v>
      </c>
      <c r="E65" s="181">
        <f>INDEX('[1]Gross Costs'!$S$5:$S$255,MATCH(B65,'[1]Gross Costs'!$B$5:$B$255,0))</f>
        <v>85628.45</v>
      </c>
      <c r="F65" s="182">
        <f>INDEX('[1]Gross Costs'!$T$5:$T$255,MATCH(B65,'[1]Gross Costs'!$B$5:$B$255,0))</f>
        <v>0</v>
      </c>
      <c r="G65" s="182">
        <f t="shared" si="0"/>
        <v>85628.45</v>
      </c>
      <c r="H65" s="186">
        <f>INDEX([1]Tonnes!$N$5:$N$255,MATCH(B65,[1]Tonnes!$B$5:$B$255,0))</f>
        <v>109.56634963052151</v>
      </c>
      <c r="I65" s="184">
        <f t="shared" si="1"/>
        <v>781.52142778102359</v>
      </c>
    </row>
    <row r="66" spans="1:9" x14ac:dyDescent="0.25">
      <c r="A66" s="37">
        <v>6</v>
      </c>
      <c r="B66" s="185">
        <v>618</v>
      </c>
      <c r="C66" s="179">
        <f>INDEX('[1]Full Program List'!B$2:B$300,MATCH(B66,'[1]Full Program List'!A$2:A$300,0))</f>
        <v>6</v>
      </c>
      <c r="D66" s="180" t="str">
        <f>INDEX('[1]Full Program List'!C$2:C$300,MATCH(B66,'[1]Full Program List'!A$2:A$300,0))</f>
        <v>BALDWIN, TOWNSHIP OF</v>
      </c>
      <c r="E66" s="181">
        <f>INDEX('[1]Gross Costs'!$S$5:$S$255,MATCH(B66,'[1]Gross Costs'!$B$5:$B$255,0))</f>
        <v>16335.8</v>
      </c>
      <c r="F66" s="182">
        <f>INDEX('[1]Gross Costs'!$T$5:$T$255,MATCH(B66,'[1]Gross Costs'!$B$5:$B$255,0))</f>
        <v>0</v>
      </c>
      <c r="G66" s="182">
        <f t="shared" si="0"/>
        <v>16335.8</v>
      </c>
      <c r="H66" s="186">
        <f>INDEX([1]Tonnes!$N$5:$N$255,MATCH(B66,[1]Tonnes!$B$5:$B$255,0))</f>
        <v>22.913731248399976</v>
      </c>
      <c r="I66" s="184">
        <f t="shared" si="1"/>
        <v>712.9262285094095</v>
      </c>
    </row>
    <row r="67" spans="1:9" x14ac:dyDescent="0.25">
      <c r="A67" s="37">
        <v>6</v>
      </c>
      <c r="B67" s="185">
        <v>620</v>
      </c>
      <c r="C67" s="179">
        <f>INDEX('[1]Full Program List'!B$2:B$300,MATCH(B67,'[1]Full Program List'!A$2:A$300,0))</f>
        <v>6</v>
      </c>
      <c r="D67" s="180" t="str">
        <f>INDEX('[1]Full Program List'!C$2:C$300,MATCH(B67,'[1]Full Program List'!A$2:A$300,0))</f>
        <v>BLIND RIVER, TOWN OF</v>
      </c>
      <c r="E67" s="181">
        <f>INDEX('[1]Gross Costs'!$S$5:$S$255,MATCH(B67,'[1]Gross Costs'!$B$5:$B$255,0))</f>
        <v>118610.13</v>
      </c>
      <c r="F67" s="182">
        <f>INDEX('[1]Gross Costs'!$T$5:$T$255,MATCH(B67,'[1]Gross Costs'!$B$5:$B$255,0))</f>
        <v>0</v>
      </c>
      <c r="G67" s="182">
        <f t="shared" si="0"/>
        <v>118610.13</v>
      </c>
      <c r="H67" s="186">
        <f>INDEX([1]Tonnes!$N$5:$N$255,MATCH(B67,[1]Tonnes!$B$5:$B$255,0))</f>
        <v>247.11841445539267</v>
      </c>
      <c r="I67" s="184">
        <f t="shared" si="1"/>
        <v>479.97285132067856</v>
      </c>
    </row>
    <row r="68" spans="1:9" x14ac:dyDescent="0.25">
      <c r="A68" s="37">
        <v>6</v>
      </c>
      <c r="B68" s="185">
        <v>622</v>
      </c>
      <c r="C68" s="179">
        <f>INDEX('[1]Full Program List'!B$2:B$300,MATCH(B68,'[1]Full Program List'!A$2:A$300,0))</f>
        <v>6</v>
      </c>
      <c r="D68" s="180" t="str">
        <f>INDEX('[1]Full Program List'!C$2:C$300,MATCH(B68,'[1]Full Program List'!A$2:A$300,0))</f>
        <v>CENTRAL MANITOULIN, TOWNSHIP OF</v>
      </c>
      <c r="E68" s="181">
        <f>INDEX('[1]Gross Costs'!$S$5:$S$255,MATCH(B68,'[1]Gross Costs'!$B$5:$B$255,0))</f>
        <v>80933.14</v>
      </c>
      <c r="F68" s="182">
        <f>INDEX('[1]Gross Costs'!$T$5:$T$255,MATCH(B68,'[1]Gross Costs'!$B$5:$B$255,0))</f>
        <v>715</v>
      </c>
      <c r="G68" s="182">
        <f t="shared" si="0"/>
        <v>80218.14</v>
      </c>
      <c r="H68" s="186">
        <f>INDEX([1]Tonnes!$N$5:$N$255,MATCH(B68,[1]Tonnes!$B$5:$B$255,0))</f>
        <v>117.76088798616892</v>
      </c>
      <c r="I68" s="184">
        <f t="shared" si="1"/>
        <v>681.19510112238333</v>
      </c>
    </row>
    <row r="69" spans="1:9" x14ac:dyDescent="0.25">
      <c r="A69" s="37">
        <v>6</v>
      </c>
      <c r="B69" s="185">
        <v>623</v>
      </c>
      <c r="C69" s="179">
        <f>INDEX('[1]Full Program List'!B$2:B$300,MATCH(B69,'[1]Full Program List'!A$2:A$300,0))</f>
        <v>6</v>
      </c>
      <c r="D69" s="180" t="str">
        <f>INDEX('[1]Full Program List'!C$2:C$300,MATCH(B69,'[1]Full Program List'!A$2:A$300,0))</f>
        <v>ESPANOLA, TOWN OF</v>
      </c>
      <c r="E69" s="181">
        <f>INDEX('[1]Gross Costs'!$S$5:$S$255,MATCH(B69,'[1]Gross Costs'!$B$5:$B$255,0))</f>
        <v>85871.33</v>
      </c>
      <c r="F69" s="182">
        <f>INDEX('[1]Gross Costs'!$T$5:$T$255,MATCH(B69,'[1]Gross Costs'!$B$5:$B$255,0))</f>
        <v>0</v>
      </c>
      <c r="G69" s="182">
        <f t="shared" ref="G69:G132" si="2">E69-F69</f>
        <v>85871.33</v>
      </c>
      <c r="H69" s="186">
        <f>INDEX([1]Tonnes!$N$5:$N$255,MATCH(B69,[1]Tonnes!$B$5:$B$255,0))</f>
        <v>238.88534218865161</v>
      </c>
      <c r="I69" s="184">
        <f t="shared" ref="I69:I132" si="3">IFERROR(G69/H69,0)</f>
        <v>359.4667182726767</v>
      </c>
    </row>
    <row r="70" spans="1:9" x14ac:dyDescent="0.25">
      <c r="A70" s="37">
        <v>6</v>
      </c>
      <c r="B70" s="185">
        <v>626</v>
      </c>
      <c r="C70" s="179">
        <f>INDEX('[1]Full Program List'!B$2:B$300,MATCH(B70,'[1]Full Program List'!A$2:A$300,0))</f>
        <v>6</v>
      </c>
      <c r="D70" s="180" t="str">
        <f>INDEX('[1]Full Program List'!C$2:C$300,MATCH(B70,'[1]Full Program List'!A$2:A$300,0))</f>
        <v>NAIRN &amp; HYMAN, TOWNSHIP OF</v>
      </c>
      <c r="E70" s="181">
        <f>INDEX('[1]Gross Costs'!$S$5:$S$255,MATCH(B70,'[1]Gross Costs'!$B$5:$B$255,0))</f>
        <v>17594.09</v>
      </c>
      <c r="F70" s="182">
        <f>INDEX('[1]Gross Costs'!$T$5:$T$255,MATCH(B70,'[1]Gross Costs'!$B$5:$B$255,0))</f>
        <v>0</v>
      </c>
      <c r="G70" s="182">
        <f t="shared" si="2"/>
        <v>17594.09</v>
      </c>
      <c r="H70" s="186">
        <f>INDEX([1]Tonnes!$N$5:$N$255,MATCH(B70,[1]Tonnes!$B$5:$B$255,0))</f>
        <v>22.444815850951411</v>
      </c>
      <c r="I70" s="184">
        <f t="shared" si="3"/>
        <v>783.88212747373495</v>
      </c>
    </row>
    <row r="71" spans="1:9" x14ac:dyDescent="0.25">
      <c r="A71" s="37">
        <v>6</v>
      </c>
      <c r="B71" s="185">
        <v>627</v>
      </c>
      <c r="C71" s="179">
        <f>INDEX('[1]Full Program List'!B$2:B$300,MATCH(B71,'[1]Full Program List'!A$2:A$300,0))</f>
        <v>6</v>
      </c>
      <c r="D71" s="180" t="str">
        <f>INDEX('[1]Full Program List'!C$2:C$300,MATCH(B71,'[1]Full Program List'!A$2:A$300,0))</f>
        <v>NORTHEASTERN MANITOULIN &amp; ISLANDS, TOWN OF</v>
      </c>
      <c r="E71" s="181">
        <f>INDEX('[1]Gross Costs'!$S$5:$S$255,MATCH(B71,'[1]Gross Costs'!$B$5:$B$255,0))</f>
        <v>78681.460000000006</v>
      </c>
      <c r="F71" s="182">
        <f>INDEX('[1]Gross Costs'!$T$5:$T$255,MATCH(B71,'[1]Gross Costs'!$B$5:$B$255,0))</f>
        <v>0</v>
      </c>
      <c r="G71" s="182">
        <f t="shared" si="2"/>
        <v>78681.460000000006</v>
      </c>
      <c r="H71" s="186">
        <f>INDEX([1]Tonnes!$N$5:$N$255,MATCH(B71,[1]Tonnes!$B$5:$B$255,0))</f>
        <v>172.58791907246243</v>
      </c>
      <c r="I71" s="184">
        <f t="shared" si="3"/>
        <v>455.89204866051466</v>
      </c>
    </row>
    <row r="72" spans="1:9" x14ac:dyDescent="0.25">
      <c r="A72" s="37">
        <v>6</v>
      </c>
      <c r="B72" s="185">
        <v>634</v>
      </c>
      <c r="C72" s="179">
        <f>INDEX('[1]Full Program List'!B$2:B$300,MATCH(B72,'[1]Full Program List'!A$2:A$300,0))</f>
        <v>6</v>
      </c>
      <c r="D72" s="180" t="str">
        <f>INDEX('[1]Full Program List'!C$2:C$300,MATCH(B72,'[1]Full Program List'!A$2:A$300,0))</f>
        <v>Temiskaming Shores, City of</v>
      </c>
      <c r="E72" s="181">
        <f>INDEX('[1]Gross Costs'!$S$5:$S$255,MATCH(B72,'[1]Gross Costs'!$B$5:$B$255,0))</f>
        <v>582665.36</v>
      </c>
      <c r="F72" s="182">
        <f>INDEX('[1]Gross Costs'!$T$5:$T$255,MATCH(B72,'[1]Gross Costs'!$B$5:$B$255,0))</f>
        <v>0</v>
      </c>
      <c r="G72" s="182">
        <f t="shared" si="2"/>
        <v>582665.36</v>
      </c>
      <c r="H72" s="186">
        <f>INDEX([1]Tonnes!$N$5:$N$255,MATCH(B72,[1]Tonnes!$B$5:$B$255,0))</f>
        <v>648.63374679368712</v>
      </c>
      <c r="I72" s="184">
        <f t="shared" si="3"/>
        <v>898.29640051912088</v>
      </c>
    </row>
    <row r="73" spans="1:9" x14ac:dyDescent="0.25">
      <c r="A73" s="37">
        <v>6</v>
      </c>
      <c r="B73" s="185">
        <v>636</v>
      </c>
      <c r="C73" s="179">
        <f>INDEX('[1]Full Program List'!B$2:B$300,MATCH(B73,'[1]Full Program List'!A$2:A$300,0))</f>
        <v>6</v>
      </c>
      <c r="D73" s="180" t="str">
        <f>INDEX('[1]Full Program List'!C$2:C$300,MATCH(B73,'[1]Full Program List'!A$2:A$300,0))</f>
        <v>Goulais Local Service Board</v>
      </c>
      <c r="E73" s="181">
        <f>INDEX('[1]Gross Costs'!$S$5:$S$255,MATCH(B73,'[1]Gross Costs'!$B$5:$B$255,0))</f>
        <v>74827.44</v>
      </c>
      <c r="F73" s="182">
        <f>INDEX('[1]Gross Costs'!$T$5:$T$255,MATCH(B73,'[1]Gross Costs'!$B$5:$B$255,0))</f>
        <v>76212</v>
      </c>
      <c r="G73" s="182">
        <f t="shared" si="2"/>
        <v>-1384.5599999999977</v>
      </c>
      <c r="H73" s="186">
        <f>INDEX([1]Tonnes!$N$5:$N$255,MATCH(B73,[1]Tonnes!$B$5:$B$255,0))</f>
        <v>72.113777565310741</v>
      </c>
      <c r="I73" s="184">
        <f t="shared" si="3"/>
        <v>-19.199659853431665</v>
      </c>
    </row>
    <row r="74" spans="1:9" x14ac:dyDescent="0.25">
      <c r="A74" s="37">
        <v>6</v>
      </c>
      <c r="B74" s="185">
        <v>694</v>
      </c>
      <c r="C74" s="179">
        <f>INDEX('[1]Full Program List'!B$2:B$300,MATCH(B74,'[1]Full Program List'!A$2:A$300,0))</f>
        <v>6</v>
      </c>
      <c r="D74" s="180" t="str">
        <f>INDEX('[1]Full Program List'!C$2:C$300,MATCH(B74,'[1]Full Program List'!A$2:A$300,0))</f>
        <v>WAHNAPITAE FIRST NATION</v>
      </c>
      <c r="E74" s="181">
        <f>INDEX('[1]Gross Costs'!$S$5:$S$255,MATCH(B74,'[1]Gross Costs'!$B$5:$B$255,0))</f>
        <v>60191.32</v>
      </c>
      <c r="F74" s="182">
        <f>INDEX('[1]Gross Costs'!$T$5:$T$255,MATCH(B74,'[1]Gross Costs'!$B$5:$B$255,0))</f>
        <v>0</v>
      </c>
      <c r="G74" s="182">
        <f t="shared" si="2"/>
        <v>60191.32</v>
      </c>
      <c r="H74" s="186">
        <f>INDEX([1]Tonnes!$N$5:$N$255,MATCH(B74,[1]Tonnes!$B$5:$B$255,0))</f>
        <v>10.25564638073009</v>
      </c>
      <c r="I74" s="184">
        <f t="shared" si="3"/>
        <v>5869.0908174346623</v>
      </c>
    </row>
    <row r="75" spans="1:9" x14ac:dyDescent="0.25">
      <c r="A75" s="37">
        <v>6</v>
      </c>
      <c r="B75" s="185">
        <v>710</v>
      </c>
      <c r="C75" s="179">
        <f>INDEX('[1]Full Program List'!B$2:B$300,MATCH(B75,'[1]Full Program List'!A$2:A$300,0))</f>
        <v>6</v>
      </c>
      <c r="D75" s="180" t="str">
        <f>INDEX('[1]Full Program List'!C$2:C$300,MATCH(B75,'[1]Full Program List'!A$2:A$300,0))</f>
        <v>ATIKOKAN, TOWNSHIP OF</v>
      </c>
      <c r="E75" s="181">
        <f>INDEX('[1]Gross Costs'!$S$5:$S$255,MATCH(B75,'[1]Gross Costs'!$B$5:$B$255,0))</f>
        <v>49597.59</v>
      </c>
      <c r="F75" s="182">
        <f>INDEX('[1]Gross Costs'!$T$5:$T$255,MATCH(B75,'[1]Gross Costs'!$B$5:$B$255,0))</f>
        <v>0</v>
      </c>
      <c r="G75" s="182">
        <f t="shared" si="2"/>
        <v>49597.59</v>
      </c>
      <c r="H75" s="186">
        <f>INDEX([1]Tonnes!$N$5:$N$255,MATCH(B75,[1]Tonnes!$B$5:$B$255,0))</f>
        <v>73.989999999999995</v>
      </c>
      <c r="I75" s="184">
        <f t="shared" si="3"/>
        <v>670.32828760643326</v>
      </c>
    </row>
    <row r="76" spans="1:9" x14ac:dyDescent="0.25">
      <c r="A76" s="37">
        <v>6</v>
      </c>
      <c r="B76" s="185">
        <v>743</v>
      </c>
      <c r="C76" s="179">
        <f>INDEX('[1]Full Program List'!B$2:B$300,MATCH(B76,'[1]Full Program List'!A$2:A$300,0))</f>
        <v>6</v>
      </c>
      <c r="D76" s="180" t="str">
        <f>INDEX('[1]Full Program List'!C$2:C$300,MATCH(B76,'[1]Full Program List'!A$2:A$300,0))</f>
        <v>COBALT, TOWN OF</v>
      </c>
      <c r="E76" s="181">
        <f>INDEX('[1]Gross Costs'!$S$5:$S$255,MATCH(B76,'[1]Gross Costs'!$B$5:$B$255,0))</f>
        <v>136207.07999999999</v>
      </c>
      <c r="F76" s="182">
        <f>INDEX('[1]Gross Costs'!$T$5:$T$255,MATCH(B76,'[1]Gross Costs'!$B$5:$B$255,0))</f>
        <v>0</v>
      </c>
      <c r="G76" s="182">
        <f t="shared" si="2"/>
        <v>136207.07999999999</v>
      </c>
      <c r="H76" s="186">
        <f>INDEX([1]Tonnes!$N$5:$N$255,MATCH(B76,[1]Tonnes!$B$5:$B$255,0))</f>
        <v>82.770881637323171</v>
      </c>
      <c r="I76" s="184">
        <f t="shared" si="3"/>
        <v>1645.5917504517831</v>
      </c>
    </row>
    <row r="77" spans="1:9" x14ac:dyDescent="0.25">
      <c r="A77" s="37">
        <v>6</v>
      </c>
      <c r="B77" s="185">
        <v>747</v>
      </c>
      <c r="C77" s="179">
        <f>INDEX('[1]Full Program List'!B$2:B$300,MATCH(B77,'[1]Full Program List'!A$2:A$300,0))</f>
        <v>6</v>
      </c>
      <c r="D77" s="180" t="str">
        <f>INDEX('[1]Full Program List'!C$2:C$300,MATCH(B77,'[1]Full Program List'!A$2:A$300,0))</f>
        <v>COLEMAN,  TOWNSHIP OF</v>
      </c>
      <c r="E77" s="181">
        <f>INDEX('[1]Gross Costs'!$S$5:$S$255,MATCH(B77,'[1]Gross Costs'!$B$5:$B$255,0))</f>
        <v>58996.69</v>
      </c>
      <c r="F77" s="182">
        <f>INDEX('[1]Gross Costs'!$T$5:$T$255,MATCH(B77,'[1]Gross Costs'!$B$5:$B$255,0))</f>
        <v>0</v>
      </c>
      <c r="G77" s="182">
        <f t="shared" si="2"/>
        <v>58996.69</v>
      </c>
      <c r="H77" s="186">
        <f>INDEX([1]Tonnes!$N$5:$N$255,MATCH(B77,[1]Tonnes!$B$5:$B$255,0))</f>
        <v>36.5</v>
      </c>
      <c r="I77" s="184">
        <f t="shared" si="3"/>
        <v>1616.3476712328768</v>
      </c>
    </row>
    <row r="78" spans="1:9" x14ac:dyDescent="0.25">
      <c r="A78" s="37">
        <v>6</v>
      </c>
      <c r="B78" s="185">
        <v>758</v>
      </c>
      <c r="C78" s="179">
        <f>INDEX('[1]Full Program List'!B$2:B$300,MATCH(B78,'[1]Full Program List'!A$2:A$300,0))</f>
        <v>6</v>
      </c>
      <c r="D78" s="180" t="str">
        <f>INDEX('[1]Full Program List'!C$2:C$300,MATCH(B78,'[1]Full Program List'!A$2:A$300,0))</f>
        <v>DRYDEN, CITY OF</v>
      </c>
      <c r="E78" s="181">
        <f>INDEX('[1]Gross Costs'!$S$5:$S$255,MATCH(B78,'[1]Gross Costs'!$B$5:$B$255,0))</f>
        <v>319509.06</v>
      </c>
      <c r="F78" s="182">
        <f>INDEX('[1]Gross Costs'!$T$5:$T$255,MATCH(B78,'[1]Gross Costs'!$B$5:$B$255,0))</f>
        <v>785.37</v>
      </c>
      <c r="G78" s="182">
        <f t="shared" si="2"/>
        <v>318723.69</v>
      </c>
      <c r="H78" s="186">
        <f>INDEX([1]Tonnes!$N$5:$N$255,MATCH(B78,[1]Tonnes!$B$5:$B$255,0))</f>
        <v>306.60873748050523</v>
      </c>
      <c r="I78" s="184">
        <f t="shared" si="3"/>
        <v>1039.5127438932332</v>
      </c>
    </row>
    <row r="79" spans="1:9" x14ac:dyDescent="0.25">
      <c r="A79" s="37">
        <v>6</v>
      </c>
      <c r="B79" s="185">
        <v>765</v>
      </c>
      <c r="C79" s="179">
        <f>INDEX('[1]Full Program List'!B$2:B$300,MATCH(B79,'[1]Full Program List'!A$2:A$300,0))</f>
        <v>6</v>
      </c>
      <c r="D79" s="180" t="str">
        <f>INDEX('[1]Full Program List'!C$2:C$300,MATCH(B79,'[1]Full Program List'!A$2:A$300,0))</f>
        <v>ENGLEHART, TOWN OF</v>
      </c>
      <c r="E79" s="181">
        <f>INDEX('[1]Gross Costs'!$S$5:$S$255,MATCH(B79,'[1]Gross Costs'!$B$5:$B$255,0))</f>
        <v>86969.12</v>
      </c>
      <c r="F79" s="182">
        <f>INDEX('[1]Gross Costs'!$T$5:$T$255,MATCH(B79,'[1]Gross Costs'!$B$5:$B$255,0))</f>
        <v>0</v>
      </c>
      <c r="G79" s="182">
        <f t="shared" si="2"/>
        <v>86969.12</v>
      </c>
      <c r="H79" s="186">
        <f>INDEX([1]Tonnes!$N$5:$N$255,MATCH(B79,[1]Tonnes!$B$5:$B$255,0))</f>
        <v>69.141877232449346</v>
      </c>
      <c r="I79" s="184">
        <f t="shared" si="3"/>
        <v>1257.8356776113687</v>
      </c>
    </row>
    <row r="80" spans="1:9" x14ac:dyDescent="0.25">
      <c r="A80" s="37">
        <v>6</v>
      </c>
      <c r="B80" s="185">
        <v>770</v>
      </c>
      <c r="C80" s="179">
        <f>INDEX('[1]Full Program List'!B$2:B$300,MATCH(B80,'[1]Full Program List'!A$2:A$300,0))</f>
        <v>6</v>
      </c>
      <c r="D80" s="180" t="str">
        <f>INDEX('[1]Full Program List'!C$2:C$300,MATCH(B80,'[1]Full Program List'!A$2:A$300,0))</f>
        <v>EVANTUREL, TOWNSHIP OF</v>
      </c>
      <c r="E80" s="181">
        <f>INDEX('[1]Gross Costs'!$S$5:$S$255,MATCH(B80,'[1]Gross Costs'!$B$5:$B$255,0))</f>
        <v>24774.6</v>
      </c>
      <c r="F80" s="182">
        <f>INDEX('[1]Gross Costs'!$T$5:$T$255,MATCH(B80,'[1]Gross Costs'!$B$5:$B$255,0))</f>
        <v>0</v>
      </c>
      <c r="G80" s="182">
        <f t="shared" si="2"/>
        <v>24774.6</v>
      </c>
      <c r="H80" s="186">
        <f>INDEX([1]Tonnes!$N$5:$N$255,MATCH(B80,[1]Tonnes!$B$5:$B$255,0))</f>
        <v>25.798612785118063</v>
      </c>
      <c r="I80" s="184">
        <f t="shared" si="3"/>
        <v>960.30744778227893</v>
      </c>
    </row>
    <row r="81" spans="1:9" x14ac:dyDescent="0.25">
      <c r="A81" s="37">
        <v>6</v>
      </c>
      <c r="B81" s="185">
        <v>774</v>
      </c>
      <c r="C81" s="179">
        <f>INDEX('[1]Full Program List'!B$2:B$300,MATCH(B81,'[1]Full Program List'!A$2:A$300,0))</f>
        <v>6</v>
      </c>
      <c r="D81" s="180" t="str">
        <f>INDEX('[1]Full Program List'!C$2:C$300,MATCH(B81,'[1]Full Program List'!A$2:A$300,0))</f>
        <v>FORT FRANCES, TOWN OF</v>
      </c>
      <c r="E81" s="181">
        <f>INDEX('[1]Gross Costs'!$S$5:$S$255,MATCH(B81,'[1]Gross Costs'!$B$5:$B$255,0))</f>
        <v>290603.45</v>
      </c>
      <c r="F81" s="182">
        <f>INDEX('[1]Gross Costs'!$T$5:$T$255,MATCH(B81,'[1]Gross Costs'!$B$5:$B$255,0))</f>
        <v>0</v>
      </c>
      <c r="G81" s="182">
        <f t="shared" si="2"/>
        <v>290603.45</v>
      </c>
      <c r="H81" s="186">
        <f>INDEX([1]Tonnes!$N$5:$N$255,MATCH(B81,[1]Tonnes!$B$5:$B$255,0))</f>
        <v>457.94097362750716</v>
      </c>
      <c r="I81" s="184">
        <f t="shared" si="3"/>
        <v>634.58713400993724</v>
      </c>
    </row>
    <row r="82" spans="1:9" x14ac:dyDescent="0.25">
      <c r="A82" s="37">
        <v>6</v>
      </c>
      <c r="B82" s="185">
        <v>794</v>
      </c>
      <c r="C82" s="179">
        <f>INDEX('[1]Full Program List'!B$2:B$300,MATCH(B82,'[1]Full Program List'!A$2:A$300,0))</f>
        <v>6</v>
      </c>
      <c r="D82" s="180" t="str">
        <f>INDEX('[1]Full Program List'!C$2:C$300,MATCH(B82,'[1]Full Program List'!A$2:A$300,0))</f>
        <v>HEAD, CLARA AND MARIA, TOWNSHIPS OF</v>
      </c>
      <c r="E82" s="181">
        <f>INDEX('[1]Gross Costs'!$S$5:$S$255,MATCH(B82,'[1]Gross Costs'!$B$5:$B$255,0))</f>
        <v>45369.11</v>
      </c>
      <c r="F82" s="182">
        <f>INDEX('[1]Gross Costs'!$T$5:$T$255,MATCH(B82,'[1]Gross Costs'!$B$5:$B$255,0))</f>
        <v>0</v>
      </c>
      <c r="G82" s="182">
        <f t="shared" si="2"/>
        <v>45369.11</v>
      </c>
      <c r="H82" s="186">
        <f>INDEX([1]Tonnes!$N$5:$N$255,MATCH(B82,[1]Tonnes!$B$5:$B$255,0))</f>
        <v>19.568200239680415</v>
      </c>
      <c r="I82" s="184">
        <f t="shared" si="3"/>
        <v>2318.512149523106</v>
      </c>
    </row>
    <row r="83" spans="1:9" x14ac:dyDescent="0.25">
      <c r="A83" s="37">
        <v>6</v>
      </c>
      <c r="B83" s="185">
        <v>806</v>
      </c>
      <c r="C83" s="179">
        <f>INDEX('[1]Full Program List'!B$2:B$300,MATCH(B83,'[1]Full Program List'!A$2:A$300,0))</f>
        <v>6</v>
      </c>
      <c r="D83" s="180" t="str">
        <f>INDEX('[1]Full Program List'!C$2:C$300,MATCH(B83,'[1]Full Program List'!A$2:A$300,0))</f>
        <v>JAMES, TOWNSHIP OF</v>
      </c>
      <c r="E83" s="181">
        <f>INDEX('[1]Gross Costs'!$S$5:$S$255,MATCH(B83,'[1]Gross Costs'!$B$5:$B$255,0))</f>
        <v>37091.449999999997</v>
      </c>
      <c r="F83" s="182">
        <f>INDEX('[1]Gross Costs'!$T$5:$T$255,MATCH(B83,'[1]Gross Costs'!$B$5:$B$255,0))</f>
        <v>0</v>
      </c>
      <c r="G83" s="182">
        <f t="shared" si="2"/>
        <v>37091.449999999997</v>
      </c>
      <c r="H83" s="186">
        <f>INDEX([1]Tonnes!$N$5:$N$255,MATCH(B83,[1]Tonnes!$B$5:$B$255,0))</f>
        <v>23.326411869078932</v>
      </c>
      <c r="I83" s="184">
        <f t="shared" si="3"/>
        <v>1590.1052509995225</v>
      </c>
    </row>
    <row r="84" spans="1:9" x14ac:dyDescent="0.25">
      <c r="A84" s="37">
        <v>6</v>
      </c>
      <c r="B84" s="185">
        <v>811</v>
      </c>
      <c r="C84" s="179">
        <f>INDEX('[1]Full Program List'!B$2:B$300,MATCH(B84,'[1]Full Program List'!A$2:A$300,0))</f>
        <v>6</v>
      </c>
      <c r="D84" s="180" t="str">
        <f>INDEX('[1]Full Program List'!C$2:C$300,MATCH(B84,'[1]Full Program List'!A$2:A$300,0))</f>
        <v>KENORA, CITY OF</v>
      </c>
      <c r="E84" s="181">
        <f>INDEX('[1]Gross Costs'!$S$5:$S$255,MATCH(B84,'[1]Gross Costs'!$B$5:$B$255,0))</f>
        <v>505579.98</v>
      </c>
      <c r="F84" s="182">
        <f>INDEX('[1]Gross Costs'!$T$5:$T$255,MATCH(B84,'[1]Gross Costs'!$B$5:$B$255,0))</f>
        <v>3403.13</v>
      </c>
      <c r="G84" s="182">
        <f t="shared" si="2"/>
        <v>502176.85</v>
      </c>
      <c r="H84" s="186">
        <f>INDEX([1]Tonnes!$N$5:$N$255,MATCH(B84,[1]Tonnes!$B$5:$B$255,0))</f>
        <v>746.28568297723302</v>
      </c>
      <c r="I84" s="184">
        <f t="shared" si="3"/>
        <v>672.9016266218789</v>
      </c>
    </row>
    <row r="85" spans="1:9" x14ac:dyDescent="0.25">
      <c r="A85" s="37">
        <v>6</v>
      </c>
      <c r="B85" s="185">
        <v>824</v>
      </c>
      <c r="C85" s="179">
        <f>INDEX('[1]Full Program List'!B$2:B$300,MATCH(B85,'[1]Full Program List'!A$2:A$300,0))</f>
        <v>6</v>
      </c>
      <c r="D85" s="180" t="str">
        <f>INDEX('[1]Full Program List'!C$2:C$300,MATCH(B85,'[1]Full Program List'!A$2:A$300,0))</f>
        <v>LARDER LAKE,  TOWNSHIP OF</v>
      </c>
      <c r="E85" s="181">
        <f>INDEX('[1]Gross Costs'!$S$5:$S$255,MATCH(B85,'[1]Gross Costs'!$B$5:$B$255,0))</f>
        <v>54369.59</v>
      </c>
      <c r="F85" s="182">
        <f>INDEX('[1]Gross Costs'!$T$5:$T$255,MATCH(B85,'[1]Gross Costs'!$B$5:$B$255,0))</f>
        <v>0</v>
      </c>
      <c r="G85" s="182">
        <f t="shared" si="2"/>
        <v>54369.59</v>
      </c>
      <c r="H85" s="186">
        <f>INDEX([1]Tonnes!$N$5:$N$255,MATCH(B85,[1]Tonnes!$B$5:$B$255,0))</f>
        <v>35.809199999999997</v>
      </c>
      <c r="I85" s="184">
        <f t="shared" si="3"/>
        <v>1518.3134501748154</v>
      </c>
    </row>
    <row r="86" spans="1:9" x14ac:dyDescent="0.25">
      <c r="A86" s="37">
        <v>6</v>
      </c>
      <c r="B86" s="185">
        <v>826</v>
      </c>
      <c r="C86" s="179">
        <f>INDEX('[1]Full Program List'!B$2:B$300,MATCH(B86,'[1]Full Program List'!A$2:A$300,0))</f>
        <v>6</v>
      </c>
      <c r="D86" s="180" t="str">
        <f>INDEX('[1]Full Program List'!C$2:C$300,MATCH(B86,'[1]Full Program List'!A$2:A$300,0))</f>
        <v>LATCHFORD, TOWN OF</v>
      </c>
      <c r="E86" s="181">
        <f>INDEX('[1]Gross Costs'!$S$5:$S$255,MATCH(B86,'[1]Gross Costs'!$B$5:$B$255,0))</f>
        <v>33872.559999999998</v>
      </c>
      <c r="F86" s="182">
        <f>INDEX('[1]Gross Costs'!$T$5:$T$255,MATCH(B86,'[1]Gross Costs'!$B$5:$B$255,0))</f>
        <v>0</v>
      </c>
      <c r="G86" s="182">
        <f t="shared" si="2"/>
        <v>33872.559999999998</v>
      </c>
      <c r="H86" s="186">
        <f>INDEX([1]Tonnes!$N$5:$N$255,MATCH(B86,[1]Tonnes!$B$5:$B$255,0))</f>
        <v>41.71</v>
      </c>
      <c r="I86" s="184">
        <f t="shared" si="3"/>
        <v>812.09685926636291</v>
      </c>
    </row>
    <row r="87" spans="1:9" x14ac:dyDescent="0.25">
      <c r="A87" s="37">
        <v>6</v>
      </c>
      <c r="B87" s="185">
        <v>840</v>
      </c>
      <c r="C87" s="179">
        <f>INDEX('[1]Full Program List'!B$2:B$300,MATCH(B87,'[1]Full Program List'!A$2:A$300,0))</f>
        <v>6</v>
      </c>
      <c r="D87" s="180" t="str">
        <f>INDEX('[1]Full Program List'!C$2:C$300,MATCH(B87,'[1]Full Program List'!A$2:A$300,0))</f>
        <v>MARATHON,  TOWN OF</v>
      </c>
      <c r="E87" s="181">
        <f>INDEX('[1]Gross Costs'!$S$5:$S$255,MATCH(B87,'[1]Gross Costs'!$B$5:$B$255,0))</f>
        <v>88518.53</v>
      </c>
      <c r="F87" s="182">
        <f>INDEX('[1]Gross Costs'!$T$5:$T$255,MATCH(B87,'[1]Gross Costs'!$B$5:$B$255,0))</f>
        <v>0</v>
      </c>
      <c r="G87" s="182">
        <f t="shared" si="2"/>
        <v>88518.53</v>
      </c>
      <c r="H87" s="186">
        <f>INDEX([1]Tonnes!$N$5:$N$255,MATCH(B87,[1]Tonnes!$B$5:$B$255,0))</f>
        <v>161.72</v>
      </c>
      <c r="I87" s="184">
        <f t="shared" si="3"/>
        <v>547.35672767746723</v>
      </c>
    </row>
    <row r="88" spans="1:9" x14ac:dyDescent="0.25">
      <c r="A88" s="37">
        <v>6</v>
      </c>
      <c r="B88" s="185">
        <v>843</v>
      </c>
      <c r="C88" s="179">
        <f>INDEX('[1]Full Program List'!B$2:B$300,MATCH(B88,'[1]Full Program List'!A$2:A$300,0))</f>
        <v>6</v>
      </c>
      <c r="D88" s="180" t="str">
        <f>INDEX('[1]Full Program List'!C$2:C$300,MATCH(B88,'[1]Full Program List'!A$2:A$300,0))</f>
        <v xml:space="preserve">Matachewan, The Corporation of the Township of </v>
      </c>
      <c r="E88" s="181">
        <f>INDEX('[1]Gross Costs'!$S$5:$S$255,MATCH(B88,'[1]Gross Costs'!$B$5:$B$255,0))</f>
        <v>32653.86</v>
      </c>
      <c r="F88" s="182">
        <f>INDEX('[1]Gross Costs'!$T$5:$T$255,MATCH(B88,'[1]Gross Costs'!$B$5:$B$255,0))</f>
        <v>0</v>
      </c>
      <c r="G88" s="182">
        <f t="shared" si="2"/>
        <v>32653.86</v>
      </c>
      <c r="H88" s="186">
        <f>INDEX([1]Tonnes!$N$5:$N$255,MATCH(B88,[1]Tonnes!$B$5:$B$255,0))</f>
        <v>19.13961999514169</v>
      </c>
      <c r="I88" s="184">
        <f t="shared" si="3"/>
        <v>1706.0871641280601</v>
      </c>
    </row>
    <row r="89" spans="1:9" x14ac:dyDescent="0.25">
      <c r="A89" s="37">
        <v>6</v>
      </c>
      <c r="B89" s="185">
        <v>846</v>
      </c>
      <c r="C89" s="179">
        <f>INDEX('[1]Full Program List'!B$2:B$300,MATCH(B89,'[1]Full Program List'!A$2:A$300,0))</f>
        <v>6</v>
      </c>
      <c r="D89" s="180" t="str">
        <f>INDEX('[1]Full Program List'!C$2:C$300,MATCH(B89,'[1]Full Program List'!A$2:A$300,0))</f>
        <v>MCGARRY, TOWNSHIP OF</v>
      </c>
      <c r="E89" s="181">
        <f>INDEX('[1]Gross Costs'!$S$5:$S$255,MATCH(B89,'[1]Gross Costs'!$B$5:$B$255,0))</f>
        <v>42522.03</v>
      </c>
      <c r="F89" s="182">
        <f>INDEX('[1]Gross Costs'!$T$5:$T$255,MATCH(B89,'[1]Gross Costs'!$B$5:$B$255,0))</f>
        <v>0</v>
      </c>
      <c r="G89" s="182">
        <f t="shared" si="2"/>
        <v>42522.03</v>
      </c>
      <c r="H89" s="186">
        <f>INDEX([1]Tonnes!$N$5:$N$255,MATCH(B89,[1]Tonnes!$B$5:$B$255,0))</f>
        <v>24.91</v>
      </c>
      <c r="I89" s="184">
        <f t="shared" si="3"/>
        <v>1707.0264953833801</v>
      </c>
    </row>
    <row r="90" spans="1:9" x14ac:dyDescent="0.25">
      <c r="A90" s="37">
        <v>6</v>
      </c>
      <c r="B90" s="185">
        <v>888</v>
      </c>
      <c r="C90" s="179">
        <f>INDEX('[1]Full Program List'!B$2:B$300,MATCH(B90,'[1]Full Program List'!A$2:A$300,0))</f>
        <v>6</v>
      </c>
      <c r="D90" s="180" t="str">
        <f>INDEX('[1]Full Program List'!C$2:C$300,MATCH(B90,'[1]Full Program List'!A$2:A$300,0))</f>
        <v>TRI-NEIGHBOURS</v>
      </c>
      <c r="E90" s="181">
        <f>INDEX('[1]Gross Costs'!$S$5:$S$255,MATCH(B90,'[1]Gross Costs'!$B$5:$B$255,0))</f>
        <v>48959.88</v>
      </c>
      <c r="F90" s="182">
        <f>INDEX('[1]Gross Costs'!$T$5:$T$255,MATCH(B90,'[1]Gross Costs'!$B$5:$B$255,0))</f>
        <v>0</v>
      </c>
      <c r="G90" s="182">
        <f t="shared" si="2"/>
        <v>48959.88</v>
      </c>
      <c r="H90" s="186">
        <f>INDEX([1]Tonnes!$N$5:$N$255,MATCH(B90,[1]Tonnes!$B$5:$B$255,0))</f>
        <v>110.31234724977445</v>
      </c>
      <c r="I90" s="184">
        <f t="shared" si="3"/>
        <v>443.82955508273898</v>
      </c>
    </row>
    <row r="91" spans="1:9" x14ac:dyDescent="0.25">
      <c r="A91" s="37">
        <v>6</v>
      </c>
      <c r="B91" s="185">
        <v>889</v>
      </c>
      <c r="C91" s="179">
        <f>INDEX('[1]Full Program List'!B$2:B$300,MATCH(B91,'[1]Full Program List'!A$2:A$300,0))</f>
        <v>6</v>
      </c>
      <c r="D91" s="180" t="str">
        <f>INDEX('[1]Full Program List'!C$2:C$300,MATCH(B91,'[1]Full Program List'!A$2:A$300,0))</f>
        <v>PAPINEAU-CAMERON, TOWNSHIP OF</v>
      </c>
      <c r="E91" s="181">
        <f>INDEX('[1]Gross Costs'!$S$5:$S$255,MATCH(B91,'[1]Gross Costs'!$B$5:$B$255,0))</f>
        <v>50376.82</v>
      </c>
      <c r="F91" s="182">
        <f>INDEX('[1]Gross Costs'!$T$5:$T$255,MATCH(B91,'[1]Gross Costs'!$B$5:$B$255,0))</f>
        <v>0</v>
      </c>
      <c r="G91" s="182">
        <f t="shared" si="2"/>
        <v>50376.82</v>
      </c>
      <c r="H91" s="186">
        <f>INDEX([1]Tonnes!$N$5:$N$255,MATCH(B91,[1]Tonnes!$B$5:$B$255,0))</f>
        <v>36.972175568059775</v>
      </c>
      <c r="I91" s="184">
        <f t="shared" si="3"/>
        <v>1362.5603369556777</v>
      </c>
    </row>
    <row r="92" spans="1:9" x14ac:dyDescent="0.25">
      <c r="A92" s="37">
        <v>6</v>
      </c>
      <c r="B92" s="185">
        <v>891</v>
      </c>
      <c r="C92" s="179">
        <f>INDEX('[1]Full Program List'!B$2:B$300,MATCH(B92,'[1]Full Program List'!A$2:A$300,0))</f>
        <v>6</v>
      </c>
      <c r="D92" s="180" t="str">
        <f>INDEX('[1]Full Program List'!C$2:C$300,MATCH(B92,'[1]Full Program List'!A$2:A$300,0))</f>
        <v>POWASSAN, MUNICIPALITY OF</v>
      </c>
      <c r="E92" s="181">
        <f>INDEX('[1]Gross Costs'!$S$5:$S$255,MATCH(B92,'[1]Gross Costs'!$B$5:$B$255,0))</f>
        <v>78385.320000000007</v>
      </c>
      <c r="F92" s="182">
        <f>INDEX('[1]Gross Costs'!$T$5:$T$255,MATCH(B92,'[1]Gross Costs'!$B$5:$B$255,0))</f>
        <v>0</v>
      </c>
      <c r="G92" s="182">
        <f t="shared" si="2"/>
        <v>78385.320000000007</v>
      </c>
      <c r="H92" s="186">
        <f>INDEX([1]Tonnes!$N$5:$N$255,MATCH(B92,[1]Tonnes!$B$5:$B$255,0))</f>
        <v>291.67983388429468</v>
      </c>
      <c r="I92" s="184">
        <f t="shared" si="3"/>
        <v>268.73753648356222</v>
      </c>
    </row>
    <row r="93" spans="1:9" x14ac:dyDescent="0.25">
      <c r="A93" s="37">
        <v>6</v>
      </c>
      <c r="B93" s="185">
        <v>904</v>
      </c>
      <c r="C93" s="179">
        <f>INDEX('[1]Full Program List'!B$2:B$300,MATCH(B93,'[1]Full Program List'!A$2:A$300,0))</f>
        <v>6</v>
      </c>
      <c r="D93" s="180" t="str">
        <f>INDEX('[1]Full Program List'!C$2:C$300,MATCH(B93,'[1]Full Program List'!A$2:A$300,0))</f>
        <v>SPANISH, TOWN OF</v>
      </c>
      <c r="E93" s="181">
        <f>INDEX('[1]Gross Costs'!$S$5:$S$255,MATCH(B93,'[1]Gross Costs'!$B$5:$B$255,0))</f>
        <v>14117.02</v>
      </c>
      <c r="F93" s="182">
        <f>INDEX('[1]Gross Costs'!$T$5:$T$255,MATCH(B93,'[1]Gross Costs'!$B$5:$B$255,0))</f>
        <v>0</v>
      </c>
      <c r="G93" s="182">
        <f t="shared" si="2"/>
        <v>14117.02</v>
      </c>
      <c r="H93" s="186">
        <f>INDEX([1]Tonnes!$N$5:$N$255,MATCH(B93,[1]Tonnes!$B$5:$B$255,0))</f>
        <v>26.962939668155855</v>
      </c>
      <c r="I93" s="184">
        <f t="shared" si="3"/>
        <v>523.57124904569218</v>
      </c>
    </row>
    <row r="94" spans="1:9" x14ac:dyDescent="0.25">
      <c r="A94" s="37">
        <v>6</v>
      </c>
      <c r="B94" s="185">
        <v>906</v>
      </c>
      <c r="C94" s="179">
        <f>INDEX('[1]Full Program List'!B$2:B$300,MATCH(B94,'[1]Full Program List'!A$2:A$300,0))</f>
        <v>6</v>
      </c>
      <c r="D94" s="180" t="str">
        <f>INDEX('[1]Full Program List'!C$2:C$300,MATCH(B94,'[1]Full Program List'!A$2:A$300,0))</f>
        <v>SIOUX LOOKOUT, THE CORPORATION OF THE MUNICIPALITY OF</v>
      </c>
      <c r="E94" s="181">
        <f>INDEX('[1]Gross Costs'!$S$5:$S$255,MATCH(B94,'[1]Gross Costs'!$B$5:$B$255,0))</f>
        <v>215485.97</v>
      </c>
      <c r="F94" s="182">
        <f>INDEX('[1]Gross Costs'!$T$5:$T$255,MATCH(B94,'[1]Gross Costs'!$B$5:$B$255,0))</f>
        <v>29.22</v>
      </c>
      <c r="G94" s="182">
        <f t="shared" si="2"/>
        <v>215456.75</v>
      </c>
      <c r="H94" s="186">
        <f>INDEX([1]Tonnes!$N$5:$N$255,MATCH(B94,[1]Tonnes!$B$5:$B$255,0))</f>
        <v>185.1</v>
      </c>
      <c r="I94" s="184">
        <f t="shared" si="3"/>
        <v>1164.0018908698</v>
      </c>
    </row>
    <row r="95" spans="1:9" x14ac:dyDescent="0.25">
      <c r="A95" s="37">
        <v>6</v>
      </c>
      <c r="B95" s="185">
        <v>917</v>
      </c>
      <c r="C95" s="179">
        <f>INDEX('[1]Full Program List'!B$2:B$300,MATCH(B95,'[1]Full Program List'!A$2:A$300,0))</f>
        <v>6</v>
      </c>
      <c r="D95" s="180" t="str">
        <f>INDEX('[1]Full Program List'!C$2:C$300,MATCH(B95,'[1]Full Program List'!A$2:A$300,0))</f>
        <v>ST. CHARLES, MUNICIPALITY OF</v>
      </c>
      <c r="E95" s="181">
        <f>INDEX('[1]Gross Costs'!$S$5:$S$255,MATCH(B95,'[1]Gross Costs'!$B$5:$B$255,0))</f>
        <v>54501.95</v>
      </c>
      <c r="F95" s="182">
        <f>INDEX('[1]Gross Costs'!$T$5:$T$255,MATCH(B95,'[1]Gross Costs'!$B$5:$B$255,0))</f>
        <v>0</v>
      </c>
      <c r="G95" s="182">
        <f t="shared" si="2"/>
        <v>54501.95</v>
      </c>
      <c r="H95" s="186">
        <f>INDEX([1]Tonnes!$N$5:$N$255,MATCH(B95,[1]Tonnes!$B$5:$B$255,0))</f>
        <v>98.170300891747573</v>
      </c>
      <c r="I95" s="184">
        <f t="shared" si="3"/>
        <v>555.17757921613497</v>
      </c>
    </row>
    <row r="96" spans="1:9" x14ac:dyDescent="0.25">
      <c r="A96" s="37">
        <v>6</v>
      </c>
      <c r="B96" s="185">
        <v>957</v>
      </c>
      <c r="C96" s="179">
        <f>INDEX('[1]Full Program List'!B$2:B$300,MATCH(B96,'[1]Full Program List'!A$2:A$300,0))</f>
        <v>6</v>
      </c>
      <c r="D96" s="180" t="str">
        <f>INDEX('[1]Full Program List'!C$2:C$300,MATCH(B96,'[1]Full Program List'!A$2:A$300,0))</f>
        <v>CHISHOLM, TOWNSHIP OF</v>
      </c>
      <c r="E96" s="181">
        <f>INDEX('[1]Gross Costs'!$S$5:$S$255,MATCH(B96,'[1]Gross Costs'!$B$5:$B$255,0))</f>
        <v>36421.629999999997</v>
      </c>
      <c r="F96" s="182">
        <f>INDEX('[1]Gross Costs'!$T$5:$T$255,MATCH(B96,'[1]Gross Costs'!$B$5:$B$255,0))</f>
        <v>0</v>
      </c>
      <c r="G96" s="182">
        <f t="shared" si="2"/>
        <v>36421.629999999997</v>
      </c>
      <c r="H96" s="186">
        <f>INDEX([1]Tonnes!$N$5:$N$255,MATCH(B96,[1]Tonnes!$B$5:$B$255,0))</f>
        <v>104.75750331076839</v>
      </c>
      <c r="I96" s="184">
        <f t="shared" si="3"/>
        <v>347.67562082835639</v>
      </c>
    </row>
    <row r="97" spans="1:9" x14ac:dyDescent="0.25">
      <c r="A97" s="37">
        <v>6</v>
      </c>
      <c r="B97" s="185">
        <v>959</v>
      </c>
      <c r="C97" s="179">
        <f>INDEX('[1]Full Program List'!B$2:B$300,MATCH(B97,'[1]Full Program List'!A$2:A$300,0))</f>
        <v>6</v>
      </c>
      <c r="D97" s="180" t="str">
        <f>INDEX('[1]Full Program List'!C$2:C$300,MATCH(B97,'[1]Full Program List'!A$2:A$300,0))</f>
        <v>EAST FERRIS, MUNICIPALITY OF</v>
      </c>
      <c r="E97" s="181">
        <f>INDEX('[1]Gross Costs'!$S$5:$S$255,MATCH(B97,'[1]Gross Costs'!$B$5:$B$255,0))</f>
        <v>116655.66</v>
      </c>
      <c r="F97" s="182">
        <f>INDEX('[1]Gross Costs'!$T$5:$T$255,MATCH(B97,'[1]Gross Costs'!$B$5:$B$255,0))</f>
        <v>240.45</v>
      </c>
      <c r="G97" s="182">
        <f t="shared" si="2"/>
        <v>116415.21</v>
      </c>
      <c r="H97" s="186">
        <f>INDEX([1]Tonnes!$N$5:$N$255,MATCH(B97,[1]Tonnes!$B$5:$B$255,0))</f>
        <v>326.68938879207468</v>
      </c>
      <c r="I97" s="184">
        <f t="shared" si="3"/>
        <v>356.34830512996501</v>
      </c>
    </row>
    <row r="98" spans="1:9" x14ac:dyDescent="0.25">
      <c r="A98" s="37">
        <v>6</v>
      </c>
      <c r="B98" s="185">
        <v>969</v>
      </c>
      <c r="C98" s="179">
        <f>INDEX('[1]Full Program List'!B$2:B$300,MATCH(B98,'[1]Full Program List'!A$2:A$300,0))</f>
        <v>6</v>
      </c>
      <c r="D98" s="180" t="str">
        <f>INDEX('[1]Full Program List'!C$2:C$300,MATCH(B98,'[1]Full Program List'!A$2:A$300,0))</f>
        <v>RAINY RIVER FIRST NATIONS</v>
      </c>
      <c r="E98" s="181">
        <f>INDEX('[1]Gross Costs'!$S$5:$S$255,MATCH(B98,'[1]Gross Costs'!$B$5:$B$255,0))</f>
        <v>66251.19</v>
      </c>
      <c r="F98" s="182">
        <f>INDEX('[1]Gross Costs'!$T$5:$T$255,MATCH(B98,'[1]Gross Costs'!$B$5:$B$255,0))</f>
        <v>0</v>
      </c>
      <c r="G98" s="182">
        <f t="shared" si="2"/>
        <v>66251.19</v>
      </c>
      <c r="H98" s="186">
        <f>INDEX([1]Tonnes!$N$5:$N$255,MATCH(B98,[1]Tonnes!$B$5:$B$255,0))</f>
        <v>21.452324077887976</v>
      </c>
      <c r="I98" s="184">
        <f t="shared" si="3"/>
        <v>3088.2989535053939</v>
      </c>
    </row>
    <row r="99" spans="1:9" x14ac:dyDescent="0.25">
      <c r="A99" s="37">
        <v>6</v>
      </c>
      <c r="B99" s="185">
        <v>970</v>
      </c>
      <c r="C99" s="179">
        <f>INDEX('[1]Full Program List'!B$2:B$300,MATCH(B99,'[1]Full Program List'!A$2:A$300,0))</f>
        <v>6</v>
      </c>
      <c r="D99" s="180" t="str">
        <f>INDEX('[1]Full Program List'!C$2:C$300,MATCH(B99,'[1]Full Program List'!A$2:A$300,0))</f>
        <v>CALLANDER, MUNICIPALITY OF</v>
      </c>
      <c r="E99" s="181">
        <f>INDEX('[1]Gross Costs'!$S$5:$S$255,MATCH(B99,'[1]Gross Costs'!$B$5:$B$255,0))</f>
        <v>72830</v>
      </c>
      <c r="F99" s="182">
        <f>INDEX('[1]Gross Costs'!$T$5:$T$255,MATCH(B99,'[1]Gross Costs'!$B$5:$B$255,0))</f>
        <v>408</v>
      </c>
      <c r="G99" s="182">
        <f t="shared" si="2"/>
        <v>72422</v>
      </c>
      <c r="H99" s="186">
        <f>INDEX([1]Tonnes!$N$5:$N$255,MATCH(B99,[1]Tonnes!$B$5:$B$255,0))</f>
        <v>167.59129758245945</v>
      </c>
      <c r="I99" s="184">
        <f t="shared" si="3"/>
        <v>432.134609879528</v>
      </c>
    </row>
    <row r="100" spans="1:9" x14ac:dyDescent="0.25">
      <c r="A100" s="37">
        <v>6</v>
      </c>
      <c r="B100" s="185">
        <v>980</v>
      </c>
      <c r="C100" s="179">
        <f>INDEX('[1]Full Program List'!B$2:B$300,MATCH(B100,'[1]Full Program List'!A$2:A$300,0))</f>
        <v>6</v>
      </c>
      <c r="D100" s="180" t="str">
        <f>INDEX('[1]Full Program List'!C$2:C$300,MATCH(B100,'[1]Full Program List'!A$2:A$300,0))</f>
        <v>ATIKAMEKSHENG ANISHNAWBEK FIRST NATION</v>
      </c>
      <c r="E100" s="181">
        <f>INDEX('[1]Gross Costs'!$S$5:$S$255,MATCH(B100,'[1]Gross Costs'!$B$5:$B$255,0))</f>
        <v>37348.19</v>
      </c>
      <c r="F100" s="182">
        <f>INDEX('[1]Gross Costs'!$T$5:$T$255,MATCH(B100,'[1]Gross Costs'!$B$5:$B$255,0))</f>
        <v>0</v>
      </c>
      <c r="G100" s="182">
        <f t="shared" si="2"/>
        <v>37348.19</v>
      </c>
      <c r="H100" s="186">
        <f>INDEX([1]Tonnes!$N$5:$N$255,MATCH(B100,[1]Tonnes!$B$5:$B$255,0))</f>
        <v>38.773680173491201</v>
      </c>
      <c r="I100" s="184">
        <f t="shared" si="3"/>
        <v>963.23562356957336</v>
      </c>
    </row>
    <row r="101" spans="1:9" x14ac:dyDescent="0.25">
      <c r="A101" s="37">
        <v>6</v>
      </c>
      <c r="B101" s="185">
        <v>986</v>
      </c>
      <c r="C101" s="179">
        <f>INDEX('[1]Full Program List'!B$2:B$300,MATCH(B101,'[1]Full Program List'!A$2:A$300,0))</f>
        <v>6</v>
      </c>
      <c r="D101" s="180" t="str">
        <f>INDEX('[1]Full Program List'!C$2:C$300,MATCH(B101,'[1]Full Program List'!A$2:A$300,0))</f>
        <v>BATCHEWANA FIRST NATIONS OJIBWAYS</v>
      </c>
      <c r="E101" s="181">
        <f>INDEX('[1]Gross Costs'!$S$5:$S$255,MATCH(B101,'[1]Gross Costs'!$B$5:$B$255,0))</f>
        <v>42773.26</v>
      </c>
      <c r="F101" s="182">
        <f>INDEX('[1]Gross Costs'!$T$5:$T$255,MATCH(B101,'[1]Gross Costs'!$B$5:$B$255,0))</f>
        <v>0</v>
      </c>
      <c r="G101" s="182">
        <f t="shared" si="2"/>
        <v>42773.26</v>
      </c>
      <c r="H101" s="186">
        <f>INDEX([1]Tonnes!$N$5:$N$255,MATCH(B101,[1]Tonnes!$B$5:$B$255,0))</f>
        <v>8.1183888146059324</v>
      </c>
      <c r="I101" s="184">
        <f t="shared" si="3"/>
        <v>5268.6882800003241</v>
      </c>
    </row>
    <row r="102" spans="1:9" x14ac:dyDescent="0.25">
      <c r="A102" s="37">
        <v>6</v>
      </c>
      <c r="B102" s="185">
        <v>988</v>
      </c>
      <c r="C102" s="179">
        <f>INDEX('[1]Full Program List'!B$2:B$300,MATCH(B102,'[1]Full Program List'!A$2:A$300,0))</f>
        <v>6</v>
      </c>
      <c r="D102" s="180" t="str">
        <f>INDEX('[1]Full Program List'!C$2:C$300,MATCH(B102,'[1]Full Program List'!A$2:A$300,0))</f>
        <v>NIPISSING FIRST NATION</v>
      </c>
      <c r="E102" s="181">
        <f>INDEX('[1]Gross Costs'!$S$5:$S$255,MATCH(B102,'[1]Gross Costs'!$B$5:$B$255,0))</f>
        <v>80859.64</v>
      </c>
      <c r="F102" s="182">
        <f>INDEX('[1]Gross Costs'!$T$5:$T$255,MATCH(B102,'[1]Gross Costs'!$B$5:$B$255,0))</f>
        <v>155</v>
      </c>
      <c r="G102" s="182">
        <f t="shared" si="2"/>
        <v>80704.639999999999</v>
      </c>
      <c r="H102" s="186">
        <f>INDEX([1]Tonnes!$N$5:$N$255,MATCH(B102,[1]Tonnes!$B$5:$B$255,0))</f>
        <v>144.72352333946131</v>
      </c>
      <c r="I102" s="184">
        <f t="shared" si="3"/>
        <v>557.64700953762997</v>
      </c>
    </row>
    <row r="103" spans="1:9" x14ac:dyDescent="0.25">
      <c r="A103" s="37">
        <v>6</v>
      </c>
      <c r="B103" s="185">
        <v>989</v>
      </c>
      <c r="C103" s="179">
        <f>INDEX('[1]Full Program List'!B$2:B$300,MATCH(B103,'[1]Full Program List'!A$2:A$300,0))</f>
        <v>6</v>
      </c>
      <c r="D103" s="180" t="str">
        <f>INDEX('[1]Full Program List'!C$2:C$300,MATCH(B103,'[1]Full Program List'!A$2:A$300,0))</f>
        <v>COCHRANE, Corporation of the Town of</v>
      </c>
      <c r="E103" s="181">
        <f>INDEX('[1]Gross Costs'!$S$5:$S$255,MATCH(B103,'[1]Gross Costs'!$B$5:$B$255,0))</f>
        <v>266398.28999999998</v>
      </c>
      <c r="F103" s="182">
        <f>INDEX('[1]Gross Costs'!$T$5:$T$255,MATCH(B103,'[1]Gross Costs'!$B$5:$B$255,0))</f>
        <v>36564.799999999996</v>
      </c>
      <c r="G103" s="182">
        <f t="shared" si="2"/>
        <v>229833.49</v>
      </c>
      <c r="H103" s="186">
        <f>INDEX([1]Tonnes!$N$5:$N$255,MATCH(B103,[1]Tonnes!$B$5:$B$255,0))</f>
        <v>456.51183625078789</v>
      </c>
      <c r="I103" s="184">
        <f t="shared" si="3"/>
        <v>503.4557085913965</v>
      </c>
    </row>
    <row r="104" spans="1:9" x14ac:dyDescent="0.25">
      <c r="A104" s="37">
        <v>6</v>
      </c>
      <c r="B104" s="185">
        <v>39</v>
      </c>
      <c r="C104" s="179">
        <f>INDEX('[1]Full Program List'!B$2:B$300,MATCH(B104,'[1]Full Program List'!A$2:A$300,0))</f>
        <v>7</v>
      </c>
      <c r="D104" s="180" t="str">
        <f>INDEX('[1]Full Program List'!C$2:C$300,MATCH(B104,'[1]Full Program List'!A$2:A$300,0))</f>
        <v>NORTH HURON, TOWNSHIP OF</v>
      </c>
      <c r="E104" s="181">
        <f>INDEX('[1]Gross Costs'!$S$5:$S$255,MATCH(B104,'[1]Gross Costs'!$B$5:$B$255,0))</f>
        <v>108160.35</v>
      </c>
      <c r="F104" s="182">
        <f>INDEX('[1]Gross Costs'!$T$5:$T$255,MATCH(B104,'[1]Gross Costs'!$B$5:$B$255,0))</f>
        <v>1756.13</v>
      </c>
      <c r="G104" s="182">
        <f t="shared" si="2"/>
        <v>106404.22</v>
      </c>
      <c r="H104" s="186">
        <f>INDEX([1]Tonnes!$N$5:$N$255,MATCH(B104,[1]Tonnes!$B$5:$B$255,0))</f>
        <v>383.36</v>
      </c>
      <c r="I104" s="184">
        <f t="shared" si="3"/>
        <v>277.55691777963273</v>
      </c>
    </row>
    <row r="105" spans="1:9" x14ac:dyDescent="0.25">
      <c r="A105" s="37">
        <v>6</v>
      </c>
      <c r="B105" s="185">
        <v>59</v>
      </c>
      <c r="C105" s="179">
        <f>INDEX('[1]Full Program List'!B$2:B$300,MATCH(B105,'[1]Full Program List'!A$2:A$300,0))</f>
        <v>7</v>
      </c>
      <c r="D105" s="180" t="str">
        <f>INDEX('[1]Full Program List'!C$2:C$300,MATCH(B105,'[1]Full Program List'!A$2:A$300,0))</f>
        <v>ASHFIELD-COLBORNE-WAWANOSH, TOWNSHIP OF</v>
      </c>
      <c r="E105" s="181">
        <f>INDEX('[1]Gross Costs'!$S$5:$S$255,MATCH(B105,'[1]Gross Costs'!$B$5:$B$255,0))</f>
        <v>172265.9</v>
      </c>
      <c r="F105" s="182">
        <f>INDEX('[1]Gross Costs'!$T$5:$T$255,MATCH(B105,'[1]Gross Costs'!$B$5:$B$255,0))</f>
        <v>0</v>
      </c>
      <c r="G105" s="182">
        <f t="shared" si="2"/>
        <v>172265.9</v>
      </c>
      <c r="H105" s="186">
        <f>INDEX([1]Tonnes!$N$5:$N$255,MATCH(B105,[1]Tonnes!$B$5:$B$255,0))</f>
        <v>233.31196774077719</v>
      </c>
      <c r="I105" s="184">
        <f t="shared" si="3"/>
        <v>738.35003694022748</v>
      </c>
    </row>
    <row r="106" spans="1:9" x14ac:dyDescent="0.25">
      <c r="A106" s="37">
        <v>7</v>
      </c>
      <c r="B106" s="185">
        <v>128</v>
      </c>
      <c r="C106" s="179">
        <f>INDEX('[1]Full Program List'!B$2:B$300,MATCH(B106,'[1]Full Program List'!A$2:A$300,0))</f>
        <v>7</v>
      </c>
      <c r="D106" s="180" t="str">
        <f>INDEX('[1]Full Program List'!C$2:C$300,MATCH(B106,'[1]Full Program List'!A$2:A$300,0))</f>
        <v>HOWICK, TOWNSHIP OF</v>
      </c>
      <c r="E106" s="181">
        <f>INDEX('[1]Gross Costs'!$S$5:$S$255,MATCH(B106,'[1]Gross Costs'!$B$5:$B$255,0))</f>
        <v>96271.57</v>
      </c>
      <c r="F106" s="182">
        <f>INDEX('[1]Gross Costs'!$T$5:$T$255,MATCH(B106,'[1]Gross Costs'!$B$5:$B$255,0))</f>
        <v>119.44</v>
      </c>
      <c r="G106" s="182">
        <f t="shared" si="2"/>
        <v>96152.13</v>
      </c>
      <c r="H106" s="186">
        <f>INDEX([1]Tonnes!$N$5:$N$255,MATCH(B106,[1]Tonnes!$B$5:$B$255,0))</f>
        <v>144.8151497882408</v>
      </c>
      <c r="I106" s="184">
        <f t="shared" si="3"/>
        <v>663.96457926260211</v>
      </c>
    </row>
    <row r="107" spans="1:9" x14ac:dyDescent="0.25">
      <c r="A107" s="37">
        <v>7</v>
      </c>
      <c r="B107" s="185">
        <v>152</v>
      </c>
      <c r="C107" s="179">
        <f>INDEX('[1]Full Program List'!B$2:B$300,MATCH(B107,'[1]Full Program List'!A$2:A$300,0))</f>
        <v>7</v>
      </c>
      <c r="D107" s="180" t="str">
        <f>INDEX('[1]Full Program List'!C$2:C$300,MATCH(B107,'[1]Full Program List'!A$2:A$300,0))</f>
        <v>CHATSWORTH, TOWNSHIP OF</v>
      </c>
      <c r="E107" s="181">
        <f>INDEX('[1]Gross Costs'!$S$5:$S$255,MATCH(B107,'[1]Gross Costs'!$B$5:$B$255,0))</f>
        <v>157814.06</v>
      </c>
      <c r="F107" s="182">
        <f>INDEX('[1]Gross Costs'!$T$5:$T$255,MATCH(B107,'[1]Gross Costs'!$B$5:$B$255,0))</f>
        <v>22795.199999999997</v>
      </c>
      <c r="G107" s="182">
        <f t="shared" si="2"/>
        <v>135018.85999999999</v>
      </c>
      <c r="H107" s="186">
        <f>INDEX([1]Tonnes!$N$5:$N$255,MATCH(B107,[1]Tonnes!$B$5:$B$255,0))</f>
        <v>355.34</v>
      </c>
      <c r="I107" s="184">
        <f t="shared" si="3"/>
        <v>379.97090110879719</v>
      </c>
    </row>
    <row r="108" spans="1:9" x14ac:dyDescent="0.25">
      <c r="A108" s="37">
        <v>7</v>
      </c>
      <c r="B108" s="185">
        <v>162</v>
      </c>
      <c r="C108" s="179">
        <f>INDEX('[1]Full Program List'!B$2:B$300,MATCH(B108,'[1]Full Program List'!A$2:A$300,0))</f>
        <v>7</v>
      </c>
      <c r="D108" s="180" t="str">
        <f>INDEX('[1]Full Program List'!C$2:C$300,MATCH(B108,'[1]Full Program List'!A$2:A$300,0))</f>
        <v>THE BLUE MOUNTAINS, TOWN OF</v>
      </c>
      <c r="E108" s="181">
        <f>INDEX('[1]Gross Costs'!$S$5:$S$255,MATCH(B108,'[1]Gross Costs'!$B$5:$B$255,0))</f>
        <v>386975.44</v>
      </c>
      <c r="F108" s="182">
        <f>INDEX('[1]Gross Costs'!$T$5:$T$255,MATCH(B108,'[1]Gross Costs'!$B$5:$B$255,0))</f>
        <v>24452.720000000001</v>
      </c>
      <c r="G108" s="182">
        <f t="shared" si="2"/>
        <v>362522.72</v>
      </c>
      <c r="H108" s="186">
        <f>INDEX([1]Tonnes!$N$5:$N$255,MATCH(B108,[1]Tonnes!$B$5:$B$255,0))</f>
        <v>789.80000000000007</v>
      </c>
      <c r="I108" s="184">
        <f t="shared" si="3"/>
        <v>459.00572296783986</v>
      </c>
    </row>
    <row r="109" spans="1:9" x14ac:dyDescent="0.25">
      <c r="A109" s="37">
        <v>7</v>
      </c>
      <c r="B109" s="185">
        <v>166</v>
      </c>
      <c r="C109" s="179">
        <f>INDEX('[1]Full Program List'!B$2:B$300,MATCH(B109,'[1]Full Program List'!A$2:A$300,0))</f>
        <v>7</v>
      </c>
      <c r="D109" s="180" t="str">
        <f>INDEX('[1]Full Program List'!C$2:C$300,MATCH(B109,'[1]Full Program List'!A$2:A$300,0))</f>
        <v>THAMES CENTRE, MUNICIPALITY OF</v>
      </c>
      <c r="E109" s="181">
        <f>INDEX('[1]Gross Costs'!$S$5:$S$255,MATCH(B109,'[1]Gross Costs'!$B$5:$B$255,0))</f>
        <v>451775.31</v>
      </c>
      <c r="F109" s="182">
        <f>INDEX('[1]Gross Costs'!$T$5:$T$255,MATCH(B109,'[1]Gross Costs'!$B$5:$B$255,0))</f>
        <v>109930.31</v>
      </c>
      <c r="G109" s="182">
        <f t="shared" si="2"/>
        <v>341845</v>
      </c>
      <c r="H109" s="186">
        <f>INDEX([1]Tonnes!$N$5:$N$255,MATCH(B109,[1]Tonnes!$B$5:$B$255,0))</f>
        <v>860.3599999999999</v>
      </c>
      <c r="I109" s="184">
        <f t="shared" si="3"/>
        <v>397.32786275512581</v>
      </c>
    </row>
    <row r="110" spans="1:9" x14ac:dyDescent="0.25">
      <c r="A110" s="37">
        <v>7</v>
      </c>
      <c r="B110" s="185">
        <v>192</v>
      </c>
      <c r="C110" s="179">
        <f>INDEX('[1]Full Program List'!B$2:B$300,MATCH(B110,'[1]Full Program List'!A$2:A$300,0))</f>
        <v>7</v>
      </c>
      <c r="D110" s="180" t="str">
        <f>INDEX('[1]Full Program List'!C$2:C$300,MATCH(B110,'[1]Full Program List'!A$2:A$300,0))</f>
        <v>WEST ELGIN, MUNICIPALITY OF</v>
      </c>
      <c r="E110" s="181">
        <f>INDEX('[1]Gross Costs'!$S$5:$S$255,MATCH(B110,'[1]Gross Costs'!$B$5:$B$255,0))</f>
        <v>119649.47</v>
      </c>
      <c r="F110" s="182">
        <f>INDEX('[1]Gross Costs'!$T$5:$T$255,MATCH(B110,'[1]Gross Costs'!$B$5:$B$255,0))</f>
        <v>21552.310000000005</v>
      </c>
      <c r="G110" s="182">
        <f t="shared" si="2"/>
        <v>98097.16</v>
      </c>
      <c r="H110" s="186">
        <f>INDEX([1]Tonnes!$N$5:$N$255,MATCH(B110,[1]Tonnes!$B$5:$B$255,0))</f>
        <v>166.06</v>
      </c>
      <c r="I110" s="184">
        <f t="shared" si="3"/>
        <v>590.73322895339038</v>
      </c>
    </row>
    <row r="111" spans="1:9" x14ac:dyDescent="0.25">
      <c r="A111" s="37">
        <v>7</v>
      </c>
      <c r="B111" s="185">
        <v>205</v>
      </c>
      <c r="C111" s="179">
        <f>INDEX('[1]Full Program List'!B$2:B$300,MATCH(B111,'[1]Full Program List'!A$2:A$300,0))</f>
        <v>7</v>
      </c>
      <c r="D111" s="180" t="str">
        <f>INDEX('[1]Full Program List'!C$2:C$300,MATCH(B111,'[1]Full Program List'!A$2:A$300,0))</f>
        <v>RIDEAU LAKES, TOWNSHIP OF</v>
      </c>
      <c r="E111" s="181">
        <f>INDEX('[1]Gross Costs'!$S$5:$S$255,MATCH(B111,'[1]Gross Costs'!$B$5:$B$255,0))</f>
        <v>424199.53</v>
      </c>
      <c r="F111" s="182">
        <f>INDEX('[1]Gross Costs'!$T$5:$T$255,MATCH(B111,'[1]Gross Costs'!$B$5:$B$255,0))</f>
        <v>18066.25</v>
      </c>
      <c r="G111" s="182">
        <f t="shared" si="2"/>
        <v>406133.28</v>
      </c>
      <c r="H111" s="186">
        <f>INDEX([1]Tonnes!$N$5:$N$255,MATCH(B111,[1]Tonnes!$B$5:$B$255,0))</f>
        <v>611.51978389570877</v>
      </c>
      <c r="I111" s="184">
        <f t="shared" si="3"/>
        <v>664.13759733612108</v>
      </c>
    </row>
    <row r="112" spans="1:9" x14ac:dyDescent="0.25">
      <c r="A112" s="37">
        <v>7</v>
      </c>
      <c r="B112" s="185">
        <v>212</v>
      </c>
      <c r="C112" s="179">
        <f>INDEX('[1]Full Program List'!B$2:B$300,MATCH(B112,'[1]Full Program List'!A$2:A$300,0))</f>
        <v>7</v>
      </c>
      <c r="D112" s="180" t="str">
        <f>INDEX('[1]Full Program List'!C$2:C$300,MATCH(B112,'[1]Full Program List'!A$2:A$300,0))</f>
        <v>GEORGIAN BLUFFS, TOWNSHIP OF</v>
      </c>
      <c r="E112" s="181">
        <f>INDEX('[1]Gross Costs'!$S$5:$S$255,MATCH(B112,'[1]Gross Costs'!$B$5:$B$255,0))</f>
        <v>245644.58</v>
      </c>
      <c r="F112" s="182">
        <f>INDEX('[1]Gross Costs'!$T$5:$T$255,MATCH(B112,'[1]Gross Costs'!$B$5:$B$255,0))</f>
        <v>630</v>
      </c>
      <c r="G112" s="182">
        <f t="shared" si="2"/>
        <v>245014.58</v>
      </c>
      <c r="H112" s="186">
        <f>INDEX([1]Tonnes!$N$5:$N$255,MATCH(B112,[1]Tonnes!$B$5:$B$255,0))</f>
        <v>456.16891805920824</v>
      </c>
      <c r="I112" s="184">
        <f t="shared" si="3"/>
        <v>537.11371007570142</v>
      </c>
    </row>
    <row r="113" spans="1:9" x14ac:dyDescent="0.25">
      <c r="A113" s="37">
        <v>7</v>
      </c>
      <c r="B113" s="185">
        <v>216</v>
      </c>
      <c r="C113" s="179">
        <f>INDEX('[1]Full Program List'!B$2:B$300,MATCH(B113,'[1]Full Program List'!A$2:A$300,0))</f>
        <v>7</v>
      </c>
      <c r="D113" s="180" t="str">
        <f>INDEX('[1]Full Program List'!C$2:C$300,MATCH(B113,'[1]Full Program List'!A$2:A$300,0))</f>
        <v>MEAFORD, MUNICIPALITY OF</v>
      </c>
      <c r="E113" s="181">
        <f>INDEX('[1]Gross Costs'!$S$5:$S$255,MATCH(B113,'[1]Gross Costs'!$B$5:$B$255,0))</f>
        <v>319371.06</v>
      </c>
      <c r="F113" s="182">
        <f>INDEX('[1]Gross Costs'!$T$5:$T$255,MATCH(B113,'[1]Gross Costs'!$B$5:$B$255,0))</f>
        <v>285</v>
      </c>
      <c r="G113" s="182">
        <f t="shared" si="2"/>
        <v>319086.06</v>
      </c>
      <c r="H113" s="186">
        <f>INDEX([1]Tonnes!$N$5:$N$255,MATCH(B113,[1]Tonnes!$B$5:$B$255,0))</f>
        <v>764.6477139740557</v>
      </c>
      <c r="I113" s="184">
        <f t="shared" si="3"/>
        <v>417.2981284958455</v>
      </c>
    </row>
    <row r="114" spans="1:9" x14ac:dyDescent="0.25">
      <c r="A114" s="37">
        <v>7</v>
      </c>
      <c r="B114" s="185">
        <v>229</v>
      </c>
      <c r="C114" s="179">
        <f>INDEX('[1]Full Program List'!B$2:B$300,MATCH(B114,'[1]Full Program List'!A$2:A$300,0))</f>
        <v>7</v>
      </c>
      <c r="D114" s="180" t="str">
        <f>INDEX('[1]Full Program List'!C$2:C$300,MATCH(B114,'[1]Full Program List'!A$2:A$300,0))</f>
        <v>CENTRAL ELGIN, MUNICIPALITY OF</v>
      </c>
      <c r="E114" s="181">
        <f>INDEX('[1]Gross Costs'!$S$5:$S$255,MATCH(B114,'[1]Gross Costs'!$B$5:$B$255,0))</f>
        <v>449836.67</v>
      </c>
      <c r="F114" s="182">
        <f>INDEX('[1]Gross Costs'!$T$5:$T$255,MATCH(B114,'[1]Gross Costs'!$B$5:$B$255,0))</f>
        <v>104238</v>
      </c>
      <c r="G114" s="182">
        <f t="shared" si="2"/>
        <v>345598.67</v>
      </c>
      <c r="H114" s="186">
        <f>INDEX([1]Tonnes!$N$5:$N$255,MATCH(B114,[1]Tonnes!$B$5:$B$255,0))</f>
        <v>816</v>
      </c>
      <c r="I114" s="184">
        <f t="shared" si="3"/>
        <v>423.52778186274509</v>
      </c>
    </row>
    <row r="115" spans="1:9" x14ac:dyDescent="0.25">
      <c r="A115" s="37">
        <v>7</v>
      </c>
      <c r="B115" s="185">
        <v>236</v>
      </c>
      <c r="C115" s="179">
        <f>INDEX('[1]Full Program List'!B$2:B$300,MATCH(B115,'[1]Full Program List'!A$2:A$300,0))</f>
        <v>7</v>
      </c>
      <c r="D115" s="180" t="str">
        <f>INDEX('[1]Full Program List'!C$2:C$300,MATCH(B115,'[1]Full Program List'!A$2:A$300,0))</f>
        <v>NORTH GRENVILLE, MUNICIPALITY OF</v>
      </c>
      <c r="E115" s="181">
        <f>INDEX('[1]Gross Costs'!$S$5:$S$255,MATCH(B115,'[1]Gross Costs'!$B$5:$B$255,0))</f>
        <v>616356.31999999995</v>
      </c>
      <c r="F115" s="182">
        <f>INDEX('[1]Gross Costs'!$T$5:$T$255,MATCH(B115,'[1]Gross Costs'!$B$5:$B$255,0))</f>
        <v>145860.79</v>
      </c>
      <c r="G115" s="182">
        <f t="shared" si="2"/>
        <v>470495.52999999991</v>
      </c>
      <c r="H115" s="186">
        <f>INDEX([1]Tonnes!$N$5:$N$255,MATCH(B115,[1]Tonnes!$B$5:$B$255,0))</f>
        <v>1084.1000000000001</v>
      </c>
      <c r="I115" s="184">
        <f t="shared" si="3"/>
        <v>433.99643021861436</v>
      </c>
    </row>
    <row r="116" spans="1:9" x14ac:dyDescent="0.25">
      <c r="A116" s="37">
        <v>7</v>
      </c>
      <c r="B116" s="185">
        <v>238</v>
      </c>
      <c r="C116" s="179">
        <f>INDEX('[1]Full Program List'!B$2:B$300,MATCH(B116,'[1]Full Program List'!A$2:A$300,0))</f>
        <v>7</v>
      </c>
      <c r="D116" s="180" t="str">
        <f>INDEX('[1]Full Program List'!C$2:C$300,MATCH(B116,'[1]Full Program List'!A$2:A$300,0))</f>
        <v>WESTPORT, VILLAGE OF</v>
      </c>
      <c r="E116" s="181">
        <f>INDEX('[1]Gross Costs'!$S$5:$S$255,MATCH(B116,'[1]Gross Costs'!$B$5:$B$255,0))</f>
        <v>56188.56</v>
      </c>
      <c r="F116" s="182">
        <f>INDEX('[1]Gross Costs'!$T$5:$T$255,MATCH(B116,'[1]Gross Costs'!$B$5:$B$255,0))</f>
        <v>0</v>
      </c>
      <c r="G116" s="182">
        <f t="shared" si="2"/>
        <v>56188.56</v>
      </c>
      <c r="H116" s="186">
        <f>INDEX([1]Tonnes!$N$5:$N$255,MATCH(B116,[1]Tonnes!$B$5:$B$255,0))</f>
        <v>67.316412345260062</v>
      </c>
      <c r="I116" s="184">
        <f t="shared" si="3"/>
        <v>834.69332429383985</v>
      </c>
    </row>
    <row r="117" spans="1:9" x14ac:dyDescent="0.25">
      <c r="A117" s="37">
        <v>7</v>
      </c>
      <c r="B117" s="185">
        <v>239</v>
      </c>
      <c r="C117" s="179">
        <f>INDEX('[1]Full Program List'!B$2:B$300,MATCH(B117,'[1]Full Program List'!A$2:A$300,0))</f>
        <v>7</v>
      </c>
      <c r="D117" s="180" t="str">
        <f>INDEX('[1]Full Program List'!C$2:C$300,MATCH(B117,'[1]Full Program List'!A$2:A$300,0))</f>
        <v>OTTAWA VALLEY WASTE RECOVERY CENTRE</v>
      </c>
      <c r="E117" s="181">
        <f>INDEX('[1]Gross Costs'!$S$5:$S$255,MATCH(B117,'[1]Gross Costs'!$B$5:$B$255,0))</f>
        <v>1786444.75</v>
      </c>
      <c r="F117" s="182">
        <f>INDEX('[1]Gross Costs'!$T$5:$T$255,MATCH(B117,'[1]Gross Costs'!$B$5:$B$255,0))</f>
        <v>419175.63</v>
      </c>
      <c r="G117" s="182">
        <f t="shared" si="2"/>
        <v>1367269.12</v>
      </c>
      <c r="H117" s="186">
        <f>INDEX([1]Tonnes!$N$5:$N$255,MATCH(B117,[1]Tonnes!$B$5:$B$255,0))</f>
        <v>3252.7579008551165</v>
      </c>
      <c r="I117" s="184">
        <f t="shared" si="3"/>
        <v>420.34149533248666</v>
      </c>
    </row>
    <row r="118" spans="1:9" x14ac:dyDescent="0.25">
      <c r="A118" s="37">
        <v>7</v>
      </c>
      <c r="B118" s="185">
        <v>249</v>
      </c>
      <c r="C118" s="179">
        <f>INDEX('[1]Full Program List'!B$2:B$300,MATCH(B118,'[1]Full Program List'!A$2:A$300,0))</f>
        <v>7</v>
      </c>
      <c r="D118" s="180" t="str">
        <f>INDEX('[1]Full Program List'!C$2:C$300,MATCH(B118,'[1]Full Program List'!A$2:A$300,0))</f>
        <v>HAWKESBURY JOINT RECYCLING</v>
      </c>
      <c r="E118" s="181">
        <f>INDEX('[1]Gross Costs'!$S$5:$S$255,MATCH(B118,'[1]Gross Costs'!$B$5:$B$255,0))</f>
        <v>606310.29</v>
      </c>
      <c r="F118" s="182">
        <f>INDEX('[1]Gross Costs'!$T$5:$T$255,MATCH(B118,'[1]Gross Costs'!$B$5:$B$255,0))</f>
        <v>0</v>
      </c>
      <c r="G118" s="182">
        <f t="shared" si="2"/>
        <v>606310.29</v>
      </c>
      <c r="H118" s="186">
        <f>INDEX([1]Tonnes!$N$5:$N$255,MATCH(B118,[1]Tonnes!$B$5:$B$255,0))</f>
        <v>1154.9883434484898</v>
      </c>
      <c r="I118" s="184">
        <f t="shared" si="3"/>
        <v>524.94927194651837</v>
      </c>
    </row>
    <row r="119" spans="1:9" x14ac:dyDescent="0.25">
      <c r="A119" s="37">
        <v>7</v>
      </c>
      <c r="B119" s="185">
        <v>271</v>
      </c>
      <c r="C119" s="179">
        <f>INDEX('[1]Full Program List'!B$2:B$300,MATCH(B119,'[1]Full Program List'!A$2:A$300,0))</f>
        <v>7</v>
      </c>
      <c r="D119" s="180" t="str">
        <f>INDEX('[1]Full Program List'!C$2:C$300,MATCH(B119,'[1]Full Program List'!A$2:A$300,0))</f>
        <v>NORTH GLENGARRY, TOWNSHIP OF</v>
      </c>
      <c r="E119" s="181">
        <f>INDEX('[1]Gross Costs'!$S$5:$S$255,MATCH(B119,'[1]Gross Costs'!$B$5:$B$255,0))</f>
        <v>936506.01</v>
      </c>
      <c r="F119" s="182">
        <f>INDEX('[1]Gross Costs'!$T$5:$T$255,MATCH(B119,'[1]Gross Costs'!$B$5:$B$255,0))</f>
        <v>90489.709999999992</v>
      </c>
      <c r="G119" s="182">
        <f t="shared" si="2"/>
        <v>846016.3</v>
      </c>
      <c r="H119" s="186">
        <f>INDEX([1]Tonnes!$N$5:$N$255,MATCH(B119,[1]Tonnes!$B$5:$B$255,0))</f>
        <v>1048.2</v>
      </c>
      <c r="I119" s="184">
        <f t="shared" si="3"/>
        <v>807.11343255103986</v>
      </c>
    </row>
    <row r="120" spans="1:9" x14ac:dyDescent="0.25">
      <c r="A120" s="37">
        <v>7</v>
      </c>
      <c r="B120" s="185">
        <v>275</v>
      </c>
      <c r="C120" s="179">
        <f>INDEX('[1]Full Program List'!B$2:B$300,MATCH(B120,'[1]Full Program List'!A$2:A$300,0))</f>
        <v>7</v>
      </c>
      <c r="D120" s="180" t="str">
        <f>INDEX('[1]Full Program List'!C$2:C$300,MATCH(B120,'[1]Full Program List'!A$2:A$300,0))</f>
        <v>ST. CLAIR, TOWNSHIP OF</v>
      </c>
      <c r="E120" s="181">
        <f>INDEX('[1]Gross Costs'!$S$5:$S$255,MATCH(B120,'[1]Gross Costs'!$B$5:$B$255,0))</f>
        <v>324500.11</v>
      </c>
      <c r="F120" s="182">
        <f>INDEX('[1]Gross Costs'!$T$5:$T$255,MATCH(B120,'[1]Gross Costs'!$B$5:$B$255,0))</f>
        <v>62912.880000000005</v>
      </c>
      <c r="G120" s="182">
        <f t="shared" si="2"/>
        <v>261587.22999999998</v>
      </c>
      <c r="H120" s="186">
        <f>INDEX([1]Tonnes!$N$5:$N$255,MATCH(B120,[1]Tonnes!$B$5:$B$255,0))</f>
        <v>710.94999999999993</v>
      </c>
      <c r="I120" s="184">
        <f t="shared" si="3"/>
        <v>367.94040368520996</v>
      </c>
    </row>
    <row r="121" spans="1:9" x14ac:dyDescent="0.25">
      <c r="A121" s="37">
        <v>7</v>
      </c>
      <c r="B121" s="185">
        <v>282</v>
      </c>
      <c r="C121" s="179">
        <f>INDEX('[1]Full Program List'!B$2:B$300,MATCH(B121,'[1]Full Program List'!A$2:A$300,0))</f>
        <v>7</v>
      </c>
      <c r="D121" s="180" t="str">
        <f>INDEX('[1]Full Program List'!C$2:C$300,MATCH(B121,'[1]Full Program List'!A$2:A$300,0))</f>
        <v>ATHENS, TOWNSHIP OF</v>
      </c>
      <c r="E121" s="181">
        <f>INDEX('[1]Gross Costs'!$S$5:$S$255,MATCH(B121,'[1]Gross Costs'!$B$5:$B$255,0))</f>
        <v>55222.87</v>
      </c>
      <c r="F121" s="182">
        <f>INDEX('[1]Gross Costs'!$T$5:$T$255,MATCH(B121,'[1]Gross Costs'!$B$5:$B$255,0))</f>
        <v>0</v>
      </c>
      <c r="G121" s="182">
        <f t="shared" si="2"/>
        <v>55222.87</v>
      </c>
      <c r="H121" s="186">
        <f>INDEX([1]Tonnes!$N$5:$N$255,MATCH(B121,[1]Tonnes!$B$5:$B$255,0))</f>
        <v>145.34946417977184</v>
      </c>
      <c r="I121" s="184">
        <f t="shared" si="3"/>
        <v>379.93170674299137</v>
      </c>
    </row>
    <row r="122" spans="1:9" x14ac:dyDescent="0.25">
      <c r="A122" s="37">
        <v>7</v>
      </c>
      <c r="B122" s="185">
        <v>287</v>
      </c>
      <c r="C122" s="179">
        <f>INDEX('[1]Full Program List'!B$2:B$300,MATCH(B122,'[1]Full Program List'!A$2:A$300,0))</f>
        <v>7</v>
      </c>
      <c r="D122" s="180" t="str">
        <f>INDEX('[1]Full Program List'!C$2:C$300,MATCH(B122,'[1]Full Program List'!A$2:A$300,0))</f>
        <v>MERRICKVILLE-WOLFORD, VILLAGE OF</v>
      </c>
      <c r="E122" s="181">
        <f>INDEX('[1]Gross Costs'!$S$5:$S$255,MATCH(B122,'[1]Gross Costs'!$B$5:$B$255,0))</f>
        <v>102363.95</v>
      </c>
      <c r="F122" s="182">
        <f>INDEX('[1]Gross Costs'!$T$5:$T$255,MATCH(B122,'[1]Gross Costs'!$B$5:$B$255,0))</f>
        <v>282</v>
      </c>
      <c r="G122" s="182">
        <f t="shared" si="2"/>
        <v>102081.95</v>
      </c>
      <c r="H122" s="186">
        <f>INDEX([1]Tonnes!$N$5:$N$255,MATCH(B122,[1]Tonnes!$B$5:$B$255,0))</f>
        <v>147.07202997933462</v>
      </c>
      <c r="I122" s="184">
        <f t="shared" si="3"/>
        <v>694.09492759665955</v>
      </c>
    </row>
    <row r="123" spans="1:9" x14ac:dyDescent="0.25">
      <c r="A123" s="37">
        <v>7</v>
      </c>
      <c r="B123" s="185">
        <v>290</v>
      </c>
      <c r="C123" s="179">
        <f>INDEX('[1]Full Program List'!B$2:B$300,MATCH(B123,'[1]Full Program List'!A$2:A$300,0))</f>
        <v>7</v>
      </c>
      <c r="D123" s="180" t="str">
        <f>INDEX('[1]Full Program List'!C$2:C$300,MATCH(B123,'[1]Full Program List'!A$2:A$300,0))</f>
        <v>NORTH STORMONT, TOWNSHIP OF</v>
      </c>
      <c r="E123" s="181">
        <f>INDEX('[1]Gross Costs'!$S$5:$S$255,MATCH(B123,'[1]Gross Costs'!$B$5:$B$255,0))</f>
        <v>135999.42000000001</v>
      </c>
      <c r="F123" s="182">
        <f>INDEX('[1]Gross Costs'!$T$5:$T$255,MATCH(B123,'[1]Gross Costs'!$B$5:$B$255,0))</f>
        <v>423.97</v>
      </c>
      <c r="G123" s="182">
        <f t="shared" si="2"/>
        <v>135575.45000000001</v>
      </c>
      <c r="H123" s="186">
        <f>INDEX([1]Tonnes!$N$5:$N$255,MATCH(B123,[1]Tonnes!$B$5:$B$255,0))</f>
        <v>335.89235607307199</v>
      </c>
      <c r="I123" s="184">
        <f t="shared" si="3"/>
        <v>403.62767282059298</v>
      </c>
    </row>
    <row r="124" spans="1:9" x14ac:dyDescent="0.25">
      <c r="A124" s="37">
        <v>7</v>
      </c>
      <c r="B124" s="185">
        <v>294</v>
      </c>
      <c r="C124" s="179">
        <f>INDEX('[1]Full Program List'!B$2:B$300,MATCH(B124,'[1]Full Program List'!A$2:A$300,0))</f>
        <v>7</v>
      </c>
      <c r="D124" s="180" t="str">
        <f>INDEX('[1]Full Program List'!C$2:C$300,MATCH(B124,'[1]Full Program List'!A$2:A$300,0))</f>
        <v>RUSSELL, TOWNSHIP OF</v>
      </c>
      <c r="E124" s="181">
        <f>INDEX('[1]Gross Costs'!$S$5:$S$255,MATCH(B124,'[1]Gross Costs'!$B$5:$B$255,0))</f>
        <v>632461</v>
      </c>
      <c r="F124" s="182">
        <f>INDEX('[1]Gross Costs'!$T$5:$T$255,MATCH(B124,'[1]Gross Costs'!$B$5:$B$255,0))</f>
        <v>637</v>
      </c>
      <c r="G124" s="182">
        <f t="shared" si="2"/>
        <v>631824</v>
      </c>
      <c r="H124" s="186">
        <f>INDEX([1]Tonnes!$N$5:$N$255,MATCH(B124,[1]Tonnes!$B$5:$B$255,0))</f>
        <v>1221.8972650148394</v>
      </c>
      <c r="I124" s="184">
        <f t="shared" si="3"/>
        <v>517.08438842632711</v>
      </c>
    </row>
    <row r="125" spans="1:9" x14ac:dyDescent="0.25">
      <c r="A125" s="37">
        <v>7</v>
      </c>
      <c r="B125" s="185">
        <v>296</v>
      </c>
      <c r="C125" s="179">
        <f>INDEX('[1]Full Program List'!B$2:B$300,MATCH(B125,'[1]Full Program List'!A$2:A$300,0))</f>
        <v>7</v>
      </c>
      <c r="D125" s="180" t="str">
        <f>INDEX('[1]Full Program List'!C$2:C$300,MATCH(B125,'[1]Full Program List'!A$2:A$300,0))</f>
        <v>SOUTH FRONTENAC, TOWNSHIP OF</v>
      </c>
      <c r="E125" s="181">
        <f>INDEX('[1]Gross Costs'!$S$5:$S$255,MATCH(B125,'[1]Gross Costs'!$B$5:$B$255,0))</f>
        <v>836673.68</v>
      </c>
      <c r="F125" s="182">
        <f>INDEX('[1]Gross Costs'!$T$5:$T$255,MATCH(B125,'[1]Gross Costs'!$B$5:$B$255,0))</f>
        <v>180195.59000000003</v>
      </c>
      <c r="G125" s="182">
        <f t="shared" si="2"/>
        <v>656478.09000000008</v>
      </c>
      <c r="H125" s="186">
        <f>INDEX([1]Tonnes!$N$5:$N$255,MATCH(B125,[1]Tonnes!$B$5:$B$255,0))</f>
        <v>869.4000000000002</v>
      </c>
      <c r="I125" s="184">
        <f t="shared" si="3"/>
        <v>755.09327122153206</v>
      </c>
    </row>
    <row r="126" spans="1:9" x14ac:dyDescent="0.25">
      <c r="A126" s="37">
        <v>7</v>
      </c>
      <c r="B126" s="185">
        <v>301</v>
      </c>
      <c r="C126" s="179">
        <f>INDEX('[1]Full Program List'!B$2:B$300,MATCH(B126,'[1]Full Program List'!A$2:A$300,0))</f>
        <v>7</v>
      </c>
      <c r="D126" s="180" t="str">
        <f>INDEX('[1]Full Program List'!C$2:C$300,MATCH(B126,'[1]Full Program List'!A$2:A$300,0))</f>
        <v>SOUTH STORMONT, TOWNSHIP OF</v>
      </c>
      <c r="E126" s="181">
        <f>INDEX('[1]Gross Costs'!$S$5:$S$255,MATCH(B126,'[1]Gross Costs'!$B$5:$B$255,0))</f>
        <v>227243.71</v>
      </c>
      <c r="F126" s="182">
        <f>INDEX('[1]Gross Costs'!$T$5:$T$255,MATCH(B126,'[1]Gross Costs'!$B$5:$B$255,0))</f>
        <v>424.62</v>
      </c>
      <c r="G126" s="182">
        <f t="shared" si="2"/>
        <v>226819.09</v>
      </c>
      <c r="H126" s="186">
        <f>INDEX([1]Tonnes!$N$5:$N$255,MATCH(B126,[1]Tonnes!$B$5:$B$255,0))</f>
        <v>630.73820209822964</v>
      </c>
      <c r="I126" s="184">
        <f t="shared" si="3"/>
        <v>359.60893005284584</v>
      </c>
    </row>
    <row r="127" spans="1:9" x14ac:dyDescent="0.25">
      <c r="A127" s="37">
        <v>7</v>
      </c>
      <c r="B127" s="185">
        <v>321</v>
      </c>
      <c r="C127" s="179">
        <f>INDEX('[1]Full Program List'!B$2:B$300,MATCH(B127,'[1]Full Program List'!A$2:A$300,0))</f>
        <v>7</v>
      </c>
      <c r="D127" s="180" t="str">
        <f>INDEX('[1]Full Program List'!C$2:C$300,MATCH(B127,'[1]Full Program List'!A$2:A$300,0))</f>
        <v>NORTH DUNDAS, TOWNSHIP OF</v>
      </c>
      <c r="E127" s="181">
        <f>INDEX('[1]Gross Costs'!$S$5:$S$255,MATCH(B127,'[1]Gross Costs'!$B$5:$B$255,0))</f>
        <v>480503.47</v>
      </c>
      <c r="F127" s="182">
        <f>INDEX('[1]Gross Costs'!$T$5:$T$255,MATCH(B127,'[1]Gross Costs'!$B$5:$B$255,0))</f>
        <v>39100.69</v>
      </c>
      <c r="G127" s="182">
        <f t="shared" si="2"/>
        <v>441402.77999999997</v>
      </c>
      <c r="H127" s="186">
        <f>INDEX([1]Tonnes!$N$5:$N$255,MATCH(B127,[1]Tonnes!$B$5:$B$255,0))</f>
        <v>435.74</v>
      </c>
      <c r="I127" s="184">
        <f t="shared" si="3"/>
        <v>1012.9957772983888</v>
      </c>
    </row>
    <row r="128" spans="1:9" x14ac:dyDescent="0.25">
      <c r="A128" s="37">
        <v>7</v>
      </c>
      <c r="B128" s="185">
        <v>325</v>
      </c>
      <c r="C128" s="179">
        <f>INDEX('[1]Full Program List'!B$2:B$300,MATCH(B128,'[1]Full Program List'!A$2:A$300,0))</f>
        <v>7</v>
      </c>
      <c r="D128" s="180" t="str">
        <f>INDEX('[1]Full Program List'!C$2:C$300,MATCH(B128,'[1]Full Program List'!A$2:A$300,0))</f>
        <v>WHITEWATER REGION, TOWNSHIP OF</v>
      </c>
      <c r="E128" s="181">
        <f>INDEX('[1]Gross Costs'!$S$5:$S$255,MATCH(B128,'[1]Gross Costs'!$B$5:$B$255,0))</f>
        <v>182309.94</v>
      </c>
      <c r="F128" s="182">
        <f>INDEX('[1]Gross Costs'!$T$5:$T$255,MATCH(B128,'[1]Gross Costs'!$B$5:$B$255,0))</f>
        <v>304</v>
      </c>
      <c r="G128" s="182">
        <f t="shared" si="2"/>
        <v>182005.94</v>
      </c>
      <c r="H128" s="186">
        <f>INDEX([1]Tonnes!$N$5:$N$255,MATCH(B128,[1]Tonnes!$B$5:$B$255,0))</f>
        <v>394.42999008461817</v>
      </c>
      <c r="I128" s="184">
        <f t="shared" si="3"/>
        <v>461.44041927682468</v>
      </c>
    </row>
    <row r="129" spans="1:9" x14ac:dyDescent="0.25">
      <c r="A129" s="37">
        <v>7</v>
      </c>
      <c r="B129" s="185">
        <v>346</v>
      </c>
      <c r="C129" s="179">
        <f>INDEX('[1]Full Program List'!B$2:B$300,MATCH(B129,'[1]Full Program List'!A$2:A$300,0))</f>
        <v>7</v>
      </c>
      <c r="D129" s="180" t="str">
        <f>INDEX('[1]Full Program List'!C$2:C$300,MATCH(B129,'[1]Full Program List'!A$2:A$300,0))</f>
        <v>SOUTHWOLD, TOWNSHIP OF</v>
      </c>
      <c r="E129" s="181">
        <f>INDEX('[1]Gross Costs'!$S$5:$S$255,MATCH(B129,'[1]Gross Costs'!$B$5:$B$255,0))</f>
        <v>123092.65</v>
      </c>
      <c r="F129" s="182">
        <f>INDEX('[1]Gross Costs'!$T$5:$T$255,MATCH(B129,'[1]Gross Costs'!$B$5:$B$255,0))</f>
        <v>27381.15</v>
      </c>
      <c r="G129" s="182">
        <f t="shared" si="2"/>
        <v>95711.5</v>
      </c>
      <c r="H129" s="186">
        <f>INDEX([1]Tonnes!$N$5:$N$255,MATCH(B129,[1]Tonnes!$B$5:$B$255,0))</f>
        <v>262.16879519273215</v>
      </c>
      <c r="I129" s="184">
        <f t="shared" si="3"/>
        <v>365.07586621679422</v>
      </c>
    </row>
    <row r="130" spans="1:9" x14ac:dyDescent="0.25">
      <c r="A130" s="37">
        <v>7</v>
      </c>
      <c r="B130" s="185">
        <v>358</v>
      </c>
      <c r="C130" s="179">
        <f>INDEX('[1]Full Program List'!B$2:B$300,MATCH(B130,'[1]Full Program List'!A$2:A$300,0))</f>
        <v>7</v>
      </c>
      <c r="D130" s="180" t="str">
        <f>INDEX('[1]Full Program List'!C$2:C$300,MATCH(B130,'[1]Full Program List'!A$2:A$300,0))</f>
        <v>BAYHAM, MUNICIPALITY OF</v>
      </c>
      <c r="E130" s="181">
        <f>INDEX('[1]Gross Costs'!$S$5:$S$255,MATCH(B130,'[1]Gross Costs'!$B$5:$B$255,0))</f>
        <v>241699.7</v>
      </c>
      <c r="F130" s="182">
        <f>INDEX('[1]Gross Costs'!$T$5:$T$255,MATCH(B130,'[1]Gross Costs'!$B$5:$B$255,0))</f>
        <v>48918.26</v>
      </c>
      <c r="G130" s="182">
        <f t="shared" si="2"/>
        <v>192781.44</v>
      </c>
      <c r="H130" s="186">
        <f>INDEX([1]Tonnes!$N$5:$N$255,MATCH(B130,[1]Tonnes!$B$5:$B$255,0))</f>
        <v>379.12</v>
      </c>
      <c r="I130" s="184">
        <f t="shared" si="3"/>
        <v>508.49715129774216</v>
      </c>
    </row>
    <row r="131" spans="1:9" x14ac:dyDescent="0.25">
      <c r="A131" s="37">
        <v>7</v>
      </c>
      <c r="B131" s="185">
        <v>361</v>
      </c>
      <c r="C131" s="179">
        <f>INDEX('[1]Full Program List'!B$2:B$300,MATCH(B131,'[1]Full Program List'!A$2:A$300,0))</f>
        <v>7</v>
      </c>
      <c r="D131" s="180" t="str">
        <f>INDEX('[1]Full Program List'!C$2:C$300,MATCH(B131,'[1]Full Program List'!A$2:A$300,0))</f>
        <v>CLARENCE-ROCKLAND, CITY OF</v>
      </c>
      <c r="E131" s="181">
        <f>INDEX('[1]Gross Costs'!$S$5:$S$255,MATCH(B131,'[1]Gross Costs'!$B$5:$B$255,0))</f>
        <v>911184.79</v>
      </c>
      <c r="F131" s="182">
        <f>INDEX('[1]Gross Costs'!$T$5:$T$255,MATCH(B131,'[1]Gross Costs'!$B$5:$B$255,0))</f>
        <v>7581.0599999999995</v>
      </c>
      <c r="G131" s="182">
        <f t="shared" si="2"/>
        <v>903603.73</v>
      </c>
      <c r="H131" s="186">
        <f>INDEX([1]Tonnes!$N$5:$N$255,MATCH(B131,[1]Tonnes!$B$5:$B$255,0))</f>
        <v>1540.865013619775</v>
      </c>
      <c r="I131" s="184">
        <f t="shared" si="3"/>
        <v>586.42627486055301</v>
      </c>
    </row>
    <row r="132" spans="1:9" x14ac:dyDescent="0.25">
      <c r="A132" s="37">
        <v>7</v>
      </c>
      <c r="B132" s="185">
        <v>376</v>
      </c>
      <c r="C132" s="179">
        <f>INDEX('[1]Full Program List'!B$2:B$300,MATCH(B132,'[1]Full Program List'!A$2:A$300,0))</f>
        <v>7</v>
      </c>
      <c r="D132" s="180" t="str">
        <f>INDEX('[1]Full Program List'!C$2:C$300,MATCH(B132,'[1]Full Program List'!A$2:A$300,0))</f>
        <v>THE NATION, MUNICIPALITY</v>
      </c>
      <c r="E132" s="181">
        <f>INDEX('[1]Gross Costs'!$S$5:$S$255,MATCH(B132,'[1]Gross Costs'!$B$5:$B$255,0))</f>
        <v>281309.96000000002</v>
      </c>
      <c r="F132" s="182">
        <f>INDEX('[1]Gross Costs'!$T$5:$T$255,MATCH(B132,'[1]Gross Costs'!$B$5:$B$255,0))</f>
        <v>326</v>
      </c>
      <c r="G132" s="182">
        <f t="shared" si="2"/>
        <v>280983.96000000002</v>
      </c>
      <c r="H132" s="186">
        <f>INDEX([1]Tonnes!$N$5:$N$255,MATCH(B132,[1]Tonnes!$B$5:$B$255,0))</f>
        <v>685.89220705089633</v>
      </c>
      <c r="I132" s="184">
        <f t="shared" si="3"/>
        <v>409.6619805729178</v>
      </c>
    </row>
    <row r="133" spans="1:9" x14ac:dyDescent="0.25">
      <c r="A133" s="37">
        <v>7</v>
      </c>
      <c r="B133" s="185">
        <v>382</v>
      </c>
      <c r="C133" s="179">
        <f>INDEX('[1]Full Program List'!B$2:B$300,MATCH(B133,'[1]Full Program List'!A$2:A$300,0))</f>
        <v>7</v>
      </c>
      <c r="D133" s="180" t="str">
        <f>INDEX('[1]Full Program List'!C$2:C$300,MATCH(B133,'[1]Full Program List'!A$2:A$300,0))</f>
        <v>DUTTON-DUNWICH, MUNICIPALITY OF</v>
      </c>
      <c r="E133" s="181">
        <f>INDEX('[1]Gross Costs'!$S$5:$S$255,MATCH(B133,'[1]Gross Costs'!$B$5:$B$255,0))</f>
        <v>98656.37</v>
      </c>
      <c r="F133" s="182">
        <f>INDEX('[1]Gross Costs'!$T$5:$T$255,MATCH(B133,'[1]Gross Costs'!$B$5:$B$255,0))</f>
        <v>22015.520000000004</v>
      </c>
      <c r="G133" s="182">
        <f t="shared" ref="G133:G196" si="4">E133-F133</f>
        <v>76640.849999999991</v>
      </c>
      <c r="H133" s="186">
        <f>INDEX([1]Tonnes!$N$5:$N$255,MATCH(B133,[1]Tonnes!$B$5:$B$255,0))</f>
        <v>185.27</v>
      </c>
      <c r="I133" s="184">
        <f t="shared" ref="I133:I196" si="5">IFERROR(G133/H133,0)</f>
        <v>413.67112862309057</v>
      </c>
    </row>
    <row r="134" spans="1:9" x14ac:dyDescent="0.25">
      <c r="A134" s="37">
        <v>7</v>
      </c>
      <c r="B134" s="185">
        <v>389</v>
      </c>
      <c r="C134" s="179">
        <f>INDEX('[1]Full Program List'!B$2:B$300,MATCH(B134,'[1]Full Program List'!A$2:A$300,0))</f>
        <v>7</v>
      </c>
      <c r="D134" s="180" t="str">
        <f>INDEX('[1]Full Program List'!C$2:C$300,MATCH(B134,'[1]Full Program List'!A$2:A$300,0))</f>
        <v>GREATER NAPANEE, TOWNSHIP OF</v>
      </c>
      <c r="E134" s="181">
        <f>INDEX('[1]Gross Costs'!$S$5:$S$255,MATCH(B134,'[1]Gross Costs'!$B$5:$B$255,0))</f>
        <v>166030.71</v>
      </c>
      <c r="F134" s="182">
        <f>INDEX('[1]Gross Costs'!$T$5:$T$255,MATCH(B134,'[1]Gross Costs'!$B$5:$B$255,0))</f>
        <v>944.5</v>
      </c>
      <c r="G134" s="182">
        <f t="shared" si="4"/>
        <v>165086.21</v>
      </c>
      <c r="H134" s="186">
        <f>INDEX([1]Tonnes!$N$5:$N$255,MATCH(B134,[1]Tonnes!$B$5:$B$255,0))</f>
        <v>971.31315779571287</v>
      </c>
      <c r="I134" s="184">
        <f t="shared" si="5"/>
        <v>169.96187962144441</v>
      </c>
    </row>
    <row r="135" spans="1:9" x14ac:dyDescent="0.25">
      <c r="A135" s="37">
        <v>7</v>
      </c>
      <c r="B135" s="185">
        <v>434</v>
      </c>
      <c r="C135" s="179">
        <f>INDEX('[1]Full Program List'!B$2:B$300,MATCH(B135,'[1]Full Program List'!A$2:A$300,0))</f>
        <v>7</v>
      </c>
      <c r="D135" s="180" t="str">
        <f>INDEX('[1]Full Program List'!C$2:C$300,MATCH(B135,'[1]Full Program List'!A$2:A$300,0))</f>
        <v>EDWARDSBURGH CARDINAL, TOWNSHIP OF</v>
      </c>
      <c r="E135" s="181">
        <f>INDEX('[1]Gross Costs'!$S$5:$S$255,MATCH(B135,'[1]Gross Costs'!$B$5:$B$255,0))</f>
        <v>130973.72</v>
      </c>
      <c r="F135" s="182">
        <f>INDEX('[1]Gross Costs'!$T$5:$T$255,MATCH(B135,'[1]Gross Costs'!$B$5:$B$255,0))</f>
        <v>0</v>
      </c>
      <c r="G135" s="182">
        <f t="shared" si="4"/>
        <v>130973.72</v>
      </c>
      <c r="H135" s="186">
        <f>INDEX([1]Tonnes!$N$5:$N$255,MATCH(B135,[1]Tonnes!$B$5:$B$255,0))</f>
        <v>314.12901317026297</v>
      </c>
      <c r="I135" s="184">
        <f t="shared" si="5"/>
        <v>416.94244883076158</v>
      </c>
    </row>
    <row r="136" spans="1:9" x14ac:dyDescent="0.25">
      <c r="A136" s="37">
        <v>7</v>
      </c>
      <c r="B136" s="185">
        <v>437</v>
      </c>
      <c r="C136" s="179">
        <f>INDEX('[1]Full Program List'!B$2:B$300,MATCH(B136,'[1]Full Program List'!A$2:A$300,0))</f>
        <v>7</v>
      </c>
      <c r="D136" s="180" t="str">
        <f>INDEX('[1]Full Program List'!C$2:C$300,MATCH(B136,'[1]Full Program List'!A$2:A$300,0))</f>
        <v>PLYMPTON-WYOMING, TOWN OF</v>
      </c>
      <c r="E136" s="181">
        <f>INDEX('[1]Gross Costs'!$S$5:$S$255,MATCH(B136,'[1]Gross Costs'!$B$5:$B$255,0))</f>
        <v>234070.56</v>
      </c>
      <c r="F136" s="182">
        <f>INDEX('[1]Gross Costs'!$T$5:$T$255,MATCH(B136,'[1]Gross Costs'!$B$5:$B$255,0))</f>
        <v>0</v>
      </c>
      <c r="G136" s="182">
        <f t="shared" si="4"/>
        <v>234070.56</v>
      </c>
      <c r="H136" s="186">
        <f>INDEX([1]Tonnes!$N$5:$N$255,MATCH(B136,[1]Tonnes!$B$5:$B$255,0))</f>
        <v>381.25325546155779</v>
      </c>
      <c r="I136" s="184">
        <f t="shared" si="5"/>
        <v>613.95032474313291</v>
      </c>
    </row>
    <row r="137" spans="1:9" x14ac:dyDescent="0.25">
      <c r="A137" s="37">
        <v>7</v>
      </c>
      <c r="B137" s="185">
        <v>502</v>
      </c>
      <c r="C137" s="179">
        <f>INDEX('[1]Full Program List'!B$2:B$300,MATCH(B137,'[1]Full Program List'!A$2:A$300,0))</f>
        <v>7</v>
      </c>
      <c r="D137" s="180" t="str">
        <f>INDEX('[1]Full Program List'!C$2:C$300,MATCH(B137,'[1]Full Program List'!A$2:A$300,0))</f>
        <v>SOUTH GLENGARRY, TOWNSHIP OF</v>
      </c>
      <c r="E137" s="181">
        <f>INDEX('[1]Gross Costs'!$S$5:$S$255,MATCH(B137,'[1]Gross Costs'!$B$5:$B$255,0))</f>
        <v>321308.17</v>
      </c>
      <c r="F137" s="182">
        <f>INDEX('[1]Gross Costs'!$T$5:$T$255,MATCH(B137,'[1]Gross Costs'!$B$5:$B$255,0))</f>
        <v>0</v>
      </c>
      <c r="G137" s="182">
        <f t="shared" si="4"/>
        <v>321308.17</v>
      </c>
      <c r="H137" s="186">
        <f>INDEX([1]Tonnes!$N$5:$N$255,MATCH(B137,[1]Tonnes!$B$5:$B$255,0))</f>
        <v>668.15033574141978</v>
      </c>
      <c r="I137" s="184">
        <f t="shared" si="5"/>
        <v>480.89202805452027</v>
      </c>
    </row>
    <row r="138" spans="1:9" x14ac:dyDescent="0.25">
      <c r="A138" s="37">
        <v>7</v>
      </c>
      <c r="B138" s="185">
        <v>503</v>
      </c>
      <c r="C138" s="179">
        <f>INDEX('[1]Full Program List'!B$2:B$300,MATCH(B138,'[1]Full Program List'!A$2:A$300,0))</f>
        <v>7</v>
      </c>
      <c r="D138" s="180" t="str">
        <f>INDEX('[1]Full Program List'!C$2:C$300,MATCH(B138,'[1]Full Program List'!A$2:A$300,0))</f>
        <v>MALAHIDE, TOWNSHIP OF</v>
      </c>
      <c r="E138" s="181">
        <f>INDEX('[1]Gross Costs'!$S$5:$S$255,MATCH(B138,'[1]Gross Costs'!$B$5:$B$255,0))</f>
        <v>200464.15</v>
      </c>
      <c r="F138" s="182">
        <f>INDEX('[1]Gross Costs'!$T$5:$T$255,MATCH(B138,'[1]Gross Costs'!$B$5:$B$255,0))</f>
        <v>51599.19000000001</v>
      </c>
      <c r="G138" s="182">
        <f t="shared" si="4"/>
        <v>148864.95999999999</v>
      </c>
      <c r="H138" s="186">
        <f>INDEX([1]Tonnes!$N$5:$N$255,MATCH(B138,[1]Tonnes!$B$5:$B$255,0))</f>
        <v>362.80000000000007</v>
      </c>
      <c r="I138" s="184">
        <f t="shared" si="5"/>
        <v>410.32238147739793</v>
      </c>
    </row>
    <row r="139" spans="1:9" x14ac:dyDescent="0.25">
      <c r="A139" s="37">
        <v>7</v>
      </c>
      <c r="B139" s="185">
        <v>510</v>
      </c>
      <c r="C139" s="179">
        <f>INDEX('[1]Full Program List'!B$2:B$300,MATCH(B139,'[1]Full Program List'!A$2:A$300,0))</f>
        <v>7</v>
      </c>
      <c r="D139" s="180" t="str">
        <f>INDEX('[1]Full Program List'!C$2:C$300,MATCH(B139,'[1]Full Program List'!A$2:A$300,0))</f>
        <v>SOUTH DUNDAS, TOWNSHIP OF</v>
      </c>
      <c r="E139" s="181">
        <f>INDEX('[1]Gross Costs'!$S$5:$S$255,MATCH(B139,'[1]Gross Costs'!$B$5:$B$255,0))</f>
        <v>225129.38</v>
      </c>
      <c r="F139" s="182">
        <f>INDEX('[1]Gross Costs'!$T$5:$T$255,MATCH(B139,'[1]Gross Costs'!$B$5:$B$255,0))</f>
        <v>1049</v>
      </c>
      <c r="G139" s="182">
        <f t="shared" si="4"/>
        <v>224080.38</v>
      </c>
      <c r="H139" s="186">
        <f>INDEX([1]Tonnes!$N$5:$N$255,MATCH(B139,[1]Tonnes!$B$5:$B$255,0))</f>
        <v>488.33931602748999</v>
      </c>
      <c r="I139" s="184">
        <f t="shared" si="5"/>
        <v>458.86205072086779</v>
      </c>
    </row>
    <row r="140" spans="1:9" x14ac:dyDescent="0.25">
      <c r="A140" s="37">
        <v>7</v>
      </c>
      <c r="B140" s="185">
        <v>531</v>
      </c>
      <c r="C140" s="179">
        <f>INDEX('[1]Full Program List'!B$2:B$300,MATCH(B140,'[1]Full Program List'!A$2:A$300,0))</f>
        <v>7</v>
      </c>
      <c r="D140" s="180" t="str">
        <f>INDEX('[1]Full Program List'!C$2:C$300,MATCH(B140,'[1]Full Program List'!A$2:A$300,0))</f>
        <v>BRANT, COUNTY OF</v>
      </c>
      <c r="E140" s="181">
        <f>INDEX('[1]Gross Costs'!$S$5:$S$255,MATCH(B140,'[1]Gross Costs'!$B$5:$B$255,0))</f>
        <v>619077.55000000005</v>
      </c>
      <c r="F140" s="182">
        <f>INDEX('[1]Gross Costs'!$T$5:$T$255,MATCH(B140,'[1]Gross Costs'!$B$5:$B$255,0))</f>
        <v>5174.5599999999995</v>
      </c>
      <c r="G140" s="182">
        <f t="shared" si="4"/>
        <v>613902.99</v>
      </c>
      <c r="H140" s="186">
        <f>INDEX([1]Tonnes!$N$5:$N$255,MATCH(B140,[1]Tonnes!$B$5:$B$255,0))</f>
        <v>2134.37</v>
      </c>
      <c r="I140" s="184">
        <f t="shared" si="5"/>
        <v>287.62725769196533</v>
      </c>
    </row>
    <row r="141" spans="1:9" x14ac:dyDescent="0.25">
      <c r="A141" s="37">
        <v>7</v>
      </c>
      <c r="B141" s="185">
        <v>550</v>
      </c>
      <c r="C141" s="179">
        <f>INDEX('[1]Full Program List'!B$2:B$300,MATCH(B141,'[1]Full Program List'!A$2:A$300,0))</f>
        <v>7</v>
      </c>
      <c r="D141" s="180" t="str">
        <f>INDEX('[1]Full Program List'!C$2:C$300,MATCH(B141,'[1]Full Program List'!A$2:A$300,0))</f>
        <v>HASTINGS HIGHLANDS, MUNICIPALITY OF</v>
      </c>
      <c r="E141" s="181">
        <f>INDEX('[1]Gross Costs'!$S$5:$S$255,MATCH(B141,'[1]Gross Costs'!$B$5:$B$255,0))</f>
        <v>412541.65</v>
      </c>
      <c r="F141" s="182">
        <f>INDEX('[1]Gross Costs'!$T$5:$T$255,MATCH(B141,'[1]Gross Costs'!$B$5:$B$255,0))</f>
        <v>100</v>
      </c>
      <c r="G141" s="182">
        <f t="shared" si="4"/>
        <v>412441.65</v>
      </c>
      <c r="H141" s="186">
        <f>INDEX([1]Tonnes!$N$5:$N$255,MATCH(B141,[1]Tonnes!$B$5:$B$255,0))</f>
        <v>257.69</v>
      </c>
      <c r="I141" s="184">
        <f t="shared" si="5"/>
        <v>1600.5341689627073</v>
      </c>
    </row>
    <row r="142" spans="1:9" x14ac:dyDescent="0.25">
      <c r="A142" s="37">
        <v>7</v>
      </c>
      <c r="B142" s="185">
        <v>551</v>
      </c>
      <c r="C142" s="179">
        <f>INDEX('[1]Full Program List'!B$2:B$300,MATCH(B142,'[1]Full Program List'!A$2:A$300,0))</f>
        <v>7</v>
      </c>
      <c r="D142" s="180" t="str">
        <f>INDEX('[1]Full Program List'!C$2:C$300,MATCH(B142,'[1]Full Program List'!A$2:A$300,0))</f>
        <v>HORTON, TOWNSHIP OF</v>
      </c>
      <c r="E142" s="181">
        <f>INDEX('[1]Gross Costs'!$S$5:$S$255,MATCH(B142,'[1]Gross Costs'!$B$5:$B$255,0))</f>
        <v>85940.15</v>
      </c>
      <c r="F142" s="182">
        <f>INDEX('[1]Gross Costs'!$T$5:$T$255,MATCH(B142,'[1]Gross Costs'!$B$5:$B$255,0))</f>
        <v>201</v>
      </c>
      <c r="G142" s="182">
        <f t="shared" si="4"/>
        <v>85739.15</v>
      </c>
      <c r="H142" s="186">
        <f>INDEX([1]Tonnes!$N$5:$N$255,MATCH(B142,[1]Tonnes!$B$5:$B$255,0))</f>
        <v>172.97</v>
      </c>
      <c r="I142" s="184">
        <f t="shared" si="5"/>
        <v>495.68798057466608</v>
      </c>
    </row>
    <row r="143" spans="1:9" x14ac:dyDescent="0.25">
      <c r="A143" s="37">
        <v>7</v>
      </c>
      <c r="B143" s="185">
        <v>555</v>
      </c>
      <c r="C143" s="179">
        <f>INDEX('[1]Full Program List'!B$2:B$300,MATCH(B143,'[1]Full Program List'!A$2:A$300,0))</f>
        <v>7</v>
      </c>
      <c r="D143" s="180" t="str">
        <f>INDEX('[1]Full Program List'!C$2:C$300,MATCH(B143,'[1]Full Program List'!A$2:A$300,0))</f>
        <v>GREY HIGHLANDS, MUNICIPALITY OF</v>
      </c>
      <c r="E143" s="181">
        <f>INDEX('[1]Gross Costs'!$S$5:$S$255,MATCH(B143,'[1]Gross Costs'!$B$5:$B$255,0))</f>
        <v>492787.09</v>
      </c>
      <c r="F143" s="182">
        <f>INDEX('[1]Gross Costs'!$T$5:$T$255,MATCH(B143,'[1]Gross Costs'!$B$5:$B$255,0))</f>
        <v>498</v>
      </c>
      <c r="G143" s="182">
        <f t="shared" si="4"/>
        <v>492289.09</v>
      </c>
      <c r="H143" s="186">
        <f>INDEX([1]Tonnes!$N$5:$N$255,MATCH(B143,[1]Tonnes!$B$5:$B$255,0))</f>
        <v>603.33664613851852</v>
      </c>
      <c r="I143" s="184">
        <f t="shared" si="5"/>
        <v>815.94428773845209</v>
      </c>
    </row>
    <row r="144" spans="1:9" x14ac:dyDescent="0.25">
      <c r="A144" s="37">
        <v>7</v>
      </c>
      <c r="B144" s="185">
        <v>556</v>
      </c>
      <c r="C144" s="179">
        <f>INDEX('[1]Full Program List'!B$2:B$300,MATCH(B144,'[1]Full Program List'!A$2:A$300,0))</f>
        <v>7</v>
      </c>
      <c r="D144" s="180" t="str">
        <f>INDEX('[1]Full Program List'!C$2:C$300,MATCH(B144,'[1]Full Program List'!A$2:A$300,0))</f>
        <v>MCNAB-BRAESIDE, TOWNSHIP OF</v>
      </c>
      <c r="E144" s="181">
        <f>INDEX('[1]Gross Costs'!$S$5:$S$255,MATCH(B144,'[1]Gross Costs'!$B$5:$B$255,0))</f>
        <v>144657.59</v>
      </c>
      <c r="F144" s="182">
        <f>INDEX('[1]Gross Costs'!$T$5:$T$255,MATCH(B144,'[1]Gross Costs'!$B$5:$B$255,0))</f>
        <v>350.51</v>
      </c>
      <c r="G144" s="182">
        <f t="shared" si="4"/>
        <v>144307.07999999999</v>
      </c>
      <c r="H144" s="186">
        <f>INDEX([1]Tonnes!$N$5:$N$255,MATCH(B144,[1]Tonnes!$B$5:$B$255,0))</f>
        <v>391.24677594424628</v>
      </c>
      <c r="I144" s="184">
        <f t="shared" si="5"/>
        <v>368.83902660085852</v>
      </c>
    </row>
    <row r="145" spans="1:9" x14ac:dyDescent="0.25">
      <c r="A145" s="37">
        <v>7</v>
      </c>
      <c r="B145" s="185">
        <v>558</v>
      </c>
      <c r="C145" s="179">
        <f>INDEX('[1]Full Program List'!B$2:B$300,MATCH(B145,'[1]Full Program List'!A$2:A$300,0))</f>
        <v>7</v>
      </c>
      <c r="D145" s="180" t="str">
        <f>INDEX('[1]Full Program List'!C$2:C$300,MATCH(B145,'[1]Full Program List'!A$2:A$300,0))</f>
        <v>SOUTHWEST MIDDLESEX, MUNICIPALITY OF</v>
      </c>
      <c r="E145" s="181">
        <f>INDEX('[1]Gross Costs'!$S$5:$S$255,MATCH(B145,'[1]Gross Costs'!$B$5:$B$255,0))</f>
        <v>230639.34</v>
      </c>
      <c r="F145" s="182">
        <f>INDEX('[1]Gross Costs'!$T$5:$T$255,MATCH(B145,'[1]Gross Costs'!$B$5:$B$255,0))</f>
        <v>26698.63</v>
      </c>
      <c r="G145" s="182">
        <f t="shared" si="4"/>
        <v>203940.71</v>
      </c>
      <c r="H145" s="186">
        <f>INDEX([1]Tonnes!$N$5:$N$255,MATCH(B145,[1]Tonnes!$B$5:$B$255,0))</f>
        <v>347.54359974511453</v>
      </c>
      <c r="I145" s="184">
        <f t="shared" si="5"/>
        <v>586.80611626733548</v>
      </c>
    </row>
    <row r="146" spans="1:9" x14ac:dyDescent="0.25">
      <c r="A146" s="37">
        <v>7</v>
      </c>
      <c r="B146" s="185">
        <v>600</v>
      </c>
      <c r="C146" s="179">
        <f>INDEX('[1]Full Program List'!B$2:B$300,MATCH(B146,'[1]Full Program List'!A$2:A$300,0))</f>
        <v>7</v>
      </c>
      <c r="D146" s="180" t="str">
        <f>INDEX('[1]Full Program List'!C$2:C$300,MATCH(B146,'[1]Full Program List'!A$2:A$300,0))</f>
        <v>ALFRED AND PLANTAGENET, TOWNSHIP OF</v>
      </c>
      <c r="E146" s="181">
        <f>INDEX('[1]Gross Costs'!$S$5:$S$255,MATCH(B146,'[1]Gross Costs'!$B$5:$B$255,0))</f>
        <v>251152.74</v>
      </c>
      <c r="F146" s="182">
        <f>INDEX('[1]Gross Costs'!$T$5:$T$255,MATCH(B146,'[1]Gross Costs'!$B$5:$B$255,0))</f>
        <v>0</v>
      </c>
      <c r="G146" s="182">
        <f t="shared" si="4"/>
        <v>251152.74</v>
      </c>
      <c r="H146" s="186">
        <f>INDEX([1]Tonnes!$N$5:$N$255,MATCH(B146,[1]Tonnes!$B$5:$B$255,0))</f>
        <v>804.36</v>
      </c>
      <c r="I146" s="184">
        <f t="shared" si="5"/>
        <v>312.23922124421898</v>
      </c>
    </row>
    <row r="147" spans="1:9" x14ac:dyDescent="0.25">
      <c r="A147" s="37">
        <v>7</v>
      </c>
      <c r="B147" s="185">
        <v>604</v>
      </c>
      <c r="C147" s="179">
        <f>INDEX('[1]Full Program List'!B$2:B$300,MATCH(B147,'[1]Full Program List'!A$2:A$300,0))</f>
        <v>7</v>
      </c>
      <c r="D147" s="180" t="str">
        <f>INDEX('[1]Full Program List'!C$2:C$300,MATCH(B147,'[1]Full Program List'!A$2:A$300,0))</f>
        <v>WEST GREY, MUNICIPALITY OF</v>
      </c>
      <c r="E147" s="181">
        <f>INDEX('[1]Gross Costs'!$S$5:$S$255,MATCH(B147,'[1]Gross Costs'!$B$5:$B$255,0))</f>
        <v>238868.16</v>
      </c>
      <c r="F147" s="182">
        <f>INDEX('[1]Gross Costs'!$T$5:$T$255,MATCH(B147,'[1]Gross Costs'!$B$5:$B$255,0))</f>
        <v>30079.71</v>
      </c>
      <c r="G147" s="182">
        <f t="shared" si="4"/>
        <v>208788.45</v>
      </c>
      <c r="H147" s="186">
        <f>INDEX([1]Tonnes!$N$5:$N$255,MATCH(B147,[1]Tonnes!$B$5:$B$255,0))</f>
        <v>727.41720759868917</v>
      </c>
      <c r="I147" s="184">
        <f t="shared" si="5"/>
        <v>287.02709781810262</v>
      </c>
    </row>
    <row r="148" spans="1:9" x14ac:dyDescent="0.25">
      <c r="A148" s="37">
        <v>7</v>
      </c>
      <c r="B148" s="185">
        <v>612</v>
      </c>
      <c r="C148" s="179">
        <f>INDEX('[1]Full Program List'!B$2:B$300,MATCH(B148,'[1]Full Program List'!A$2:A$300,0))</f>
        <v>7</v>
      </c>
      <c r="D148" s="180" t="str">
        <f>INDEX('[1]Full Program List'!C$2:C$300,MATCH(B148,'[1]Full Program List'!A$2:A$300,0))</f>
        <v>SOUTHGATE, TOWNSHIP OF</v>
      </c>
      <c r="E148" s="181">
        <f>INDEX('[1]Gross Costs'!$S$5:$S$255,MATCH(B148,'[1]Gross Costs'!$B$5:$B$255,0))</f>
        <v>278008.59999999998</v>
      </c>
      <c r="F148" s="182">
        <f>INDEX('[1]Gross Costs'!$T$5:$T$255,MATCH(B148,'[1]Gross Costs'!$B$5:$B$255,0))</f>
        <v>7776.44</v>
      </c>
      <c r="G148" s="182">
        <f t="shared" si="4"/>
        <v>270232.15999999997</v>
      </c>
      <c r="H148" s="186">
        <f>INDEX([1]Tonnes!$N$5:$N$255,MATCH(B148,[1]Tonnes!$B$5:$B$255,0))</f>
        <v>488.86576888424196</v>
      </c>
      <c r="I148" s="184">
        <f t="shared" si="5"/>
        <v>552.77374117799604</v>
      </c>
    </row>
    <row r="149" spans="1:9" x14ac:dyDescent="0.25">
      <c r="A149" s="37">
        <v>7</v>
      </c>
      <c r="B149" s="185">
        <v>635</v>
      </c>
      <c r="C149" s="179">
        <f>INDEX('[1]Full Program List'!B$2:B$300,MATCH(B149,'[1]Full Program List'!A$2:A$300,0))</f>
        <v>7</v>
      </c>
      <c r="D149" s="180" t="str">
        <f>INDEX('[1]Full Program List'!C$2:C$300,MATCH(B149,'[1]Full Program List'!A$2:A$300,0))</f>
        <v>Burk's Falls, Village of</v>
      </c>
      <c r="E149" s="181">
        <f>INDEX('[1]Gross Costs'!$S$5:$S$255,MATCH(B149,'[1]Gross Costs'!$B$5:$B$255,0))</f>
        <v>41866.43</v>
      </c>
      <c r="F149" s="182">
        <f>INDEX('[1]Gross Costs'!$T$5:$T$255,MATCH(B149,'[1]Gross Costs'!$B$5:$B$255,0))</f>
        <v>7688.1000000000013</v>
      </c>
      <c r="G149" s="182">
        <f t="shared" si="4"/>
        <v>34178.33</v>
      </c>
      <c r="H149" s="186">
        <f>INDEX([1]Tonnes!$N$5:$N$255,MATCH(B149,[1]Tonnes!$B$5:$B$255,0))</f>
        <v>48.589999999999996</v>
      </c>
      <c r="I149" s="184">
        <f t="shared" si="5"/>
        <v>703.40255196542512</v>
      </c>
    </row>
    <row r="150" spans="1:9" x14ac:dyDescent="0.25">
      <c r="A150" s="37">
        <v>7</v>
      </c>
      <c r="B150" s="185">
        <v>711</v>
      </c>
      <c r="C150" s="179">
        <f>INDEX('[1]Full Program List'!B$2:B$300,MATCH(B150,'[1]Full Program List'!A$2:A$300,0))</f>
        <v>7</v>
      </c>
      <c r="D150" s="180" t="str">
        <f>INDEX('[1]Full Program List'!C$2:C$300,MATCH(B150,'[1]Full Program List'!A$2:A$300,0))</f>
        <v>BANCROFT, TOWN OF</v>
      </c>
      <c r="E150" s="181">
        <f>INDEX('[1]Gross Costs'!$S$5:$S$255,MATCH(B150,'[1]Gross Costs'!$B$5:$B$255,0))</f>
        <v>219303.41</v>
      </c>
      <c r="F150" s="182">
        <f>INDEX('[1]Gross Costs'!$T$5:$T$255,MATCH(B150,'[1]Gross Costs'!$B$5:$B$255,0))</f>
        <v>15317.63</v>
      </c>
      <c r="G150" s="182">
        <f t="shared" si="4"/>
        <v>203985.78</v>
      </c>
      <c r="H150" s="186">
        <f>INDEX([1]Tonnes!$N$5:$N$255,MATCH(B150,[1]Tonnes!$B$5:$B$255,0))</f>
        <v>420.12</v>
      </c>
      <c r="I150" s="184">
        <f t="shared" si="5"/>
        <v>485.54170237075118</v>
      </c>
    </row>
    <row r="151" spans="1:9" x14ac:dyDescent="0.25">
      <c r="A151" s="37">
        <v>7</v>
      </c>
      <c r="B151" s="185">
        <v>712</v>
      </c>
      <c r="C151" s="179">
        <f>INDEX('[1]Full Program List'!B$2:B$300,MATCH(B151,'[1]Full Program List'!A$2:A$300,0))</f>
        <v>7</v>
      </c>
      <c r="D151" s="180" t="str">
        <f>INDEX('[1]Full Program List'!C$2:C$300,MATCH(B151,'[1]Full Program List'!A$2:A$300,0))</f>
        <v>BECKWITH, TOWNSHIP OF</v>
      </c>
      <c r="E151" s="181">
        <f>INDEX('[1]Gross Costs'!$S$5:$S$255,MATCH(B151,'[1]Gross Costs'!$B$5:$B$255,0))</f>
        <v>285648.96000000002</v>
      </c>
      <c r="F151" s="182">
        <f>INDEX('[1]Gross Costs'!$T$5:$T$255,MATCH(B151,'[1]Gross Costs'!$B$5:$B$255,0))</f>
        <v>0</v>
      </c>
      <c r="G151" s="182">
        <f t="shared" si="4"/>
        <v>285648.96000000002</v>
      </c>
      <c r="H151" s="186">
        <f>INDEX([1]Tonnes!$N$5:$N$255,MATCH(B151,[1]Tonnes!$B$5:$B$255,0))</f>
        <v>743.30000000000007</v>
      </c>
      <c r="I151" s="184">
        <f t="shared" si="5"/>
        <v>384.29834521727429</v>
      </c>
    </row>
    <row r="152" spans="1:9" x14ac:dyDescent="0.25">
      <c r="A152" s="37">
        <v>7</v>
      </c>
      <c r="B152" s="185">
        <v>718</v>
      </c>
      <c r="C152" s="179">
        <f>INDEX('[1]Full Program List'!B$2:B$300,MATCH(B152,'[1]Full Program List'!A$2:A$300,0))</f>
        <v>7</v>
      </c>
      <c r="D152" s="180" t="str">
        <f>INDEX('[1]Full Program List'!C$2:C$300,MATCH(B152,'[1]Full Program List'!A$2:A$300,0))</f>
        <v>MISSISSAUGAS OF THE NEW CREDIT FIRST NATION</v>
      </c>
      <c r="E152" s="181">
        <f>INDEX('[1]Gross Costs'!$S$5:$S$255,MATCH(B152,'[1]Gross Costs'!$B$5:$B$255,0))</f>
        <v>22733.55</v>
      </c>
      <c r="F152" s="182">
        <f>INDEX('[1]Gross Costs'!$T$5:$T$255,MATCH(B152,'[1]Gross Costs'!$B$5:$B$255,0))</f>
        <v>0</v>
      </c>
      <c r="G152" s="182">
        <f t="shared" si="4"/>
        <v>22733.55</v>
      </c>
      <c r="H152" s="186">
        <f>INDEX([1]Tonnes!$N$5:$N$255,MATCH(B152,[1]Tonnes!$B$5:$B$255,0))</f>
        <v>29.977429817390671</v>
      </c>
      <c r="I152" s="184">
        <f t="shared" si="5"/>
        <v>758.35554076793096</v>
      </c>
    </row>
    <row r="153" spans="1:9" x14ac:dyDescent="0.25">
      <c r="A153" s="37">
        <v>7</v>
      </c>
      <c r="B153" s="185">
        <v>736</v>
      </c>
      <c r="C153" s="179">
        <f>INDEX('[1]Full Program List'!B$2:B$300,MATCH(B153,'[1]Full Program List'!A$2:A$300,0))</f>
        <v>7</v>
      </c>
      <c r="D153" s="180" t="str">
        <f>INDEX('[1]Full Program List'!C$2:C$300,MATCH(B153,'[1]Full Program List'!A$2:A$300,0))</f>
        <v>LAURENTIAN HILLS, TOWN OF</v>
      </c>
      <c r="E153" s="181">
        <f>INDEX('[1]Gross Costs'!$S$5:$S$255,MATCH(B153,'[1]Gross Costs'!$B$5:$B$255,0))</f>
        <v>55322.1</v>
      </c>
      <c r="F153" s="182">
        <f>INDEX('[1]Gross Costs'!$T$5:$T$255,MATCH(B153,'[1]Gross Costs'!$B$5:$B$255,0))</f>
        <v>161</v>
      </c>
      <c r="G153" s="182">
        <f t="shared" si="4"/>
        <v>55161.1</v>
      </c>
      <c r="H153" s="186">
        <f>INDEX([1]Tonnes!$N$5:$N$255,MATCH(B153,[1]Tonnes!$B$5:$B$255,0))</f>
        <v>138.56449994605035</v>
      </c>
      <c r="I153" s="184">
        <f t="shared" si="5"/>
        <v>398.08969845434291</v>
      </c>
    </row>
    <row r="154" spans="1:9" x14ac:dyDescent="0.25">
      <c r="A154" s="37">
        <v>7</v>
      </c>
      <c r="B154" s="185">
        <v>757</v>
      </c>
      <c r="C154" s="179">
        <f>INDEX('[1]Full Program List'!B$2:B$300,MATCH(B154,'[1]Full Program List'!A$2:A$300,0))</f>
        <v>7</v>
      </c>
      <c r="D154" s="180" t="str">
        <f>INDEX('[1]Full Program List'!C$2:C$300,MATCH(B154,'[1]Full Program List'!A$2:A$300,0))</f>
        <v>DRUMMOND-NORTH ELMSLEY, TOWNSHIP OF</v>
      </c>
      <c r="E154" s="181">
        <f>INDEX('[1]Gross Costs'!$S$5:$S$255,MATCH(B154,'[1]Gross Costs'!$B$5:$B$255,0))</f>
        <v>334652.7</v>
      </c>
      <c r="F154" s="182">
        <f>INDEX('[1]Gross Costs'!$T$5:$T$255,MATCH(B154,'[1]Gross Costs'!$B$5:$B$255,0))</f>
        <v>65666.5</v>
      </c>
      <c r="G154" s="182">
        <f t="shared" si="4"/>
        <v>268986.2</v>
      </c>
      <c r="H154" s="186">
        <f>INDEX([1]Tonnes!$N$5:$N$255,MATCH(B154,[1]Tonnes!$B$5:$B$255,0))</f>
        <v>535.91999999999996</v>
      </c>
      <c r="I154" s="184">
        <f t="shared" si="5"/>
        <v>501.91483803552774</v>
      </c>
    </row>
    <row r="155" spans="1:9" x14ac:dyDescent="0.25">
      <c r="A155" s="37">
        <v>7</v>
      </c>
      <c r="B155" s="185">
        <v>786</v>
      </c>
      <c r="C155" s="179">
        <f>INDEX('[1]Full Program List'!B$2:B$300,MATCH(B155,'[1]Full Program List'!A$2:A$300,0))</f>
        <v>7</v>
      </c>
      <c r="D155" s="180" t="str">
        <f>INDEX('[1]Full Program List'!C$2:C$300,MATCH(B155,'[1]Full Program List'!A$2:A$300,0))</f>
        <v>HALDIMAND, COUNTY OF</v>
      </c>
      <c r="E155" s="181">
        <f>INDEX('[1]Gross Costs'!$S$5:$S$255,MATCH(B155,'[1]Gross Costs'!$B$5:$B$255,0))</f>
        <v>1566858.3</v>
      </c>
      <c r="F155" s="182">
        <f>INDEX('[1]Gross Costs'!$T$5:$T$255,MATCH(B155,'[1]Gross Costs'!$B$5:$B$255,0))</f>
        <v>287163.78999999998</v>
      </c>
      <c r="G155" s="182">
        <f t="shared" si="4"/>
        <v>1279694.51</v>
      </c>
      <c r="H155" s="186">
        <f>INDEX([1]Tonnes!$N$5:$N$255,MATCH(B155,[1]Tonnes!$B$5:$B$255,0))</f>
        <v>3145.58</v>
      </c>
      <c r="I155" s="184">
        <f t="shared" si="5"/>
        <v>406.82306919550609</v>
      </c>
    </row>
    <row r="156" spans="1:9" x14ac:dyDescent="0.25">
      <c r="A156" s="37">
        <v>7</v>
      </c>
      <c r="B156" s="185">
        <v>854</v>
      </c>
      <c r="C156" s="179">
        <f>INDEX('[1]Full Program List'!B$2:B$300,MATCH(B156,'[1]Full Program List'!A$2:A$300,0))</f>
        <v>7</v>
      </c>
      <c r="D156" s="180" t="str">
        <f>INDEX('[1]Full Program List'!C$2:C$300,MATCH(B156,'[1]Full Program List'!A$2:A$300,0))</f>
        <v>MISSISSIPPI MILLS, TOWN OF</v>
      </c>
      <c r="E156" s="181">
        <f>INDEX('[1]Gross Costs'!$S$5:$S$255,MATCH(B156,'[1]Gross Costs'!$B$5:$B$255,0))</f>
        <v>490740.21</v>
      </c>
      <c r="F156" s="182">
        <f>INDEX('[1]Gross Costs'!$T$5:$T$255,MATCH(B156,'[1]Gross Costs'!$B$5:$B$255,0))</f>
        <v>37547.699999999997</v>
      </c>
      <c r="G156" s="182">
        <f t="shared" si="4"/>
        <v>453192.51</v>
      </c>
      <c r="H156" s="186">
        <f>INDEX([1]Tonnes!$N$5:$N$255,MATCH(B156,[1]Tonnes!$B$5:$B$255,0))</f>
        <v>839.93</v>
      </c>
      <c r="I156" s="184">
        <f t="shared" si="5"/>
        <v>539.55985617849115</v>
      </c>
    </row>
    <row r="157" spans="1:9" x14ac:dyDescent="0.25">
      <c r="A157" s="37">
        <v>7</v>
      </c>
      <c r="B157" s="185">
        <v>855</v>
      </c>
      <c r="C157" s="179">
        <f>INDEX('[1]Full Program List'!B$2:B$300,MATCH(B157,'[1]Full Program List'!A$2:A$300,0))</f>
        <v>7</v>
      </c>
      <c r="D157" s="180" t="str">
        <f>INDEX('[1]Full Program List'!C$2:C$300,MATCH(B157,'[1]Full Program List'!A$2:A$300,0))</f>
        <v>MONTAGUE, TOWNSHIP OF</v>
      </c>
      <c r="E157" s="181">
        <f>INDEX('[1]Gross Costs'!$S$5:$S$255,MATCH(B157,'[1]Gross Costs'!$B$5:$B$255,0))</f>
        <v>140079.48000000001</v>
      </c>
      <c r="F157" s="182">
        <f>INDEX('[1]Gross Costs'!$T$5:$T$255,MATCH(B157,'[1]Gross Costs'!$B$5:$B$255,0))</f>
        <v>12090</v>
      </c>
      <c r="G157" s="182">
        <f t="shared" si="4"/>
        <v>127989.48000000001</v>
      </c>
      <c r="H157" s="186">
        <f>INDEX([1]Tonnes!$N$5:$N$255,MATCH(B157,[1]Tonnes!$B$5:$B$255,0))</f>
        <v>208.08754355551341</v>
      </c>
      <c r="I157" s="184">
        <f t="shared" si="5"/>
        <v>615.07516410205062</v>
      </c>
    </row>
    <row r="158" spans="1:9" x14ac:dyDescent="0.25">
      <c r="A158" s="37">
        <v>7</v>
      </c>
      <c r="B158" s="185">
        <v>862</v>
      </c>
      <c r="C158" s="179">
        <f>INDEX('[1]Full Program List'!B$2:B$300,MATCH(B158,'[1]Full Program List'!A$2:A$300,0))</f>
        <v>7</v>
      </c>
      <c r="D158" s="180" t="str">
        <f>INDEX('[1]Full Program List'!C$2:C$300,MATCH(B158,'[1]Full Program List'!A$2:A$300,0))</f>
        <v>NEWBURY,  VILLAGE OF</v>
      </c>
      <c r="E158" s="181">
        <f>INDEX('[1]Gross Costs'!$S$5:$S$255,MATCH(B158,'[1]Gross Costs'!$B$5:$B$255,0))</f>
        <v>10884.05</v>
      </c>
      <c r="F158" s="182">
        <f>INDEX('[1]Gross Costs'!$T$5:$T$255,MATCH(B158,'[1]Gross Costs'!$B$5:$B$255,0))</f>
        <v>8152.2</v>
      </c>
      <c r="G158" s="182">
        <f t="shared" si="4"/>
        <v>2731.8499999999995</v>
      </c>
      <c r="H158" s="186">
        <f>INDEX([1]Tonnes!$N$5:$N$255,MATCH(B158,[1]Tonnes!$B$5:$B$255,0))</f>
        <v>13.057490298183062</v>
      </c>
      <c r="I158" s="184">
        <f t="shared" si="5"/>
        <v>209.2170805886131</v>
      </c>
    </row>
    <row r="159" spans="1:9" x14ac:dyDescent="0.25">
      <c r="A159" s="37">
        <v>7</v>
      </c>
      <c r="B159" s="185">
        <v>958</v>
      </c>
      <c r="C159" s="179">
        <f>INDEX('[1]Full Program List'!B$2:B$300,MATCH(B159,'[1]Full Program List'!A$2:A$300,0))</f>
        <v>7</v>
      </c>
      <c r="D159" s="180" t="str">
        <f>INDEX('[1]Full Program List'!C$2:C$300,MATCH(B159,'[1]Full Program List'!A$2:A$300,0))</f>
        <v>DEEP RIVER, TOWN OF</v>
      </c>
      <c r="E159" s="181">
        <f>INDEX('[1]Gross Costs'!$S$5:$S$255,MATCH(B159,'[1]Gross Costs'!$B$5:$B$255,0))</f>
        <v>165631.01</v>
      </c>
      <c r="F159" s="182">
        <f>INDEX('[1]Gross Costs'!$T$5:$T$255,MATCH(B159,'[1]Gross Costs'!$B$5:$B$255,0))</f>
        <v>290.27999999999997</v>
      </c>
      <c r="G159" s="182">
        <f t="shared" si="4"/>
        <v>165340.73000000001</v>
      </c>
      <c r="H159" s="186">
        <f>INDEX([1]Tonnes!$N$5:$N$255,MATCH(B159,[1]Tonnes!$B$5:$B$255,0))</f>
        <v>510.68493823667342</v>
      </c>
      <c r="I159" s="184">
        <f t="shared" si="5"/>
        <v>323.76269128065411</v>
      </c>
    </row>
    <row r="160" spans="1:9" x14ac:dyDescent="0.25">
      <c r="A160" s="37">
        <v>7</v>
      </c>
      <c r="B160" s="185">
        <v>967</v>
      </c>
      <c r="C160" s="179">
        <f>INDEX('[1]Full Program List'!B$2:B$300,MATCH(B160,'[1]Full Program List'!A$2:A$300,0))</f>
        <v>7</v>
      </c>
      <c r="D160" s="180" t="str">
        <f>INDEX('[1]Full Program List'!C$2:C$300,MATCH(B160,'[1]Full Program List'!A$2:A$300,0))</f>
        <v>MOHAWKS OF THE BAY OF QUINTE</v>
      </c>
      <c r="E160" s="181">
        <f>INDEX('[1]Gross Costs'!$S$5:$S$255,MATCH(B160,'[1]Gross Costs'!$B$5:$B$255,0))</f>
        <v>79646.62</v>
      </c>
      <c r="F160" s="182">
        <f>INDEX('[1]Gross Costs'!$T$5:$T$255,MATCH(B160,'[1]Gross Costs'!$B$5:$B$255,0))</f>
        <v>0</v>
      </c>
      <c r="G160" s="182">
        <f t="shared" si="4"/>
        <v>79646.62</v>
      </c>
      <c r="H160" s="186">
        <f>INDEX([1]Tonnes!$N$5:$N$255,MATCH(B160,[1]Tonnes!$B$5:$B$255,0))</f>
        <v>180.72179769743559</v>
      </c>
      <c r="I160" s="184">
        <f t="shared" si="5"/>
        <v>440.7139648607544</v>
      </c>
    </row>
    <row r="161" spans="1:9" x14ac:dyDescent="0.25">
      <c r="A161" s="37">
        <v>7</v>
      </c>
      <c r="B161" s="185">
        <v>971</v>
      </c>
      <c r="C161" s="179">
        <f>INDEX('[1]Full Program List'!B$2:B$300,MATCH(B161,'[1]Full Program List'!A$2:A$300,0))</f>
        <v>7</v>
      </c>
      <c r="D161" s="180" t="str">
        <f>INDEX('[1]Full Program List'!C$2:C$300,MATCH(B161,'[1]Full Program List'!A$2:A$300,0))</f>
        <v>LOYALIST, TOWNSHIP OF</v>
      </c>
      <c r="E161" s="181">
        <f>INDEX('[1]Gross Costs'!$S$5:$S$255,MATCH(B161,'[1]Gross Costs'!$B$5:$B$255,0))</f>
        <v>536513.62</v>
      </c>
      <c r="F161" s="182">
        <f>INDEX('[1]Gross Costs'!$T$5:$T$255,MATCH(B161,'[1]Gross Costs'!$B$5:$B$255,0))</f>
        <v>137200.55999999997</v>
      </c>
      <c r="G161" s="182">
        <f t="shared" si="4"/>
        <v>399313.06000000006</v>
      </c>
      <c r="H161" s="186">
        <f>INDEX([1]Tonnes!$N$5:$N$255,MATCH(B161,[1]Tonnes!$B$5:$B$255,0))</f>
        <v>976</v>
      </c>
      <c r="I161" s="184">
        <f t="shared" si="5"/>
        <v>409.13223360655741</v>
      </c>
    </row>
    <row r="162" spans="1:9" x14ac:dyDescent="0.25">
      <c r="A162" s="37">
        <v>7</v>
      </c>
      <c r="B162" s="185">
        <v>975</v>
      </c>
      <c r="C162" s="179">
        <f>INDEX('[1]Full Program List'!B$2:B$300,MATCH(B162,'[1]Full Program List'!A$2:A$300,0))</f>
        <v>7</v>
      </c>
      <c r="D162" s="180" t="str">
        <f>INDEX('[1]Full Program List'!C$2:C$300,MATCH(B162,'[1]Full Program List'!A$2:A$300,0))</f>
        <v>ALGONQUINS OF PIKWAKANAGAN</v>
      </c>
      <c r="E162" s="181">
        <f>INDEX('[1]Gross Costs'!$S$5:$S$255,MATCH(B162,'[1]Gross Costs'!$B$5:$B$255,0))</f>
        <v>55760.17</v>
      </c>
      <c r="F162" s="182">
        <f>INDEX('[1]Gross Costs'!$T$5:$T$255,MATCH(B162,'[1]Gross Costs'!$B$5:$B$255,0))</f>
        <v>0</v>
      </c>
      <c r="G162" s="182">
        <f t="shared" si="4"/>
        <v>55760.17</v>
      </c>
      <c r="H162" s="186">
        <f>INDEX([1]Tonnes!$N$5:$N$255,MATCH(B162,[1]Tonnes!$B$5:$B$255,0))</f>
        <v>19.270619314376521</v>
      </c>
      <c r="I162" s="184">
        <f t="shared" si="5"/>
        <v>2893.5328486511621</v>
      </c>
    </row>
    <row r="163" spans="1:9" x14ac:dyDescent="0.25">
      <c r="A163" s="37">
        <v>7</v>
      </c>
      <c r="B163" s="185">
        <v>976</v>
      </c>
      <c r="C163" s="179">
        <f>INDEX('[1]Full Program List'!B$2:B$300,MATCH(B163,'[1]Full Program List'!A$2:A$300,0))</f>
        <v>7</v>
      </c>
      <c r="D163" s="180" t="str">
        <f>INDEX('[1]Full Program List'!C$2:C$300,MATCH(B163,'[1]Full Program List'!A$2:A$300,0))</f>
        <v>CHIPPEWAS OF NAWASH FIRST NATION</v>
      </c>
      <c r="E163" s="181">
        <f>INDEX('[1]Gross Costs'!$S$5:$S$255,MATCH(B163,'[1]Gross Costs'!$B$5:$B$255,0))</f>
        <v>25941.279999999999</v>
      </c>
      <c r="F163" s="182">
        <f>INDEX('[1]Gross Costs'!$T$5:$T$255,MATCH(B163,'[1]Gross Costs'!$B$5:$B$255,0))</f>
        <v>0</v>
      </c>
      <c r="G163" s="182">
        <f t="shared" si="4"/>
        <v>25941.279999999999</v>
      </c>
      <c r="H163" s="186">
        <f>INDEX([1]Tonnes!$N$5:$N$255,MATCH(B163,[1]Tonnes!$B$5:$B$255,0))</f>
        <v>29.487564416476946</v>
      </c>
      <c r="I163" s="184">
        <f t="shared" si="5"/>
        <v>879.73627233535206</v>
      </c>
    </row>
    <row r="164" spans="1:9" x14ac:dyDescent="0.25">
      <c r="A164" s="37">
        <v>7</v>
      </c>
      <c r="B164" s="185">
        <v>977</v>
      </c>
      <c r="C164" s="179">
        <f>INDEX('[1]Full Program List'!B$2:B$300,MATCH(B164,'[1]Full Program List'!A$2:A$300,0))</f>
        <v>7</v>
      </c>
      <c r="D164" s="180" t="str">
        <f>INDEX('[1]Full Program List'!C$2:C$300,MATCH(B164,'[1]Full Program List'!A$2:A$300,0))</f>
        <v>ALDERVILLE FIRST NATION</v>
      </c>
      <c r="E164" s="181">
        <f>INDEX('[1]Gross Costs'!$S$5:$S$255,MATCH(B164,'[1]Gross Costs'!$B$5:$B$255,0))</f>
        <v>31893.51</v>
      </c>
      <c r="F164" s="182">
        <f>INDEX('[1]Gross Costs'!$T$5:$T$255,MATCH(B164,'[1]Gross Costs'!$B$5:$B$255,0))</f>
        <v>0</v>
      </c>
      <c r="G164" s="182">
        <f t="shared" si="4"/>
        <v>31893.51</v>
      </c>
      <c r="H164" s="186">
        <f>INDEX([1]Tonnes!$N$5:$N$255,MATCH(B164,[1]Tonnes!$B$5:$B$255,0))</f>
        <v>40.759415747987155</v>
      </c>
      <c r="I164" s="184">
        <f t="shared" si="5"/>
        <v>782.4820207727098</v>
      </c>
    </row>
    <row r="165" spans="1:9" x14ac:dyDescent="0.25">
      <c r="A165" s="37">
        <v>7</v>
      </c>
      <c r="B165" s="185">
        <v>979</v>
      </c>
      <c r="C165" s="179">
        <f>INDEX('[1]Full Program List'!B$2:B$300,MATCH(B165,'[1]Full Program List'!A$2:A$300,0))</f>
        <v>7</v>
      </c>
      <c r="D165" s="180" t="str">
        <f>INDEX('[1]Full Program List'!C$2:C$300,MATCH(B165,'[1]Full Program List'!A$2:A$300,0))</f>
        <v>CHIPPEWAS OF GEORGINA ISLAND</v>
      </c>
      <c r="E165" s="181">
        <f>INDEX('[1]Gross Costs'!$S$5:$S$255,MATCH(B165,'[1]Gross Costs'!$B$5:$B$255,0))</f>
        <v>116196.12</v>
      </c>
      <c r="F165" s="182">
        <f>INDEX('[1]Gross Costs'!$T$5:$T$255,MATCH(B165,'[1]Gross Costs'!$B$5:$B$255,0))</f>
        <v>0</v>
      </c>
      <c r="G165" s="182">
        <f t="shared" si="4"/>
        <v>116196.12</v>
      </c>
      <c r="H165" s="186">
        <f>INDEX([1]Tonnes!$N$5:$N$255,MATCH(B165,[1]Tonnes!$B$5:$B$255,0))</f>
        <v>68.082908668012507</v>
      </c>
      <c r="I165" s="184">
        <f t="shared" si="5"/>
        <v>1706.6856024997151</v>
      </c>
    </row>
    <row r="166" spans="1:9" x14ac:dyDescent="0.25">
      <c r="A166" s="37">
        <v>7</v>
      </c>
      <c r="B166" s="185">
        <v>983</v>
      </c>
      <c r="C166" s="179">
        <f>INDEX('[1]Full Program List'!B$2:B$300,MATCH(B166,'[1]Full Program List'!A$2:A$300,0))</f>
        <v>7</v>
      </c>
      <c r="D166" s="180" t="str">
        <f>INDEX('[1]Full Program List'!C$2:C$300,MATCH(B166,'[1]Full Program List'!A$2:A$300,0))</f>
        <v>CURVE LAKE FIRST NATION</v>
      </c>
      <c r="E166" s="181">
        <f>INDEX('[1]Gross Costs'!$S$5:$S$255,MATCH(B166,'[1]Gross Costs'!$B$5:$B$255,0))</f>
        <v>30825.599999999999</v>
      </c>
      <c r="F166" s="182">
        <f>INDEX('[1]Gross Costs'!$T$5:$T$255,MATCH(B166,'[1]Gross Costs'!$B$5:$B$255,0))</f>
        <v>250</v>
      </c>
      <c r="G166" s="182">
        <f t="shared" si="4"/>
        <v>30575.599999999999</v>
      </c>
      <c r="H166" s="186">
        <f>INDEX([1]Tonnes!$N$5:$N$255,MATCH(B166,[1]Tonnes!$B$5:$B$255,0))</f>
        <v>86.136151469782178</v>
      </c>
      <c r="I166" s="184">
        <f t="shared" si="5"/>
        <v>354.96826220203684</v>
      </c>
    </row>
    <row r="167" spans="1:9" x14ac:dyDescent="0.25">
      <c r="A167" s="37">
        <v>7</v>
      </c>
      <c r="B167" s="185">
        <v>188</v>
      </c>
      <c r="C167" s="179">
        <f>INDEX('[1]Full Program List'!B$2:B$300,MATCH(B167,'[1]Full Program List'!A$2:A$300,0))</f>
        <v>8</v>
      </c>
      <c r="D167" s="180" t="str">
        <f>INDEX('[1]Full Program List'!C$2:C$300,MATCH(B167,'[1]Full Program List'!A$2:A$300,0))</f>
        <v>ARMOUR, TOWNSHIP OF</v>
      </c>
      <c r="E167" s="181">
        <f>INDEX('[1]Gross Costs'!$S$5:$S$255,MATCH(B167,'[1]Gross Costs'!$B$5:$B$255,0))</f>
        <v>125246.14</v>
      </c>
      <c r="F167" s="182">
        <f>INDEX('[1]Gross Costs'!$T$5:$T$255,MATCH(B167,'[1]Gross Costs'!$B$5:$B$255,0))</f>
        <v>23903.22</v>
      </c>
      <c r="G167" s="182">
        <f t="shared" si="4"/>
        <v>101342.92</v>
      </c>
      <c r="H167" s="186">
        <f>INDEX([1]Tonnes!$N$5:$N$255,MATCH(B167,[1]Tonnes!$B$5:$B$255,0))</f>
        <v>187.63</v>
      </c>
      <c r="I167" s="184">
        <f t="shared" si="5"/>
        <v>540.12108937803123</v>
      </c>
    </row>
    <row r="168" spans="1:9" x14ac:dyDescent="0.25">
      <c r="A168" s="37">
        <v>8</v>
      </c>
      <c r="B168" s="185">
        <v>232</v>
      </c>
      <c r="C168" s="179">
        <f>INDEX('[1]Full Program List'!B$2:B$300,MATCH(B168,'[1]Full Program List'!A$2:A$300,0))</f>
        <v>8</v>
      </c>
      <c r="D168" s="180" t="str">
        <f>INDEX('[1]Full Program List'!C$2:C$300,MATCH(B168,'[1]Full Program List'!A$2:A$300,0))</f>
        <v>WHITESTONE, MUNICIPALITY OF</v>
      </c>
      <c r="E168" s="181">
        <f>INDEX('[1]Gross Costs'!$S$5:$S$255,MATCH(B168,'[1]Gross Costs'!$B$5:$B$255,0))</f>
        <v>101873.03</v>
      </c>
      <c r="F168" s="182">
        <f>INDEX('[1]Gross Costs'!$T$5:$T$255,MATCH(B168,'[1]Gross Costs'!$B$5:$B$255,0))</f>
        <v>0</v>
      </c>
      <c r="G168" s="182">
        <f t="shared" si="4"/>
        <v>101873.03</v>
      </c>
      <c r="H168" s="186">
        <f>INDEX([1]Tonnes!$N$5:$N$255,MATCH(B168,[1]Tonnes!$B$5:$B$255,0))</f>
        <v>97.381103404750618</v>
      </c>
      <c r="I168" s="184">
        <f t="shared" si="5"/>
        <v>1046.1272920330275</v>
      </c>
    </row>
    <row r="169" spans="1:9" x14ac:dyDescent="0.25">
      <c r="A169" s="37">
        <v>8</v>
      </c>
      <c r="B169" s="185">
        <v>245</v>
      </c>
      <c r="C169" s="179">
        <f>INDEX('[1]Full Program List'!B$2:B$300,MATCH(B169,'[1]Full Program List'!A$2:A$300,0))</f>
        <v>8</v>
      </c>
      <c r="D169" s="180" t="str">
        <f>INDEX('[1]Full Program List'!C$2:C$300,MATCH(B169,'[1]Full Program List'!A$2:A$300,0))</f>
        <v>THE ARCHIPELAGO, TOWNSHIP OF</v>
      </c>
      <c r="E169" s="181">
        <f>INDEX('[1]Gross Costs'!$S$5:$S$255,MATCH(B169,'[1]Gross Costs'!$B$5:$B$255,0))</f>
        <v>620305.29</v>
      </c>
      <c r="F169" s="182">
        <f>INDEX('[1]Gross Costs'!$T$5:$T$255,MATCH(B169,'[1]Gross Costs'!$B$5:$B$255,0))</f>
        <v>0</v>
      </c>
      <c r="G169" s="182">
        <f t="shared" si="4"/>
        <v>620305.29</v>
      </c>
      <c r="H169" s="186">
        <f>INDEX([1]Tonnes!$N$5:$N$255,MATCH(B169,[1]Tonnes!$B$5:$B$255,0))</f>
        <v>182.45317762647645</v>
      </c>
      <c r="I169" s="184">
        <f t="shared" si="5"/>
        <v>3399.8053531844066</v>
      </c>
    </row>
    <row r="170" spans="1:9" x14ac:dyDescent="0.25">
      <c r="A170" s="37">
        <v>8</v>
      </c>
      <c r="B170" s="185">
        <v>372</v>
      </c>
      <c r="C170" s="179">
        <f>INDEX('[1]Full Program List'!B$2:B$300,MATCH(B170,'[1]Full Program List'!A$2:A$300,0))</f>
        <v>8</v>
      </c>
      <c r="D170" s="180" t="str">
        <f>INDEX('[1]Full Program List'!C$2:C$300,MATCH(B170,'[1]Full Program List'!A$2:A$300,0))</f>
        <v>CARLING, TOWNSHIP OF</v>
      </c>
      <c r="E170" s="181">
        <f>INDEX('[1]Gross Costs'!$S$5:$S$255,MATCH(B170,'[1]Gross Costs'!$B$5:$B$255,0))</f>
        <v>83312.27</v>
      </c>
      <c r="F170" s="182">
        <f>INDEX('[1]Gross Costs'!$T$5:$T$255,MATCH(B170,'[1]Gross Costs'!$B$5:$B$255,0))</f>
        <v>0</v>
      </c>
      <c r="G170" s="182">
        <f t="shared" si="4"/>
        <v>83312.27</v>
      </c>
      <c r="H170" s="186">
        <f>INDEX([1]Tonnes!$N$5:$N$255,MATCH(B170,[1]Tonnes!$B$5:$B$255,0))</f>
        <v>120.44</v>
      </c>
      <c r="I170" s="184">
        <f t="shared" si="5"/>
        <v>691.73256393224847</v>
      </c>
    </row>
    <row r="171" spans="1:9" x14ac:dyDescent="0.25">
      <c r="A171" s="37">
        <v>8</v>
      </c>
      <c r="B171" s="185">
        <v>375</v>
      </c>
      <c r="C171" s="179">
        <f>INDEX('[1]Full Program List'!B$2:B$300,MATCH(B171,'[1]Full Program List'!A$2:A$300,0))</f>
        <v>8</v>
      </c>
      <c r="D171" s="180" t="str">
        <f>INDEX('[1]Full Program List'!C$2:C$300,MATCH(B171,'[1]Full Program List'!A$2:A$300,0))</f>
        <v>MCDOUGALL, MUNICIPALITY OF</v>
      </c>
      <c r="E171" s="181">
        <f>INDEX('[1]Gross Costs'!$S$5:$S$255,MATCH(B171,'[1]Gross Costs'!$B$5:$B$255,0))</f>
        <v>245447.76</v>
      </c>
      <c r="F171" s="182">
        <f>INDEX('[1]Gross Costs'!$T$5:$T$255,MATCH(B171,'[1]Gross Costs'!$B$5:$B$255,0))</f>
        <v>0</v>
      </c>
      <c r="G171" s="182">
        <f t="shared" si="4"/>
        <v>245447.76</v>
      </c>
      <c r="H171" s="186">
        <f>INDEX([1]Tonnes!$N$5:$N$255,MATCH(B171,[1]Tonnes!$B$5:$B$255,0))</f>
        <v>165.84</v>
      </c>
      <c r="I171" s="184">
        <f t="shared" si="5"/>
        <v>1480.027496382055</v>
      </c>
    </row>
    <row r="172" spans="1:9" x14ac:dyDescent="0.25">
      <c r="A172" s="37">
        <v>8</v>
      </c>
      <c r="B172" s="185">
        <v>404</v>
      </c>
      <c r="C172" s="179">
        <f>INDEX('[1]Full Program List'!B$2:B$300,MATCH(B172,'[1]Full Program List'!A$2:A$300,0))</f>
        <v>8</v>
      </c>
      <c r="D172" s="180" t="str">
        <f>INDEX('[1]Full Program List'!C$2:C$300,MATCH(B172,'[1]Full Program List'!A$2:A$300,0))</f>
        <v>SEGUIN, TOWNSHIP OF</v>
      </c>
      <c r="E172" s="181">
        <f>INDEX('[1]Gross Costs'!$S$5:$S$255,MATCH(B172,'[1]Gross Costs'!$B$5:$B$255,0))</f>
        <v>260768.05</v>
      </c>
      <c r="F172" s="182">
        <f>INDEX('[1]Gross Costs'!$T$5:$T$255,MATCH(B172,'[1]Gross Costs'!$B$5:$B$255,0))</f>
        <v>28484.19</v>
      </c>
      <c r="G172" s="182">
        <f t="shared" si="4"/>
        <v>232283.86</v>
      </c>
      <c r="H172" s="186">
        <f>INDEX([1]Tonnes!$N$5:$N$255,MATCH(B172,[1]Tonnes!$B$5:$B$255,0))</f>
        <v>471.43130890795055</v>
      </c>
      <c r="I172" s="184">
        <f t="shared" si="5"/>
        <v>492.72047827725976</v>
      </c>
    </row>
    <row r="173" spans="1:9" x14ac:dyDescent="0.25">
      <c r="A173" s="37">
        <v>8</v>
      </c>
      <c r="B173" s="185">
        <v>413</v>
      </c>
      <c r="C173" s="179">
        <f>INDEX('[1]Full Program List'!B$2:B$300,MATCH(B173,'[1]Full Program List'!A$2:A$300,0))</f>
        <v>8</v>
      </c>
      <c r="D173" s="180" t="str">
        <f>INDEX('[1]Full Program List'!C$2:C$300,MATCH(B173,'[1]Full Program List'!A$2:A$300,0))</f>
        <v>MCKELLAR, TOWNSHIP OF</v>
      </c>
      <c r="E173" s="181">
        <f>INDEX('[1]Gross Costs'!$S$5:$S$255,MATCH(B173,'[1]Gross Costs'!$B$5:$B$255,0))</f>
        <v>59936.91</v>
      </c>
      <c r="F173" s="182">
        <f>INDEX('[1]Gross Costs'!$T$5:$T$255,MATCH(B173,'[1]Gross Costs'!$B$5:$B$255,0))</f>
        <v>95</v>
      </c>
      <c r="G173" s="182">
        <f t="shared" si="4"/>
        <v>59841.91</v>
      </c>
      <c r="H173" s="186">
        <f>INDEX([1]Tonnes!$N$5:$N$255,MATCH(B173,[1]Tonnes!$B$5:$B$255,0))</f>
        <v>73.969999999999985</v>
      </c>
      <c r="I173" s="184">
        <f t="shared" si="5"/>
        <v>809.00243341895384</v>
      </c>
    </row>
    <row r="174" spans="1:9" x14ac:dyDescent="0.25">
      <c r="A174" s="37">
        <v>8</v>
      </c>
      <c r="B174" s="185">
        <v>537</v>
      </c>
      <c r="C174" s="179">
        <f>INDEX('[1]Full Program List'!B$2:B$300,MATCH(B174,'[1]Full Program List'!A$2:A$300,0))</f>
        <v>8</v>
      </c>
      <c r="D174" s="180" t="str">
        <f>INDEX('[1]Full Program List'!C$2:C$300,MATCH(B174,'[1]Full Program List'!A$2:A$300,0))</f>
        <v>CASEY, TOWNSHIP OF</v>
      </c>
      <c r="E174" s="181">
        <f>INDEX('[1]Gross Costs'!$S$5:$S$255,MATCH(B174,'[1]Gross Costs'!$B$5:$B$255,0))</f>
        <v>7779.28</v>
      </c>
      <c r="F174" s="182">
        <f>INDEX('[1]Gross Costs'!$T$5:$T$255,MATCH(B174,'[1]Gross Costs'!$B$5:$B$255,0))</f>
        <v>0</v>
      </c>
      <c r="G174" s="182">
        <f t="shared" si="4"/>
        <v>7779.28</v>
      </c>
      <c r="H174" s="186">
        <f>INDEX([1]Tonnes!$N$5:$N$255,MATCH(B174,[1]Tonnes!$B$5:$B$255,0))</f>
        <v>21.43637439455869</v>
      </c>
      <c r="I174" s="184">
        <f t="shared" si="5"/>
        <v>362.90092050149377</v>
      </c>
    </row>
    <row r="175" spans="1:9" x14ac:dyDescent="0.25">
      <c r="A175" s="37">
        <v>8</v>
      </c>
      <c r="B175" s="185">
        <v>545</v>
      </c>
      <c r="C175" s="179">
        <f>INDEX('[1]Full Program List'!B$2:B$300,MATCH(B175,'[1]Full Program List'!A$2:A$300,0))</f>
        <v>8</v>
      </c>
      <c r="D175" s="180" t="str">
        <f>INDEX('[1]Full Program List'!C$2:C$300,MATCH(B175,'[1]Full Program List'!A$2:A$300,0))</f>
        <v>GILLIES, TOWNSHIP OF</v>
      </c>
      <c r="E175" s="181">
        <f>INDEX('[1]Gross Costs'!$S$5:$S$255,MATCH(B175,'[1]Gross Costs'!$B$5:$B$255,0))</f>
        <v>6792.3</v>
      </c>
      <c r="F175" s="182">
        <f>INDEX('[1]Gross Costs'!$T$5:$T$255,MATCH(B175,'[1]Gross Costs'!$B$5:$B$255,0))</f>
        <v>0</v>
      </c>
      <c r="G175" s="182">
        <f t="shared" si="4"/>
        <v>6792.3</v>
      </c>
      <c r="H175" s="186">
        <f>INDEX([1]Tonnes!$N$5:$N$255,MATCH(B175,[1]Tonnes!$B$5:$B$255,0))</f>
        <v>14.770835019629734</v>
      </c>
      <c r="I175" s="184">
        <f t="shared" si="5"/>
        <v>459.84536358123006</v>
      </c>
    </row>
    <row r="176" spans="1:9" x14ac:dyDescent="0.25">
      <c r="A176" s="37">
        <v>8</v>
      </c>
      <c r="B176" s="185">
        <v>602</v>
      </c>
      <c r="C176" s="179">
        <f>INDEX('[1]Full Program List'!B$2:B$300,MATCH(B176,'[1]Full Program List'!A$2:A$300,0))</f>
        <v>8</v>
      </c>
      <c r="D176" s="180" t="str">
        <f>INDEX('[1]Full Program List'!C$2:C$300,MATCH(B176,'[1]Full Program List'!A$2:A$300,0))</f>
        <v>CHIPPEWAS OF THE THAMES FIRST NATION</v>
      </c>
      <c r="E176" s="181">
        <f>INDEX('[1]Gross Costs'!$S$5:$S$255,MATCH(B176,'[1]Gross Costs'!$B$5:$B$255,0))</f>
        <v>28173.42</v>
      </c>
      <c r="F176" s="182">
        <f>INDEX('[1]Gross Costs'!$T$5:$T$255,MATCH(B176,'[1]Gross Costs'!$B$5:$B$255,0))</f>
        <v>0</v>
      </c>
      <c r="G176" s="182">
        <f t="shared" si="4"/>
        <v>28173.42</v>
      </c>
      <c r="H176" s="186">
        <f>INDEX([1]Tonnes!$N$5:$N$255,MATCH(B176,[1]Tonnes!$B$5:$B$255,0))</f>
        <v>19.642035020014156</v>
      </c>
      <c r="I176" s="184">
        <f t="shared" si="5"/>
        <v>1434.3432323225586</v>
      </c>
    </row>
    <row r="177" spans="1:9" x14ac:dyDescent="0.25">
      <c r="A177" s="37">
        <v>8</v>
      </c>
      <c r="B177" s="185">
        <v>605</v>
      </c>
      <c r="C177" s="179">
        <f>INDEX('[1]Full Program List'!B$2:B$300,MATCH(B177,'[1]Full Program List'!A$2:A$300,0))</f>
        <v>8</v>
      </c>
      <c r="D177" s="180" t="str">
        <f>INDEX('[1]Full Program List'!C$2:C$300,MATCH(B177,'[1]Full Program List'!A$2:A$300,0))</f>
        <v>KERNS, TOWNSHIP OF</v>
      </c>
      <c r="E177" s="181">
        <f>INDEX('[1]Gross Costs'!$S$5:$S$255,MATCH(B177,'[1]Gross Costs'!$B$5:$B$255,0))</f>
        <v>7392.31</v>
      </c>
      <c r="F177" s="182">
        <f>INDEX('[1]Gross Costs'!$T$5:$T$255,MATCH(B177,'[1]Gross Costs'!$B$5:$B$255,0))</f>
        <v>0</v>
      </c>
      <c r="G177" s="182">
        <f t="shared" si="4"/>
        <v>7392.31</v>
      </c>
      <c r="H177" s="186">
        <f>INDEX([1]Tonnes!$N$5:$N$255,MATCH(B177,[1]Tonnes!$B$5:$B$255,0))</f>
        <v>10.431092897352221</v>
      </c>
      <c r="I177" s="184">
        <f t="shared" si="5"/>
        <v>708.68029579876804</v>
      </c>
    </row>
    <row r="178" spans="1:9" x14ac:dyDescent="0.25">
      <c r="A178" s="37">
        <v>8</v>
      </c>
      <c r="B178" s="185">
        <v>607</v>
      </c>
      <c r="C178" s="179">
        <f>INDEX('[1]Full Program List'!B$2:B$300,MATCH(B178,'[1]Full Program List'!A$2:A$300,0))</f>
        <v>8</v>
      </c>
      <c r="D178" s="180" t="str">
        <f>INDEX('[1]Full Program List'!C$2:C$300,MATCH(B178,'[1]Full Program List'!A$2:A$300,0))</f>
        <v>HUDSON, TOWNSHIP OF</v>
      </c>
      <c r="E178" s="181">
        <f>INDEX('[1]Gross Costs'!$S$5:$S$255,MATCH(B178,'[1]Gross Costs'!$B$5:$B$255,0))</f>
        <v>11273.44</v>
      </c>
      <c r="F178" s="182">
        <f>INDEX('[1]Gross Costs'!$T$5:$T$255,MATCH(B178,'[1]Gross Costs'!$B$5:$B$255,0))</f>
        <v>0</v>
      </c>
      <c r="G178" s="182">
        <f t="shared" si="4"/>
        <v>11273.44</v>
      </c>
      <c r="H178" s="186">
        <f>INDEX([1]Tonnes!$N$5:$N$255,MATCH(B178,[1]Tonnes!$B$5:$B$255,0))</f>
        <v>15.646639346028332</v>
      </c>
      <c r="I178" s="184">
        <f t="shared" si="5"/>
        <v>720.50232325841887</v>
      </c>
    </row>
    <row r="179" spans="1:9" x14ac:dyDescent="0.25">
      <c r="A179" s="37">
        <v>8</v>
      </c>
      <c r="B179" s="185">
        <v>610</v>
      </c>
      <c r="C179" s="179">
        <f>INDEX('[1]Full Program List'!B$2:B$300,MATCH(B179,'[1]Full Program List'!A$2:A$300,0))</f>
        <v>8</v>
      </c>
      <c r="D179" s="180" t="str">
        <f>INDEX('[1]Full Program List'!C$2:C$300,MATCH(B179,'[1]Full Program List'!A$2:A$300,0))</f>
        <v>NEEBING, MUNICIPALITY OF</v>
      </c>
      <c r="E179" s="181">
        <f>INDEX('[1]Gross Costs'!$S$5:$S$255,MATCH(B179,'[1]Gross Costs'!$B$5:$B$255,0))</f>
        <v>31778.68</v>
      </c>
      <c r="F179" s="182">
        <f>INDEX('[1]Gross Costs'!$T$5:$T$255,MATCH(B179,'[1]Gross Costs'!$B$5:$B$255,0))</f>
        <v>0</v>
      </c>
      <c r="G179" s="182">
        <f t="shared" si="4"/>
        <v>31778.68</v>
      </c>
      <c r="H179" s="186">
        <f>INDEX([1]Tonnes!$N$5:$N$255,MATCH(B179,[1]Tonnes!$B$5:$B$255,0))</f>
        <v>73.259013247540878</v>
      </c>
      <c r="I179" s="184">
        <f t="shared" si="5"/>
        <v>433.78525851311178</v>
      </c>
    </row>
    <row r="180" spans="1:9" x14ac:dyDescent="0.25">
      <c r="A180" s="37">
        <v>8</v>
      </c>
      <c r="B180" s="185">
        <v>611</v>
      </c>
      <c r="C180" s="179">
        <f>INDEX('[1]Full Program List'!B$2:B$300,MATCH(B180,'[1]Full Program List'!A$2:A$300,0))</f>
        <v>8</v>
      </c>
      <c r="D180" s="180" t="str">
        <f>INDEX('[1]Full Program List'!C$2:C$300,MATCH(B180,'[1]Full Program List'!A$2:A$300,0))</f>
        <v>CALVIN, MUNICIPALITY OF</v>
      </c>
      <c r="E180" s="181">
        <f>INDEX('[1]Gross Costs'!$S$5:$S$255,MATCH(B180,'[1]Gross Costs'!$B$5:$B$255,0))</f>
        <v>31143.71</v>
      </c>
      <c r="F180" s="182">
        <f>INDEX('[1]Gross Costs'!$T$5:$T$255,MATCH(B180,'[1]Gross Costs'!$B$5:$B$255,0))</f>
        <v>0</v>
      </c>
      <c r="G180" s="182">
        <f t="shared" si="4"/>
        <v>31143.71</v>
      </c>
      <c r="H180" s="186">
        <f>INDEX([1]Tonnes!$N$5:$N$255,MATCH(B180,[1]Tonnes!$B$5:$B$255,0))</f>
        <v>19.550165032086241</v>
      </c>
      <c r="I180" s="184">
        <f t="shared" si="5"/>
        <v>1593.0151970014642</v>
      </c>
    </row>
    <row r="181" spans="1:9" x14ac:dyDescent="0.25">
      <c r="A181" s="37">
        <v>8</v>
      </c>
      <c r="B181" s="185">
        <v>616</v>
      </c>
      <c r="C181" s="179">
        <f>INDEX('[1]Full Program List'!B$2:B$300,MATCH(B181,'[1]Full Program List'!A$2:A$300,0))</f>
        <v>8</v>
      </c>
      <c r="D181" s="180" t="str">
        <f>INDEX('[1]Full Program List'!C$2:C$300,MATCH(B181,'[1]Full Program List'!A$2:A$300,0))</f>
        <v>PERRY, TOWNSHIP OF</v>
      </c>
      <c r="E181" s="181">
        <f>INDEX('[1]Gross Costs'!$S$5:$S$255,MATCH(B181,'[1]Gross Costs'!$B$5:$B$255,0))</f>
        <v>256312.37</v>
      </c>
      <c r="F181" s="182">
        <f>INDEX('[1]Gross Costs'!$T$5:$T$255,MATCH(B181,'[1]Gross Costs'!$B$5:$B$255,0))</f>
        <v>0</v>
      </c>
      <c r="G181" s="182">
        <f t="shared" si="4"/>
        <v>256312.37</v>
      </c>
      <c r="H181" s="186">
        <f>INDEX([1]Tonnes!$N$5:$N$255,MATCH(B181,[1]Tonnes!$B$5:$B$255,0))</f>
        <v>186.85</v>
      </c>
      <c r="I181" s="184">
        <f t="shared" si="5"/>
        <v>1371.7547230398716</v>
      </c>
    </row>
    <row r="182" spans="1:9" x14ac:dyDescent="0.25">
      <c r="A182" s="37">
        <v>8</v>
      </c>
      <c r="B182" s="185">
        <v>637</v>
      </c>
      <c r="C182" s="179">
        <f>INDEX('[1]Full Program List'!B$2:B$300,MATCH(B182,'[1]Full Program List'!A$2:A$300,0))</f>
        <v>8</v>
      </c>
      <c r="D182" s="180" t="str">
        <f>INDEX('[1]Full Program List'!C$2:C$300,MATCH(B182,'[1]Full Program List'!A$2:A$300,0))</f>
        <v>Matachewan First Nation</v>
      </c>
      <c r="E182" s="181">
        <f>INDEX('[1]Gross Costs'!$S$5:$S$255,MATCH(B182,'[1]Gross Costs'!$B$5:$B$255,0))</f>
        <v>7158.52</v>
      </c>
      <c r="F182" s="182">
        <f>INDEX('[1]Gross Costs'!$T$5:$T$255,MATCH(B182,'[1]Gross Costs'!$B$5:$B$255,0))</f>
        <v>0</v>
      </c>
      <c r="G182" s="182">
        <f t="shared" si="4"/>
        <v>7158.52</v>
      </c>
      <c r="H182" s="186">
        <f>INDEX([1]Tonnes!$N$5:$N$255,MATCH(B182,[1]Tonnes!$B$5:$B$255,0))</f>
        <v>2.2728298744230755</v>
      </c>
      <c r="I182" s="184">
        <f t="shared" si="5"/>
        <v>3149.6066118090275</v>
      </c>
    </row>
    <row r="183" spans="1:9" x14ac:dyDescent="0.25">
      <c r="A183" s="37">
        <v>8</v>
      </c>
      <c r="B183" s="185">
        <v>638</v>
      </c>
      <c r="C183" s="179">
        <f>INDEX('[1]Full Program List'!B$2:B$300,MATCH(B183,'[1]Full Program List'!A$2:A$300,0))</f>
        <v>8</v>
      </c>
      <c r="D183" s="180" t="str">
        <f>INDEX('[1]Full Program List'!C$2:C$300,MATCH(B183,'[1]Full Program List'!A$2:A$300,0))</f>
        <v>Temagami First Nation</v>
      </c>
      <c r="E183" s="181">
        <f>INDEX('[1]Gross Costs'!$S$5:$S$255,MATCH(B183,'[1]Gross Costs'!$B$5:$B$255,0))</f>
        <v>20375.98</v>
      </c>
      <c r="F183" s="182">
        <f>INDEX('[1]Gross Costs'!$T$5:$T$255,MATCH(B183,'[1]Gross Costs'!$B$5:$B$255,0))</f>
        <v>0</v>
      </c>
      <c r="G183" s="182">
        <f t="shared" si="4"/>
        <v>20375.98</v>
      </c>
      <c r="H183" s="186">
        <f>INDEX([1]Tonnes!$N$5:$N$255,MATCH(B183,[1]Tonnes!$B$5:$B$255,0))</f>
        <v>10.470967105675433</v>
      </c>
      <c r="I183" s="184">
        <f t="shared" si="5"/>
        <v>1945.9501490512648</v>
      </c>
    </row>
    <row r="184" spans="1:9" x14ac:dyDescent="0.25">
      <c r="A184" s="37">
        <v>8</v>
      </c>
      <c r="B184" s="185">
        <v>639</v>
      </c>
      <c r="C184" s="179">
        <f>INDEX('[1]Full Program List'!B$2:B$300,MATCH(B184,'[1]Full Program List'!A$2:A$300,0))</f>
        <v>8</v>
      </c>
      <c r="D184" s="180" t="str">
        <f>INDEX('[1]Full Program List'!C$2:C$300,MATCH(B184,'[1]Full Program List'!A$2:A$300,0))</f>
        <v>Moose Deer Point</v>
      </c>
      <c r="E184" s="181">
        <f>INDEX('[1]Gross Costs'!$S$5:$S$255,MATCH(B184,'[1]Gross Costs'!$B$5:$B$255,0))</f>
        <v>17243.23</v>
      </c>
      <c r="F184" s="182">
        <f>INDEX('[1]Gross Costs'!$T$5:$T$255,MATCH(B184,'[1]Gross Costs'!$B$5:$B$255,0))</f>
        <v>0</v>
      </c>
      <c r="G184" s="182">
        <f t="shared" si="4"/>
        <v>17243.23</v>
      </c>
      <c r="H184" s="186">
        <f>INDEX([1]Tonnes!$N$5:$N$255,MATCH(B184,[1]Tonnes!$B$5:$B$255,0))</f>
        <v>21.173204619625494</v>
      </c>
      <c r="I184" s="184">
        <f t="shared" si="5"/>
        <v>814.3892391243038</v>
      </c>
    </row>
    <row r="185" spans="1:9" x14ac:dyDescent="0.25">
      <c r="A185" s="37">
        <v>8</v>
      </c>
      <c r="B185" s="185">
        <v>706</v>
      </c>
      <c r="C185" s="179">
        <f>INDEX('[1]Full Program List'!B$2:B$300,MATCH(B185,'[1]Full Program List'!A$2:A$300,0))</f>
        <v>8</v>
      </c>
      <c r="D185" s="180" t="str">
        <f>INDEX('[1]Full Program List'!C$2:C$300,MATCH(B185,'[1]Full Program List'!A$2:A$300,0))</f>
        <v>ARMSTRONG, TOWNSHIP OF</v>
      </c>
      <c r="E185" s="181">
        <f>INDEX('[1]Gross Costs'!$S$5:$S$255,MATCH(B185,'[1]Gross Costs'!$B$5:$B$255,0))</f>
        <v>61219.35</v>
      </c>
      <c r="F185" s="182">
        <f>INDEX('[1]Gross Costs'!$T$5:$T$255,MATCH(B185,'[1]Gross Costs'!$B$5:$B$255,0))</f>
        <v>0</v>
      </c>
      <c r="G185" s="182">
        <f t="shared" si="4"/>
        <v>61219.35</v>
      </c>
      <c r="H185" s="186">
        <f>INDEX([1]Tonnes!$N$5:$N$255,MATCH(B185,[1]Tonnes!$B$5:$B$255,0))</f>
        <v>61.701349959338025</v>
      </c>
      <c r="I185" s="184">
        <f t="shared" si="5"/>
        <v>992.18817806003153</v>
      </c>
    </row>
    <row r="186" spans="1:9" x14ac:dyDescent="0.25">
      <c r="A186" s="37">
        <v>8</v>
      </c>
      <c r="B186" s="185">
        <v>709</v>
      </c>
      <c r="C186" s="179">
        <f>INDEX('[1]Full Program List'!B$2:B$300,MATCH(B186,'[1]Full Program List'!A$2:A$300,0))</f>
        <v>8</v>
      </c>
      <c r="D186" s="180" t="str">
        <f>INDEX('[1]Full Program List'!C$2:C$300,MATCH(B186,'[1]Full Program List'!A$2:A$300,0))</f>
        <v>ASSIGINACK,  TOWNSHIP OF</v>
      </c>
      <c r="E186" s="181">
        <f>INDEX('[1]Gross Costs'!$S$5:$S$255,MATCH(B186,'[1]Gross Costs'!$B$5:$B$255,0))</f>
        <v>45634.17</v>
      </c>
      <c r="F186" s="182">
        <f>INDEX('[1]Gross Costs'!$T$5:$T$255,MATCH(B186,'[1]Gross Costs'!$B$5:$B$255,0))</f>
        <v>0</v>
      </c>
      <c r="G186" s="182">
        <f t="shared" si="4"/>
        <v>45634.17</v>
      </c>
      <c r="H186" s="186">
        <f>INDEX([1]Tonnes!$N$5:$N$255,MATCH(B186,[1]Tonnes!$B$5:$B$255,0))</f>
        <v>74.93628755379919</v>
      </c>
      <c r="I186" s="184">
        <f t="shared" si="5"/>
        <v>608.97292206046029</v>
      </c>
    </row>
    <row r="187" spans="1:9" x14ac:dyDescent="0.25">
      <c r="A187" s="37">
        <v>8</v>
      </c>
      <c r="B187" s="185">
        <v>714</v>
      </c>
      <c r="C187" s="179">
        <f>INDEX('[1]Full Program List'!B$2:B$300,MATCH(B187,'[1]Full Program List'!A$2:A$300,0))</f>
        <v>8</v>
      </c>
      <c r="D187" s="180" t="str">
        <f>INDEX('[1]Full Program List'!C$2:C$300,MATCH(B187,'[1]Full Program List'!A$2:A$300,0))</f>
        <v>BILLINGS, TOWNSHIP OF</v>
      </c>
      <c r="E187" s="181">
        <f>INDEX('[1]Gross Costs'!$S$5:$S$255,MATCH(B187,'[1]Gross Costs'!$B$5:$B$255,0))</f>
        <v>49120.9</v>
      </c>
      <c r="F187" s="182">
        <f>INDEX('[1]Gross Costs'!$T$5:$T$255,MATCH(B187,'[1]Gross Costs'!$B$5:$B$255,0))</f>
        <v>0</v>
      </c>
      <c r="G187" s="182">
        <f t="shared" si="4"/>
        <v>49120.9</v>
      </c>
      <c r="H187" s="186">
        <f>INDEX([1]Tonnes!$N$5:$N$255,MATCH(B187,[1]Tonnes!$B$5:$B$255,0))</f>
        <v>57.802840339332469</v>
      </c>
      <c r="I187" s="184">
        <f t="shared" si="5"/>
        <v>849.80080064638685</v>
      </c>
    </row>
    <row r="188" spans="1:9" x14ac:dyDescent="0.25">
      <c r="A188" s="37">
        <v>8</v>
      </c>
      <c r="B188" s="185">
        <v>749</v>
      </c>
      <c r="C188" s="179">
        <f>INDEX('[1]Full Program List'!B$2:B$300,MATCH(B188,'[1]Full Program List'!A$2:A$300,0))</f>
        <v>8</v>
      </c>
      <c r="D188" s="180" t="str">
        <f>INDEX('[1]Full Program List'!C$2:C$300,MATCH(B188,'[1]Full Program List'!A$2:A$300,0))</f>
        <v>CONMEE,  TOWNSHIP OF</v>
      </c>
      <c r="E188" s="181">
        <f>INDEX('[1]Gross Costs'!$S$5:$S$255,MATCH(B188,'[1]Gross Costs'!$B$5:$B$255,0))</f>
        <v>4850.01</v>
      </c>
      <c r="F188" s="182">
        <f>INDEX('[1]Gross Costs'!$T$5:$T$255,MATCH(B188,'[1]Gross Costs'!$B$5:$B$255,0))</f>
        <v>0</v>
      </c>
      <c r="G188" s="182">
        <f t="shared" si="4"/>
        <v>4850.01</v>
      </c>
      <c r="H188" s="186">
        <f>INDEX([1]Tonnes!$N$5:$N$255,MATCH(B188,[1]Tonnes!$B$5:$B$255,0))</f>
        <v>22.43579824715432</v>
      </c>
      <c r="I188" s="184">
        <f t="shared" si="5"/>
        <v>216.1728299823323</v>
      </c>
    </row>
    <row r="189" spans="1:9" x14ac:dyDescent="0.25">
      <c r="A189" s="37">
        <v>8</v>
      </c>
      <c r="B189" s="185">
        <v>764</v>
      </c>
      <c r="C189" s="179">
        <f>INDEX('[1]Full Program List'!B$2:B$300,MATCH(B189,'[1]Full Program List'!A$2:A$300,0))</f>
        <v>8</v>
      </c>
      <c r="D189" s="180" t="str">
        <f>INDEX('[1]Full Program List'!C$2:C$300,MATCH(B189,'[1]Full Program List'!A$2:A$300,0))</f>
        <v>EMO, TOWNSHIP OF</v>
      </c>
      <c r="E189" s="181">
        <f>INDEX('[1]Gross Costs'!$S$5:$S$255,MATCH(B189,'[1]Gross Costs'!$B$5:$B$255,0))</f>
        <v>12986.28</v>
      </c>
      <c r="F189" s="182">
        <f>INDEX('[1]Gross Costs'!$T$5:$T$255,MATCH(B189,'[1]Gross Costs'!$B$5:$B$255,0))</f>
        <v>0</v>
      </c>
      <c r="G189" s="182">
        <f t="shared" si="4"/>
        <v>12986.28</v>
      </c>
      <c r="H189" s="186">
        <f>INDEX([1]Tonnes!$N$5:$N$255,MATCH(B189,[1]Tonnes!$B$5:$B$255,0))</f>
        <v>34.6</v>
      </c>
      <c r="I189" s="184">
        <f t="shared" si="5"/>
        <v>375.32601156069364</v>
      </c>
    </row>
    <row r="190" spans="1:9" x14ac:dyDescent="0.25">
      <c r="A190" s="37">
        <v>8</v>
      </c>
      <c r="B190" s="185">
        <v>775</v>
      </c>
      <c r="C190" s="179">
        <f>INDEX('[1]Full Program List'!B$2:B$300,MATCH(B190,'[1]Full Program List'!A$2:A$300,0))</f>
        <v>8</v>
      </c>
      <c r="D190" s="180" t="str">
        <f>INDEX('[1]Full Program List'!C$2:C$300,MATCH(B190,'[1]Full Program List'!A$2:A$300,0))</f>
        <v>FRENCH RIVER, MUNICIPALITY OF</v>
      </c>
      <c r="E190" s="181">
        <f>INDEX('[1]Gross Costs'!$S$5:$S$255,MATCH(B190,'[1]Gross Costs'!$B$5:$B$255,0))</f>
        <v>62319.01</v>
      </c>
      <c r="F190" s="182">
        <f>INDEX('[1]Gross Costs'!$T$5:$T$255,MATCH(B190,'[1]Gross Costs'!$B$5:$B$255,0))</f>
        <v>0</v>
      </c>
      <c r="G190" s="182">
        <f t="shared" si="4"/>
        <v>62319.01</v>
      </c>
      <c r="H190" s="186">
        <f>INDEX([1]Tonnes!$N$5:$N$255,MATCH(B190,[1]Tonnes!$B$5:$B$255,0))</f>
        <v>125.81110210139802</v>
      </c>
      <c r="I190" s="184">
        <f t="shared" si="5"/>
        <v>495.33792295829119</v>
      </c>
    </row>
    <row r="191" spans="1:9" x14ac:dyDescent="0.25">
      <c r="A191" s="37">
        <v>8</v>
      </c>
      <c r="B191" s="185">
        <v>790</v>
      </c>
      <c r="C191" s="179">
        <f>INDEX('[1]Full Program List'!B$2:B$300,MATCH(B191,'[1]Full Program List'!A$2:A$300,0))</f>
        <v>8</v>
      </c>
      <c r="D191" s="180" t="str">
        <f>INDEX('[1]Full Program List'!C$2:C$300,MATCH(B191,'[1]Full Program List'!A$2:A$300,0))</f>
        <v>HARLEY, TOWNSHIP OF</v>
      </c>
      <c r="E191" s="181">
        <f>INDEX('[1]Gross Costs'!$S$5:$S$255,MATCH(B191,'[1]Gross Costs'!$B$5:$B$255,0))</f>
        <v>7906.08</v>
      </c>
      <c r="F191" s="182">
        <f>INDEX('[1]Gross Costs'!$T$5:$T$255,MATCH(B191,'[1]Gross Costs'!$B$5:$B$255,0))</f>
        <v>0</v>
      </c>
      <c r="G191" s="182">
        <f t="shared" si="4"/>
        <v>7906.08</v>
      </c>
      <c r="H191" s="186">
        <f>INDEX([1]Tonnes!$N$5:$N$255,MATCH(B191,[1]Tonnes!$B$5:$B$255,0))</f>
        <v>21.43637439455869</v>
      </c>
      <c r="I191" s="184">
        <f t="shared" si="5"/>
        <v>368.81609989079323</v>
      </c>
    </row>
    <row r="192" spans="1:9" x14ac:dyDescent="0.25">
      <c r="A192" s="37">
        <v>8</v>
      </c>
      <c r="B192" s="185">
        <v>795</v>
      </c>
      <c r="C192" s="179">
        <f>INDEX('[1]Full Program List'!B$2:B$300,MATCH(B192,'[1]Full Program List'!A$2:A$300,0))</f>
        <v>8</v>
      </c>
      <c r="D192" s="180" t="str">
        <f>INDEX('[1]Full Program List'!C$2:C$300,MATCH(B192,'[1]Full Program List'!A$2:A$300,0))</f>
        <v>HEARST</v>
      </c>
      <c r="E192" s="181">
        <f>INDEX('[1]Gross Costs'!$S$5:$S$255,MATCH(B192,'[1]Gross Costs'!$B$5:$B$255,0))</f>
        <v>328034.84000000003</v>
      </c>
      <c r="F192" s="182">
        <f>INDEX('[1]Gross Costs'!$T$5:$T$255,MATCH(B192,'[1]Gross Costs'!$B$5:$B$255,0))</f>
        <v>121984.66</v>
      </c>
      <c r="G192" s="182">
        <f t="shared" si="4"/>
        <v>206050.18000000002</v>
      </c>
      <c r="H192" s="186">
        <f>INDEX([1]Tonnes!$N$5:$N$255,MATCH(B192,[1]Tonnes!$B$5:$B$255,0))</f>
        <v>330.20629396618199</v>
      </c>
      <c r="I192" s="184">
        <f t="shared" si="5"/>
        <v>624.00439896249407</v>
      </c>
    </row>
    <row r="193" spans="1:9" x14ac:dyDescent="0.25">
      <c r="A193" s="37">
        <v>8</v>
      </c>
      <c r="B193" s="185">
        <v>796</v>
      </c>
      <c r="C193" s="179">
        <f>INDEX('[1]Full Program List'!B$2:B$300,MATCH(B193,'[1]Full Program List'!A$2:A$300,0))</f>
        <v>8</v>
      </c>
      <c r="D193" s="180" t="str">
        <f>INDEX('[1]Full Program List'!C$2:C$300,MATCH(B193,'[1]Full Program List'!A$2:A$300,0))</f>
        <v>HILLIARD,  TOWNSHIP OF</v>
      </c>
      <c r="E193" s="181">
        <f>INDEX('[1]Gross Costs'!$S$5:$S$255,MATCH(B193,'[1]Gross Costs'!$B$5:$B$255,0))</f>
        <v>19423.14</v>
      </c>
      <c r="F193" s="182">
        <f>INDEX('[1]Gross Costs'!$T$5:$T$255,MATCH(B193,'[1]Gross Costs'!$B$5:$B$255,0))</f>
        <v>0</v>
      </c>
      <c r="G193" s="182">
        <f t="shared" si="4"/>
        <v>19423.14</v>
      </c>
      <c r="H193" s="186">
        <f>INDEX([1]Tonnes!$N$5:$N$255,MATCH(B193,[1]Tonnes!$B$5:$B$255,0))</f>
        <v>23.924524993927111</v>
      </c>
      <c r="I193" s="184">
        <f t="shared" si="5"/>
        <v>811.85060121069398</v>
      </c>
    </row>
    <row r="194" spans="1:9" x14ac:dyDescent="0.25">
      <c r="A194" s="37"/>
      <c r="B194" s="185">
        <v>797</v>
      </c>
      <c r="C194" s="179">
        <f>INDEX('[1]Full Program List'!B$2:B$300,MATCH(B194,'[1]Full Program List'!A$2:A$300,0))</f>
        <v>8</v>
      </c>
      <c r="D194" s="180" t="str">
        <f>INDEX('[1]Full Program List'!C$2:C$300,MATCH(B194,'[1]Full Program List'!A$2:A$300,0))</f>
        <v>HILTON BEACH,  VILLAGE OF</v>
      </c>
      <c r="E194" s="181">
        <f>INDEX('[1]Gross Costs'!$S$5:$S$255,MATCH(B194,'[1]Gross Costs'!$B$5:$B$255,0))</f>
        <v>39509.410000000003</v>
      </c>
      <c r="F194" s="182">
        <f>INDEX('[1]Gross Costs'!$T$5:$T$255,MATCH(B194,'[1]Gross Costs'!$B$5:$B$255,0))</f>
        <v>1800</v>
      </c>
      <c r="G194" s="182">
        <f t="shared" si="4"/>
        <v>37709.410000000003</v>
      </c>
      <c r="H194" s="186">
        <f>INDEX([1]Tonnes!$N$5:$N$255,MATCH(B194,[1]Tonnes!$B$5:$B$255,0))</f>
        <v>27.819307714015707</v>
      </c>
      <c r="I194" s="184">
        <f t="shared" si="5"/>
        <v>1355.5121639853583</v>
      </c>
    </row>
    <row r="195" spans="1:9" x14ac:dyDescent="0.25">
      <c r="A195" s="37">
        <v>8</v>
      </c>
      <c r="B195" s="185">
        <v>801</v>
      </c>
      <c r="C195" s="179">
        <f>INDEX('[1]Full Program List'!B$2:B$300,MATCH(B195,'[1]Full Program List'!A$2:A$300,0))</f>
        <v>8</v>
      </c>
      <c r="D195" s="180" t="str">
        <f>INDEX('[1]Full Program List'!C$2:C$300,MATCH(B195,'[1]Full Program List'!A$2:A$300,0))</f>
        <v>HURON SHORES,  MUNICIPALITY OF</v>
      </c>
      <c r="E195" s="181">
        <f>INDEX('[1]Gross Costs'!$S$5:$S$255,MATCH(B195,'[1]Gross Costs'!$B$5:$B$255,0))</f>
        <v>102578.78</v>
      </c>
      <c r="F195" s="182">
        <f>INDEX('[1]Gross Costs'!$T$5:$T$255,MATCH(B195,'[1]Gross Costs'!$B$5:$B$255,0))</f>
        <v>0</v>
      </c>
      <c r="G195" s="182">
        <f t="shared" si="4"/>
        <v>102578.78</v>
      </c>
      <c r="H195" s="186">
        <f>INDEX([1]Tonnes!$N$5:$N$255,MATCH(B195,[1]Tonnes!$B$5:$B$255,0))</f>
        <v>143.33481235470978</v>
      </c>
      <c r="I195" s="184">
        <f t="shared" si="5"/>
        <v>715.65852227265577</v>
      </c>
    </row>
    <row r="196" spans="1:9" x14ac:dyDescent="0.25">
      <c r="A196" s="37">
        <v>8</v>
      </c>
      <c r="B196" s="185">
        <v>809</v>
      </c>
      <c r="C196" s="179">
        <f>INDEX('[1]Full Program List'!B$2:B$300,MATCH(B196,'[1]Full Program List'!A$2:A$300,0))</f>
        <v>8</v>
      </c>
      <c r="D196" s="180" t="str">
        <f>INDEX('[1]Full Program List'!C$2:C$300,MATCH(B196,'[1]Full Program List'!A$2:A$300,0))</f>
        <v>KAPUSKASING, TOWN OF</v>
      </c>
      <c r="E196" s="181">
        <f>INDEX('[1]Gross Costs'!$S$5:$S$255,MATCH(B196,'[1]Gross Costs'!$B$5:$B$255,0))</f>
        <v>497452.38</v>
      </c>
      <c r="F196" s="182">
        <f>INDEX('[1]Gross Costs'!$T$5:$T$255,MATCH(B196,'[1]Gross Costs'!$B$5:$B$255,0))</f>
        <v>0</v>
      </c>
      <c r="G196" s="182">
        <f t="shared" si="4"/>
        <v>497452.38</v>
      </c>
      <c r="H196" s="186">
        <f>INDEX([1]Tonnes!$N$5:$N$255,MATCH(B196,[1]Tonnes!$B$5:$B$255,0))</f>
        <v>477.2783239455166</v>
      </c>
      <c r="I196" s="184">
        <f t="shared" si="5"/>
        <v>1042.2689551197518</v>
      </c>
    </row>
    <row r="197" spans="1:9" x14ac:dyDescent="0.25">
      <c r="A197" s="37">
        <v>8</v>
      </c>
      <c r="B197" s="185">
        <v>810</v>
      </c>
      <c r="C197" s="179">
        <f>INDEX('[1]Full Program List'!B$2:B$300,MATCH(B197,'[1]Full Program List'!A$2:A$300,0))</f>
        <v>8</v>
      </c>
      <c r="D197" s="180" t="str">
        <f>INDEX('[1]Full Program List'!C$2:C$300,MATCH(B197,'[1]Full Program List'!A$2:A$300,0))</f>
        <v>KEARNEY, TOWN OF</v>
      </c>
      <c r="E197" s="181">
        <f>INDEX('[1]Gross Costs'!$S$5:$S$255,MATCH(B197,'[1]Gross Costs'!$B$5:$B$255,0))</f>
        <v>133935.18</v>
      </c>
      <c r="F197" s="182">
        <f>INDEX('[1]Gross Costs'!$T$5:$T$255,MATCH(B197,'[1]Gross Costs'!$B$5:$B$255,0))</f>
        <v>0</v>
      </c>
      <c r="G197" s="182">
        <f t="shared" ref="G197:G253" si="6">E197-F197</f>
        <v>133935.18</v>
      </c>
      <c r="H197" s="186">
        <f>INDEX([1]Tonnes!$N$5:$N$255,MATCH(B197,[1]Tonnes!$B$5:$B$255,0))</f>
        <v>129.91</v>
      </c>
      <c r="I197" s="184">
        <f t="shared" ref="I197:I253" si="7">IFERROR(G197/H197,0)</f>
        <v>1030.9843737972442</v>
      </c>
    </row>
    <row r="198" spans="1:9" x14ac:dyDescent="0.25">
      <c r="A198" s="37">
        <v>8</v>
      </c>
      <c r="B198" s="185">
        <v>812</v>
      </c>
      <c r="C198" s="179">
        <f>INDEX('[1]Full Program List'!B$2:B$300,MATCH(B198,'[1]Full Program List'!A$2:A$300,0))</f>
        <v>8</v>
      </c>
      <c r="D198" s="180" t="str">
        <f>INDEX('[1]Full Program List'!C$2:C$300,MATCH(B198,'[1]Full Program List'!A$2:A$300,0))</f>
        <v>KILLARNEY, MUNICIPALITY OF</v>
      </c>
      <c r="E198" s="181">
        <f>INDEX('[1]Gross Costs'!$S$5:$S$255,MATCH(B198,'[1]Gross Costs'!$B$5:$B$255,0))</f>
        <v>75414.47</v>
      </c>
      <c r="F198" s="182">
        <f>INDEX('[1]Gross Costs'!$T$5:$T$255,MATCH(B198,'[1]Gross Costs'!$B$5:$B$255,0))</f>
        <v>196</v>
      </c>
      <c r="G198" s="182">
        <f t="shared" si="6"/>
        <v>75218.47</v>
      </c>
      <c r="H198" s="186">
        <f>INDEX([1]Tonnes!$N$5:$N$255,MATCH(B198,[1]Tonnes!$B$5:$B$255,0))</f>
        <v>52.402684578365019</v>
      </c>
      <c r="I198" s="184">
        <f t="shared" si="7"/>
        <v>1435.3934460650651</v>
      </c>
    </row>
    <row r="199" spans="1:9" x14ac:dyDescent="0.25">
      <c r="A199" s="37">
        <v>8</v>
      </c>
      <c r="B199" s="185">
        <v>818</v>
      </c>
      <c r="C199" s="179">
        <f>INDEX('[1]Full Program List'!B$2:B$300,MATCH(B199,'[1]Full Program List'!A$2:A$300,0))</f>
        <v>8</v>
      </c>
      <c r="D199" s="180" t="str">
        <f>INDEX('[1]Full Program List'!C$2:C$300,MATCH(B199,'[1]Full Program List'!A$2:A$300,0))</f>
        <v>LAIRD, TOWNSHIP OF</v>
      </c>
      <c r="E199" s="181">
        <f>INDEX('[1]Gross Costs'!$S$5:$S$255,MATCH(B199,'[1]Gross Costs'!$B$5:$B$255,0))</f>
        <v>16701.97</v>
      </c>
      <c r="F199" s="182">
        <f>INDEX('[1]Gross Costs'!$T$5:$T$255,MATCH(B199,'[1]Gross Costs'!$B$5:$B$255,0))</f>
        <v>0</v>
      </c>
      <c r="G199" s="182">
        <f t="shared" si="6"/>
        <v>16701.97</v>
      </c>
      <c r="H199" s="186">
        <f>INDEX([1]Tonnes!$N$5:$N$255,MATCH(B199,[1]Tonnes!$B$5:$B$255,0))</f>
        <v>39.084698998412264</v>
      </c>
      <c r="I199" s="184">
        <f t="shared" si="7"/>
        <v>427.32758414433442</v>
      </c>
    </row>
    <row r="200" spans="1:9" x14ac:dyDescent="0.25">
      <c r="A200" s="37">
        <v>8</v>
      </c>
      <c r="B200" s="185">
        <v>833</v>
      </c>
      <c r="C200" s="179">
        <f>INDEX('[1]Full Program List'!B$2:B$300,MATCH(B200,'[1]Full Program List'!A$2:A$300,0))</f>
        <v>8</v>
      </c>
      <c r="D200" s="180" t="str">
        <f>INDEX('[1]Full Program List'!C$2:C$300,MATCH(B200,'[1]Full Program List'!A$2:A$300,0))</f>
        <v>MACDONALD, MEREDITH &amp; ABERDEEN ADDITIONAL, TOWNSHIP OF</v>
      </c>
      <c r="E200" s="181">
        <f>INDEX('[1]Gross Costs'!$S$5:$S$255,MATCH(B200,'[1]Gross Costs'!$B$5:$B$255,0))</f>
        <v>37369.64</v>
      </c>
      <c r="F200" s="182">
        <f>INDEX('[1]Gross Costs'!$T$5:$T$255,MATCH(B200,'[1]Gross Costs'!$B$5:$B$255,0))</f>
        <v>0</v>
      </c>
      <c r="G200" s="182">
        <f t="shared" si="6"/>
        <v>37369.64</v>
      </c>
      <c r="H200" s="186">
        <f>INDEX([1]Tonnes!$N$5:$N$255,MATCH(B200,[1]Tonnes!$B$5:$B$255,0))</f>
        <v>68.497718442678561</v>
      </c>
      <c r="I200" s="184">
        <f t="shared" si="7"/>
        <v>545.56036098154573</v>
      </c>
    </row>
    <row r="201" spans="1:9" x14ac:dyDescent="0.25">
      <c r="A201" s="37">
        <v>8</v>
      </c>
      <c r="B201" s="185">
        <v>834</v>
      </c>
      <c r="C201" s="179">
        <f>INDEX('[1]Full Program List'!B$2:B$300,MATCH(B201,'[1]Full Program List'!A$2:A$300,0))</f>
        <v>8</v>
      </c>
      <c r="D201" s="180" t="str">
        <f>INDEX('[1]Full Program List'!C$2:C$300,MATCH(B201,'[1]Full Program List'!A$2:A$300,0))</f>
        <v>MACHAR, TOWNSHIP OF</v>
      </c>
      <c r="E201" s="181">
        <f>INDEX('[1]Gross Costs'!$S$5:$S$255,MATCH(B201,'[1]Gross Costs'!$B$5:$B$255,0))</f>
        <v>64791.31</v>
      </c>
      <c r="F201" s="182">
        <f>INDEX('[1]Gross Costs'!$T$5:$T$255,MATCH(B201,'[1]Gross Costs'!$B$5:$B$255,0))</f>
        <v>5551.2800000000007</v>
      </c>
      <c r="G201" s="182">
        <f t="shared" si="6"/>
        <v>59240.03</v>
      </c>
      <c r="H201" s="186">
        <f>INDEX([1]Tonnes!$N$5:$N$255,MATCH(B201,[1]Tonnes!$B$5:$B$255,0))</f>
        <v>93.830000000000013</v>
      </c>
      <c r="I201" s="184">
        <f t="shared" si="7"/>
        <v>631.35489715442816</v>
      </c>
    </row>
    <row r="202" spans="1:9" x14ac:dyDescent="0.25">
      <c r="A202" s="37">
        <v>8</v>
      </c>
      <c r="B202" s="185">
        <v>837</v>
      </c>
      <c r="C202" s="179">
        <f>INDEX('[1]Full Program List'!B$2:B$300,MATCH(B202,'[1]Full Program List'!A$2:A$300,0))</f>
        <v>8</v>
      </c>
      <c r="D202" s="180" t="str">
        <f>INDEX('[1]Full Program List'!C$2:C$300,MATCH(B202,'[1]Full Program List'!A$2:A$300,0))</f>
        <v>MAGNETAWAN, MUNICIPALITY OF</v>
      </c>
      <c r="E202" s="181">
        <f>INDEX('[1]Gross Costs'!$S$5:$S$255,MATCH(B202,'[1]Gross Costs'!$B$5:$B$255,0))</f>
        <v>133882.48000000001</v>
      </c>
      <c r="F202" s="182">
        <f>INDEX('[1]Gross Costs'!$T$5:$T$255,MATCH(B202,'[1]Gross Costs'!$B$5:$B$255,0))</f>
        <v>0</v>
      </c>
      <c r="G202" s="182">
        <f t="shared" si="6"/>
        <v>133882.48000000001</v>
      </c>
      <c r="H202" s="186">
        <f>INDEX([1]Tonnes!$N$5:$N$255,MATCH(B202,[1]Tonnes!$B$5:$B$255,0))</f>
        <v>191.19000000000003</v>
      </c>
      <c r="I202" s="184">
        <f t="shared" si="7"/>
        <v>700.25880014645111</v>
      </c>
    </row>
    <row r="203" spans="1:9" x14ac:dyDescent="0.25">
      <c r="A203" s="37">
        <v>8</v>
      </c>
      <c r="B203" s="185">
        <v>845</v>
      </c>
      <c r="C203" s="179">
        <f>INDEX('[1]Full Program List'!B$2:B$300,MATCH(B203,'[1]Full Program List'!A$2:A$300,0))</f>
        <v>8</v>
      </c>
      <c r="D203" s="180" t="str">
        <f>INDEX('[1]Full Program List'!C$2:C$300,MATCH(B203,'[1]Full Program List'!A$2:A$300,0))</f>
        <v>MATTICE-VAL COTE</v>
      </c>
      <c r="E203" s="181">
        <f>INDEX('[1]Gross Costs'!$S$5:$S$255,MATCH(B203,'[1]Gross Costs'!$B$5:$B$255,0))</f>
        <v>9336.9500000000007</v>
      </c>
      <c r="F203" s="182">
        <f>INDEX('[1]Gross Costs'!$T$5:$T$255,MATCH(B203,'[1]Gross Costs'!$B$5:$B$255,0))</f>
        <v>0</v>
      </c>
      <c r="G203" s="182">
        <f t="shared" si="6"/>
        <v>9336.9500000000007</v>
      </c>
      <c r="H203" s="186">
        <f>INDEX([1]Tonnes!$N$5:$N$255,MATCH(B203,[1]Tonnes!$B$5:$B$255,0))</f>
        <v>5.5265652735971607</v>
      </c>
      <c r="I203" s="184">
        <f t="shared" si="7"/>
        <v>1689.4670627716509</v>
      </c>
    </row>
    <row r="204" spans="1:9" x14ac:dyDescent="0.25">
      <c r="A204" s="37">
        <v>8</v>
      </c>
      <c r="B204" s="185">
        <v>847</v>
      </c>
      <c r="C204" s="179">
        <f>INDEX('[1]Full Program List'!B$2:B$300,MATCH(B204,'[1]Full Program List'!A$2:A$300,0))</f>
        <v>8</v>
      </c>
      <c r="D204" s="180" t="str">
        <f>INDEX('[1]Full Program List'!C$2:C$300,MATCH(B204,'[1]Full Program List'!A$2:A$300,0))</f>
        <v>MCMURRICH/MONTEITH, TOWNSHIP OF</v>
      </c>
      <c r="E204" s="181">
        <f>INDEX('[1]Gross Costs'!$S$5:$S$255,MATCH(B204,'[1]Gross Costs'!$B$5:$B$255,0))</f>
        <v>114871.03</v>
      </c>
      <c r="F204" s="182">
        <f>INDEX('[1]Gross Costs'!$T$5:$T$255,MATCH(B204,'[1]Gross Costs'!$B$5:$B$255,0))</f>
        <v>0</v>
      </c>
      <c r="G204" s="182">
        <f t="shared" si="6"/>
        <v>114871.03</v>
      </c>
      <c r="H204" s="186">
        <f>INDEX([1]Tonnes!$N$5:$N$255,MATCH(B204,[1]Tonnes!$B$5:$B$255,0))</f>
        <v>70.589802523602913</v>
      </c>
      <c r="I204" s="184">
        <f t="shared" si="7"/>
        <v>1627.3034615954748</v>
      </c>
    </row>
    <row r="205" spans="1:9" x14ac:dyDescent="0.25">
      <c r="A205" s="37">
        <v>8</v>
      </c>
      <c r="B205" s="185">
        <v>866</v>
      </c>
      <c r="C205" s="179">
        <f>INDEX('[1]Full Program List'!B$2:B$300,MATCH(B205,'[1]Full Program List'!A$2:A$300,0))</f>
        <v>8</v>
      </c>
      <c r="D205" s="180" t="str">
        <f>INDEX('[1]Full Program List'!C$2:C$300,MATCH(B205,'[1]Full Program List'!A$2:A$300,0))</f>
        <v>NIPISSING, TOWNSHIP OF</v>
      </c>
      <c r="E205" s="181">
        <f>INDEX('[1]Gross Costs'!$S$5:$S$255,MATCH(B205,'[1]Gross Costs'!$B$5:$B$255,0))</f>
        <v>63164.800000000003</v>
      </c>
      <c r="F205" s="182">
        <f>INDEX('[1]Gross Costs'!$T$5:$T$255,MATCH(B205,'[1]Gross Costs'!$B$5:$B$255,0))</f>
        <v>0</v>
      </c>
      <c r="G205" s="182">
        <f t="shared" si="6"/>
        <v>63164.800000000003</v>
      </c>
      <c r="H205" s="186">
        <f>INDEX([1]Tonnes!$N$5:$N$255,MATCH(B205,[1]Tonnes!$B$5:$B$255,0))</f>
        <v>160.53138279575614</v>
      </c>
      <c r="I205" s="184">
        <f t="shared" si="7"/>
        <v>393.47321937894532</v>
      </c>
    </row>
    <row r="206" spans="1:9" x14ac:dyDescent="0.25">
      <c r="A206" s="37">
        <v>8</v>
      </c>
      <c r="B206" s="185">
        <v>871</v>
      </c>
      <c r="C206" s="179">
        <f>INDEX('[1]Full Program List'!B$2:B$300,MATCH(B206,'[1]Full Program List'!A$2:A$300,0))</f>
        <v>8</v>
      </c>
      <c r="D206" s="180" t="str">
        <f>INDEX('[1]Full Program List'!C$2:C$300,MATCH(B206,'[1]Full Program List'!A$2:A$300,0))</f>
        <v>OCONNOR,  TOWNSHIP OF</v>
      </c>
      <c r="E206" s="181">
        <f>INDEX('[1]Gross Costs'!$S$5:$S$255,MATCH(B206,'[1]Gross Costs'!$B$5:$B$255,0))</f>
        <v>11872.16</v>
      </c>
      <c r="F206" s="182">
        <f>INDEX('[1]Gross Costs'!$T$5:$T$255,MATCH(B206,'[1]Gross Costs'!$B$5:$B$255,0))</f>
        <v>0</v>
      </c>
      <c r="G206" s="182">
        <f t="shared" si="6"/>
        <v>11872.16</v>
      </c>
      <c r="H206" s="186">
        <f>INDEX([1]Tonnes!$N$5:$N$255,MATCH(B206,[1]Tonnes!$B$5:$B$255,0))</f>
        <v>16.078387570207461</v>
      </c>
      <c r="I206" s="184">
        <f t="shared" si="7"/>
        <v>738.39245062101782</v>
      </c>
    </row>
    <row r="207" spans="1:9" x14ac:dyDescent="0.25">
      <c r="A207" s="37">
        <v>8</v>
      </c>
      <c r="B207" s="185">
        <v>873</v>
      </c>
      <c r="C207" s="179">
        <f>INDEX('[1]Full Program List'!B$2:B$300,MATCH(B207,'[1]Full Program List'!A$2:A$300,0))</f>
        <v>8</v>
      </c>
      <c r="D207" s="180" t="str">
        <f>INDEX('[1]Full Program List'!C$2:C$300,MATCH(B207,'[1]Full Program List'!A$2:A$300,0))</f>
        <v>OLIVER PAIPOONGE,  MUNICIPALITY OF</v>
      </c>
      <c r="E207" s="181">
        <f>INDEX('[1]Gross Costs'!$S$5:$S$255,MATCH(B207,'[1]Gross Costs'!$B$5:$B$255,0))</f>
        <v>68071.05</v>
      </c>
      <c r="F207" s="182">
        <f>INDEX('[1]Gross Costs'!$T$5:$T$255,MATCH(B207,'[1]Gross Costs'!$B$5:$B$255,0))</f>
        <v>0</v>
      </c>
      <c r="G207" s="182">
        <f t="shared" si="6"/>
        <v>68071.05</v>
      </c>
      <c r="H207" s="186">
        <f>INDEX([1]Tonnes!$N$5:$N$255,MATCH(B207,[1]Tonnes!$B$5:$B$255,0))</f>
        <v>159.24</v>
      </c>
      <c r="I207" s="184">
        <f t="shared" si="7"/>
        <v>427.47456669178598</v>
      </c>
    </row>
    <row r="208" spans="1:9" x14ac:dyDescent="0.25">
      <c r="A208" s="37">
        <v>8</v>
      </c>
      <c r="B208" s="185">
        <v>895</v>
      </c>
      <c r="C208" s="179">
        <f>INDEX('[1]Full Program List'!B$2:B$300,MATCH(B208,'[1]Full Program List'!A$2:A$300,0))</f>
        <v>8</v>
      </c>
      <c r="D208" s="180" t="str">
        <f>INDEX('[1]Full Program List'!C$2:C$300,MATCH(B208,'[1]Full Program List'!A$2:A$300,0))</f>
        <v>RAINY RIVER, TOWN OF</v>
      </c>
      <c r="E208" s="181">
        <f>INDEX('[1]Gross Costs'!$S$5:$S$255,MATCH(B208,'[1]Gross Costs'!$B$5:$B$255,0))</f>
        <v>4417.1099999999997</v>
      </c>
      <c r="F208" s="182">
        <f>INDEX('[1]Gross Costs'!$T$5:$T$255,MATCH(B208,'[1]Gross Costs'!$B$5:$B$255,0))</f>
        <v>0</v>
      </c>
      <c r="G208" s="182">
        <f t="shared" si="6"/>
        <v>4417.1099999999997</v>
      </c>
      <c r="H208" s="186">
        <f>INDEX([1]Tonnes!$N$5:$N$255,MATCH(B208,[1]Tonnes!$B$5:$B$255,0))</f>
        <v>9.8090552475101163</v>
      </c>
      <c r="I208" s="184">
        <f t="shared" si="7"/>
        <v>450.30942211496034</v>
      </c>
    </row>
    <row r="209" spans="1:9" x14ac:dyDescent="0.25">
      <c r="A209" s="37">
        <v>8</v>
      </c>
      <c r="B209" s="185">
        <v>897</v>
      </c>
      <c r="C209" s="179">
        <f>INDEX('[1]Full Program List'!B$2:B$300,MATCH(B209,'[1]Full Program List'!A$2:A$300,0))</f>
        <v>8</v>
      </c>
      <c r="D209" s="180" t="str">
        <f>INDEX('[1]Full Program List'!C$2:C$300,MATCH(B209,'[1]Full Program List'!A$2:A$300,0))</f>
        <v>RED LAKE, MUNICIPALITY OF</v>
      </c>
      <c r="E209" s="181">
        <f>INDEX('[1]Gross Costs'!$S$5:$S$255,MATCH(B209,'[1]Gross Costs'!$B$5:$B$255,0))</f>
        <v>296933.44</v>
      </c>
      <c r="F209" s="182">
        <f>INDEX('[1]Gross Costs'!$T$5:$T$255,MATCH(B209,'[1]Gross Costs'!$B$5:$B$255,0))</f>
        <v>119</v>
      </c>
      <c r="G209" s="182">
        <f t="shared" si="6"/>
        <v>296814.44</v>
      </c>
      <c r="H209" s="186">
        <f>INDEX([1]Tonnes!$N$5:$N$255,MATCH(B209,[1]Tonnes!$B$5:$B$255,0))</f>
        <v>75.298454997553264</v>
      </c>
      <c r="I209" s="184">
        <f t="shared" si="7"/>
        <v>3941.8397098538694</v>
      </c>
    </row>
    <row r="210" spans="1:9" x14ac:dyDescent="0.25">
      <c r="A210" s="37">
        <v>8</v>
      </c>
      <c r="B210" s="185">
        <v>905</v>
      </c>
      <c r="C210" s="179">
        <f>INDEX('[1]Full Program List'!B$2:B$300,MATCH(B210,'[1]Full Program List'!A$2:A$300,0))</f>
        <v>8</v>
      </c>
      <c r="D210" s="180" t="str">
        <f>INDEX('[1]Full Program List'!C$2:C$300,MATCH(B210,'[1]Full Program List'!A$2:A$300,0))</f>
        <v>SHUNIAH, MUNICIPALITY OF</v>
      </c>
      <c r="E210" s="181">
        <f>INDEX('[1]Gross Costs'!$S$5:$S$255,MATCH(B210,'[1]Gross Costs'!$B$5:$B$255,0))</f>
        <v>57092.91</v>
      </c>
      <c r="F210" s="182">
        <f>INDEX('[1]Gross Costs'!$T$5:$T$255,MATCH(B210,'[1]Gross Costs'!$B$5:$B$255,0))</f>
        <v>0</v>
      </c>
      <c r="G210" s="182">
        <f t="shared" si="6"/>
        <v>57092.91</v>
      </c>
      <c r="H210" s="186">
        <f>INDEX([1]Tonnes!$N$5:$N$255,MATCH(B210,[1]Tonnes!$B$5:$B$255,0))</f>
        <v>92.836231091018377</v>
      </c>
      <c r="I210" s="184">
        <f t="shared" si="7"/>
        <v>614.98521998404965</v>
      </c>
    </row>
    <row r="211" spans="1:9" x14ac:dyDescent="0.25">
      <c r="A211" s="37">
        <v>8</v>
      </c>
      <c r="B211" s="185">
        <v>907</v>
      </c>
      <c r="C211" s="179">
        <f>INDEX('[1]Full Program List'!B$2:B$300,MATCH(B211,'[1]Full Program List'!A$2:A$300,0))</f>
        <v>8</v>
      </c>
      <c r="D211" s="180" t="str">
        <f>INDEX('[1]Full Program List'!C$2:C$300,MATCH(B211,'[1]Full Program List'!A$2:A$300,0))</f>
        <v>SIOUX NARROWS NESTOR FALLS, TOWNSHIP OF</v>
      </c>
      <c r="E211" s="181">
        <f>INDEX('[1]Gross Costs'!$S$5:$S$255,MATCH(B211,'[1]Gross Costs'!$B$5:$B$255,0))</f>
        <v>19453.25</v>
      </c>
      <c r="F211" s="182">
        <f>INDEX('[1]Gross Costs'!$T$5:$T$255,MATCH(B211,'[1]Gross Costs'!$B$5:$B$255,0))</f>
        <v>0</v>
      </c>
      <c r="G211" s="182">
        <f t="shared" si="6"/>
        <v>19453.25</v>
      </c>
      <c r="H211" s="186">
        <f>INDEX([1]Tonnes!$N$5:$N$255,MATCH(B211,[1]Tonnes!$B$5:$B$255,0))</f>
        <v>17.277728875220131</v>
      </c>
      <c r="I211" s="184">
        <f t="shared" si="7"/>
        <v>1125.9147623215699</v>
      </c>
    </row>
    <row r="212" spans="1:9" x14ac:dyDescent="0.25">
      <c r="A212" s="37">
        <v>8</v>
      </c>
      <c r="B212" s="185">
        <v>918</v>
      </c>
      <c r="C212" s="179">
        <f>INDEX('[1]Full Program List'!B$2:B$300,MATCH(B212,'[1]Full Program List'!A$2:A$300,0))</f>
        <v>8</v>
      </c>
      <c r="D212" s="180" t="str">
        <f>INDEX('[1]Full Program List'!C$2:C$300,MATCH(B212,'[1]Full Program List'!A$2:A$300,0))</f>
        <v>ST. JOSEPH, TOWNSHIP OF</v>
      </c>
      <c r="E212" s="181">
        <f>INDEX('[1]Gross Costs'!$S$5:$S$255,MATCH(B212,'[1]Gross Costs'!$B$5:$B$255,0))</f>
        <v>58594.77</v>
      </c>
      <c r="F212" s="182">
        <f>INDEX('[1]Gross Costs'!$T$5:$T$255,MATCH(B212,'[1]Gross Costs'!$B$5:$B$255,0))</f>
        <v>0</v>
      </c>
      <c r="G212" s="182">
        <f t="shared" si="6"/>
        <v>58594.77</v>
      </c>
      <c r="H212" s="186">
        <f>INDEX([1]Tonnes!$N$5:$N$255,MATCH(B212,[1]Tonnes!$B$5:$B$255,0))</f>
        <v>63.790529260598753</v>
      </c>
      <c r="I212" s="184">
        <f t="shared" si="7"/>
        <v>918.54967624781887</v>
      </c>
    </row>
    <row r="213" spans="1:9" x14ac:dyDescent="0.25">
      <c r="A213" s="37">
        <v>8</v>
      </c>
      <c r="B213" s="185">
        <v>922</v>
      </c>
      <c r="C213" s="179">
        <f>INDEX('[1]Full Program List'!B$2:B$300,MATCH(B213,'[1]Full Program List'!A$2:A$300,0))</f>
        <v>8</v>
      </c>
      <c r="D213" s="180" t="str">
        <f>INDEX('[1]Full Program List'!C$2:C$300,MATCH(B213,'[1]Full Program List'!A$2:A$300,0))</f>
        <v>STRONG, TOWNSHIP OF</v>
      </c>
      <c r="E213" s="181">
        <f>INDEX('[1]Gross Costs'!$S$5:$S$255,MATCH(B213,'[1]Gross Costs'!$B$5:$B$255,0))</f>
        <v>138545.48000000001</v>
      </c>
      <c r="F213" s="182">
        <f>INDEX('[1]Gross Costs'!$T$5:$T$255,MATCH(B213,'[1]Gross Costs'!$B$5:$B$255,0))</f>
        <v>12389.89</v>
      </c>
      <c r="G213" s="182">
        <f t="shared" si="6"/>
        <v>126155.59000000001</v>
      </c>
      <c r="H213" s="186">
        <f>INDEX([1]Tonnes!$N$5:$N$255,MATCH(B213,[1]Tonnes!$B$5:$B$255,0))</f>
        <v>137.07</v>
      </c>
      <c r="I213" s="184">
        <f t="shared" si="7"/>
        <v>920.37345881666317</v>
      </c>
    </row>
    <row r="214" spans="1:9" x14ac:dyDescent="0.25">
      <c r="A214" s="37">
        <v>8</v>
      </c>
      <c r="B214" s="185">
        <v>924</v>
      </c>
      <c r="C214" s="179">
        <f>INDEX('[1]Full Program List'!B$2:B$300,MATCH(B214,'[1]Full Program List'!A$2:A$300,0))</f>
        <v>8</v>
      </c>
      <c r="D214" s="180" t="str">
        <f>INDEX('[1]Full Program List'!C$2:C$300,MATCH(B214,'[1]Full Program List'!A$2:A$300,0))</f>
        <v>TARBUTT &amp; TARBUTT ADDITIONAL, TOWNSHIP OF</v>
      </c>
      <c r="E214" s="181">
        <f>INDEX('[1]Gross Costs'!$S$5:$S$255,MATCH(B214,'[1]Gross Costs'!$B$5:$B$255,0))</f>
        <v>59433.15</v>
      </c>
      <c r="F214" s="182">
        <f>INDEX('[1]Gross Costs'!$T$5:$T$255,MATCH(B214,'[1]Gross Costs'!$B$5:$B$255,0))</f>
        <v>0</v>
      </c>
      <c r="G214" s="182">
        <f t="shared" si="6"/>
        <v>59433.15</v>
      </c>
      <c r="H214" s="186">
        <f>INDEX([1]Tonnes!$N$5:$N$255,MATCH(B214,[1]Tonnes!$B$5:$B$255,0))</f>
        <v>101.88088769949739</v>
      </c>
      <c r="I214" s="184">
        <f t="shared" si="7"/>
        <v>583.35916914368624</v>
      </c>
    </row>
    <row r="215" spans="1:9" x14ac:dyDescent="0.25">
      <c r="A215" s="37">
        <v>8</v>
      </c>
      <c r="B215" s="185">
        <v>929</v>
      </c>
      <c r="C215" s="179">
        <f>INDEX('[1]Full Program List'!B$2:B$300,MATCH(B215,'[1]Full Program List'!A$2:A$300,0))</f>
        <v>8</v>
      </c>
      <c r="D215" s="180" t="str">
        <f>INDEX('[1]Full Program List'!C$2:C$300,MATCH(B215,'[1]Full Program List'!A$2:A$300,0))</f>
        <v>TERRACE BAY, TOWNSHIP OF</v>
      </c>
      <c r="E215" s="181">
        <f>INDEX('[1]Gross Costs'!$S$5:$S$255,MATCH(B215,'[1]Gross Costs'!$B$5:$B$255,0))</f>
        <v>48337.61</v>
      </c>
      <c r="F215" s="182">
        <f>INDEX('[1]Gross Costs'!$T$5:$T$255,MATCH(B215,'[1]Gross Costs'!$B$5:$B$255,0))</f>
        <v>0</v>
      </c>
      <c r="G215" s="182">
        <f t="shared" si="6"/>
        <v>48337.61</v>
      </c>
      <c r="H215" s="186">
        <f>INDEX([1]Tonnes!$N$5:$N$255,MATCH(B215,[1]Tonnes!$B$5:$B$255,0))</f>
        <v>63.123226579614247</v>
      </c>
      <c r="I215" s="184">
        <f t="shared" si="7"/>
        <v>765.76583009479293</v>
      </c>
    </row>
    <row r="216" spans="1:9" x14ac:dyDescent="0.25">
      <c r="A216" s="37">
        <v>8</v>
      </c>
      <c r="B216" s="185">
        <v>955</v>
      </c>
      <c r="C216" s="179">
        <f>INDEX('[1]Full Program List'!B$2:B$300,MATCH(B216,'[1]Full Program List'!A$2:A$300,0))</f>
        <v>8</v>
      </c>
      <c r="D216" s="180" t="str">
        <f>INDEX('[1]Full Program List'!C$2:C$300,MATCH(B216,'[1]Full Program List'!A$2:A$300,0))</f>
        <v>BONFIELD, TOWNSHIP OF</v>
      </c>
      <c r="E216" s="181">
        <f>INDEX('[1]Gross Costs'!$S$5:$S$255,MATCH(B216,'[1]Gross Costs'!$B$5:$B$255,0))</f>
        <v>22678.11</v>
      </c>
      <c r="F216" s="182">
        <f>INDEX('[1]Gross Costs'!$T$5:$T$255,MATCH(B216,'[1]Gross Costs'!$B$5:$B$255,0))</f>
        <v>0</v>
      </c>
      <c r="G216" s="182">
        <f t="shared" si="6"/>
        <v>22678.11</v>
      </c>
      <c r="H216" s="186">
        <f>INDEX([1]Tonnes!$N$5:$N$255,MATCH(B216,[1]Tonnes!$B$5:$B$255,0))</f>
        <v>40.67169248967609</v>
      </c>
      <c r="I216" s="184">
        <f t="shared" si="7"/>
        <v>557.58953246798137</v>
      </c>
    </row>
    <row r="217" spans="1:9" x14ac:dyDescent="0.25">
      <c r="A217" s="37">
        <v>8</v>
      </c>
      <c r="B217" s="185">
        <v>973</v>
      </c>
      <c r="C217" s="179">
        <f>INDEX('[1]Full Program List'!B$2:B$300,MATCH(B217,'[1]Full Program List'!A$2:A$300,0))</f>
        <v>8</v>
      </c>
      <c r="D217" s="180" t="str">
        <f>INDEX('[1]Full Program List'!C$2:C$300,MATCH(B217,'[1]Full Program List'!A$2:A$300,0))</f>
        <v>CHARLTON AND DACK, MUNICIPALITY OF</v>
      </c>
      <c r="E217" s="181">
        <f>INDEX('[1]Gross Costs'!$S$5:$S$255,MATCH(B217,'[1]Gross Costs'!$B$5:$B$255,0))</f>
        <v>10497.69</v>
      </c>
      <c r="F217" s="182">
        <f>INDEX('[1]Gross Costs'!$T$5:$T$255,MATCH(B217,'[1]Gross Costs'!$B$5:$B$255,0))</f>
        <v>0</v>
      </c>
      <c r="G217" s="182">
        <f t="shared" si="6"/>
        <v>10497.69</v>
      </c>
      <c r="H217" s="186">
        <f>INDEX([1]Tonnes!$N$5:$N$255,MATCH(B217,[1]Tonnes!$B$5:$B$255,0))</f>
        <v>7.5601498980809678</v>
      </c>
      <c r="I217" s="184">
        <f t="shared" si="7"/>
        <v>1388.5558013426009</v>
      </c>
    </row>
    <row r="218" spans="1:9" x14ac:dyDescent="0.25">
      <c r="A218" s="37">
        <v>8</v>
      </c>
      <c r="B218" s="185">
        <v>974</v>
      </c>
      <c r="C218" s="179">
        <f>INDEX('[1]Full Program List'!B$2:B$300,MATCH(B218,'[1]Full Program List'!A$2:A$300,0))</f>
        <v>8</v>
      </c>
      <c r="D218" s="180" t="str">
        <f>INDEX('[1]Full Program List'!C$2:C$300,MATCH(B218,'[1]Full Program List'!A$2:A$300,0))</f>
        <v>SERPENT RIVER FIRST NATIONS</v>
      </c>
      <c r="E218" s="181">
        <f>INDEX('[1]Gross Costs'!$S$5:$S$255,MATCH(B218,'[1]Gross Costs'!$B$5:$B$255,0))</f>
        <v>14226.72</v>
      </c>
      <c r="F218" s="182">
        <f>INDEX('[1]Gross Costs'!$T$5:$T$255,MATCH(B218,'[1]Gross Costs'!$B$5:$B$255,0))</f>
        <v>0</v>
      </c>
      <c r="G218" s="182">
        <f t="shared" si="6"/>
        <v>14226.72</v>
      </c>
      <c r="H218" s="186">
        <f>INDEX([1]Tonnes!$N$5:$N$255,MATCH(B218,[1]Tonnes!$B$5:$B$255,0))</f>
        <v>15.839999999999998</v>
      </c>
      <c r="I218" s="184">
        <f t="shared" si="7"/>
        <v>898.15151515151524</v>
      </c>
    </row>
    <row r="219" spans="1:9" x14ac:dyDescent="0.25">
      <c r="A219" s="37">
        <v>8</v>
      </c>
      <c r="B219" s="185">
        <v>978</v>
      </c>
      <c r="C219" s="179">
        <f>INDEX('[1]Full Program List'!B$2:B$300,MATCH(B219,'[1]Full Program List'!A$2:A$300,0))</f>
        <v>8</v>
      </c>
      <c r="D219" s="180" t="str">
        <f>INDEX('[1]Full Program List'!C$2:C$300,MATCH(B219,'[1]Full Program List'!A$2:A$300,0))</f>
        <v>SAGAMOK ANISHNAWBEK FIRST NATION</v>
      </c>
      <c r="E219" s="181">
        <f>INDEX('[1]Gross Costs'!$S$5:$S$255,MATCH(B219,'[1]Gross Costs'!$B$5:$B$255,0))</f>
        <v>31329.48</v>
      </c>
      <c r="F219" s="182">
        <f>INDEX('[1]Gross Costs'!$T$5:$T$255,MATCH(B219,'[1]Gross Costs'!$B$5:$B$255,0))</f>
        <v>0</v>
      </c>
      <c r="G219" s="182">
        <f t="shared" si="6"/>
        <v>31329.48</v>
      </c>
      <c r="H219" s="186">
        <f>INDEX([1]Tonnes!$N$5:$N$255,MATCH(B219,[1]Tonnes!$B$5:$B$255,0))</f>
        <v>0</v>
      </c>
      <c r="I219" s="184">
        <f t="shared" si="7"/>
        <v>0</v>
      </c>
    </row>
    <row r="220" spans="1:9" x14ac:dyDescent="0.25">
      <c r="A220" s="37">
        <v>8</v>
      </c>
      <c r="B220" s="185">
        <v>985</v>
      </c>
      <c r="C220" s="179">
        <f>INDEX('[1]Full Program List'!B$2:B$300,MATCH(B220,'[1]Full Program List'!A$2:A$300,0))</f>
        <v>8</v>
      </c>
      <c r="D220" s="180" t="str">
        <f>INDEX('[1]Full Program List'!C$2:C$300,MATCH(B220,'[1]Full Program List'!A$2:A$300,0))</f>
        <v>WIKWEMIKONG UNCEDED INDIAN RESERVE</v>
      </c>
      <c r="E220" s="181">
        <f>INDEX('[1]Gross Costs'!$S$5:$S$255,MATCH(B220,'[1]Gross Costs'!$B$5:$B$255,0))</f>
        <v>97273.34</v>
      </c>
      <c r="F220" s="182">
        <f>INDEX('[1]Gross Costs'!$T$5:$T$255,MATCH(B220,'[1]Gross Costs'!$B$5:$B$255,0))</f>
        <v>0</v>
      </c>
      <c r="G220" s="182">
        <f t="shared" si="6"/>
        <v>97273.34</v>
      </c>
      <c r="H220" s="186">
        <f>INDEX([1]Tonnes!$N$5:$N$255,MATCH(B220,[1]Tonnes!$B$5:$B$255,0))</f>
        <v>44.348575474077556</v>
      </c>
      <c r="I220" s="184">
        <f t="shared" si="7"/>
        <v>2193.3813873425947</v>
      </c>
    </row>
    <row r="221" spans="1:9" x14ac:dyDescent="0.25">
      <c r="A221" s="37">
        <v>9</v>
      </c>
      <c r="B221" s="185">
        <v>100</v>
      </c>
      <c r="C221" s="179">
        <f>INDEX('[1]Full Program List'!B$2:B$300,MATCH(B221,'[1]Full Program List'!A$2:A$300,0))</f>
        <v>9</v>
      </c>
      <c r="D221" s="180" t="str">
        <f>INDEX('[1]Full Program List'!C$2:C$300,MATCH(B221,'[1]Full Program List'!A$2:A$300,0))</f>
        <v>ONEIDA NATION OF THE THAMES</v>
      </c>
      <c r="E221" s="181">
        <f>INDEX('[1]Gross Costs'!$S$5:$S$255,MATCH(B221,'[1]Gross Costs'!$B$5:$B$255,0))</f>
        <v>30401.27</v>
      </c>
      <c r="F221" s="182">
        <f>INDEX('[1]Gross Costs'!$T$5:$T$255,MATCH(B221,'[1]Gross Costs'!$B$5:$B$255,0))</f>
        <v>0</v>
      </c>
      <c r="G221" s="182">
        <f t="shared" si="6"/>
        <v>30401.27</v>
      </c>
      <c r="H221" s="186">
        <f>INDEX([1]Tonnes!$N$5:$N$255,MATCH(B221,[1]Tonnes!$B$5:$B$255,0))</f>
        <v>31.644171725300925</v>
      </c>
      <c r="I221" s="184">
        <f t="shared" si="7"/>
        <v>960.72257045972322</v>
      </c>
    </row>
    <row r="222" spans="1:9" x14ac:dyDescent="0.25">
      <c r="A222" s="37">
        <v>9</v>
      </c>
      <c r="B222" s="185">
        <v>159</v>
      </c>
      <c r="C222" s="179">
        <f>INDEX('[1]Full Program List'!B$2:B$300,MATCH(B222,'[1]Full Program List'!A$2:A$300,0))</f>
        <v>9</v>
      </c>
      <c r="D222" s="180" t="str">
        <f>INDEX('[1]Full Program List'!C$2:C$300,MATCH(B222,'[1]Full Program List'!A$2:A$300,0))</f>
        <v>DYSART ET AL, TOWNSHIP OF</v>
      </c>
      <c r="E222" s="181">
        <f>INDEX('[1]Gross Costs'!$S$5:$S$255,MATCH(B222,'[1]Gross Costs'!$B$5:$B$255,0))</f>
        <v>185850.32</v>
      </c>
      <c r="F222" s="182">
        <f>INDEX('[1]Gross Costs'!$T$5:$T$255,MATCH(B222,'[1]Gross Costs'!$B$5:$B$255,0))</f>
        <v>0</v>
      </c>
      <c r="G222" s="182">
        <f t="shared" si="6"/>
        <v>185850.32</v>
      </c>
      <c r="H222" s="186">
        <f>INDEX([1]Tonnes!$N$5:$N$255,MATCH(B222,[1]Tonnes!$B$5:$B$255,0))</f>
        <v>836.31061134951221</v>
      </c>
      <c r="I222" s="184">
        <f t="shared" si="7"/>
        <v>222.22642816895834</v>
      </c>
    </row>
    <row r="223" spans="1:9" x14ac:dyDescent="0.25">
      <c r="A223" s="37">
        <v>9</v>
      </c>
      <c r="B223" s="185">
        <v>173</v>
      </c>
      <c r="C223" s="179">
        <f>INDEX('[1]Full Program List'!B$2:B$300,MATCH(B223,'[1]Full Program List'!A$2:A$300,0))</f>
        <v>9</v>
      </c>
      <c r="D223" s="180" t="str">
        <f>INDEX('[1]Full Program List'!C$2:C$300,MATCH(B223,'[1]Full Program List'!A$2:A$300,0))</f>
        <v>ALGONQUIN HIGHLANDS,TOWNSHIP OF</v>
      </c>
      <c r="E223" s="181">
        <f>INDEX('[1]Gross Costs'!$S$5:$S$255,MATCH(B223,'[1]Gross Costs'!$B$5:$B$255,0))</f>
        <v>163416.66</v>
      </c>
      <c r="F223" s="182">
        <f>INDEX('[1]Gross Costs'!$T$5:$T$255,MATCH(B223,'[1]Gross Costs'!$B$5:$B$255,0))</f>
        <v>8.85</v>
      </c>
      <c r="G223" s="182">
        <f t="shared" si="6"/>
        <v>163407.81</v>
      </c>
      <c r="H223" s="186">
        <f>INDEX([1]Tonnes!$N$5:$N$255,MATCH(B223,[1]Tonnes!$B$5:$B$255,0))</f>
        <v>331.48</v>
      </c>
      <c r="I223" s="184">
        <f t="shared" si="7"/>
        <v>492.96431157234218</v>
      </c>
    </row>
    <row r="224" spans="1:9" x14ac:dyDescent="0.25">
      <c r="A224" s="37">
        <v>9</v>
      </c>
      <c r="B224" s="185">
        <v>204</v>
      </c>
      <c r="C224" s="179">
        <f>INDEX('[1]Full Program List'!B$2:B$300,MATCH(B224,'[1]Full Program List'!A$2:A$300,0))</f>
        <v>9</v>
      </c>
      <c r="D224" s="180" t="str">
        <f>INDEX('[1]Full Program List'!C$2:C$300,MATCH(B224,'[1]Full Program List'!A$2:A$300,0))</f>
        <v>LEEDS AND THE THOUSAND ISLANDS, TOWNSHIP OF</v>
      </c>
      <c r="E224" s="181">
        <f>INDEX('[1]Gross Costs'!$S$5:$S$255,MATCH(B224,'[1]Gross Costs'!$B$5:$B$255,0))</f>
        <v>440563.7</v>
      </c>
      <c r="F224" s="182">
        <f>INDEX('[1]Gross Costs'!$T$5:$T$255,MATCH(B224,'[1]Gross Costs'!$B$5:$B$255,0))</f>
        <v>14024.64</v>
      </c>
      <c r="G224" s="182">
        <f t="shared" si="6"/>
        <v>426539.06</v>
      </c>
      <c r="H224" s="186">
        <f>INDEX([1]Tonnes!$N$5:$N$255,MATCH(B224,[1]Tonnes!$B$5:$B$255,0))</f>
        <v>581.54937871071559</v>
      </c>
      <c r="I224" s="184">
        <f t="shared" si="7"/>
        <v>733.45286851759579</v>
      </c>
    </row>
    <row r="225" spans="1:9" x14ac:dyDescent="0.25">
      <c r="A225" s="37">
        <v>9</v>
      </c>
      <c r="B225" s="185">
        <v>218</v>
      </c>
      <c r="C225" s="179">
        <f>INDEX('[1]Full Program List'!B$2:B$300,MATCH(B225,'[1]Full Program List'!A$2:A$300,0))</f>
        <v>9</v>
      </c>
      <c r="D225" s="180" t="str">
        <f>INDEX('[1]Full Program List'!C$2:C$300,MATCH(B225,'[1]Full Program List'!A$2:A$300,0))</f>
        <v>ELIZABETHTOWN-KITLEY, TOWNSHIP OF</v>
      </c>
      <c r="E225" s="181">
        <f>INDEX('[1]Gross Costs'!$S$5:$S$255,MATCH(B225,'[1]Gross Costs'!$B$5:$B$255,0))</f>
        <v>189204.88</v>
      </c>
      <c r="F225" s="182">
        <f>INDEX('[1]Gross Costs'!$T$5:$T$255,MATCH(B225,'[1]Gross Costs'!$B$5:$B$255,0))</f>
        <v>110</v>
      </c>
      <c r="G225" s="182">
        <f t="shared" si="6"/>
        <v>189094.88</v>
      </c>
      <c r="H225" s="186">
        <f>INDEX([1]Tonnes!$N$5:$N$255,MATCH(B225,[1]Tonnes!$B$5:$B$255,0))</f>
        <v>290.41193028521099</v>
      </c>
      <c r="I225" s="184">
        <f t="shared" si="7"/>
        <v>651.12641830620248</v>
      </c>
    </row>
    <row r="226" spans="1:9" x14ac:dyDescent="0.25">
      <c r="A226" s="37">
        <v>9</v>
      </c>
      <c r="B226" s="185">
        <v>230</v>
      </c>
      <c r="C226" s="179">
        <f>INDEX('[1]Full Program List'!B$2:B$300,MATCH(B226,'[1]Full Program List'!A$2:A$300,0))</f>
        <v>9</v>
      </c>
      <c r="D226" s="180" t="str">
        <f>INDEX('[1]Full Program List'!C$2:C$300,MATCH(B226,'[1]Full Program List'!A$2:A$300,0))</f>
        <v>FRONT OF YONGE, TOWNSHIP OF</v>
      </c>
      <c r="E226" s="181">
        <f>INDEX('[1]Gross Costs'!$S$5:$S$255,MATCH(B226,'[1]Gross Costs'!$B$5:$B$255,0))</f>
        <v>74126.899999999994</v>
      </c>
      <c r="F226" s="182">
        <f>INDEX('[1]Gross Costs'!$T$5:$T$255,MATCH(B226,'[1]Gross Costs'!$B$5:$B$255,0))</f>
        <v>2183.36</v>
      </c>
      <c r="G226" s="182">
        <f t="shared" si="6"/>
        <v>71943.539999999994</v>
      </c>
      <c r="H226" s="186">
        <f>INDEX([1]Tonnes!$N$5:$N$255,MATCH(B226,[1]Tonnes!$B$5:$B$255,0))</f>
        <v>138.87109847515134</v>
      </c>
      <c r="I226" s="184">
        <f t="shared" si="7"/>
        <v>518.05984679290975</v>
      </c>
    </row>
    <row r="227" spans="1:9" x14ac:dyDescent="0.25">
      <c r="A227" s="37">
        <v>9</v>
      </c>
      <c r="B227" s="185">
        <v>277</v>
      </c>
      <c r="C227" s="179">
        <f>INDEX('[1]Full Program List'!B$2:B$300,MATCH(B227,'[1]Full Program List'!A$2:A$300,0))</f>
        <v>9</v>
      </c>
      <c r="D227" s="180" t="str">
        <f>INDEX('[1]Full Program List'!C$2:C$300,MATCH(B227,'[1]Full Program List'!A$2:A$300,0))</f>
        <v>FRONTENAC ISLANDS, TOWNSHIP OF</v>
      </c>
      <c r="E227" s="181">
        <f>INDEX('[1]Gross Costs'!$S$5:$S$255,MATCH(B227,'[1]Gross Costs'!$B$5:$B$255,0))</f>
        <v>80836.320000000007</v>
      </c>
      <c r="F227" s="182">
        <f>INDEX('[1]Gross Costs'!$T$5:$T$255,MATCH(B227,'[1]Gross Costs'!$B$5:$B$255,0))</f>
        <v>0</v>
      </c>
      <c r="G227" s="182">
        <f t="shared" si="6"/>
        <v>80836.320000000007</v>
      </c>
      <c r="H227" s="186">
        <f>INDEX([1]Tonnes!$N$5:$N$255,MATCH(B227,[1]Tonnes!$B$5:$B$255,0))</f>
        <v>116.68788323704716</v>
      </c>
      <c r="I227" s="184">
        <f t="shared" si="7"/>
        <v>692.75676066369272</v>
      </c>
    </row>
    <row r="228" spans="1:9" x14ac:dyDescent="0.25">
      <c r="A228" s="37">
        <v>9</v>
      </c>
      <c r="B228" s="185">
        <v>279</v>
      </c>
      <c r="C228" s="179">
        <f>INDEX('[1]Full Program List'!B$2:B$300,MATCH(B228,'[1]Full Program List'!A$2:A$300,0))</f>
        <v>9</v>
      </c>
      <c r="D228" s="180" t="str">
        <f>INDEX('[1]Full Program List'!C$2:C$300,MATCH(B228,'[1]Full Program List'!A$2:A$300,0))</f>
        <v>AUGUSTA, TOWNSHIP OF</v>
      </c>
      <c r="E228" s="181">
        <f>INDEX('[1]Gross Costs'!$S$5:$S$255,MATCH(B228,'[1]Gross Costs'!$B$5:$B$255,0))</f>
        <v>170142.93</v>
      </c>
      <c r="F228" s="182">
        <f>INDEX('[1]Gross Costs'!$T$5:$T$255,MATCH(B228,'[1]Gross Costs'!$B$5:$B$255,0))</f>
        <v>671.56</v>
      </c>
      <c r="G228" s="182">
        <f t="shared" si="6"/>
        <v>169471.37</v>
      </c>
      <c r="H228" s="186">
        <f>INDEX([1]Tonnes!$N$5:$N$255,MATCH(B228,[1]Tonnes!$B$5:$B$255,0))</f>
        <v>433.73772503612372</v>
      </c>
      <c r="I228" s="184">
        <f t="shared" si="7"/>
        <v>390.72314953901144</v>
      </c>
    </row>
    <row r="229" spans="1:9" x14ac:dyDescent="0.25">
      <c r="A229" s="37">
        <v>9</v>
      </c>
      <c r="B229" s="185">
        <v>331</v>
      </c>
      <c r="C229" s="179">
        <f>INDEX('[1]Full Program List'!B$2:B$300,MATCH(B229,'[1]Full Program List'!A$2:A$300,0))</f>
        <v>9</v>
      </c>
      <c r="D229" s="180" t="str">
        <f>INDEX('[1]Full Program List'!C$2:C$300,MATCH(B229,'[1]Full Program List'!A$2:A$300,0))</f>
        <v>STONE MILLS, TOWNSHIP OF</v>
      </c>
      <c r="E229" s="181">
        <f>INDEX('[1]Gross Costs'!$S$5:$S$255,MATCH(B229,'[1]Gross Costs'!$B$5:$B$255,0))</f>
        <v>154031.09</v>
      </c>
      <c r="F229" s="182">
        <f>INDEX('[1]Gross Costs'!$T$5:$T$255,MATCH(B229,'[1]Gross Costs'!$B$5:$B$255,0))</f>
        <v>1052.98</v>
      </c>
      <c r="G229" s="182">
        <f t="shared" si="6"/>
        <v>152978.10999999999</v>
      </c>
      <c r="H229" s="186">
        <f>INDEX([1]Tonnes!$N$5:$N$255,MATCH(B229,[1]Tonnes!$B$5:$B$255,0))</f>
        <v>394.99809912383472</v>
      </c>
      <c r="I229" s="184">
        <f t="shared" si="7"/>
        <v>387.28821819479253</v>
      </c>
    </row>
    <row r="230" spans="1:9" x14ac:dyDescent="0.25">
      <c r="A230" s="37">
        <v>9</v>
      </c>
      <c r="B230" s="185">
        <v>369</v>
      </c>
      <c r="C230" s="179">
        <f>INDEX('[1]Full Program List'!B$2:B$300,MATCH(B230,'[1]Full Program List'!A$2:A$300,0))</f>
        <v>9</v>
      </c>
      <c r="D230" s="180" t="str">
        <f>INDEX('[1]Full Program List'!C$2:C$300,MATCH(B230,'[1]Full Program List'!A$2:A$300,0))</f>
        <v>HIGHLANDS EAST, MUNICIPALITY OF</v>
      </c>
      <c r="E230" s="181">
        <f>INDEX('[1]Gross Costs'!$S$5:$S$255,MATCH(B230,'[1]Gross Costs'!$B$5:$B$255,0))</f>
        <v>450151.28</v>
      </c>
      <c r="F230" s="182">
        <f>INDEX('[1]Gross Costs'!$T$5:$T$255,MATCH(B230,'[1]Gross Costs'!$B$5:$B$255,0))</f>
        <v>0</v>
      </c>
      <c r="G230" s="182">
        <f t="shared" si="6"/>
        <v>450151.28</v>
      </c>
      <c r="H230" s="186">
        <f>INDEX([1]Tonnes!$N$5:$N$255,MATCH(B230,[1]Tonnes!$B$5:$B$255,0))</f>
        <v>361.24999999999994</v>
      </c>
      <c r="I230" s="184">
        <f t="shared" si="7"/>
        <v>1246.0935086505192</v>
      </c>
    </row>
    <row r="231" spans="1:9" x14ac:dyDescent="0.25">
      <c r="A231" s="37">
        <v>9</v>
      </c>
      <c r="B231" s="185">
        <v>416</v>
      </c>
      <c r="C231" s="179">
        <f>INDEX('[1]Full Program List'!B$2:B$300,MATCH(B231,'[1]Full Program List'!A$2:A$300,0))</f>
        <v>9</v>
      </c>
      <c r="D231" s="180" t="str">
        <f>INDEX('[1]Full Program List'!C$2:C$300,MATCH(B231,'[1]Full Program List'!A$2:A$300,0))</f>
        <v>BRUDENELL, LYNDOCH AND RAGLAN, TOWNSHIP OF</v>
      </c>
      <c r="E231" s="181">
        <f>INDEX('[1]Gross Costs'!$S$5:$S$255,MATCH(B231,'[1]Gross Costs'!$B$5:$B$255,0))</f>
        <v>53379.53</v>
      </c>
      <c r="F231" s="182">
        <f>INDEX('[1]Gross Costs'!$T$5:$T$255,MATCH(B231,'[1]Gross Costs'!$B$5:$B$255,0))</f>
        <v>735</v>
      </c>
      <c r="G231" s="182">
        <f t="shared" si="6"/>
        <v>52644.53</v>
      </c>
      <c r="H231" s="186">
        <f>INDEX([1]Tonnes!$N$5:$N$255,MATCH(B231,[1]Tonnes!$B$5:$B$255,0))</f>
        <v>77.118547672694447</v>
      </c>
      <c r="I231" s="184">
        <f t="shared" si="7"/>
        <v>682.6442093208658</v>
      </c>
    </row>
    <row r="232" spans="1:9" x14ac:dyDescent="0.25">
      <c r="A232" s="37">
        <v>9</v>
      </c>
      <c r="B232" s="185">
        <v>420</v>
      </c>
      <c r="C232" s="179">
        <f>INDEX('[1]Full Program List'!B$2:B$300,MATCH(B232,'[1]Full Program List'!A$2:A$300,0))</f>
        <v>9</v>
      </c>
      <c r="D232" s="180" t="str">
        <f>INDEX('[1]Full Program List'!C$2:C$300,MATCH(B232,'[1]Full Program List'!A$2:A$300,0))</f>
        <v>NORTHERN BRUCE PENINSULA, MUNICIPALITY OF</v>
      </c>
      <c r="E232" s="181">
        <f>INDEX('[1]Gross Costs'!$S$5:$S$255,MATCH(B232,'[1]Gross Costs'!$B$5:$B$255,0))</f>
        <v>181392.42</v>
      </c>
      <c r="F232" s="182">
        <f>INDEX('[1]Gross Costs'!$T$5:$T$255,MATCH(B232,'[1]Gross Costs'!$B$5:$B$255,0))</f>
        <v>158.49</v>
      </c>
      <c r="G232" s="182">
        <f t="shared" si="6"/>
        <v>181233.93000000002</v>
      </c>
      <c r="H232" s="186">
        <f>INDEX([1]Tonnes!$N$5:$N$255,MATCH(B232,[1]Tonnes!$B$5:$B$255,0))</f>
        <v>439.19048015518462</v>
      </c>
      <c r="I232" s="184">
        <f t="shared" si="7"/>
        <v>412.65450456932126</v>
      </c>
    </row>
    <row r="233" spans="1:9" x14ac:dyDescent="0.25">
      <c r="A233" s="37">
        <v>9</v>
      </c>
      <c r="B233" s="185">
        <v>508</v>
      </c>
      <c r="C233" s="179">
        <f>INDEX('[1]Full Program List'!B$2:B$300,MATCH(B233,'[1]Full Program List'!A$2:A$300,0))</f>
        <v>9</v>
      </c>
      <c r="D233" s="180" t="str">
        <f>INDEX('[1]Full Program List'!C$2:C$300,MATCH(B233,'[1]Full Program List'!A$2:A$300,0))</f>
        <v>CARLOW MAYO, TOWNSHIP OF</v>
      </c>
      <c r="E233" s="181">
        <f>INDEX('[1]Gross Costs'!$S$5:$S$255,MATCH(B233,'[1]Gross Costs'!$B$5:$B$255,0))</f>
        <v>70511.86</v>
      </c>
      <c r="F233" s="182">
        <f>INDEX('[1]Gross Costs'!$T$5:$T$255,MATCH(B233,'[1]Gross Costs'!$B$5:$B$255,0))</f>
        <v>0</v>
      </c>
      <c r="G233" s="182">
        <f t="shared" si="6"/>
        <v>70511.86</v>
      </c>
      <c r="H233" s="186">
        <f>INDEX([1]Tonnes!$N$5:$N$255,MATCH(B233,[1]Tonnes!$B$5:$B$255,0))</f>
        <v>97.534402669301102</v>
      </c>
      <c r="I233" s="184">
        <f t="shared" si="7"/>
        <v>722.94347502261962</v>
      </c>
    </row>
    <row r="234" spans="1:9" x14ac:dyDescent="0.25">
      <c r="A234" s="37">
        <v>9</v>
      </c>
      <c r="B234" s="185">
        <v>512</v>
      </c>
      <c r="C234" s="179">
        <f>INDEX('[1]Full Program List'!B$2:B$300,MATCH(B234,'[1]Full Program List'!A$2:A$300,0))</f>
        <v>9</v>
      </c>
      <c r="D234" s="180" t="str">
        <f>INDEX('[1]Full Program List'!C$2:C$300,MATCH(B234,'[1]Full Program List'!A$2:A$300,0))</f>
        <v>TAY VALLEY, TOWNSHIP OF</v>
      </c>
      <c r="E234" s="181">
        <f>INDEX('[1]Gross Costs'!$S$5:$S$255,MATCH(B234,'[1]Gross Costs'!$B$5:$B$255,0))</f>
        <v>292037.07</v>
      </c>
      <c r="F234" s="182">
        <f>INDEX('[1]Gross Costs'!$T$5:$T$255,MATCH(B234,'[1]Gross Costs'!$B$5:$B$255,0))</f>
        <v>6673.84</v>
      </c>
      <c r="G234" s="182">
        <f t="shared" si="6"/>
        <v>285363.23</v>
      </c>
      <c r="H234" s="186">
        <f>INDEX([1]Tonnes!$N$5:$N$255,MATCH(B234,[1]Tonnes!$B$5:$B$255,0))</f>
        <v>240.71591575946039</v>
      </c>
      <c r="I234" s="184">
        <f t="shared" si="7"/>
        <v>1185.4772007894742</v>
      </c>
    </row>
    <row r="235" spans="1:9" x14ac:dyDescent="0.25">
      <c r="A235" s="37">
        <v>9</v>
      </c>
      <c r="B235" s="185">
        <v>516</v>
      </c>
      <c r="C235" s="179">
        <f>INDEX('[1]Full Program List'!B$2:B$300,MATCH(B235,'[1]Full Program List'!A$2:A$300,0))</f>
        <v>9</v>
      </c>
      <c r="D235" s="180" t="str">
        <f>INDEX('[1]Full Program List'!C$2:C$300,MATCH(B235,'[1]Full Program List'!A$2:A$300,0))</f>
        <v>LANARK HIGHLANDS, TOWNSHIP OF</v>
      </c>
      <c r="E235" s="181">
        <f>INDEX('[1]Gross Costs'!$S$5:$S$255,MATCH(B235,'[1]Gross Costs'!$B$5:$B$255,0))</f>
        <v>167497.34</v>
      </c>
      <c r="F235" s="182">
        <f>INDEX('[1]Gross Costs'!$T$5:$T$255,MATCH(B235,'[1]Gross Costs'!$B$5:$B$255,0))</f>
        <v>180.64</v>
      </c>
      <c r="G235" s="182">
        <f t="shared" si="6"/>
        <v>167316.69999999998</v>
      </c>
      <c r="H235" s="186">
        <f>INDEX([1]Tonnes!$N$5:$N$255,MATCH(B235,[1]Tonnes!$B$5:$B$255,0))</f>
        <v>342.01065921214706</v>
      </c>
      <c r="I235" s="184">
        <f t="shared" si="7"/>
        <v>489.21486945883311</v>
      </c>
    </row>
    <row r="236" spans="1:9" x14ac:dyDescent="0.25">
      <c r="A236" s="37">
        <v>9</v>
      </c>
      <c r="B236" s="185">
        <v>521</v>
      </c>
      <c r="C236" s="179">
        <f>INDEX('[1]Full Program List'!B$2:B$300,MATCH(B236,'[1]Full Program List'!A$2:A$300,0))</f>
        <v>9</v>
      </c>
      <c r="D236" s="180" t="str">
        <f>INDEX('[1]Full Program List'!C$2:C$300,MATCH(B236,'[1]Full Program List'!A$2:A$300,0))</f>
        <v>ADDINGTON HIGHLANDS, TOWNSHIP OF</v>
      </c>
      <c r="E236" s="181">
        <f>INDEX('[1]Gross Costs'!$S$5:$S$255,MATCH(B236,'[1]Gross Costs'!$B$5:$B$255,0))</f>
        <v>373633.01</v>
      </c>
      <c r="F236" s="182">
        <f>INDEX('[1]Gross Costs'!$T$5:$T$255,MATCH(B236,'[1]Gross Costs'!$B$5:$B$255,0))</f>
        <v>8.85</v>
      </c>
      <c r="G236" s="182">
        <f t="shared" si="6"/>
        <v>373624.16000000003</v>
      </c>
      <c r="H236" s="186">
        <f>INDEX([1]Tonnes!$N$5:$N$255,MATCH(B236,[1]Tonnes!$B$5:$B$255,0))</f>
        <v>150.54889539237996</v>
      </c>
      <c r="I236" s="184">
        <f t="shared" si="7"/>
        <v>2481.746272705705</v>
      </c>
    </row>
    <row r="237" spans="1:9" x14ac:dyDescent="0.25">
      <c r="A237" s="37">
        <v>9</v>
      </c>
      <c r="B237" s="185">
        <v>522</v>
      </c>
      <c r="C237" s="179">
        <f>INDEX('[1]Full Program List'!B$2:B$300,MATCH(B237,'[1]Full Program List'!A$2:A$300,0))</f>
        <v>9</v>
      </c>
      <c r="D237" s="180" t="str">
        <f>INDEX('[1]Full Program List'!C$2:C$300,MATCH(B237,'[1]Full Program List'!A$2:A$300,0))</f>
        <v>ADMASTON/BROMLEY, TOWNSHIP OF</v>
      </c>
      <c r="E237" s="181">
        <f>INDEX('[1]Gross Costs'!$S$5:$S$255,MATCH(B237,'[1]Gross Costs'!$B$5:$B$255,0))</f>
        <v>93639.74</v>
      </c>
      <c r="F237" s="182">
        <f>INDEX('[1]Gross Costs'!$T$5:$T$255,MATCH(B237,'[1]Gross Costs'!$B$5:$B$255,0))</f>
        <v>36</v>
      </c>
      <c r="G237" s="182">
        <f t="shared" si="6"/>
        <v>93603.74</v>
      </c>
      <c r="H237" s="186">
        <f>INDEX([1]Tonnes!$N$5:$N$255,MATCH(B237,[1]Tonnes!$B$5:$B$255,0))</f>
        <v>107.92268224354619</v>
      </c>
      <c r="I237" s="184">
        <f t="shared" si="7"/>
        <v>867.32221674000823</v>
      </c>
    </row>
    <row r="238" spans="1:9" x14ac:dyDescent="0.25">
      <c r="A238" s="37">
        <v>9</v>
      </c>
      <c r="B238" s="185">
        <v>523</v>
      </c>
      <c r="C238" s="179">
        <f>INDEX('[1]Full Program List'!B$2:B$300,MATCH(B238,'[1]Full Program List'!A$2:A$300,0))</f>
        <v>9</v>
      </c>
      <c r="D238" s="180" t="str">
        <f>INDEX('[1]Full Program List'!C$2:C$300,MATCH(B238,'[1]Full Program List'!A$2:A$300,0))</f>
        <v>MINDEN HILLS, TOWNSHIP OF</v>
      </c>
      <c r="E238" s="181">
        <f>INDEX('[1]Gross Costs'!$S$5:$S$255,MATCH(B238,'[1]Gross Costs'!$B$5:$B$255,0))</f>
        <v>285802.86</v>
      </c>
      <c r="F238" s="182">
        <f>INDEX('[1]Gross Costs'!$T$5:$T$255,MATCH(B238,'[1]Gross Costs'!$B$5:$B$255,0))</f>
        <v>321.60000000000002</v>
      </c>
      <c r="G238" s="182">
        <f t="shared" si="6"/>
        <v>285481.26</v>
      </c>
      <c r="H238" s="186">
        <f>INDEX([1]Tonnes!$N$5:$N$255,MATCH(B238,[1]Tonnes!$B$5:$B$255,0))</f>
        <v>909.72292386160336</v>
      </c>
      <c r="I238" s="184">
        <f t="shared" si="7"/>
        <v>313.81121934158318</v>
      </c>
    </row>
    <row r="239" spans="1:9" x14ac:dyDescent="0.25">
      <c r="A239" s="37"/>
      <c r="B239" s="185">
        <v>527</v>
      </c>
      <c r="C239" s="179">
        <f>INDEX('[1]Full Program List'!B$2:B$300,MATCH(B239,'[1]Full Program List'!A$2:A$300,0))</f>
        <v>9</v>
      </c>
      <c r="D239" s="180" t="str">
        <f>INDEX('[1]Full Program List'!C$2:C$300,MATCH(B239,'[1]Full Program List'!A$2:A$300,0))</f>
        <v>GREATER MADAWASKA, TOWNSHIP OF</v>
      </c>
      <c r="E239" s="181">
        <f>INDEX('[1]Gross Costs'!$S$5:$S$255,MATCH(B239,'[1]Gross Costs'!$B$5:$B$255,0))</f>
        <v>119863.42</v>
      </c>
      <c r="F239" s="182">
        <f>INDEX('[1]Gross Costs'!$T$5:$T$255,MATCH(B239,'[1]Gross Costs'!$B$5:$B$255,0))</f>
        <v>135</v>
      </c>
      <c r="G239" s="182">
        <f t="shared" si="6"/>
        <v>119728.42</v>
      </c>
      <c r="H239" s="186">
        <f>INDEX([1]Tonnes!$N$5:$N$255,MATCH(B239,[1]Tonnes!$B$5:$B$255,0))</f>
        <v>178.04356936970052</v>
      </c>
      <c r="I239" s="184">
        <f t="shared" si="7"/>
        <v>672.46697212292236</v>
      </c>
    </row>
    <row r="240" spans="1:9" x14ac:dyDescent="0.25">
      <c r="A240" s="37"/>
      <c r="B240" s="185">
        <v>543</v>
      </c>
      <c r="C240" s="179">
        <f>INDEX('[1]Full Program List'!B$2:B$300,MATCH(B240,'[1]Full Program List'!A$2:A$300,0))</f>
        <v>9</v>
      </c>
      <c r="D240" s="180" t="str">
        <f>INDEX('[1]Full Program List'!C$2:C$300,MATCH(B240,'[1]Full Program List'!A$2:A$300,0))</f>
        <v>ENNISKILLEN, TOWNSHIP OF</v>
      </c>
      <c r="E240" s="181">
        <f>INDEX('[1]Gross Costs'!$S$5:$S$255,MATCH(B240,'[1]Gross Costs'!$B$5:$B$255,0))</f>
        <v>42102.49</v>
      </c>
      <c r="F240" s="182">
        <f>INDEX('[1]Gross Costs'!$T$5:$T$255,MATCH(B240,'[1]Gross Costs'!$B$5:$B$255,0))</f>
        <v>0</v>
      </c>
      <c r="G240" s="182">
        <f t="shared" si="6"/>
        <v>42102.49</v>
      </c>
      <c r="H240" s="186">
        <f>INDEX([1]Tonnes!$N$5:$N$255,MATCH(B240,[1]Tonnes!$B$5:$B$255,0))</f>
        <v>64.881659320046367</v>
      </c>
      <c r="I240" s="184">
        <f t="shared" si="7"/>
        <v>648.91204141863966</v>
      </c>
    </row>
    <row r="241" spans="1:9" x14ac:dyDescent="0.25">
      <c r="A241" s="37"/>
      <c r="B241" s="185">
        <v>547</v>
      </c>
      <c r="C241" s="179">
        <f>INDEX('[1]Full Program List'!B$2:B$300,MATCH(B241,'[1]Full Program List'!A$2:A$300,0))</f>
        <v>9</v>
      </c>
      <c r="D241" s="180" t="str">
        <f>INDEX('[1]Full Program List'!C$2:C$300,MATCH(B241,'[1]Full Program List'!A$2:A$300,0))</f>
        <v>BONNECHERE VALLEY, TOWNSHIP OF</v>
      </c>
      <c r="E241" s="181">
        <f>INDEX('[1]Gross Costs'!$S$5:$S$255,MATCH(B241,'[1]Gross Costs'!$B$5:$B$255,0))</f>
        <v>122807.2</v>
      </c>
      <c r="F241" s="182">
        <f>INDEX('[1]Gross Costs'!$T$5:$T$255,MATCH(B241,'[1]Gross Costs'!$B$5:$B$255,0))</f>
        <v>0</v>
      </c>
      <c r="G241" s="182">
        <f t="shared" si="6"/>
        <v>122807.2</v>
      </c>
      <c r="H241" s="186">
        <f>INDEX([1]Tonnes!$N$5:$N$255,MATCH(B241,[1]Tonnes!$B$5:$B$255,0))</f>
        <v>231.39171343327169</v>
      </c>
      <c r="I241" s="184">
        <f t="shared" si="7"/>
        <v>530.73292114851347</v>
      </c>
    </row>
    <row r="242" spans="1:9" x14ac:dyDescent="0.25">
      <c r="A242" s="37"/>
      <c r="B242" s="185">
        <v>552</v>
      </c>
      <c r="C242" s="179">
        <f>INDEX('[1]Full Program List'!B$2:B$300,MATCH(B242,'[1]Full Program List'!A$2:A$300,0))</f>
        <v>9</v>
      </c>
      <c r="D242" s="180" t="str">
        <f>INDEX('[1]Full Program List'!C$2:C$300,MATCH(B242,'[1]Full Program List'!A$2:A$300,0))</f>
        <v>KILLALOE, HAGARTY, AND RICHARDS, TOWNSHIP OF</v>
      </c>
      <c r="E242" s="181">
        <f>INDEX('[1]Gross Costs'!$S$5:$S$255,MATCH(B242,'[1]Gross Costs'!$B$5:$B$255,0))</f>
        <v>108827.49</v>
      </c>
      <c r="F242" s="182">
        <f>INDEX('[1]Gross Costs'!$T$5:$T$255,MATCH(B242,'[1]Gross Costs'!$B$5:$B$255,0))</f>
        <v>0</v>
      </c>
      <c r="G242" s="182">
        <f t="shared" si="6"/>
        <v>108827.49</v>
      </c>
      <c r="H242" s="186">
        <f>INDEX([1]Tonnes!$N$5:$N$255,MATCH(B242,[1]Tonnes!$B$5:$B$255,0))</f>
        <v>114.55</v>
      </c>
      <c r="I242" s="184">
        <f t="shared" si="7"/>
        <v>950.04356176342219</v>
      </c>
    </row>
    <row r="243" spans="1:9" x14ac:dyDescent="0.25">
      <c r="A243" s="37"/>
      <c r="B243" s="185">
        <v>567</v>
      </c>
      <c r="C243" s="179">
        <f>INDEX('[1]Full Program List'!B$2:B$300,MATCH(B243,'[1]Full Program List'!A$2:A$300,0))</f>
        <v>9</v>
      </c>
      <c r="D243" s="180" t="str">
        <f>INDEX('[1]Full Program List'!C$2:C$300,MATCH(B243,'[1]Full Program List'!A$2:A$300,0))</f>
        <v>MADAWASKA VALLEY, TOWNSHIP OF</v>
      </c>
      <c r="E243" s="181">
        <f>INDEX('[1]Gross Costs'!$S$5:$S$255,MATCH(B243,'[1]Gross Costs'!$B$5:$B$255,0))</f>
        <v>195195.07</v>
      </c>
      <c r="F243" s="182">
        <f>INDEX('[1]Gross Costs'!$T$5:$T$255,MATCH(B243,'[1]Gross Costs'!$B$5:$B$255,0))</f>
        <v>152</v>
      </c>
      <c r="G243" s="182">
        <f t="shared" si="6"/>
        <v>195043.07</v>
      </c>
      <c r="H243" s="186">
        <f>INDEX([1]Tonnes!$N$5:$N$255,MATCH(B243,[1]Tonnes!$B$5:$B$255,0))</f>
        <v>343.68793351840543</v>
      </c>
      <c r="I243" s="184">
        <f t="shared" si="7"/>
        <v>567.50048802500339</v>
      </c>
    </row>
    <row r="244" spans="1:9" x14ac:dyDescent="0.25">
      <c r="B244" s="185">
        <v>629</v>
      </c>
      <c r="C244" s="179">
        <f>INDEX('[1]Full Program List'!B$2:B$300,MATCH(B244,'[1]Full Program List'!A$2:A$300,0))</f>
        <v>9</v>
      </c>
      <c r="D244" s="180" t="str">
        <f>INDEX('[1]Full Program List'!C$2:C$300,MATCH(B244,'[1]Full Program List'!A$2:A$300,0))</f>
        <v>CENTRAL FRONTENAC, TOWNSHIP OF</v>
      </c>
      <c r="E244" s="181">
        <f>INDEX('[1]Gross Costs'!$S$5:$S$255,MATCH(B244,'[1]Gross Costs'!$B$5:$B$255,0))</f>
        <v>183277.62</v>
      </c>
      <c r="F244" s="182">
        <f>INDEX('[1]Gross Costs'!$T$5:$T$255,MATCH(B244,'[1]Gross Costs'!$B$5:$B$255,0))</f>
        <v>561.61</v>
      </c>
      <c r="G244" s="182">
        <f t="shared" si="6"/>
        <v>182716.01</v>
      </c>
      <c r="H244" s="186">
        <f>INDEX([1]Tonnes!$N$5:$N$255,MATCH(B244,[1]Tonnes!$B$5:$B$255,0))</f>
        <v>258.73</v>
      </c>
      <c r="I244" s="184">
        <f t="shared" si="7"/>
        <v>706.20341668921264</v>
      </c>
    </row>
    <row r="245" spans="1:9" x14ac:dyDescent="0.25">
      <c r="B245" s="185">
        <v>630</v>
      </c>
      <c r="C245" s="179">
        <f>INDEX('[1]Full Program List'!B$2:B$300,MATCH(B245,'[1]Full Program List'!A$2:A$300,0))</f>
        <v>9</v>
      </c>
      <c r="D245" s="180" t="str">
        <f>INDEX('[1]Full Program List'!C$2:C$300,MATCH(B245,'[1]Full Program List'!A$2:A$300,0))</f>
        <v>NORTH FRONTENAC, TOWNSHIP OF</v>
      </c>
      <c r="E245" s="181">
        <f>INDEX('[1]Gross Costs'!$S$5:$S$255,MATCH(B245,'[1]Gross Costs'!$B$5:$B$255,0))</f>
        <v>233180.61</v>
      </c>
      <c r="F245" s="182">
        <f>INDEX('[1]Gross Costs'!$T$5:$T$255,MATCH(B245,'[1]Gross Costs'!$B$5:$B$255,0))</f>
        <v>2518.79</v>
      </c>
      <c r="G245" s="182">
        <f t="shared" si="6"/>
        <v>230661.81999999998</v>
      </c>
      <c r="H245" s="186">
        <f>INDEX([1]Tonnes!$N$5:$N$255,MATCH(B245,[1]Tonnes!$B$5:$B$255,0))</f>
        <v>179.48000000000002</v>
      </c>
      <c r="I245" s="184">
        <f t="shared" si="7"/>
        <v>1285.1672609761531</v>
      </c>
    </row>
    <row r="246" spans="1:9" x14ac:dyDescent="0.25">
      <c r="B246" s="185">
        <v>695</v>
      </c>
      <c r="C246" s="179">
        <f>INDEX('[1]Full Program List'!B$2:B$300,MATCH(B246,'[1]Full Program List'!A$2:A$300,0))</f>
        <v>9</v>
      </c>
      <c r="D246" s="180" t="str">
        <f>INDEX('[1]Full Program List'!C$2:C$300,MATCH(B246,'[1]Full Program List'!A$2:A$300,0))</f>
        <v>CHIPPEWAS OF KETTLE AND STONY POINT FIRST NATIONS</v>
      </c>
      <c r="E246" s="181">
        <f>INDEX('[1]Gross Costs'!$S$5:$S$255,MATCH(B246,'[1]Gross Costs'!$B$5:$B$255,0))</f>
        <v>40518.69</v>
      </c>
      <c r="F246" s="182">
        <f>INDEX('[1]Gross Costs'!$T$5:$T$255,MATCH(B246,'[1]Gross Costs'!$B$5:$B$255,0))</f>
        <v>0</v>
      </c>
      <c r="G246" s="182">
        <f t="shared" si="6"/>
        <v>40518.69</v>
      </c>
      <c r="H246" s="186">
        <f>INDEX([1]Tonnes!$N$5:$N$255,MATCH(B246,[1]Tonnes!$B$5:$B$255,0))</f>
        <v>29.69831035912819</v>
      </c>
      <c r="I246" s="184">
        <f t="shared" si="7"/>
        <v>1364.3432744161494</v>
      </c>
    </row>
    <row r="247" spans="1:9" x14ac:dyDescent="0.25">
      <c r="B247" s="185">
        <v>771</v>
      </c>
      <c r="C247" s="179">
        <f>INDEX('[1]Full Program List'!B$2:B$300,MATCH(B247,'[1]Full Program List'!A$2:A$300,0))</f>
        <v>9</v>
      </c>
      <c r="D247" s="180" t="str">
        <f>INDEX('[1]Full Program List'!C$2:C$300,MATCH(B247,'[1]Full Program List'!A$2:A$300,0))</f>
        <v>FARADAY, TOWNSHIP OF</v>
      </c>
      <c r="E247" s="181">
        <f>INDEX('[1]Gross Costs'!$S$5:$S$255,MATCH(B247,'[1]Gross Costs'!$B$5:$B$255,0))</f>
        <v>63559.46</v>
      </c>
      <c r="F247" s="182">
        <f>INDEX('[1]Gross Costs'!$T$5:$T$255,MATCH(B247,'[1]Gross Costs'!$B$5:$B$255,0))</f>
        <v>0</v>
      </c>
      <c r="G247" s="182">
        <f t="shared" si="6"/>
        <v>63559.46</v>
      </c>
      <c r="H247" s="186">
        <f>INDEX([1]Tonnes!$N$5:$N$255,MATCH(B247,[1]Tonnes!$B$5:$B$255,0))</f>
        <v>176.36629506344221</v>
      </c>
      <c r="I247" s="184">
        <f t="shared" si="7"/>
        <v>360.38325790728032</v>
      </c>
    </row>
    <row r="248" spans="1:9" x14ac:dyDescent="0.25">
      <c r="B248" s="185">
        <v>830</v>
      </c>
      <c r="C248" s="179">
        <f>INDEX('[1]Full Program List'!B$2:B$300,MATCH(B248,'[1]Full Program List'!A$2:A$300,0))</f>
        <v>9</v>
      </c>
      <c r="D248" s="180" t="str">
        <f>INDEX('[1]Full Program List'!C$2:C$300,MATCH(B248,'[1]Full Program List'!A$2:A$300,0))</f>
        <v>Limerick, Township of</v>
      </c>
      <c r="E248" s="181">
        <f>INDEX('[1]Gross Costs'!$S$5:$S$255,MATCH(B248,'[1]Gross Costs'!$B$5:$B$255,0))</f>
        <v>25322.05</v>
      </c>
      <c r="F248" s="182">
        <f>INDEX('[1]Gross Costs'!$T$5:$T$255,MATCH(B248,'[1]Gross Costs'!$B$5:$B$255,0))</f>
        <v>0</v>
      </c>
      <c r="G248" s="182">
        <f t="shared" si="6"/>
        <v>25322.05</v>
      </c>
      <c r="H248" s="186">
        <f>INDEX([1]Tonnes!$N$5:$N$255,MATCH(B248,[1]Tonnes!$B$5:$B$255,0))</f>
        <v>22.210358152227126</v>
      </c>
      <c r="I248" s="184">
        <f t="shared" si="7"/>
        <v>1140.1009306759356</v>
      </c>
    </row>
    <row r="249" spans="1:9" x14ac:dyDescent="0.25">
      <c r="B249" s="185">
        <v>936</v>
      </c>
      <c r="C249" s="179">
        <f>INDEX('[1]Full Program List'!B$2:B$300,MATCH(B249,'[1]Full Program List'!A$2:A$300,0))</f>
        <v>9</v>
      </c>
      <c r="D249" s="180" t="str">
        <f>INDEX('[1]Full Program List'!C$2:C$300,MATCH(B249,'[1]Full Program List'!A$2:A$300,0))</f>
        <v>TUDOR &amp; CASHEL, TOWNSHIP OF</v>
      </c>
      <c r="E249" s="181">
        <f>INDEX('[1]Gross Costs'!$S$5:$S$255,MATCH(B249,'[1]Gross Costs'!$B$5:$B$255,0))</f>
        <v>69869.86</v>
      </c>
      <c r="F249" s="182">
        <f>INDEX('[1]Gross Costs'!$T$5:$T$255,MATCH(B249,'[1]Gross Costs'!$B$5:$B$255,0))</f>
        <v>0</v>
      </c>
      <c r="G249" s="182">
        <f t="shared" si="6"/>
        <v>69869.86</v>
      </c>
      <c r="H249" s="186">
        <f>INDEX([1]Tonnes!$N$5:$N$255,MATCH(B249,[1]Tonnes!$B$5:$B$255,0))</f>
        <v>43.383691867789167</v>
      </c>
      <c r="I249" s="184">
        <f t="shared" si="7"/>
        <v>1610.5097789493536</v>
      </c>
    </row>
    <row r="250" spans="1:9" x14ac:dyDescent="0.25">
      <c r="B250" s="185">
        <v>952</v>
      </c>
      <c r="C250" s="179">
        <f>INDEX('[1]Full Program List'!B$2:B$300,MATCH(B250,'[1]Full Program List'!A$2:A$300,0))</f>
        <v>9</v>
      </c>
      <c r="D250" s="180" t="str">
        <f>INDEX('[1]Full Program List'!C$2:C$300,MATCH(B250,'[1]Full Program List'!A$2:A$300,0))</f>
        <v>WOLLASTON, TOWNSHIP OF</v>
      </c>
      <c r="E250" s="181">
        <f>INDEX('[1]Gross Costs'!$S$5:$S$255,MATCH(B250,'[1]Gross Costs'!$B$5:$B$255,0))</f>
        <v>81300.5</v>
      </c>
      <c r="F250" s="182">
        <f>INDEX('[1]Gross Costs'!$T$5:$T$255,MATCH(B250,'[1]Gross Costs'!$B$5:$B$255,0))</f>
        <v>3878.1</v>
      </c>
      <c r="G250" s="182">
        <f t="shared" si="6"/>
        <v>77422.399999999994</v>
      </c>
      <c r="H250" s="186">
        <f>INDEX([1]Tonnes!$N$5:$N$255,MATCH(B250,[1]Tonnes!$B$5:$B$255,0))</f>
        <v>65.756366888363871</v>
      </c>
      <c r="I250" s="184">
        <f t="shared" si="7"/>
        <v>1177.4129816423986</v>
      </c>
    </row>
    <row r="251" spans="1:9" x14ac:dyDescent="0.25">
      <c r="B251" s="185">
        <v>982</v>
      </c>
      <c r="C251" s="179">
        <f>INDEX('[1]Full Program List'!B$2:B$300,MATCH(B251,'[1]Full Program List'!A$2:A$300,0))</f>
        <v>9</v>
      </c>
      <c r="D251" s="180" t="str">
        <f>INDEX('[1]Full Program List'!C$2:C$300,MATCH(B251,'[1]Full Program List'!A$2:A$300,0))</f>
        <v>WALPOLE ISLAND FIRST NATION</v>
      </c>
      <c r="E251" s="181">
        <f>INDEX('[1]Gross Costs'!$S$5:$S$255,MATCH(B251,'[1]Gross Costs'!$B$5:$B$255,0))</f>
        <v>107892.54</v>
      </c>
      <c r="F251" s="182">
        <f>INDEX('[1]Gross Costs'!$T$5:$T$255,MATCH(B251,'[1]Gross Costs'!$B$5:$B$255,0))</f>
        <v>0</v>
      </c>
      <c r="G251" s="182">
        <f t="shared" si="6"/>
        <v>107892.54</v>
      </c>
      <c r="H251" s="186">
        <f>INDEX([1]Tonnes!$N$5:$N$255,MATCH(B251,[1]Tonnes!$B$5:$B$255,0))</f>
        <v>97.412690933606555</v>
      </c>
      <c r="I251" s="184">
        <f t="shared" si="7"/>
        <v>1107.5819686937523</v>
      </c>
    </row>
    <row r="252" spans="1:9" x14ac:dyDescent="0.25">
      <c r="B252" s="185">
        <v>987</v>
      </c>
      <c r="C252" s="179">
        <f>INDEX('[1]Full Program List'!B$2:B$300,MATCH(B252,'[1]Full Program List'!A$2:A$300,0))</f>
        <v>9</v>
      </c>
      <c r="D252" s="180" t="str">
        <f>INDEX('[1]Full Program List'!C$2:C$300,MATCH(B252,'[1]Full Program List'!A$2:A$300,0))</f>
        <v>SIX NATIONS</v>
      </c>
      <c r="E252" s="181">
        <f>INDEX('[1]Gross Costs'!$S$5:$S$255,MATCH(B252,'[1]Gross Costs'!$B$5:$B$255,0))</f>
        <v>88557.58</v>
      </c>
      <c r="F252" s="182">
        <f>INDEX('[1]Gross Costs'!$T$5:$T$255,MATCH(B252,'[1]Gross Costs'!$B$5:$B$255,0))</f>
        <v>0</v>
      </c>
      <c r="G252" s="182">
        <f t="shared" si="6"/>
        <v>88557.58</v>
      </c>
      <c r="H252" s="186">
        <f>INDEX([1]Tonnes!$N$5:$N$255,MATCH(B252,[1]Tonnes!$B$5:$B$255,0))</f>
        <v>253.77541145224947</v>
      </c>
      <c r="I252" s="184">
        <f t="shared" si="7"/>
        <v>348.96044298863467</v>
      </c>
    </row>
    <row r="253" spans="1:9" x14ac:dyDescent="0.25">
      <c r="B253" s="185">
        <v>998</v>
      </c>
      <c r="C253" s="179">
        <f>INDEX('[1]Full Program List'!B$2:B$300,MATCH(B253,'[1]Full Program List'!A$2:A$300,0))</f>
        <v>9</v>
      </c>
      <c r="D253" s="180" t="str">
        <f>INDEX('[1]Full Program List'!C$2:C$300,MATCH(B253,'[1]Full Program List'!A$2:A$300,0))</f>
        <v>Beausoleil First Nation</v>
      </c>
      <c r="E253" s="181">
        <f>INDEX('[1]Gross Costs'!$S$5:$S$255,MATCH(B253,'[1]Gross Costs'!$B$5:$B$255,0))</f>
        <v>219857.96</v>
      </c>
      <c r="F253" s="182">
        <f>INDEX('[1]Gross Costs'!$T$5:$T$255,MATCH(B253,'[1]Gross Costs'!$B$5:$B$255,0))</f>
        <v>0</v>
      </c>
      <c r="G253" s="182">
        <f t="shared" si="6"/>
        <v>219857.96</v>
      </c>
      <c r="H253" s="186">
        <f>INDEX([1]Tonnes!$N$5:$N$255,MATCH(B253,[1]Tonnes!$B$5:$B$255,0))</f>
        <v>43.600114358919271</v>
      </c>
      <c r="I253" s="184">
        <f t="shared" si="7"/>
        <v>5042.6005351755157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1E64-16BC-4EC1-B482-C57C011ABFB6}">
  <sheetPr codeName="Sheet31">
    <tabColor theme="8" tint="0.59999389629810485"/>
  </sheetPr>
  <dimension ref="B1:AF270"/>
  <sheetViews>
    <sheetView workbookViewId="0"/>
  </sheetViews>
  <sheetFormatPr defaultColWidth="9.125" defaultRowHeight="14.3" x14ac:dyDescent="0.25"/>
  <cols>
    <col min="1" max="1" width="5.75" style="18" customWidth="1"/>
    <col min="2" max="2" width="11.5" style="1" customWidth="1"/>
    <col min="3" max="3" width="13.875" style="1" customWidth="1"/>
    <col min="4" max="4" width="58.5" style="18" customWidth="1"/>
    <col min="5" max="5" width="16.25" style="18" customWidth="1"/>
    <col min="6" max="6" width="17.75" style="18" customWidth="1"/>
    <col min="7" max="7" width="16.25" style="18" customWidth="1"/>
    <col min="8" max="10" width="14.75" style="18" customWidth="1"/>
    <col min="11" max="11" width="15.5" style="18" customWidth="1"/>
    <col min="12" max="24" width="14.75" style="18" customWidth="1"/>
    <col min="25" max="25" width="17.5" style="18" customWidth="1"/>
    <col min="26" max="26" width="20.75" style="18" customWidth="1"/>
    <col min="27" max="27" width="22.875" style="18" customWidth="1"/>
    <col min="28" max="28" width="5.75" style="29" customWidth="1"/>
    <col min="29" max="32" width="19.125" style="18" customWidth="1"/>
    <col min="33" max="34" width="12.75" style="18" customWidth="1"/>
    <col min="35" max="16384" width="9.125" style="18"/>
  </cols>
  <sheetData>
    <row r="1" spans="2:27" ht="58.6" customHeight="1" thickBot="1" x14ac:dyDescent="0.3">
      <c r="D1" s="43"/>
      <c r="X1" s="29"/>
      <c r="Y1" s="29"/>
      <c r="Z1" s="29"/>
      <c r="AA1" s="29"/>
    </row>
    <row r="2" spans="2:27" ht="43.5" thickBot="1" x14ac:dyDescent="0.3">
      <c r="B2" s="212" t="s">
        <v>350</v>
      </c>
      <c r="C2" s="213"/>
      <c r="D2" s="213"/>
      <c r="E2" s="213"/>
      <c r="F2" s="213"/>
      <c r="G2" s="213"/>
      <c r="H2" s="213"/>
      <c r="I2" s="213"/>
      <c r="J2" s="213"/>
      <c r="K2" s="214"/>
      <c r="L2" s="141"/>
      <c r="M2" s="141"/>
      <c r="N2" s="102"/>
      <c r="O2" s="102"/>
      <c r="P2" s="102"/>
      <c r="R2" s="46" t="s">
        <v>22</v>
      </c>
      <c r="S2" s="15">
        <v>0.9</v>
      </c>
      <c r="T2" s="118" t="s">
        <v>23</v>
      </c>
      <c r="U2" s="118" t="s">
        <v>24</v>
      </c>
      <c r="V2" s="118" t="s">
        <v>25</v>
      </c>
      <c r="W2" s="44"/>
      <c r="X2" s="142"/>
      <c r="Y2" s="142"/>
      <c r="Z2" s="29"/>
      <c r="AA2" s="29"/>
    </row>
    <row r="3" spans="2:27" ht="14.95" thickBot="1" x14ac:dyDescent="0.3">
      <c r="B3" s="23"/>
      <c r="N3" s="102"/>
      <c r="O3" s="102"/>
      <c r="P3" s="102"/>
      <c r="S3" s="47">
        <v>1</v>
      </c>
      <c r="T3" s="158">
        <f>SUMPRODUCT(--($C$26:$C$300=$S3),$F$26:$F$300)</f>
        <v>370429.71</v>
      </c>
      <c r="U3" s="48">
        <f>INDEX('Revised 2019 MFAM Cost Bands'!M$6:M$300,MATCH(S3,'Revised 2019 MFAM Cost Bands'!C$6:C$300,0))</f>
        <v>310.11560471215978</v>
      </c>
      <c r="V3" s="101">
        <f>INDEX('Revised 2019 MFAM Cost Bands'!R$6:R$300,MATCH(S3,'Revised 2019 MFAM Cost Bands'!C$6:C$300,0))</f>
        <v>420.3402844639329</v>
      </c>
      <c r="W3" s="136"/>
      <c r="X3" s="29"/>
      <c r="Y3" s="27"/>
      <c r="Z3" s="29"/>
      <c r="AA3" s="29"/>
    </row>
    <row r="4" spans="2:27" x14ac:dyDescent="0.25">
      <c r="D4" s="225" t="s">
        <v>351</v>
      </c>
      <c r="E4" s="226"/>
      <c r="F4" s="226"/>
      <c r="G4" s="226"/>
      <c r="H4" s="226"/>
      <c r="I4" s="226"/>
      <c r="J4" s="226"/>
      <c r="K4" s="227"/>
      <c r="L4" s="143"/>
      <c r="M4" s="108"/>
      <c r="N4" s="102"/>
      <c r="O4" s="102"/>
      <c r="P4" s="102"/>
      <c r="S4" s="54">
        <v>2</v>
      </c>
      <c r="T4" s="156">
        <f t="shared" ref="T4:T11" si="0">SUMPRODUCT(--($C$26:$C$300=$S4),$F$26:$F$300)</f>
        <v>223811.84</v>
      </c>
      <c r="U4" s="55">
        <f>INDEX('Revised 2019 MFAM Cost Bands'!M$6:M$300,MATCH(S4,'Revised 2019 MFAM Cost Bands'!C$6:C$300,0))</f>
        <v>182.19941965536765</v>
      </c>
      <c r="V4" s="119">
        <f>INDEX('Revised 2019 MFAM Cost Bands'!R$6:R$300,MATCH(S4,'Revised 2019 MFAM Cost Bands'!C$6:C$300,0))</f>
        <v>269.03474500664686</v>
      </c>
      <c r="W4" s="136"/>
      <c r="X4" s="29"/>
      <c r="Y4" s="27"/>
      <c r="Z4" s="29"/>
      <c r="AA4" s="29"/>
    </row>
    <row r="5" spans="2:27" x14ac:dyDescent="0.25">
      <c r="D5" s="56"/>
      <c r="E5" s="57"/>
      <c r="F5" s="57"/>
      <c r="G5" s="57"/>
      <c r="H5" s="57"/>
      <c r="I5" s="57"/>
      <c r="J5" s="57"/>
      <c r="K5" s="58"/>
      <c r="L5" s="57"/>
      <c r="M5" s="57"/>
      <c r="N5" s="59"/>
      <c r="O5" s="59"/>
      <c r="P5" s="59"/>
      <c r="Q5" s="60"/>
      <c r="S5" s="54">
        <v>3</v>
      </c>
      <c r="T5" s="156">
        <f t="shared" si="0"/>
        <v>49538.31</v>
      </c>
      <c r="U5" s="55">
        <f>INDEX('Revised 2019 MFAM Cost Bands'!M$6:M$300,MATCH(S5,'Revised 2019 MFAM Cost Bands'!C$6:C$300,0))</f>
        <v>257.03293955728407</v>
      </c>
      <c r="V5" s="119">
        <f>INDEX('Revised 2019 MFAM Cost Bands'!R$6:R$300,MATCH(S5,'Revised 2019 MFAM Cost Bands'!C$6:C$300,0))</f>
        <v>457.86925060834346</v>
      </c>
      <c r="W5" s="136"/>
      <c r="X5" s="29"/>
      <c r="Y5" s="27"/>
      <c r="Z5" s="29"/>
      <c r="AA5" s="29"/>
    </row>
    <row r="6" spans="2:27" x14ac:dyDescent="0.25">
      <c r="D6" s="62" t="s">
        <v>29</v>
      </c>
      <c r="E6" s="132">
        <v>126371649.66</v>
      </c>
      <c r="F6" s="132"/>
      <c r="G6" s="132"/>
      <c r="H6" s="44"/>
      <c r="I6" s="44"/>
      <c r="J6" s="44"/>
      <c r="K6" s="50"/>
      <c r="L6" s="44"/>
      <c r="M6" s="44"/>
      <c r="N6" s="59"/>
      <c r="O6" s="59"/>
      <c r="P6" s="59"/>
      <c r="Q6" s="60"/>
      <c r="S6" s="54">
        <v>4</v>
      </c>
      <c r="T6" s="156">
        <f t="shared" si="0"/>
        <v>99558.488399999987</v>
      </c>
      <c r="U6" s="55">
        <f>INDEX('Revised 2019 MFAM Cost Bands'!M$6:M$300,MATCH(S6,'Revised 2019 MFAM Cost Bands'!C$6:C$300,0))</f>
        <v>352.71234160280807</v>
      </c>
      <c r="V6" s="119">
        <f>INDEX('Revised 2019 MFAM Cost Bands'!R$6:R$300,MATCH(S6,'Revised 2019 MFAM Cost Bands'!C$6:C$300,0))</f>
        <v>520.85506757931932</v>
      </c>
      <c r="W6" s="136"/>
      <c r="X6" s="29"/>
      <c r="Y6" s="27"/>
      <c r="Z6" s="29"/>
      <c r="AA6" s="29"/>
    </row>
    <row r="7" spans="2:27" x14ac:dyDescent="0.25">
      <c r="D7" s="62"/>
      <c r="E7" s="44"/>
      <c r="F7" s="44"/>
      <c r="G7" s="44"/>
      <c r="H7" s="44"/>
      <c r="I7" s="44"/>
      <c r="J7" s="44"/>
      <c r="K7" s="50"/>
      <c r="L7" s="44"/>
      <c r="M7" s="44"/>
      <c r="N7" s="59"/>
      <c r="O7" s="59"/>
      <c r="P7" s="59"/>
      <c r="Q7" s="60"/>
      <c r="S7" s="54">
        <v>5</v>
      </c>
      <c r="T7" s="156">
        <f t="shared" si="0"/>
        <v>19106.072532801383</v>
      </c>
      <c r="U7" s="55">
        <f>INDEX('Revised 2019 MFAM Cost Bands'!M$6:M$300,MATCH(S7,'Revised 2019 MFAM Cost Bands'!C$6:C$300,0))</f>
        <v>259.50408287668267</v>
      </c>
      <c r="V7" s="119">
        <f>INDEX('Revised 2019 MFAM Cost Bands'!R$6:R$300,MATCH(S7,'Revised 2019 MFAM Cost Bands'!C$6:C$300,0))</f>
        <v>416.47205103805584</v>
      </c>
      <c r="W7" s="136"/>
      <c r="X7" s="29"/>
      <c r="Y7" s="27"/>
      <c r="Z7" s="29"/>
      <c r="AA7" s="29"/>
    </row>
    <row r="8" spans="2:27" ht="14.95" thickBot="1" x14ac:dyDescent="0.3">
      <c r="D8" s="62" t="s">
        <v>32</v>
      </c>
      <c r="E8" s="63">
        <v>-5112007.16</v>
      </c>
      <c r="F8" s="63"/>
      <c r="G8" s="228" t="s">
        <v>369</v>
      </c>
      <c r="H8" s="228"/>
      <c r="I8" s="190">
        <v>-4895789</v>
      </c>
      <c r="J8" s="63"/>
      <c r="K8" s="50"/>
      <c r="L8" s="44"/>
      <c r="M8" s="44"/>
      <c r="N8" s="59"/>
      <c r="O8" s="59"/>
      <c r="P8" s="59"/>
      <c r="Q8" s="60"/>
      <c r="S8" s="54">
        <v>6</v>
      </c>
      <c r="T8" s="156">
        <f t="shared" si="0"/>
        <v>9976.5123426229184</v>
      </c>
      <c r="U8" s="55">
        <f>INDEX('Revised 2019 MFAM Cost Bands'!M$6:M$300,MATCH(S8,'Revised 2019 MFAM Cost Bands'!C$6:C$300,0))</f>
        <v>637.30255139727626</v>
      </c>
      <c r="V8" s="119">
        <f>INDEX('Revised 2019 MFAM Cost Bands'!R$6:R$300,MATCH(S8,'Revised 2019 MFAM Cost Bands'!C$6:C$300,0))</f>
        <v>1040.9329630986604</v>
      </c>
      <c r="W8" s="136"/>
      <c r="X8" s="29"/>
      <c r="Y8" s="121"/>
      <c r="Z8" s="29"/>
      <c r="AA8" s="29"/>
    </row>
    <row r="9" spans="2:27" ht="14.95" thickTop="1" x14ac:dyDescent="0.25">
      <c r="D9" s="65" t="s">
        <v>34</v>
      </c>
      <c r="E9" s="63">
        <v>0</v>
      </c>
      <c r="F9" s="63"/>
      <c r="G9" s="229" t="s">
        <v>370</v>
      </c>
      <c r="H9" s="229"/>
      <c r="I9" s="25">
        <f>I8-E8</f>
        <v>216218.16000000015</v>
      </c>
      <c r="J9" s="20"/>
      <c r="K9" s="66"/>
      <c r="L9" s="20"/>
      <c r="M9" s="20"/>
      <c r="N9" s="59"/>
      <c r="O9" s="59"/>
      <c r="P9" s="59"/>
      <c r="Q9" s="60"/>
      <c r="S9" s="54">
        <v>7</v>
      </c>
      <c r="T9" s="156">
        <f t="shared" si="0"/>
        <v>37096.826068977622</v>
      </c>
      <c r="U9" s="55">
        <f>INDEX('Revised 2019 MFAM Cost Bands'!M$6:M$300,MATCH(S9,'Revised 2019 MFAM Cost Bands'!C$6:C$300,0))</f>
        <v>433.66463751068204</v>
      </c>
      <c r="V9" s="119">
        <f>INDEX('Revised 2019 MFAM Cost Bands'!R$6:R$300,MATCH(S9,'Revised 2019 MFAM Cost Bands'!C$6:C$300,0))</f>
        <v>603.86505352200527</v>
      </c>
      <c r="W9" s="136"/>
      <c r="X9" s="29"/>
      <c r="Y9" s="27"/>
      <c r="Z9" s="29"/>
      <c r="AA9" s="29"/>
    </row>
    <row r="10" spans="2:27" ht="14.95" thickBot="1" x14ac:dyDescent="0.3">
      <c r="D10" s="62" t="s">
        <v>60</v>
      </c>
      <c r="E10" s="69">
        <f>E6+E8+E9</f>
        <v>121259642.5</v>
      </c>
      <c r="F10" s="109"/>
      <c r="G10" s="230" t="s">
        <v>371</v>
      </c>
      <c r="H10" s="230"/>
      <c r="I10" s="190">
        <f>'[2]2020 Funding'!$AD$23</f>
        <v>216218.16000000015</v>
      </c>
      <c r="J10" s="44"/>
      <c r="K10" s="50"/>
      <c r="L10" s="44"/>
      <c r="M10" s="44"/>
      <c r="N10" s="59"/>
      <c r="O10" s="59"/>
      <c r="P10" s="59"/>
      <c r="Q10" s="60"/>
      <c r="S10" s="54">
        <v>8</v>
      </c>
      <c r="T10" s="156">
        <f t="shared" si="0"/>
        <v>4567.8781337957134</v>
      </c>
      <c r="U10" s="55">
        <f>INDEX('Revised 2019 MFAM Cost Bands'!M$6:M$300,MATCH(S10,'Revised 2019 MFAM Cost Bands'!C$6:C$300,0))</f>
        <v>799.19769378052001</v>
      </c>
      <c r="V10" s="119">
        <f>INDEX('Revised 2019 MFAM Cost Bands'!R$6:R$300,MATCH(S10,'Revised 2019 MFAM Cost Bands'!C$6:C$300,0))</f>
        <v>1749.9268177827719</v>
      </c>
      <c r="W10" s="137"/>
      <c r="X10" s="70"/>
      <c r="Y10" s="76"/>
      <c r="Z10" s="70"/>
      <c r="AA10" s="29"/>
    </row>
    <row r="11" spans="2:27" ht="15.65" thickTop="1" thickBot="1" x14ac:dyDescent="0.3">
      <c r="D11" s="62" t="s">
        <v>36</v>
      </c>
      <c r="E11" s="44">
        <f>E10-E9</f>
        <v>121259642.5</v>
      </c>
      <c r="F11" s="44"/>
      <c r="G11" s="231" t="s">
        <v>372</v>
      </c>
      <c r="H11" s="231"/>
      <c r="I11" s="25">
        <f>I10-I9</f>
        <v>0</v>
      </c>
      <c r="J11" s="71"/>
      <c r="K11" s="50"/>
      <c r="L11" s="44"/>
      <c r="M11" s="44"/>
      <c r="N11" s="59"/>
      <c r="O11" s="59"/>
      <c r="P11" s="59"/>
      <c r="Q11" s="60"/>
      <c r="S11" s="72">
        <v>9</v>
      </c>
      <c r="T11" s="159">
        <f t="shared" si="0"/>
        <v>8565.0270051616535</v>
      </c>
      <c r="U11" s="74">
        <f>INDEX('Revised 2019 MFAM Cost Bands'!M$6:M$300,MATCH(S11,'Revised 2019 MFAM Cost Bands'!C$6:C$300,0))</f>
        <v>527.12442322472145</v>
      </c>
      <c r="V11" s="120">
        <f>INDEX('Revised 2019 MFAM Cost Bands'!R$6:R$300,MATCH(S11,'Revised 2019 MFAM Cost Bands'!C$6:C$300,0))</f>
        <v>1007.1597363147844</v>
      </c>
      <c r="W11" s="137"/>
      <c r="X11" s="70"/>
      <c r="Y11" s="70"/>
      <c r="Z11" s="70"/>
      <c r="AA11" s="29"/>
    </row>
    <row r="12" spans="2:27" x14ac:dyDescent="0.25">
      <c r="D12" s="49"/>
      <c r="E12" s="20"/>
      <c r="F12" s="20"/>
      <c r="G12" s="20"/>
      <c r="H12" s="20"/>
      <c r="I12" s="20"/>
      <c r="J12" s="20"/>
      <c r="K12" s="66"/>
      <c r="L12" s="20"/>
      <c r="M12" s="20"/>
      <c r="N12" s="60"/>
      <c r="O12" s="60"/>
      <c r="P12" s="60"/>
      <c r="Q12" s="60"/>
      <c r="R12" s="60"/>
      <c r="S12" s="102"/>
      <c r="T12" s="102"/>
      <c r="W12" s="70"/>
      <c r="X12" s="70"/>
      <c r="Y12" s="75"/>
      <c r="Z12" s="70"/>
      <c r="AA12" s="29"/>
    </row>
    <row r="13" spans="2:27" x14ac:dyDescent="0.25">
      <c r="D13" s="222" t="s">
        <v>352</v>
      </c>
      <c r="E13" s="223"/>
      <c r="F13" s="223"/>
      <c r="G13" s="223"/>
      <c r="H13" s="223"/>
      <c r="I13" s="223"/>
      <c r="J13" s="223"/>
      <c r="K13" s="224"/>
      <c r="L13" s="57"/>
      <c r="M13" s="57"/>
      <c r="N13" s="59"/>
      <c r="O13" s="59"/>
      <c r="P13" s="59"/>
      <c r="Q13" s="60"/>
      <c r="R13" s="76"/>
      <c r="S13" s="102"/>
      <c r="T13" s="160"/>
      <c r="U13" s="102"/>
      <c r="W13" s="70"/>
      <c r="X13" s="70"/>
      <c r="Y13" s="70"/>
      <c r="Z13" s="70"/>
    </row>
    <row r="14" spans="2:27" x14ac:dyDescent="0.25">
      <c r="D14" s="62" t="s">
        <v>50</v>
      </c>
      <c r="E14" s="17">
        <f>$E$11*K14</f>
        <v>60629821.25</v>
      </c>
      <c r="F14" s="17"/>
      <c r="G14" s="17"/>
      <c r="H14" s="17"/>
      <c r="I14" s="17"/>
      <c r="J14" s="17"/>
      <c r="K14" s="77">
        <v>0.5</v>
      </c>
      <c r="L14" s="110"/>
      <c r="M14" s="110"/>
      <c r="N14" s="102"/>
      <c r="O14" s="102"/>
      <c r="P14" s="102"/>
      <c r="Q14" s="102"/>
      <c r="R14" s="102"/>
      <c r="S14" s="102"/>
      <c r="W14" s="70"/>
      <c r="X14" s="70"/>
      <c r="Y14" s="70"/>
      <c r="Z14" s="70"/>
    </row>
    <row r="15" spans="2:27" x14ac:dyDescent="0.25">
      <c r="D15" s="62" t="s">
        <v>49</v>
      </c>
      <c r="E15" s="17">
        <f>$E$11*K15</f>
        <v>42440874.875</v>
      </c>
      <c r="F15" s="17"/>
      <c r="G15" s="17"/>
      <c r="H15" s="78">
        <f>E15/E19</f>
        <v>51.590397610210076</v>
      </c>
      <c r="I15" s="78"/>
      <c r="J15" s="78"/>
      <c r="K15" s="77">
        <v>0.35</v>
      </c>
      <c r="L15" s="110"/>
      <c r="M15" s="110"/>
      <c r="N15" s="102"/>
      <c r="O15" s="102"/>
      <c r="P15" s="102"/>
      <c r="Q15" s="102"/>
      <c r="R15" s="102"/>
      <c r="S15" s="102"/>
      <c r="T15" s="102"/>
    </row>
    <row r="16" spans="2:27" x14ac:dyDescent="0.25">
      <c r="D16" s="62" t="s">
        <v>48</v>
      </c>
      <c r="E16" s="79">
        <f>$E$11*K16</f>
        <v>18188946.375</v>
      </c>
      <c r="F16" s="17"/>
      <c r="G16" s="17"/>
      <c r="H16" s="17"/>
      <c r="I16" s="17"/>
      <c r="J16" s="17"/>
      <c r="K16" s="77">
        <v>0.15</v>
      </c>
      <c r="L16" s="110"/>
      <c r="M16" s="110"/>
      <c r="N16" s="102"/>
      <c r="O16" s="102"/>
      <c r="P16" s="102"/>
      <c r="Q16" s="102"/>
      <c r="R16" s="102"/>
      <c r="S16" s="102"/>
      <c r="T16" s="80"/>
    </row>
    <row r="17" spans="2:32" ht="14.95" thickBot="1" x14ac:dyDescent="0.3">
      <c r="D17" s="62" t="s">
        <v>47</v>
      </c>
      <c r="E17" s="81">
        <f>E14+E15+E16</f>
        <v>121259642.5</v>
      </c>
      <c r="F17" s="17"/>
      <c r="G17" s="17"/>
      <c r="H17" s="17"/>
      <c r="I17" s="17"/>
      <c r="J17" s="17"/>
      <c r="K17" s="82"/>
      <c r="L17" s="17"/>
      <c r="M17" s="17"/>
      <c r="N17" s="102"/>
      <c r="O17" s="102"/>
      <c r="P17" s="102"/>
      <c r="Q17" s="102"/>
      <c r="R17" s="102"/>
      <c r="S17" s="102"/>
      <c r="U17" s="15">
        <v>0.5</v>
      </c>
      <c r="V17" s="15">
        <v>0.35</v>
      </c>
      <c r="W17" s="15">
        <v>0.15</v>
      </c>
      <c r="X17" s="15"/>
    </row>
    <row r="18" spans="2:32" ht="15.65" thickTop="1" thickBot="1" x14ac:dyDescent="0.3">
      <c r="D18" s="49"/>
      <c r="E18" s="17"/>
      <c r="F18" s="17"/>
      <c r="G18" s="17"/>
      <c r="H18" s="17"/>
      <c r="I18" s="17"/>
      <c r="J18" s="17"/>
      <c r="K18" s="82"/>
      <c r="L18" s="17"/>
      <c r="M18" s="17"/>
      <c r="N18" s="44"/>
      <c r="O18" s="44"/>
      <c r="P18" s="44"/>
      <c r="T18" s="102"/>
      <c r="U18" s="219" t="str">
        <f>"Model Funding Distribution Basis:   "&amp;TEXT(U17,"#,##0%")&amp;" Adjusted Net Costs, "&amp;TEXT(V17,"#,##0%")&amp;" Recovered Tonnage, "&amp;TEXT(W17,"#,##0%")&amp;" BP"</f>
        <v>Model Funding Distribution Basis:   50% Adjusted Net Costs, 35% Recovered Tonnage, 15% BP</v>
      </c>
      <c r="V18" s="220"/>
      <c r="W18" s="220"/>
      <c r="X18" s="220"/>
      <c r="Y18" s="220"/>
      <c r="Z18" s="220"/>
      <c r="AA18" s="221"/>
      <c r="AB18" s="83"/>
    </row>
    <row r="19" spans="2:32" ht="14.95" thickBot="1" x14ac:dyDescent="0.3">
      <c r="D19" s="84" t="s">
        <v>37</v>
      </c>
      <c r="E19" s="159">
        <f>F24</f>
        <v>822650.66448335873</v>
      </c>
      <c r="F19" s="159"/>
      <c r="G19" s="159"/>
      <c r="H19" s="159"/>
      <c r="I19" s="159"/>
      <c r="J19" s="159"/>
      <c r="K19" s="161"/>
      <c r="L19" s="156"/>
      <c r="M19" s="156"/>
      <c r="N19" s="44"/>
      <c r="O19" s="44"/>
      <c r="P19" s="44"/>
      <c r="T19" s="102"/>
      <c r="U19" s="124"/>
      <c r="V19" s="125"/>
      <c r="W19" s="125"/>
      <c r="X19" s="125"/>
      <c r="Y19" s="125"/>
      <c r="Z19" s="126">
        <f>75%</f>
        <v>0.75</v>
      </c>
      <c r="AA19" s="131" cm="1">
        <f t="array" ref="AA19">SUMPRODUCT(--(Z$26:Z$300&lt;Z$19-0.5%),Y$26:Y$300)</f>
        <v>114658244.64733012</v>
      </c>
      <c r="AB19" s="86"/>
    </row>
    <row r="20" spans="2:32" x14ac:dyDescent="0.25">
      <c r="N20" s="44"/>
      <c r="O20" s="44"/>
      <c r="P20" s="44"/>
      <c r="U20" s="128"/>
      <c r="V20" s="127"/>
      <c r="W20" s="127"/>
      <c r="X20" s="127"/>
      <c r="Y20" s="127"/>
      <c r="Z20" s="129"/>
      <c r="AA20" s="131"/>
      <c r="AB20" s="87"/>
    </row>
    <row r="21" spans="2:32" x14ac:dyDescent="0.25">
      <c r="M21" s="25"/>
      <c r="N21" s="44"/>
      <c r="O21" s="44"/>
      <c r="P21" s="44"/>
      <c r="U21" s="128"/>
      <c r="V21" s="127"/>
      <c r="W21" s="127"/>
      <c r="X21" s="127"/>
      <c r="Y21" s="127"/>
      <c r="Z21" s="127"/>
      <c r="AA21" s="131"/>
      <c r="AB21" s="86"/>
    </row>
    <row r="22" spans="2:32" x14ac:dyDescent="0.25">
      <c r="E22" s="157"/>
      <c r="I22" s="25"/>
      <c r="N22" s="44"/>
      <c r="O22" s="44"/>
      <c r="P22" s="44"/>
      <c r="U22" s="128"/>
      <c r="V22" s="127"/>
      <c r="W22" s="130"/>
      <c r="X22" s="130"/>
      <c r="Y22" s="130"/>
      <c r="Z22" s="127" cm="1">
        <f t="array" ref="Z22">SUMPRODUCT(--($Z$26:$Z$300&lt;Z19),Y26:Y300)</f>
        <v>114658244.64733012</v>
      </c>
      <c r="AA22" s="131" cm="1">
        <f t="array" ref="AA22">SUMPRODUCT(--(Z$26:Z$300&gt;Z$19),Y$26:Y$300)-SUMPRODUCT(--(Z$26:Z$300&gt;Z$19),$S$26:$S$300)*Z$19</f>
        <v>289410.99266990554</v>
      </c>
      <c r="AB22" s="86"/>
    </row>
    <row r="23" spans="2:32" ht="14.95" thickBot="1" x14ac:dyDescent="0.3">
      <c r="D23" s="20"/>
      <c r="E23" s="156"/>
      <c r="F23" s="24"/>
      <c r="G23" s="156"/>
      <c r="H23" s="156"/>
      <c r="I23" s="156"/>
      <c r="J23" s="156"/>
      <c r="K23" s="156"/>
      <c r="L23" s="156"/>
      <c r="M23" s="156"/>
      <c r="N23" s="17"/>
      <c r="O23" s="17"/>
      <c r="P23" s="17"/>
      <c r="Q23" s="146"/>
      <c r="S23" s="88">
        <v>244990724.68231803</v>
      </c>
      <c r="U23" s="128"/>
      <c r="V23" s="127"/>
      <c r="W23" s="127">
        <f>E16-W24</f>
        <v>3522110.8122636173</v>
      </c>
      <c r="X23" s="130"/>
      <c r="Y23" s="130"/>
      <c r="Z23" s="127" cm="1">
        <f t="array" ref="Z23">SUMPRODUCT(--($Z$26:$Z$300&gt;$Z$19),$Y$26:$Y$300)-$Z$19*SUMPRODUCT(--($Z$26:$Z$300&gt;$Z$19),$S$26:$S$300)</f>
        <v>289410.99266990554</v>
      </c>
      <c r="AA23" s="131">
        <f>SUM(AA26:AA300)</f>
        <v>121259642.50000012</v>
      </c>
      <c r="AB23" s="86"/>
    </row>
    <row r="24" spans="2:32" ht="14.95" thickBot="1" x14ac:dyDescent="0.3">
      <c r="E24" s="157">
        <f t="shared" ref="E24:P24" si="1">SUM(E26:E300)</f>
        <v>822979.37035411026</v>
      </c>
      <c r="F24" s="157">
        <f t="shared" si="1"/>
        <v>822650.66448335873</v>
      </c>
      <c r="G24" s="157">
        <f t="shared" si="1"/>
        <v>-328.70587075108381</v>
      </c>
      <c r="H24" s="157">
        <f t="shared" si="1"/>
        <v>355059623.55999994</v>
      </c>
      <c r="I24" s="5">
        <f t="shared" si="1"/>
        <v>351407784.0399999</v>
      </c>
      <c r="J24" s="5">
        <f t="shared" si="1"/>
        <v>-3651839.5200000089</v>
      </c>
      <c r="K24" s="5">
        <f t="shared" si="1"/>
        <v>111844766.52</v>
      </c>
      <c r="L24" s="5">
        <f t="shared" si="1"/>
        <v>112335663.32999998</v>
      </c>
      <c r="M24" s="5">
        <f t="shared" si="1"/>
        <v>490896.81000000285</v>
      </c>
      <c r="N24" s="5">
        <f t="shared" si="1"/>
        <v>243214857.03999981</v>
      </c>
      <c r="O24" s="5">
        <f t="shared" si="1"/>
        <v>239072120.70999986</v>
      </c>
      <c r="P24" s="5">
        <f t="shared" si="1"/>
        <v>-4142736.3300000066</v>
      </c>
      <c r="R24" s="18" t="s">
        <v>12</v>
      </c>
      <c r="S24" s="17">
        <f>SUM(S26:S300)</f>
        <v>235494225.79248571</v>
      </c>
      <c r="T24" s="90"/>
      <c r="U24" s="91">
        <f>SUM(U26:U300)</f>
        <v>60629821.25</v>
      </c>
      <c r="V24" s="92">
        <f>SUM(V26:V300)</f>
        <v>42440874.875000007</v>
      </c>
      <c r="W24" s="92">
        <f>IFERROR(SUM(W26:W300),0)</f>
        <v>14666835.562736383</v>
      </c>
      <c r="X24" s="92">
        <f>SUM(X26:X300)</f>
        <v>3522110.8122636196</v>
      </c>
      <c r="Y24" s="92">
        <f>SUM(Y26:Y300)</f>
        <v>121259642.50000003</v>
      </c>
      <c r="Z24" s="217" t="str">
        <f xml:space="preserve"> "Limit: "&amp;TEXT(Z19,"#,##0.0%")&amp;" of Filtered Net Cost"</f>
        <v>Limit: 75.0% of Filtered Net Cost</v>
      </c>
      <c r="AA24" s="218"/>
      <c r="AB24" s="83"/>
      <c r="AC24" s="17">
        <f>SUM(AC26:AC300)</f>
        <v>121259642.49999994</v>
      </c>
    </row>
    <row r="25" spans="2:32" ht="65.25" customHeight="1" thickBot="1" x14ac:dyDescent="0.3">
      <c r="B25" s="105" t="s">
        <v>11</v>
      </c>
      <c r="C25" s="105" t="s">
        <v>10</v>
      </c>
      <c r="D25" s="105" t="s">
        <v>9</v>
      </c>
      <c r="E25" s="134" t="s">
        <v>359</v>
      </c>
      <c r="F25" s="111" t="s">
        <v>360</v>
      </c>
      <c r="G25" s="112" t="s">
        <v>54</v>
      </c>
      <c r="H25" s="134" t="s">
        <v>361</v>
      </c>
      <c r="I25" s="111" t="s">
        <v>353</v>
      </c>
      <c r="J25" s="112" t="s">
        <v>54</v>
      </c>
      <c r="K25" s="134" t="s">
        <v>362</v>
      </c>
      <c r="L25" s="111" t="s">
        <v>354</v>
      </c>
      <c r="M25" s="112" t="s">
        <v>54</v>
      </c>
      <c r="N25" s="106" t="s">
        <v>363</v>
      </c>
      <c r="O25" s="111" t="s">
        <v>355</v>
      </c>
      <c r="P25" s="112" t="s">
        <v>54</v>
      </c>
      <c r="Q25" s="106" t="s">
        <v>8</v>
      </c>
      <c r="R25" s="106" t="s">
        <v>1</v>
      </c>
      <c r="S25" s="106" t="str">
        <f>"Adjusted Net Cost"&amp;CHAR(10)&amp;TEXT(SUM(S26:S306),"$#,##0")</f>
        <v>Adjusted Net Cost
$235,494,226</v>
      </c>
      <c r="T25" s="134" t="s">
        <v>38</v>
      </c>
      <c r="U25" s="106" t="s">
        <v>39</v>
      </c>
      <c r="V25" s="106" t="s">
        <v>40</v>
      </c>
      <c r="W25" s="151" t="s">
        <v>41</v>
      </c>
      <c r="X25" s="106" t="s">
        <v>42</v>
      </c>
      <c r="Y25" s="106" t="str">
        <f>"Subtotal Funding Net of CIF"&amp;CHAR(10)&amp;TEXT(SUM(Y26:Y306),"$#,##0")</f>
        <v>Subtotal Funding Net of CIF
$121,259,643</v>
      </c>
      <c r="Z25" s="151" t="s">
        <v>43</v>
      </c>
      <c r="AA25" s="106" t="str">
        <f>"Total 2017 Adjusted Payment"&amp;CHAR(10)&amp;TEXT(SUM($AA$26:$AA$300),"$#,##0;(-$#,##0)")</f>
        <v>Total 2017 Adjusted Payment
$121,259,643</v>
      </c>
      <c r="AB25" s="94"/>
      <c r="AC25" s="113" t="s">
        <v>356</v>
      </c>
      <c r="AD25" s="113" t="s">
        <v>357</v>
      </c>
      <c r="AE25" s="113" t="s">
        <v>358</v>
      </c>
      <c r="AF25" s="113" t="s">
        <v>332</v>
      </c>
    </row>
    <row r="26" spans="2:32" s="200" customFormat="1" x14ac:dyDescent="0.25">
      <c r="B26" s="191">
        <v>1</v>
      </c>
      <c r="C26" s="191">
        <v>1</v>
      </c>
      <c r="D26" s="192" t="s">
        <v>62</v>
      </c>
      <c r="E26" s="193">
        <v>43741.089999999989</v>
      </c>
      <c r="F26" s="193">
        <f>INDEX('Revised 2017 Lockdown'!H$5:H$249,MATCH(B26,'Revised 2017 Lockdown'!B$5:B$249,0))</f>
        <v>43741.089999999989</v>
      </c>
      <c r="G26" s="193">
        <f>F26-E26</f>
        <v>0</v>
      </c>
      <c r="H26" s="194">
        <v>9441139.5399999991</v>
      </c>
      <c r="I26" s="194">
        <f>INDEX('Revised 2017 Lockdown'!E$5:E$249,MATCH(B26,'Revised 2017 Lockdown'!B$5:B$249,0))</f>
        <v>9441139.5399999991</v>
      </c>
      <c r="J26" s="194">
        <f>I26-H26</f>
        <v>0</v>
      </c>
      <c r="K26" s="194">
        <v>1552688.8099999998</v>
      </c>
      <c r="L26" s="194">
        <f>INDEX('Revised 2017 Lockdown'!F$5:F$249,MATCH(B26,'Revised 2017 Lockdown'!B$5:B$249,0))</f>
        <v>1552688.8099999998</v>
      </c>
      <c r="M26" s="194">
        <f>L26-K26</f>
        <v>0</v>
      </c>
      <c r="N26" s="194">
        <f t="shared" ref="N26:O89" si="2">H26-K26</f>
        <v>7888450.7299999995</v>
      </c>
      <c r="O26" s="195">
        <f>I26-L26</f>
        <v>7888450.7299999995</v>
      </c>
      <c r="P26" s="195">
        <f>O26-N26</f>
        <v>0</v>
      </c>
      <c r="Q26" s="95">
        <f>IFERROR(O26/F26,"n.a.")</f>
        <v>180.34417363627659</v>
      </c>
      <c r="R26" s="196">
        <f t="shared" ref="R26:R89" si="3">MIN(Q26,INDEX($V$3:$V$11,MATCH(C26,$S$3:$S$11,0)))</f>
        <v>180.34417363627659</v>
      </c>
      <c r="S26" s="194">
        <f>F26*R26</f>
        <v>7888450.7299999995</v>
      </c>
      <c r="T26" s="197">
        <v>1</v>
      </c>
      <c r="U26" s="195">
        <f>$E$14*(S26/$S$24)</f>
        <v>2030943.0351841478</v>
      </c>
      <c r="V26" s="195">
        <f>$E$15*(F26/$F$24)</f>
        <v>2256620.2250039829</v>
      </c>
      <c r="W26" s="195">
        <f>IFERROR(T26*$E$16*(S26/$S$24),0)</f>
        <v>609282.91055524431</v>
      </c>
      <c r="X26" s="195">
        <f>($W$23+$E$9)*(S26/$S$24)</f>
        <v>117981.6512045807</v>
      </c>
      <c r="Y26" s="195">
        <f>U26+V26+W26+X26</f>
        <v>5014827.8219479555</v>
      </c>
      <c r="Z26" s="198">
        <f>IFERROR((Y26/S26),0)</f>
        <v>0.63571770853260512</v>
      </c>
      <c r="AA26" s="199">
        <f>IF(Z26&gt;$Z$19,$Z$19*S26,Y26+($Z$23*Y26/$Z$22))</f>
        <v>5027485.8414604878</v>
      </c>
      <c r="AB26" s="195"/>
      <c r="AC26" s="199">
        <v>4979053.7281457568</v>
      </c>
      <c r="AD26" s="194">
        <f>AA26-AC26</f>
        <v>48432.113314731047</v>
      </c>
      <c r="AE26" s="194">
        <v>47629.713782751933</v>
      </c>
      <c r="AF26" s="194">
        <f>AD26-AE26</f>
        <v>802.39953197911382</v>
      </c>
    </row>
    <row r="27" spans="2:32" s="200" customFormat="1" x14ac:dyDescent="0.25">
      <c r="B27" s="201">
        <v>20</v>
      </c>
      <c r="C27" s="201">
        <v>1</v>
      </c>
      <c r="D27" s="202" t="s">
        <v>63</v>
      </c>
      <c r="E27" s="193">
        <v>120692.16</v>
      </c>
      <c r="F27" s="193">
        <f>INDEX('Revised 2017 Lockdown'!H$5:H$249,MATCH(B27,'Revised 2017 Lockdown'!B$5:B$249,0))</f>
        <v>120692.16</v>
      </c>
      <c r="G27" s="193">
        <f t="shared" ref="G27:G90" si="4">F27-E27</f>
        <v>0</v>
      </c>
      <c r="H27" s="194">
        <v>73137078.730000004</v>
      </c>
      <c r="I27" s="194">
        <f>INDEX('Revised 2017 Lockdown'!E$5:E$249,MATCH(B27,'Revised 2017 Lockdown'!B$5:B$249,0))</f>
        <v>69057219.019999996</v>
      </c>
      <c r="J27" s="194">
        <f t="shared" ref="J27:J90" si="5">I27-H27</f>
        <v>-4079859.7100000083</v>
      </c>
      <c r="K27" s="194">
        <v>19269125.249999996</v>
      </c>
      <c r="L27" s="194">
        <f>INDEX('Revised 2017 Lockdown'!F$5:F$249,MATCH(B27,'Revised 2017 Lockdown'!B$5:B$249,0))</f>
        <v>19755178.539999999</v>
      </c>
      <c r="M27" s="194">
        <f t="shared" ref="M27:M90" si="6">L27-K27</f>
        <v>486053.29000000283</v>
      </c>
      <c r="N27" s="194">
        <f t="shared" si="2"/>
        <v>53867953.480000004</v>
      </c>
      <c r="O27" s="195">
        <f t="shared" si="2"/>
        <v>49302040.479999997</v>
      </c>
      <c r="P27" s="195">
        <f t="shared" ref="P27:P90" si="7">O27-N27</f>
        <v>-4565913.0000000075</v>
      </c>
      <c r="Q27" s="95">
        <f t="shared" ref="Q27:Q90" si="8">IFERROR(O27/F27,"n.a.")</f>
        <v>408.4941431158411</v>
      </c>
      <c r="R27" s="196">
        <f t="shared" si="3"/>
        <v>408.4941431158411</v>
      </c>
      <c r="S27" s="194">
        <f t="shared" ref="S27:S90" si="9">F27*R27</f>
        <v>49302040.479999997</v>
      </c>
      <c r="T27" s="197">
        <v>0.83899999999999997</v>
      </c>
      <c r="U27" s="195">
        <f t="shared" ref="U27:U90" si="10">$E$14*(S27/$S$24)</f>
        <v>12693194.032692263</v>
      </c>
      <c r="V27" s="195">
        <f t="shared" ref="V27:V90" si="11">$E$15*(F27/$F$24)</f>
        <v>6226556.5228350917</v>
      </c>
      <c r="W27" s="195">
        <f t="shared" ref="W27:W90" si="12">IFERROR(T27*$E$16*(S27/$S$24),0)</f>
        <v>3194876.9380286424</v>
      </c>
      <c r="X27" s="195">
        <f t="shared" ref="X27:X90" si="13">($W$23+$E$9)*(S27/$S$24)</f>
        <v>737373.7052656319</v>
      </c>
      <c r="Y27" s="195">
        <f t="shared" ref="Y27:Y90" si="14">U27+V27+W27+X27</f>
        <v>22852001.198821627</v>
      </c>
      <c r="Z27" s="198">
        <f t="shared" ref="Z27:Z90" si="15">IFERROR((Y27/S27),0)</f>
        <v>0.46351025183413724</v>
      </c>
      <c r="AA27" s="199">
        <f t="shared" ref="AA27:AA90" si="16">IF(Z27&gt;$Z$19,$Z$19*S27,Y27+($Z$23*Y27/$Z$22))</f>
        <v>22909682.35704786</v>
      </c>
      <c r="AB27" s="195"/>
      <c r="AC27" s="199">
        <v>24119080.349526484</v>
      </c>
      <c r="AD27" s="194">
        <f t="shared" ref="AD27:AD90" si="17">AA27-AC27</f>
        <v>-1209397.992478624</v>
      </c>
      <c r="AE27" s="194">
        <v>-1212519.846371185</v>
      </c>
      <c r="AF27" s="194">
        <f t="shared" ref="AF27:AF90" si="18">AD27-AE27</f>
        <v>3121.8538925610483</v>
      </c>
    </row>
    <row r="28" spans="2:32" s="200" customFormat="1" x14ac:dyDescent="0.25">
      <c r="B28" s="201">
        <v>50</v>
      </c>
      <c r="C28" s="201">
        <v>1</v>
      </c>
      <c r="D28" s="202" t="s">
        <v>64</v>
      </c>
      <c r="E28" s="193">
        <v>22747.62</v>
      </c>
      <c r="F28" s="193">
        <f>INDEX('Revised 2017 Lockdown'!H$5:H$249,MATCH(B28,'Revised 2017 Lockdown'!B$5:B$249,0))</f>
        <v>22747.62</v>
      </c>
      <c r="G28" s="193">
        <f t="shared" si="4"/>
        <v>0</v>
      </c>
      <c r="H28" s="194">
        <v>9780998.0399999991</v>
      </c>
      <c r="I28" s="194">
        <f>INDEX('Revised 2017 Lockdown'!E$5:E$249,MATCH(B28,'Revised 2017 Lockdown'!B$5:B$249,0))</f>
        <v>9780998.0399999991</v>
      </c>
      <c r="J28" s="194">
        <f t="shared" si="5"/>
        <v>0</v>
      </c>
      <c r="K28" s="194">
        <v>3906984.9000000004</v>
      </c>
      <c r="L28" s="194">
        <f>INDEX('Revised 2017 Lockdown'!F$5:F$249,MATCH(B28,'Revised 2017 Lockdown'!B$5:B$249,0))</f>
        <v>3906984.9000000004</v>
      </c>
      <c r="M28" s="194">
        <f t="shared" si="6"/>
        <v>0</v>
      </c>
      <c r="N28" s="194">
        <f t="shared" si="2"/>
        <v>5874013.1399999987</v>
      </c>
      <c r="O28" s="195">
        <f t="shared" si="2"/>
        <v>5874013.1399999987</v>
      </c>
      <c r="P28" s="195">
        <f t="shared" si="7"/>
        <v>0</v>
      </c>
      <c r="Q28" s="95">
        <f>IFERROR(O28/F28,"n.a.")</f>
        <v>258.22539412914404</v>
      </c>
      <c r="R28" s="196">
        <f>MIN(Q28,INDEX($V$3:$V$11,MATCH(C28,$S$3:$S$11,0)))</f>
        <v>258.22539412914404</v>
      </c>
      <c r="S28" s="194">
        <f t="shared" si="9"/>
        <v>5874013.1399999987</v>
      </c>
      <c r="T28" s="197">
        <v>0.88075000000000003</v>
      </c>
      <c r="U28" s="195">
        <f t="shared" si="10"/>
        <v>1512310.3995432022</v>
      </c>
      <c r="V28" s="195">
        <f t="shared" si="11"/>
        <v>1173558.7604859669</v>
      </c>
      <c r="W28" s="195">
        <f t="shared" si="12"/>
        <v>399590.21531930263</v>
      </c>
      <c r="X28" s="195">
        <f t="shared" si="13"/>
        <v>87853.216452123772</v>
      </c>
      <c r="Y28" s="195">
        <f t="shared" si="14"/>
        <v>3173312.5918005956</v>
      </c>
      <c r="Z28" s="198">
        <f t="shared" si="15"/>
        <v>0.54022905910636021</v>
      </c>
      <c r="AA28" s="199">
        <f t="shared" si="16"/>
        <v>3181322.4087140653</v>
      </c>
      <c r="AB28" s="195"/>
      <c r="AC28" s="199">
        <v>3144085.1611459795</v>
      </c>
      <c r="AD28" s="194">
        <f t="shared" si="17"/>
        <v>37237.24756808579</v>
      </c>
      <c r="AE28" s="194">
        <v>36763.150688425172</v>
      </c>
      <c r="AF28" s="194">
        <f t="shared" si="18"/>
        <v>474.09687966061756</v>
      </c>
    </row>
    <row r="29" spans="2:32" s="200" customFormat="1" x14ac:dyDescent="0.25">
      <c r="B29" s="201">
        <v>97</v>
      </c>
      <c r="C29" s="201">
        <v>1</v>
      </c>
      <c r="D29" s="202" t="s">
        <v>65</v>
      </c>
      <c r="E29" s="193">
        <v>65618.490000000005</v>
      </c>
      <c r="F29" s="193">
        <f>INDEX('Revised 2017 Lockdown'!H$5:H$249,MATCH(B29,'Revised 2017 Lockdown'!B$5:B$249,0))</f>
        <v>65618.490000000005</v>
      </c>
      <c r="G29" s="193">
        <f t="shared" si="4"/>
        <v>0</v>
      </c>
      <c r="H29" s="194">
        <v>25692503.82</v>
      </c>
      <c r="I29" s="194">
        <f>INDEX('Revised 2017 Lockdown'!E$5:E$249,MATCH(B29,'Revised 2017 Lockdown'!B$5:B$249,0))</f>
        <v>25701198.059999999</v>
      </c>
      <c r="J29" s="194">
        <f t="shared" si="5"/>
        <v>8694.2399999983609</v>
      </c>
      <c r="K29" s="194">
        <v>9202443.370000001</v>
      </c>
      <c r="L29" s="194">
        <f>INDEX('Revised 2017 Lockdown'!F$5:F$249,MATCH(B29,'Revised 2017 Lockdown'!B$5:B$249,0))</f>
        <v>9202443.370000001</v>
      </c>
      <c r="M29" s="194">
        <f t="shared" si="6"/>
        <v>0</v>
      </c>
      <c r="N29" s="194">
        <f t="shared" si="2"/>
        <v>16490060.449999999</v>
      </c>
      <c r="O29" s="195">
        <f t="shared" si="2"/>
        <v>16498754.689999998</v>
      </c>
      <c r="P29" s="195">
        <f t="shared" si="7"/>
        <v>8694.2399999983609</v>
      </c>
      <c r="Q29" s="95">
        <f t="shared" si="8"/>
        <v>251.4345375823186</v>
      </c>
      <c r="R29" s="196">
        <f t="shared" si="3"/>
        <v>251.4345375823186</v>
      </c>
      <c r="S29" s="194">
        <f>F29*R29</f>
        <v>16498754.689999998</v>
      </c>
      <c r="T29" s="197">
        <v>0.88075000000000003</v>
      </c>
      <c r="U29" s="195">
        <f t="shared" si="10"/>
        <v>4247732.8025179021</v>
      </c>
      <c r="V29" s="195">
        <f t="shared" si="11"/>
        <v>3385283.9896815941</v>
      </c>
      <c r="W29" s="195">
        <f>IFERROR(T29*$E$16*(S29/$S$24),0)</f>
        <v>1122357.1997452928</v>
      </c>
      <c r="X29" s="195">
        <f>($W$23+$E$9)*(S29/$S$24)</f>
        <v>246759.52069304741</v>
      </c>
      <c r="Y29" s="195">
        <f t="shared" si="14"/>
        <v>9002133.5126378369</v>
      </c>
      <c r="Z29" s="198">
        <f t="shared" si="15"/>
        <v>0.54562502939049629</v>
      </c>
      <c r="AA29" s="199">
        <f t="shared" si="16"/>
        <v>9024855.9640764836</v>
      </c>
      <c r="AB29" s="195"/>
      <c r="AC29" s="199">
        <v>8917275.6060505789</v>
      </c>
      <c r="AD29" s="194">
        <f>AA29-AC29</f>
        <v>107580.35802590474</v>
      </c>
      <c r="AE29" s="194">
        <v>103261.04398898035</v>
      </c>
      <c r="AF29" s="194">
        <f t="shared" si="18"/>
        <v>4319.314036924392</v>
      </c>
    </row>
    <row r="30" spans="2:32" s="200" customFormat="1" x14ac:dyDescent="0.25">
      <c r="B30" s="201">
        <v>172</v>
      </c>
      <c r="C30" s="201">
        <v>1</v>
      </c>
      <c r="D30" s="202" t="s">
        <v>66</v>
      </c>
      <c r="E30" s="193">
        <v>35538.149999999994</v>
      </c>
      <c r="F30" s="193">
        <f>INDEX('Revised 2017 Lockdown'!H$5:H$249,MATCH(B30,'Revised 2017 Lockdown'!B$5:B$249,0))</f>
        <v>35538.149999999994</v>
      </c>
      <c r="G30" s="193">
        <f t="shared" si="4"/>
        <v>0</v>
      </c>
      <c r="H30" s="194">
        <v>14723683.560000001</v>
      </c>
      <c r="I30" s="194">
        <f>INDEX('Revised 2017 Lockdown'!E$5:E$249,MATCH(B30,'Revised 2017 Lockdown'!B$5:B$249,0))</f>
        <v>14723683.560000001</v>
      </c>
      <c r="J30" s="194">
        <f t="shared" si="5"/>
        <v>0</v>
      </c>
      <c r="K30" s="194">
        <v>5464143.8599999994</v>
      </c>
      <c r="L30" s="194">
        <f>INDEX('Revised 2017 Lockdown'!F$5:F$249,MATCH(B30,'Revised 2017 Lockdown'!B$5:B$249,0))</f>
        <v>5464143.8599999994</v>
      </c>
      <c r="M30" s="194">
        <f t="shared" si="6"/>
        <v>0</v>
      </c>
      <c r="N30" s="194">
        <f t="shared" si="2"/>
        <v>9259539.7000000011</v>
      </c>
      <c r="O30" s="195">
        <f t="shared" si="2"/>
        <v>9259539.7000000011</v>
      </c>
      <c r="P30" s="195">
        <f t="shared" si="7"/>
        <v>0</v>
      </c>
      <c r="Q30" s="95">
        <f t="shared" si="8"/>
        <v>260.55210245890692</v>
      </c>
      <c r="R30" s="196">
        <f t="shared" si="3"/>
        <v>260.55210245890692</v>
      </c>
      <c r="S30" s="194">
        <f t="shared" si="9"/>
        <v>9259539.7000000011</v>
      </c>
      <c r="T30" s="197">
        <v>0.92249999999999999</v>
      </c>
      <c r="U30" s="195">
        <f>$E$14*(S30/$S$24)</f>
        <v>2383940.5615107543</v>
      </c>
      <c r="V30" s="195">
        <f>$E$15*(F30/$F$24)</f>
        <v>1833427.2888312868</v>
      </c>
      <c r="W30" s="195">
        <f t="shared" si="12"/>
        <v>659755.55039810122</v>
      </c>
      <c r="X30" s="195">
        <f t="shared" si="13"/>
        <v>138488.00234572397</v>
      </c>
      <c r="Y30" s="195">
        <f t="shared" si="14"/>
        <v>5015611.403085866</v>
      </c>
      <c r="Z30" s="198">
        <f t="shared" si="15"/>
        <v>0.54166962566031929</v>
      </c>
      <c r="AA30" s="199">
        <f t="shared" si="16"/>
        <v>5028271.4004500192</v>
      </c>
      <c r="AB30" s="195"/>
      <c r="AC30" s="199">
        <v>4968995.3089303644</v>
      </c>
      <c r="AD30" s="194">
        <f t="shared" si="17"/>
        <v>59276.091519654728</v>
      </c>
      <c r="AE30" s="194">
        <v>58529.313987570815</v>
      </c>
      <c r="AF30" s="194">
        <f t="shared" si="18"/>
        <v>746.77753208391368</v>
      </c>
    </row>
    <row r="31" spans="2:32" s="200" customFormat="1" x14ac:dyDescent="0.25">
      <c r="B31" s="201">
        <v>270</v>
      </c>
      <c r="C31" s="201">
        <v>1</v>
      </c>
      <c r="D31" s="202" t="s">
        <v>67</v>
      </c>
      <c r="E31" s="193">
        <v>82092.200000000026</v>
      </c>
      <c r="F31" s="193">
        <f>INDEX('Revised 2017 Lockdown'!H$5:H$249,MATCH(B31,'Revised 2017 Lockdown'!B$5:B$249,0))</f>
        <v>82092.200000000026</v>
      </c>
      <c r="G31" s="193">
        <f t="shared" si="4"/>
        <v>0</v>
      </c>
      <c r="H31" s="194">
        <v>36784021.890000001</v>
      </c>
      <c r="I31" s="194">
        <f>INDEX('Revised 2017 Lockdown'!E$5:E$249,MATCH(B31,'Revised 2017 Lockdown'!B$5:B$249,0))</f>
        <v>37087418.170000002</v>
      </c>
      <c r="J31" s="194">
        <f t="shared" si="5"/>
        <v>303396.28000000119</v>
      </c>
      <c r="K31" s="194">
        <v>11034183.389999999</v>
      </c>
      <c r="L31" s="194">
        <f>INDEX('Revised 2017 Lockdown'!F$5:F$249,MATCH(B31,'Revised 2017 Lockdown'!B$5:B$249,0))</f>
        <v>11034183.389999999</v>
      </c>
      <c r="M31" s="194">
        <f t="shared" si="6"/>
        <v>0</v>
      </c>
      <c r="N31" s="194">
        <f t="shared" si="2"/>
        <v>25749838.5</v>
      </c>
      <c r="O31" s="195">
        <f t="shared" si="2"/>
        <v>26053234.780000001</v>
      </c>
      <c r="P31" s="195">
        <f t="shared" si="7"/>
        <v>303396.28000000119</v>
      </c>
      <c r="Q31" s="95">
        <f t="shared" si="8"/>
        <v>317.36553265718294</v>
      </c>
      <c r="R31" s="196">
        <f t="shared" si="3"/>
        <v>317.36553265718294</v>
      </c>
      <c r="S31" s="194">
        <f t="shared" si="9"/>
        <v>26053234.780000001</v>
      </c>
      <c r="T31" s="197">
        <v>0.83899999999999997</v>
      </c>
      <c r="U31" s="195">
        <f t="shared" si="10"/>
        <v>6707608.062915341</v>
      </c>
      <c r="V31" s="195">
        <f t="shared" si="11"/>
        <v>4235169.238696889</v>
      </c>
      <c r="W31" s="195">
        <f t="shared" si="12"/>
        <v>1688304.9494357912</v>
      </c>
      <c r="X31" s="195">
        <f t="shared" si="13"/>
        <v>389658.72561962635</v>
      </c>
      <c r="Y31" s="195">
        <f t="shared" si="14"/>
        <v>13020740.976667648</v>
      </c>
      <c r="Z31" s="198">
        <f t="shared" si="15"/>
        <v>0.49977444592266662</v>
      </c>
      <c r="AA31" s="199">
        <f t="shared" si="16"/>
        <v>13053606.869416539</v>
      </c>
      <c r="AB31" s="195"/>
      <c r="AC31" s="199">
        <v>12790219.381773422</v>
      </c>
      <c r="AD31" s="194">
        <f t="shared" si="17"/>
        <v>263387.48764311709</v>
      </c>
      <c r="AE31" s="194">
        <v>261518.74417201802</v>
      </c>
      <c r="AF31" s="194">
        <f t="shared" si="18"/>
        <v>1868.7434710990638</v>
      </c>
    </row>
    <row r="32" spans="2:32" s="200" customFormat="1" x14ac:dyDescent="0.25">
      <c r="B32" s="201">
        <v>6</v>
      </c>
      <c r="C32" s="201">
        <v>2</v>
      </c>
      <c r="D32" s="202" t="s">
        <v>68</v>
      </c>
      <c r="E32" s="193">
        <v>43507.199999999997</v>
      </c>
      <c r="F32" s="193">
        <f>INDEX('Revised 2017 Lockdown'!H$5:H$249,MATCH(B32,'Revised 2017 Lockdown'!B$5:B$249,0))</f>
        <v>43390.189999999995</v>
      </c>
      <c r="G32" s="193">
        <f t="shared" si="4"/>
        <v>-117.01000000000204</v>
      </c>
      <c r="H32" s="194">
        <v>18925384.940000001</v>
      </c>
      <c r="I32" s="194">
        <f>INDEX('Revised 2017 Lockdown'!E$5:E$249,MATCH(B32,'Revised 2017 Lockdown'!B$5:B$249,0))</f>
        <v>18925384.940000001</v>
      </c>
      <c r="J32" s="194">
        <f t="shared" si="5"/>
        <v>0</v>
      </c>
      <c r="K32" s="194">
        <v>6221539.9700000007</v>
      </c>
      <c r="L32" s="194">
        <f>INDEX('Revised 2017 Lockdown'!F$5:F$249,MATCH(B32,'Revised 2017 Lockdown'!B$5:B$249,0))</f>
        <v>6221539.9700000007</v>
      </c>
      <c r="M32" s="194">
        <f t="shared" si="6"/>
        <v>0</v>
      </c>
      <c r="N32" s="194">
        <f t="shared" si="2"/>
        <v>12703844.970000001</v>
      </c>
      <c r="O32" s="195">
        <f t="shared" si="2"/>
        <v>12703844.970000001</v>
      </c>
      <c r="P32" s="195">
        <f t="shared" si="7"/>
        <v>0</v>
      </c>
      <c r="Q32" s="95">
        <f t="shared" si="8"/>
        <v>292.78150130248338</v>
      </c>
      <c r="R32" s="196">
        <f t="shared" si="3"/>
        <v>269.03474500664686</v>
      </c>
      <c r="S32" s="194">
        <f t="shared" si="9"/>
        <v>11673468.702439956</v>
      </c>
      <c r="T32" s="197">
        <v>0.78341666666666676</v>
      </c>
      <c r="U32" s="195">
        <f t="shared" si="10"/>
        <v>3005425.3704720247</v>
      </c>
      <c r="V32" s="195">
        <f t="shared" si="11"/>
        <v>2238517.1544825612</v>
      </c>
      <c r="W32" s="195">
        <f t="shared" si="12"/>
        <v>706350.09769518767</v>
      </c>
      <c r="X32" s="195">
        <f t="shared" si="13"/>
        <v>174591.33104059589</v>
      </c>
      <c r="Y32" s="195">
        <f t="shared" si="14"/>
        <v>6124883.9536903687</v>
      </c>
      <c r="Z32" s="198">
        <f t="shared" si="15"/>
        <v>0.52468414571670219</v>
      </c>
      <c r="AA32" s="199">
        <f t="shared" si="16"/>
        <v>6140343.886384069</v>
      </c>
      <c r="AB32" s="195"/>
      <c r="AC32" s="199">
        <v>6078335.5598914931</v>
      </c>
      <c r="AD32" s="194">
        <f t="shared" si="17"/>
        <v>62008.326492575929</v>
      </c>
      <c r="AE32" s="194">
        <v>61097.575979799964</v>
      </c>
      <c r="AF32" s="194">
        <f t="shared" si="18"/>
        <v>910.75051277596503</v>
      </c>
    </row>
    <row r="33" spans="2:32" s="200" customFormat="1" x14ac:dyDescent="0.25">
      <c r="B33" s="201">
        <v>18</v>
      </c>
      <c r="C33" s="201">
        <v>2</v>
      </c>
      <c r="D33" s="202" t="s">
        <v>69</v>
      </c>
      <c r="E33" s="193">
        <v>23534.330000000005</v>
      </c>
      <c r="F33" s="193">
        <f>INDEX('Revised 2017 Lockdown'!H$5:H$249,MATCH(B33,'Revised 2017 Lockdown'!B$5:B$249,0))</f>
        <v>23534.330000000005</v>
      </c>
      <c r="G33" s="193">
        <f t="shared" si="4"/>
        <v>0</v>
      </c>
      <c r="H33" s="194">
        <v>7710688.1500000004</v>
      </c>
      <c r="I33" s="194">
        <f>INDEX('Revised 2017 Lockdown'!E$5:E$249,MATCH(B33,'Revised 2017 Lockdown'!B$5:B$249,0))</f>
        <v>7710688.1500000004</v>
      </c>
      <c r="J33" s="194">
        <f t="shared" si="5"/>
        <v>0</v>
      </c>
      <c r="K33" s="194">
        <v>4165073.71</v>
      </c>
      <c r="L33" s="194">
        <f>INDEX('Revised 2017 Lockdown'!F$5:F$249,MATCH(B33,'Revised 2017 Lockdown'!B$5:B$249,0))</f>
        <v>4165073.71</v>
      </c>
      <c r="M33" s="194">
        <f t="shared" si="6"/>
        <v>0</v>
      </c>
      <c r="N33" s="194">
        <f t="shared" si="2"/>
        <v>3545614.4400000004</v>
      </c>
      <c r="O33" s="195">
        <f t="shared" si="2"/>
        <v>3545614.4400000004</v>
      </c>
      <c r="P33" s="195">
        <f t="shared" si="7"/>
        <v>0</v>
      </c>
      <c r="Q33" s="95">
        <f t="shared" si="8"/>
        <v>150.65712259494958</v>
      </c>
      <c r="R33" s="196">
        <f t="shared" si="3"/>
        <v>150.65712259494958</v>
      </c>
      <c r="S33" s="194">
        <f t="shared" si="9"/>
        <v>3545614.4400000009</v>
      </c>
      <c r="T33" s="197">
        <v>0.79725000000000001</v>
      </c>
      <c r="U33" s="195">
        <f t="shared" si="10"/>
        <v>912846.03261588037</v>
      </c>
      <c r="V33" s="195">
        <f t="shared" si="11"/>
        <v>1214145.4421898955</v>
      </c>
      <c r="W33" s="195">
        <f t="shared" si="12"/>
        <v>218329.94985090318</v>
      </c>
      <c r="X33" s="195">
        <f t="shared" si="13"/>
        <v>53029.100451262486</v>
      </c>
      <c r="Y33" s="195">
        <f t="shared" si="14"/>
        <v>2398350.5251079421</v>
      </c>
      <c r="Z33" s="198">
        <f t="shared" si="15"/>
        <v>0.67642733458292814</v>
      </c>
      <c r="AA33" s="199">
        <f t="shared" si="16"/>
        <v>2404404.2459579068</v>
      </c>
      <c r="AB33" s="195"/>
      <c r="AC33" s="199">
        <v>2381949.5924442606</v>
      </c>
      <c r="AD33" s="194">
        <f t="shared" si="17"/>
        <v>22454.653513646219</v>
      </c>
      <c r="AE33" s="194">
        <v>22053.731262200046</v>
      </c>
      <c r="AF33" s="194">
        <f t="shared" si="18"/>
        <v>400.9222514461726</v>
      </c>
    </row>
    <row r="34" spans="2:32" s="200" customFormat="1" x14ac:dyDescent="0.25">
      <c r="B34" s="201">
        <v>53</v>
      </c>
      <c r="C34" s="201">
        <v>2</v>
      </c>
      <c r="D34" s="202" t="s">
        <v>70</v>
      </c>
      <c r="E34" s="193">
        <v>36088.47</v>
      </c>
      <c r="F34" s="193">
        <f>INDEX('Revised 2017 Lockdown'!H$5:H$249,MATCH(B34,'Revised 2017 Lockdown'!B$5:B$249,0))</f>
        <v>36088.47</v>
      </c>
      <c r="G34" s="193">
        <f t="shared" si="4"/>
        <v>0</v>
      </c>
      <c r="H34" s="194">
        <v>11731139.85</v>
      </c>
      <c r="I34" s="194">
        <f>INDEX('Revised 2017 Lockdown'!E$5:E$249,MATCH(B34,'Revised 2017 Lockdown'!B$5:B$249,0))</f>
        <v>11731139.85</v>
      </c>
      <c r="J34" s="194">
        <f t="shared" si="5"/>
        <v>0</v>
      </c>
      <c r="K34" s="194">
        <v>5054300.95</v>
      </c>
      <c r="L34" s="194">
        <f>INDEX('Revised 2017 Lockdown'!F$5:F$249,MATCH(B34,'Revised 2017 Lockdown'!B$5:B$249,0))</f>
        <v>5054300.95</v>
      </c>
      <c r="M34" s="194">
        <f t="shared" si="6"/>
        <v>0</v>
      </c>
      <c r="N34" s="194">
        <f t="shared" si="2"/>
        <v>6676838.8999999994</v>
      </c>
      <c r="O34" s="195">
        <f t="shared" si="2"/>
        <v>6676838.8999999994</v>
      </c>
      <c r="P34" s="195">
        <f t="shared" si="7"/>
        <v>0</v>
      </c>
      <c r="Q34" s="95">
        <f t="shared" si="8"/>
        <v>185.01307758405937</v>
      </c>
      <c r="R34" s="196">
        <f t="shared" si="3"/>
        <v>185.01307758405937</v>
      </c>
      <c r="S34" s="194">
        <f t="shared" si="9"/>
        <v>6676838.8999999994</v>
      </c>
      <c r="T34" s="197">
        <v>0.79725000000000001</v>
      </c>
      <c r="U34" s="195">
        <f t="shared" si="10"/>
        <v>1719004.1397395642</v>
      </c>
      <c r="V34" s="195">
        <f t="shared" si="11"/>
        <v>1861818.516444138</v>
      </c>
      <c r="W34" s="195">
        <f t="shared" si="12"/>
        <v>411142.8151222103</v>
      </c>
      <c r="X34" s="195">
        <f t="shared" si="13"/>
        <v>99860.480240202538</v>
      </c>
      <c r="Y34" s="195">
        <f t="shared" si="14"/>
        <v>4091825.9515461149</v>
      </c>
      <c r="Z34" s="198">
        <f t="shared" si="15"/>
        <v>0.61283880183871375</v>
      </c>
      <c r="AA34" s="199">
        <f t="shared" si="16"/>
        <v>4102154.2049927982</v>
      </c>
      <c r="AB34" s="195"/>
      <c r="AC34" s="199">
        <v>4060230.6030549412</v>
      </c>
      <c r="AD34" s="194">
        <f t="shared" si="17"/>
        <v>41923.601937856991</v>
      </c>
      <c r="AE34" s="194">
        <v>41267.040275597479</v>
      </c>
      <c r="AF34" s="194">
        <f t="shared" si="18"/>
        <v>656.56166225951165</v>
      </c>
    </row>
    <row r="35" spans="2:32" s="200" customFormat="1" x14ac:dyDescent="0.25">
      <c r="B35" s="201">
        <v>335</v>
      </c>
      <c r="C35" s="201">
        <v>2</v>
      </c>
      <c r="D35" s="202" t="s">
        <v>71</v>
      </c>
      <c r="E35" s="193">
        <v>24460.199999999997</v>
      </c>
      <c r="F35" s="193">
        <f>INDEX('Revised 2017 Lockdown'!H$5:H$249,MATCH(B35,'Revised 2017 Lockdown'!B$5:B$249,0))</f>
        <v>24460.199999999997</v>
      </c>
      <c r="G35" s="193">
        <f t="shared" si="4"/>
        <v>0</v>
      </c>
      <c r="H35" s="194">
        <v>9859566.0800000001</v>
      </c>
      <c r="I35" s="194">
        <f>INDEX('Revised 2017 Lockdown'!E$5:E$249,MATCH(B35,'Revised 2017 Lockdown'!B$5:B$249,0))</f>
        <v>9859566.0800000001</v>
      </c>
      <c r="J35" s="194">
        <f t="shared" si="5"/>
        <v>0</v>
      </c>
      <c r="K35" s="194">
        <v>4583108.9400000004</v>
      </c>
      <c r="L35" s="194">
        <f>INDEX('Revised 2017 Lockdown'!F$5:F$249,MATCH(B35,'Revised 2017 Lockdown'!B$5:B$249,0))</f>
        <v>4583108.9400000004</v>
      </c>
      <c r="M35" s="194">
        <f t="shared" si="6"/>
        <v>0</v>
      </c>
      <c r="N35" s="194">
        <f t="shared" si="2"/>
        <v>5276457.1399999997</v>
      </c>
      <c r="O35" s="195">
        <f t="shared" si="2"/>
        <v>5276457.1399999997</v>
      </c>
      <c r="P35" s="195">
        <f t="shared" si="7"/>
        <v>0</v>
      </c>
      <c r="Q35" s="95">
        <f t="shared" si="8"/>
        <v>215.71602603412893</v>
      </c>
      <c r="R35" s="196">
        <f t="shared" si="3"/>
        <v>215.71602603412893</v>
      </c>
      <c r="S35" s="194">
        <f t="shared" si="9"/>
        <v>5276457.1399999997</v>
      </c>
      <c r="T35" s="197">
        <v>0.92249999999999999</v>
      </c>
      <c r="U35" s="195">
        <f t="shared" si="10"/>
        <v>1358464.9566456338</v>
      </c>
      <c r="V35" s="195">
        <f t="shared" si="11"/>
        <v>1261911.4436252601</v>
      </c>
      <c r="W35" s="195">
        <f t="shared" si="12"/>
        <v>375955.17675167916</v>
      </c>
      <c r="X35" s="195">
        <f t="shared" si="13"/>
        <v>78916.018771584495</v>
      </c>
      <c r="Y35" s="195">
        <f t="shared" si="14"/>
        <v>3075247.5957941581</v>
      </c>
      <c r="Z35" s="198">
        <f t="shared" si="15"/>
        <v>0.58282432969675524</v>
      </c>
      <c r="AA35" s="199">
        <f t="shared" si="16"/>
        <v>3083009.8850402744</v>
      </c>
      <c r="AB35" s="195"/>
      <c r="AC35" s="199">
        <v>3049047.178748331</v>
      </c>
      <c r="AD35" s="194">
        <f t="shared" si="17"/>
        <v>33962.706291943323</v>
      </c>
      <c r="AE35" s="194">
        <v>33486.821747165173</v>
      </c>
      <c r="AF35" s="194">
        <f t="shared" si="18"/>
        <v>475.88454477814957</v>
      </c>
    </row>
    <row r="36" spans="2:32" s="200" customFormat="1" x14ac:dyDescent="0.25">
      <c r="B36" s="201">
        <v>357</v>
      </c>
      <c r="C36" s="201">
        <v>2</v>
      </c>
      <c r="D36" s="202" t="s">
        <v>72</v>
      </c>
      <c r="E36" s="193">
        <v>36671.049999999996</v>
      </c>
      <c r="F36" s="193">
        <f>INDEX('Revised 2017 Lockdown'!H$5:H$249,MATCH(B36,'Revised 2017 Lockdown'!B$5:B$249,0))</f>
        <v>36671.049999999996</v>
      </c>
      <c r="G36" s="193">
        <f t="shared" si="4"/>
        <v>0</v>
      </c>
      <c r="H36" s="194">
        <v>12281303.27</v>
      </c>
      <c r="I36" s="194">
        <f>INDEX('Revised 2017 Lockdown'!E$5:E$249,MATCH(B36,'Revised 2017 Lockdown'!B$5:B$249,0))</f>
        <v>12281303.27</v>
      </c>
      <c r="J36" s="194">
        <f t="shared" si="5"/>
        <v>0</v>
      </c>
      <c r="K36" s="194">
        <v>6866116.8200000012</v>
      </c>
      <c r="L36" s="194">
        <f>INDEX('Revised 2017 Lockdown'!F$5:F$249,MATCH(B36,'Revised 2017 Lockdown'!B$5:B$249,0))</f>
        <v>6866116.8200000003</v>
      </c>
      <c r="M36" s="194">
        <f t="shared" si="6"/>
        <v>0</v>
      </c>
      <c r="N36" s="194">
        <f t="shared" si="2"/>
        <v>5415186.4499999983</v>
      </c>
      <c r="O36" s="195">
        <f t="shared" si="2"/>
        <v>5415186.4499999993</v>
      </c>
      <c r="P36" s="195">
        <f t="shared" si="7"/>
        <v>0</v>
      </c>
      <c r="Q36" s="95">
        <f t="shared" si="8"/>
        <v>147.66924999420525</v>
      </c>
      <c r="R36" s="196">
        <f t="shared" si="3"/>
        <v>147.66924999420525</v>
      </c>
      <c r="S36" s="194">
        <f t="shared" si="9"/>
        <v>5415186.4499999993</v>
      </c>
      <c r="T36" s="197">
        <v>0.92249999999999999</v>
      </c>
      <c r="U36" s="195">
        <f t="shared" si="10"/>
        <v>1394181.8972165997</v>
      </c>
      <c r="V36" s="195">
        <f t="shared" si="11"/>
        <v>1891874.0502838939</v>
      </c>
      <c r="W36" s="195">
        <f t="shared" si="12"/>
        <v>385839.84005469398</v>
      </c>
      <c r="X36" s="195">
        <f t="shared" si="13"/>
        <v>80990.889189678899</v>
      </c>
      <c r="Y36" s="195">
        <f t="shared" si="14"/>
        <v>3752886.6767448662</v>
      </c>
      <c r="Z36" s="198">
        <f t="shared" si="15"/>
        <v>0.69303000208697652</v>
      </c>
      <c r="AA36" s="199">
        <f t="shared" si="16"/>
        <v>3762359.407308945</v>
      </c>
      <c r="AB36" s="195"/>
      <c r="AC36" s="199">
        <v>3726995.8413030533</v>
      </c>
      <c r="AD36" s="194">
        <f t="shared" si="17"/>
        <v>35363.566005891655</v>
      </c>
      <c r="AE36" s="194">
        <v>34736.820714978501</v>
      </c>
      <c r="AF36" s="194">
        <f t="shared" si="18"/>
        <v>626.74529091315344</v>
      </c>
    </row>
    <row r="37" spans="2:32" s="200" customFormat="1" x14ac:dyDescent="0.25">
      <c r="B37" s="201">
        <v>441</v>
      </c>
      <c r="C37" s="201">
        <v>2</v>
      </c>
      <c r="D37" s="202" t="s">
        <v>73</v>
      </c>
      <c r="E37" s="193">
        <v>59667.6</v>
      </c>
      <c r="F37" s="193">
        <f>INDEX('Revised 2017 Lockdown'!H$5:H$249,MATCH(B37,'Revised 2017 Lockdown'!B$5:B$249,0))</f>
        <v>59667.6</v>
      </c>
      <c r="G37" s="193">
        <f t="shared" si="4"/>
        <v>0</v>
      </c>
      <c r="H37" s="194">
        <v>18938888.59</v>
      </c>
      <c r="I37" s="194">
        <f>INDEX('Revised 2017 Lockdown'!E$5:E$249,MATCH(B37,'Revised 2017 Lockdown'!B$5:B$249,0))</f>
        <v>18938892.98</v>
      </c>
      <c r="J37" s="194">
        <f t="shared" si="5"/>
        <v>4.3900000005960464</v>
      </c>
      <c r="K37" s="194">
        <v>11778447.52</v>
      </c>
      <c r="L37" s="194">
        <f>INDEX('Revised 2017 Lockdown'!F$5:F$249,MATCH(B37,'Revised 2017 Lockdown'!B$5:B$249,0))</f>
        <v>11778447.52</v>
      </c>
      <c r="M37" s="194">
        <f t="shared" si="6"/>
        <v>0</v>
      </c>
      <c r="N37" s="194">
        <f t="shared" si="2"/>
        <v>7160441.0700000003</v>
      </c>
      <c r="O37" s="195">
        <f t="shared" si="2"/>
        <v>7160445.4600000009</v>
      </c>
      <c r="P37" s="195">
        <f t="shared" si="7"/>
        <v>4.3900000005960464</v>
      </c>
      <c r="Q37" s="95">
        <f t="shared" si="8"/>
        <v>120.00558862766394</v>
      </c>
      <c r="R37" s="196">
        <f t="shared" si="3"/>
        <v>120.00558862766394</v>
      </c>
      <c r="S37" s="194">
        <f t="shared" si="9"/>
        <v>7160445.4600000009</v>
      </c>
      <c r="T37" s="197">
        <v>0.83899999999999997</v>
      </c>
      <c r="U37" s="195">
        <f t="shared" si="10"/>
        <v>1843512.4124560459</v>
      </c>
      <c r="V37" s="195">
        <f t="shared" si="11"/>
        <v>3078275.2084469702</v>
      </c>
      <c r="W37" s="195">
        <f t="shared" si="12"/>
        <v>464012.0742151867</v>
      </c>
      <c r="X37" s="195">
        <f t="shared" si="13"/>
        <v>107093.42146466619</v>
      </c>
      <c r="Y37" s="195">
        <f t="shared" si="14"/>
        <v>5492893.1165828686</v>
      </c>
      <c r="Z37" s="198">
        <f t="shared" si="15"/>
        <v>0.76711611690466919</v>
      </c>
      <c r="AA37" s="199">
        <f t="shared" si="16"/>
        <v>5370334.0950000007</v>
      </c>
      <c r="AB37" s="195"/>
      <c r="AC37" s="199">
        <v>5370330.8025000002</v>
      </c>
      <c r="AD37" s="194">
        <f t="shared" si="17"/>
        <v>3.2925000004470348</v>
      </c>
      <c r="AE37" s="194">
        <v>0</v>
      </c>
      <c r="AF37" s="194">
        <f t="shared" si="18"/>
        <v>3.2925000004470348</v>
      </c>
    </row>
    <row r="38" spans="2:32" s="200" customFormat="1" x14ac:dyDescent="0.25">
      <c r="B38" s="201">
        <v>14</v>
      </c>
      <c r="C38" s="201">
        <v>3</v>
      </c>
      <c r="D38" s="202" t="s">
        <v>74</v>
      </c>
      <c r="E38" s="193">
        <v>11944.66</v>
      </c>
      <c r="F38" s="193">
        <f>INDEX('Revised 2017 Lockdown'!H$5:H$249,MATCH(B38,'Revised 2017 Lockdown'!B$5:B$249,0))</f>
        <v>11944.66</v>
      </c>
      <c r="G38" s="193">
        <f t="shared" si="4"/>
        <v>0</v>
      </c>
      <c r="H38" s="194">
        <v>2596232.91</v>
      </c>
      <c r="I38" s="194">
        <f>INDEX('Revised 2017 Lockdown'!E$5:E$249,MATCH(B38,'Revised 2017 Lockdown'!B$5:B$249,0))</f>
        <v>2602494.63</v>
      </c>
      <c r="J38" s="194">
        <f t="shared" si="5"/>
        <v>6261.7199999997392</v>
      </c>
      <c r="K38" s="194">
        <v>371291.85</v>
      </c>
      <c r="L38" s="194">
        <f>INDEX('Revised 2017 Lockdown'!F$5:F$249,MATCH(B38,'Revised 2017 Lockdown'!B$5:B$249,0))</f>
        <v>371291.85</v>
      </c>
      <c r="M38" s="194">
        <f t="shared" si="6"/>
        <v>0</v>
      </c>
      <c r="N38" s="194">
        <f t="shared" si="2"/>
        <v>2224941.06</v>
      </c>
      <c r="O38" s="195">
        <f t="shared" si="2"/>
        <v>2231202.7799999998</v>
      </c>
      <c r="P38" s="195">
        <f t="shared" si="7"/>
        <v>6261.7199999997392</v>
      </c>
      <c r="Q38" s="95">
        <f t="shared" si="8"/>
        <v>186.79500128090712</v>
      </c>
      <c r="R38" s="196">
        <f t="shared" si="3"/>
        <v>186.79500128090712</v>
      </c>
      <c r="S38" s="194">
        <f t="shared" si="9"/>
        <v>2231202.7799999998</v>
      </c>
      <c r="T38" s="197">
        <v>0.88075000000000003</v>
      </c>
      <c r="U38" s="195">
        <f t="shared" si="10"/>
        <v>574440.52086061623</v>
      </c>
      <c r="V38" s="195">
        <f t="shared" si="11"/>
        <v>616229.75871877186</v>
      </c>
      <c r="W38" s="195">
        <f t="shared" si="12"/>
        <v>151781.54662439635</v>
      </c>
      <c r="X38" s="195">
        <f t="shared" si="13"/>
        <v>33370.429399468507</v>
      </c>
      <c r="Y38" s="195">
        <f t="shared" si="14"/>
        <v>1375822.2556032529</v>
      </c>
      <c r="Z38" s="198">
        <f t="shared" si="15"/>
        <v>0.61662806623217503</v>
      </c>
      <c r="AA38" s="199">
        <f t="shared" si="16"/>
        <v>1379294.9939654721</v>
      </c>
      <c r="AB38" s="195"/>
      <c r="AC38" s="199">
        <v>1362907.1150312424</v>
      </c>
      <c r="AD38" s="194">
        <f t="shared" si="17"/>
        <v>16387.878934229724</v>
      </c>
      <c r="AE38" s="194">
        <v>19260.317686134484</v>
      </c>
      <c r="AF38" s="194">
        <f t="shared" si="18"/>
        <v>-2872.4387519047596</v>
      </c>
    </row>
    <row r="39" spans="2:32" s="200" customFormat="1" x14ac:dyDescent="0.25">
      <c r="B39" s="201">
        <v>36</v>
      </c>
      <c r="C39" s="201">
        <v>3</v>
      </c>
      <c r="D39" s="202" t="s">
        <v>75</v>
      </c>
      <c r="E39" s="193">
        <v>8403.0400000000009</v>
      </c>
      <c r="F39" s="193">
        <f>INDEX('Revised 2017 Lockdown'!H$5:H$249,MATCH(B39,'Revised 2017 Lockdown'!B$5:B$249,0))</f>
        <v>8403.0400000000009</v>
      </c>
      <c r="G39" s="193">
        <f t="shared" si="4"/>
        <v>0</v>
      </c>
      <c r="H39" s="194">
        <v>6199296.2199999997</v>
      </c>
      <c r="I39" s="194">
        <f>INDEX('Revised 2017 Lockdown'!E$5:E$249,MATCH(B39,'Revised 2017 Lockdown'!B$5:B$249,0))</f>
        <v>6199296.2199999997</v>
      </c>
      <c r="J39" s="194">
        <f t="shared" si="5"/>
        <v>0</v>
      </c>
      <c r="K39" s="194">
        <v>1477647.7100000002</v>
      </c>
      <c r="L39" s="194">
        <f>INDEX('Revised 2017 Lockdown'!F$5:F$249,MATCH(B39,'Revised 2017 Lockdown'!B$5:B$249,0))</f>
        <v>1477647.7100000002</v>
      </c>
      <c r="M39" s="194">
        <f t="shared" si="6"/>
        <v>0</v>
      </c>
      <c r="N39" s="194">
        <f t="shared" si="2"/>
        <v>4721648.51</v>
      </c>
      <c r="O39" s="195">
        <f t="shared" si="2"/>
        <v>4721648.51</v>
      </c>
      <c r="P39" s="195">
        <f t="shared" si="7"/>
        <v>0</v>
      </c>
      <c r="Q39" s="95">
        <f t="shared" si="8"/>
        <v>561.8976596565052</v>
      </c>
      <c r="R39" s="196">
        <f t="shared" si="3"/>
        <v>457.86925060834346</v>
      </c>
      <c r="S39" s="194">
        <f t="shared" si="9"/>
        <v>3847493.6276319348</v>
      </c>
      <c r="T39" s="197">
        <v>0.72766666666666668</v>
      </c>
      <c r="U39" s="195">
        <f t="shared" si="10"/>
        <v>990567.17895663017</v>
      </c>
      <c r="V39" s="195">
        <f t="shared" si="11"/>
        <v>433516.17473449971</v>
      </c>
      <c r="W39" s="195">
        <f t="shared" si="12"/>
        <v>216240.81516623238</v>
      </c>
      <c r="X39" s="195">
        <f t="shared" si="13"/>
        <v>57544.081432973326</v>
      </c>
      <c r="Y39" s="195">
        <f t="shared" si="14"/>
        <v>1697868.2502903356</v>
      </c>
      <c r="Z39" s="198">
        <f t="shared" si="15"/>
        <v>0.44129202400663725</v>
      </c>
      <c r="AA39" s="199">
        <f t="shared" si="16"/>
        <v>1702153.8708948605</v>
      </c>
      <c r="AB39" s="195"/>
      <c r="AC39" s="199">
        <v>1678687.5162228728</v>
      </c>
      <c r="AD39" s="194">
        <f t="shared" si="17"/>
        <v>23466.354671987705</v>
      </c>
      <c r="AE39" s="194">
        <v>23406.790426987689</v>
      </c>
      <c r="AF39" s="194">
        <f t="shared" si="18"/>
        <v>59.564245000015944</v>
      </c>
    </row>
    <row r="40" spans="2:32" s="200" customFormat="1" x14ac:dyDescent="0.25">
      <c r="B40" s="201">
        <v>55</v>
      </c>
      <c r="C40" s="201">
        <v>3</v>
      </c>
      <c r="D40" s="202" t="s">
        <v>76</v>
      </c>
      <c r="E40" s="193">
        <v>4130.9700000000012</v>
      </c>
      <c r="F40" s="193">
        <f>INDEX('Revised 2017 Lockdown'!H$5:H$249,MATCH(B40,'Revised 2017 Lockdown'!B$5:B$249,0))</f>
        <v>4130.9700000000012</v>
      </c>
      <c r="G40" s="193">
        <f t="shared" si="4"/>
        <v>0</v>
      </c>
      <c r="H40" s="194">
        <v>1452092.17</v>
      </c>
      <c r="I40" s="194">
        <f>INDEX('Revised 2017 Lockdown'!E$5:E$249,MATCH(B40,'Revised 2017 Lockdown'!B$5:B$249,0))</f>
        <v>1452092.17</v>
      </c>
      <c r="J40" s="194">
        <f t="shared" si="5"/>
        <v>0</v>
      </c>
      <c r="K40" s="194">
        <v>244179.87</v>
      </c>
      <c r="L40" s="194">
        <f>INDEX('Revised 2017 Lockdown'!F$5:F$249,MATCH(B40,'Revised 2017 Lockdown'!B$5:B$249,0))</f>
        <v>244179.87</v>
      </c>
      <c r="M40" s="194">
        <f t="shared" si="6"/>
        <v>0</v>
      </c>
      <c r="N40" s="194">
        <f t="shared" si="2"/>
        <v>1207912.2999999998</v>
      </c>
      <c r="O40" s="195">
        <f t="shared" si="2"/>
        <v>1207912.2999999998</v>
      </c>
      <c r="P40" s="195">
        <f t="shared" si="7"/>
        <v>0</v>
      </c>
      <c r="Q40" s="95">
        <f t="shared" si="8"/>
        <v>292.40403585598528</v>
      </c>
      <c r="R40" s="196">
        <f t="shared" si="3"/>
        <v>292.40403585598528</v>
      </c>
      <c r="S40" s="194">
        <f t="shared" si="9"/>
        <v>1207912.2999999998</v>
      </c>
      <c r="T40" s="197">
        <v>0.42658333333333331</v>
      </c>
      <c r="U40" s="195">
        <f t="shared" si="10"/>
        <v>310986.42265314178</v>
      </c>
      <c r="V40" s="195">
        <f t="shared" si="11"/>
        <v>213118.38481584957</v>
      </c>
      <c r="W40" s="195">
        <f t="shared" si="12"/>
        <v>39798.487439035816</v>
      </c>
      <c r="X40" s="195">
        <f t="shared" si="13"/>
        <v>18065.839864138045</v>
      </c>
      <c r="Y40" s="195">
        <f t="shared" si="14"/>
        <v>581969.13477216521</v>
      </c>
      <c r="Z40" s="198">
        <f t="shared" si="15"/>
        <v>0.48179750696483953</v>
      </c>
      <c r="AA40" s="199">
        <f t="shared" si="16"/>
        <v>583438.09381227358</v>
      </c>
      <c r="AB40" s="195"/>
      <c r="AC40" s="199">
        <v>576602.6370695167</v>
      </c>
      <c r="AD40" s="194">
        <f t="shared" si="17"/>
        <v>6835.4567427568836</v>
      </c>
      <c r="AE40" s="194">
        <v>6749.1326538156718</v>
      </c>
      <c r="AF40" s="194">
        <f t="shared" si="18"/>
        <v>86.324088941211812</v>
      </c>
    </row>
    <row r="41" spans="2:32" s="200" customFormat="1" x14ac:dyDescent="0.25">
      <c r="B41" s="201">
        <v>103</v>
      </c>
      <c r="C41" s="201">
        <v>3</v>
      </c>
      <c r="D41" s="202" t="s">
        <v>77</v>
      </c>
      <c r="E41" s="193">
        <v>4390.58</v>
      </c>
      <c r="F41" s="193">
        <f>INDEX('Revised 2017 Lockdown'!H$5:H$249,MATCH(B41,'Revised 2017 Lockdown'!B$5:B$249,0))</f>
        <v>4390.6400000000003</v>
      </c>
      <c r="G41" s="193">
        <f t="shared" si="4"/>
        <v>6.0000000000400178E-2</v>
      </c>
      <c r="H41" s="194">
        <v>1476632.51</v>
      </c>
      <c r="I41" s="194">
        <f>INDEX('Revised 2017 Lockdown'!E$5:E$249,MATCH(B41,'Revised 2017 Lockdown'!B$5:B$249,0))</f>
        <v>1477231.12</v>
      </c>
      <c r="J41" s="194">
        <f t="shared" si="5"/>
        <v>598.61000000010245</v>
      </c>
      <c r="K41" s="194">
        <v>386923.81000000006</v>
      </c>
      <c r="L41" s="194">
        <f>INDEX('Revised 2017 Lockdown'!F$5:F$249,MATCH(B41,'Revised 2017 Lockdown'!B$5:B$249,0))</f>
        <v>390505.4200000001</v>
      </c>
      <c r="M41" s="194">
        <f t="shared" si="6"/>
        <v>3581.6100000000442</v>
      </c>
      <c r="N41" s="194">
        <f t="shared" si="2"/>
        <v>1089708.7</v>
      </c>
      <c r="O41" s="195">
        <f t="shared" si="2"/>
        <v>1086725.7</v>
      </c>
      <c r="P41" s="195">
        <f t="shared" si="7"/>
        <v>-2983</v>
      </c>
      <c r="Q41" s="95">
        <f t="shared" si="8"/>
        <v>247.50963413078728</v>
      </c>
      <c r="R41" s="196">
        <f t="shared" si="3"/>
        <v>247.50963413078728</v>
      </c>
      <c r="S41" s="194">
        <f t="shared" si="9"/>
        <v>1086725.7</v>
      </c>
      <c r="T41" s="197">
        <v>0.41808333333333336</v>
      </c>
      <c r="U41" s="195">
        <f t="shared" si="10"/>
        <v>279785.9893042164</v>
      </c>
      <c r="V41" s="195">
        <f t="shared" si="11"/>
        <v>226514.86336329277</v>
      </c>
      <c r="W41" s="195">
        <f t="shared" si="12"/>
        <v>35092.15770848134</v>
      </c>
      <c r="X41" s="195">
        <f t="shared" si="13"/>
        <v>16253.342624661842</v>
      </c>
      <c r="Y41" s="195">
        <f t="shared" si="14"/>
        <v>557646.35300065239</v>
      </c>
      <c r="Z41" s="198">
        <f t="shared" si="15"/>
        <v>0.5131436138858706</v>
      </c>
      <c r="AA41" s="199">
        <f t="shared" si="16"/>
        <v>559053.91845813068</v>
      </c>
      <c r="AB41" s="195"/>
      <c r="AC41" s="199">
        <v>553908.01922707609</v>
      </c>
      <c r="AD41" s="194">
        <f t="shared" si="17"/>
        <v>5145.8992310545873</v>
      </c>
      <c r="AE41" s="194">
        <v>5060.2513550684089</v>
      </c>
      <c r="AF41" s="194">
        <f t="shared" si="18"/>
        <v>85.647875986178406</v>
      </c>
    </row>
    <row r="42" spans="2:32" s="200" customFormat="1" x14ac:dyDescent="0.25">
      <c r="B42" s="201">
        <v>123</v>
      </c>
      <c r="C42" s="201">
        <v>3</v>
      </c>
      <c r="D42" s="202" t="s">
        <v>78</v>
      </c>
      <c r="E42" s="193">
        <v>6452.95</v>
      </c>
      <c r="F42" s="193">
        <f>INDEX('Revised 2017 Lockdown'!H$5:H$249,MATCH(B42,'Revised 2017 Lockdown'!B$5:B$249,0))</f>
        <v>6452.95</v>
      </c>
      <c r="G42" s="193">
        <f t="shared" si="4"/>
        <v>0</v>
      </c>
      <c r="H42" s="194">
        <v>1268101.1000000001</v>
      </c>
      <c r="I42" s="194">
        <f>INDEX('Revised 2017 Lockdown'!E$5:E$249,MATCH(B42,'Revised 2017 Lockdown'!B$5:B$249,0))</f>
        <v>1280665.4099999999</v>
      </c>
      <c r="J42" s="194">
        <f t="shared" si="5"/>
        <v>12564.309999999823</v>
      </c>
      <c r="K42" s="194">
        <v>0</v>
      </c>
      <c r="L42" s="194">
        <f>INDEX('Revised 2017 Lockdown'!F$5:F$249,MATCH(B42,'Revised 2017 Lockdown'!B$5:B$249,0))</f>
        <v>0</v>
      </c>
      <c r="M42" s="194">
        <f t="shared" si="6"/>
        <v>0</v>
      </c>
      <c r="N42" s="194">
        <f t="shared" si="2"/>
        <v>1268101.1000000001</v>
      </c>
      <c r="O42" s="195">
        <f t="shared" si="2"/>
        <v>1280665.4099999999</v>
      </c>
      <c r="P42" s="195">
        <f t="shared" si="7"/>
        <v>12564.309999999823</v>
      </c>
      <c r="Q42" s="95">
        <f t="shared" si="8"/>
        <v>198.46200729898729</v>
      </c>
      <c r="R42" s="196">
        <f t="shared" si="3"/>
        <v>198.46200729898729</v>
      </c>
      <c r="S42" s="194">
        <f t="shared" si="9"/>
        <v>1280665.4099999999</v>
      </c>
      <c r="T42" s="197">
        <v>0.77650000000000008</v>
      </c>
      <c r="U42" s="195">
        <f t="shared" si="10"/>
        <v>329717.27705026197</v>
      </c>
      <c r="V42" s="195">
        <f t="shared" si="11"/>
        <v>332910.25625880511</v>
      </c>
      <c r="W42" s="195">
        <f t="shared" si="12"/>
        <v>76807.63968885853</v>
      </c>
      <c r="X42" s="195">
        <f t="shared" si="13"/>
        <v>19153.953657563296</v>
      </c>
      <c r="Y42" s="195">
        <f t="shared" si="14"/>
        <v>758589.12665548897</v>
      </c>
      <c r="Z42" s="198">
        <f t="shared" si="15"/>
        <v>0.5923398264153078</v>
      </c>
      <c r="AA42" s="199">
        <f t="shared" si="16"/>
        <v>760503.8954786926</v>
      </c>
      <c r="AB42" s="195"/>
      <c r="AC42" s="199">
        <v>748400.5691890961</v>
      </c>
      <c r="AD42" s="194">
        <f t="shared" si="17"/>
        <v>12103.326289596502</v>
      </c>
      <c r="AE42" s="194">
        <v>11983.227358952747</v>
      </c>
      <c r="AF42" s="194">
        <f t="shared" si="18"/>
        <v>120.09893064375501</v>
      </c>
    </row>
    <row r="43" spans="2:32" s="200" customFormat="1" x14ac:dyDescent="0.25">
      <c r="B43" s="201">
        <v>179</v>
      </c>
      <c r="C43" s="201">
        <v>3</v>
      </c>
      <c r="D43" s="202" t="s">
        <v>79</v>
      </c>
      <c r="E43" s="193">
        <v>6470.7699999999995</v>
      </c>
      <c r="F43" s="193">
        <f>INDEX('Revised 2017 Lockdown'!H$5:H$249,MATCH(B43,'Revised 2017 Lockdown'!B$5:B$249,0))</f>
        <v>6470.7699999999995</v>
      </c>
      <c r="G43" s="193">
        <f t="shared" si="4"/>
        <v>0</v>
      </c>
      <c r="H43" s="194">
        <v>2375493.86</v>
      </c>
      <c r="I43" s="194">
        <f>INDEX('Revised 2017 Lockdown'!E$5:E$249,MATCH(B43,'Revised 2017 Lockdown'!B$5:B$249,0))</f>
        <v>2375493.86</v>
      </c>
      <c r="J43" s="194">
        <f t="shared" si="5"/>
        <v>0</v>
      </c>
      <c r="K43" s="194">
        <v>1060798.6800000002</v>
      </c>
      <c r="L43" s="194">
        <f>INDEX('Revised 2017 Lockdown'!F$5:F$249,MATCH(B43,'Revised 2017 Lockdown'!B$5:B$249,0))</f>
        <v>1060798.6800000002</v>
      </c>
      <c r="M43" s="194">
        <f t="shared" si="6"/>
        <v>0</v>
      </c>
      <c r="N43" s="194">
        <f t="shared" si="2"/>
        <v>1314695.1799999997</v>
      </c>
      <c r="O43" s="195">
        <f t="shared" si="2"/>
        <v>1314695.1799999997</v>
      </c>
      <c r="P43" s="195">
        <f t="shared" si="7"/>
        <v>0</v>
      </c>
      <c r="Q43" s="95">
        <f t="shared" si="8"/>
        <v>203.17445682662185</v>
      </c>
      <c r="R43" s="196">
        <f t="shared" si="3"/>
        <v>203.17445682662185</v>
      </c>
      <c r="S43" s="194">
        <f t="shared" si="9"/>
        <v>1314695.1799999997</v>
      </c>
      <c r="T43" s="197">
        <v>0.79041666666666666</v>
      </c>
      <c r="U43" s="195">
        <f t="shared" si="10"/>
        <v>338478.5061858616</v>
      </c>
      <c r="V43" s="195">
        <f t="shared" si="11"/>
        <v>333829.59714421903</v>
      </c>
      <c r="W43" s="195">
        <f t="shared" si="12"/>
        <v>80261.715779322432</v>
      </c>
      <c r="X43" s="195">
        <f t="shared" si="13"/>
        <v>19662.911448152434</v>
      </c>
      <c r="Y43" s="195">
        <f t="shared" si="14"/>
        <v>772232.73055755545</v>
      </c>
      <c r="Z43" s="198">
        <f t="shared" si="15"/>
        <v>0.58738538203019475</v>
      </c>
      <c r="AA43" s="199">
        <f t="shared" si="16"/>
        <v>774181.93745332013</v>
      </c>
      <c r="AB43" s="195"/>
      <c r="AC43" s="199">
        <v>765956.16842499725</v>
      </c>
      <c r="AD43" s="194">
        <f t="shared" si="17"/>
        <v>8225.7690283228876</v>
      </c>
      <c r="AE43" s="194">
        <v>8104.162082780269</v>
      </c>
      <c r="AF43" s="194">
        <f t="shared" si="18"/>
        <v>121.60694554261863</v>
      </c>
    </row>
    <row r="44" spans="2:32" s="200" customFormat="1" x14ac:dyDescent="0.25">
      <c r="B44" s="201">
        <v>293</v>
      </c>
      <c r="C44" s="201">
        <v>3</v>
      </c>
      <c r="D44" s="202" t="s">
        <v>80</v>
      </c>
      <c r="E44" s="193">
        <v>7745.28</v>
      </c>
      <c r="F44" s="193">
        <f>INDEX('Revised 2017 Lockdown'!H$5:H$249,MATCH(B44,'Revised 2017 Lockdown'!B$5:B$249,0))</f>
        <v>7745.28</v>
      </c>
      <c r="G44" s="193">
        <f t="shared" si="4"/>
        <v>0</v>
      </c>
      <c r="H44" s="194">
        <v>2246062.3199999998</v>
      </c>
      <c r="I44" s="194">
        <f>INDEX('Revised 2017 Lockdown'!E$5:E$249,MATCH(B44,'Revised 2017 Lockdown'!B$5:B$249,0))</f>
        <v>2246062.3199999998</v>
      </c>
      <c r="J44" s="194">
        <f t="shared" si="5"/>
        <v>0</v>
      </c>
      <c r="K44" s="194">
        <v>1355934.76</v>
      </c>
      <c r="L44" s="194">
        <f>INDEX('Revised 2017 Lockdown'!F$5:F$249,MATCH(B44,'Revised 2017 Lockdown'!B$5:B$249,0))</f>
        <v>1355934.76</v>
      </c>
      <c r="M44" s="194">
        <f t="shared" si="6"/>
        <v>0</v>
      </c>
      <c r="N44" s="194">
        <f t="shared" si="2"/>
        <v>890127.55999999982</v>
      </c>
      <c r="O44" s="195">
        <f t="shared" si="2"/>
        <v>890127.55999999982</v>
      </c>
      <c r="P44" s="195">
        <f t="shared" si="7"/>
        <v>0</v>
      </c>
      <c r="Q44" s="95">
        <f t="shared" si="8"/>
        <v>114.92516216327878</v>
      </c>
      <c r="R44" s="196">
        <f t="shared" si="3"/>
        <v>114.92516216327878</v>
      </c>
      <c r="S44" s="194">
        <f t="shared" si="9"/>
        <v>890127.55999999982</v>
      </c>
      <c r="T44" s="197">
        <v>0.96424999999999994</v>
      </c>
      <c r="U44" s="195">
        <f t="shared" si="10"/>
        <v>229170.26806446942</v>
      </c>
      <c r="V44" s="195">
        <f t="shared" si="11"/>
        <v>399582.07480240788</v>
      </c>
      <c r="W44" s="195">
        <f t="shared" si="12"/>
        <v>66293.229294349381</v>
      </c>
      <c r="X44" s="195">
        <f t="shared" si="13"/>
        <v>13312.971444711611</v>
      </c>
      <c r="Y44" s="195">
        <f t="shared" si="14"/>
        <v>708358.54360593832</v>
      </c>
      <c r="Z44" s="198">
        <f t="shared" si="15"/>
        <v>0.79579441805614748</v>
      </c>
      <c r="AA44" s="199">
        <f t="shared" si="16"/>
        <v>667595.66999999993</v>
      </c>
      <c r="AB44" s="195"/>
      <c r="AC44" s="199">
        <v>667595.66999999993</v>
      </c>
      <c r="AD44" s="194">
        <f t="shared" si="17"/>
        <v>0</v>
      </c>
      <c r="AE44" s="194">
        <v>0</v>
      </c>
      <c r="AF44" s="194">
        <f t="shared" si="18"/>
        <v>0</v>
      </c>
    </row>
    <row r="45" spans="2:32" s="200" customFormat="1" x14ac:dyDescent="0.25">
      <c r="B45" s="201">
        <v>12</v>
      </c>
      <c r="C45" s="201">
        <v>4</v>
      </c>
      <c r="D45" s="202" t="s">
        <v>81</v>
      </c>
      <c r="E45" s="193">
        <v>6061.0499999999993</v>
      </c>
      <c r="F45" s="193">
        <f>INDEX('Revised 2017 Lockdown'!H$5:H$249,MATCH(B45,'Revised 2017 Lockdown'!B$5:B$249,0))</f>
        <v>6061.0499999999993</v>
      </c>
      <c r="G45" s="193">
        <f t="shared" si="4"/>
        <v>0</v>
      </c>
      <c r="H45" s="194">
        <v>3099070.13</v>
      </c>
      <c r="I45" s="194">
        <f>INDEX('Revised 2017 Lockdown'!E$5:E$249,MATCH(B45,'Revised 2017 Lockdown'!B$5:B$249,0))</f>
        <v>3099070.13</v>
      </c>
      <c r="J45" s="194">
        <f t="shared" si="5"/>
        <v>0</v>
      </c>
      <c r="K45" s="194">
        <v>783502.69</v>
      </c>
      <c r="L45" s="194">
        <f>INDEX('Revised 2017 Lockdown'!F$5:F$249,MATCH(B45,'Revised 2017 Lockdown'!B$5:B$249,0))</f>
        <v>783502.69</v>
      </c>
      <c r="M45" s="194">
        <f t="shared" si="6"/>
        <v>0</v>
      </c>
      <c r="N45" s="194">
        <f t="shared" si="2"/>
        <v>2315567.44</v>
      </c>
      <c r="O45" s="195">
        <f t="shared" si="2"/>
        <v>2315567.44</v>
      </c>
      <c r="P45" s="195">
        <f t="shared" si="7"/>
        <v>0</v>
      </c>
      <c r="Q45" s="95">
        <f t="shared" si="8"/>
        <v>382.04064312289131</v>
      </c>
      <c r="R45" s="196">
        <f t="shared" si="3"/>
        <v>382.04064312289131</v>
      </c>
      <c r="S45" s="194">
        <f t="shared" si="9"/>
        <v>2315567.44</v>
      </c>
      <c r="T45" s="197">
        <v>0.82516666666666671</v>
      </c>
      <c r="U45" s="195">
        <f t="shared" si="10"/>
        <v>596160.85917636042</v>
      </c>
      <c r="V45" s="195">
        <f t="shared" si="11"/>
        <v>312691.97943536373</v>
      </c>
      <c r="W45" s="195">
        <f t="shared" si="12"/>
        <v>147579.62068910801</v>
      </c>
      <c r="X45" s="195">
        <f t="shared" si="13"/>
        <v>34632.208452262705</v>
      </c>
      <c r="Y45" s="195">
        <f t="shared" si="14"/>
        <v>1091064.6677530948</v>
      </c>
      <c r="Z45" s="198">
        <f t="shared" si="15"/>
        <v>0.47118673760289825</v>
      </c>
      <c r="AA45" s="199">
        <f t="shared" si="16"/>
        <v>1093818.644229298</v>
      </c>
      <c r="AB45" s="195"/>
      <c r="AC45" s="199">
        <v>1079449.2301937551</v>
      </c>
      <c r="AD45" s="194">
        <f t="shared" si="17"/>
        <v>14369.414035542868</v>
      </c>
      <c r="AE45" s="194">
        <v>14218.365947935497</v>
      </c>
      <c r="AF45" s="194">
        <f t="shared" si="18"/>
        <v>151.04808760737069</v>
      </c>
    </row>
    <row r="46" spans="2:32" s="200" customFormat="1" x14ac:dyDescent="0.25">
      <c r="B46" s="201">
        <v>21</v>
      </c>
      <c r="C46" s="201">
        <v>4</v>
      </c>
      <c r="D46" s="202" t="s">
        <v>82</v>
      </c>
      <c r="E46" s="193">
        <v>5307.0800000000008</v>
      </c>
      <c r="F46" s="193">
        <f>INDEX('Revised 2017 Lockdown'!H$5:H$249,MATCH(B46,'Revised 2017 Lockdown'!B$5:B$249,0))</f>
        <v>5307.0800000000008</v>
      </c>
      <c r="G46" s="193">
        <f t="shared" si="4"/>
        <v>0</v>
      </c>
      <c r="H46" s="194">
        <v>2877654.83</v>
      </c>
      <c r="I46" s="194">
        <f>INDEX('Revised 2017 Lockdown'!E$5:E$249,MATCH(B46,'Revised 2017 Lockdown'!B$5:B$249,0))</f>
        <v>2877654.83</v>
      </c>
      <c r="J46" s="194">
        <f t="shared" si="5"/>
        <v>0</v>
      </c>
      <c r="K46" s="194">
        <v>827724.42999999982</v>
      </c>
      <c r="L46" s="194">
        <f>INDEX('Revised 2017 Lockdown'!F$5:F$249,MATCH(B46,'Revised 2017 Lockdown'!B$5:B$249,0))</f>
        <v>827724.42999999982</v>
      </c>
      <c r="M46" s="194">
        <f t="shared" si="6"/>
        <v>0</v>
      </c>
      <c r="N46" s="194">
        <f t="shared" si="2"/>
        <v>2049930.4000000004</v>
      </c>
      <c r="O46" s="195">
        <f t="shared" si="2"/>
        <v>2049930.4000000004</v>
      </c>
      <c r="P46" s="195">
        <f t="shared" si="7"/>
        <v>0</v>
      </c>
      <c r="Q46" s="95">
        <f t="shared" si="8"/>
        <v>386.26333124806865</v>
      </c>
      <c r="R46" s="196">
        <f t="shared" si="3"/>
        <v>386.26333124806865</v>
      </c>
      <c r="S46" s="194">
        <f t="shared" si="9"/>
        <v>2049930.4000000006</v>
      </c>
      <c r="T46" s="197">
        <v>0.72766666666666668</v>
      </c>
      <c r="U46" s="195">
        <f t="shared" si="10"/>
        <v>527770.53581118782</v>
      </c>
      <c r="V46" s="195">
        <f t="shared" si="11"/>
        <v>273794.36734919372</v>
      </c>
      <c r="W46" s="195">
        <f t="shared" si="12"/>
        <v>115212.30796758231</v>
      </c>
      <c r="X46" s="195">
        <f t="shared" si="13"/>
        <v>30659.274136895914</v>
      </c>
      <c r="Y46" s="195">
        <f t="shared" si="14"/>
        <v>947436.48526485974</v>
      </c>
      <c r="Z46" s="198">
        <f t="shared" si="15"/>
        <v>0.46217983072247693</v>
      </c>
      <c r="AA46" s="199">
        <f t="shared" si="16"/>
        <v>949827.92719331046</v>
      </c>
      <c r="AB46" s="195"/>
      <c r="AC46" s="199">
        <v>937428.01986889972</v>
      </c>
      <c r="AD46" s="194">
        <f t="shared" si="17"/>
        <v>12399.907324410742</v>
      </c>
      <c r="AE46" s="194">
        <v>12268.574914215831</v>
      </c>
      <c r="AF46" s="194">
        <f t="shared" si="18"/>
        <v>131.33241019491106</v>
      </c>
    </row>
    <row r="47" spans="2:32" s="200" customFormat="1" x14ac:dyDescent="0.25">
      <c r="B47" s="201">
        <v>34</v>
      </c>
      <c r="C47" s="201">
        <v>4</v>
      </c>
      <c r="D47" s="202" t="s">
        <v>83</v>
      </c>
      <c r="E47" s="193">
        <v>4735.1400000000003</v>
      </c>
      <c r="F47" s="193">
        <f>INDEX('Revised 2017 Lockdown'!H$5:H$249,MATCH(B47,'Revised 2017 Lockdown'!B$5:B$249,0))</f>
        <v>4735.1400000000003</v>
      </c>
      <c r="G47" s="193">
        <f t="shared" si="4"/>
        <v>0</v>
      </c>
      <c r="H47" s="194">
        <v>2531654.36</v>
      </c>
      <c r="I47" s="194">
        <f>INDEX('Revised 2017 Lockdown'!E$5:E$249,MATCH(B47,'Revised 2017 Lockdown'!B$5:B$249,0))</f>
        <v>2531654.36</v>
      </c>
      <c r="J47" s="194">
        <f t="shared" si="5"/>
        <v>0</v>
      </c>
      <c r="K47" s="194">
        <v>716928.97</v>
      </c>
      <c r="L47" s="194">
        <f>INDEX('Revised 2017 Lockdown'!F$5:F$249,MATCH(B47,'Revised 2017 Lockdown'!B$5:B$249,0))</f>
        <v>716928.97</v>
      </c>
      <c r="M47" s="194">
        <f t="shared" si="6"/>
        <v>0</v>
      </c>
      <c r="N47" s="194">
        <f t="shared" si="2"/>
        <v>1814725.39</v>
      </c>
      <c r="O47" s="195">
        <f t="shared" si="2"/>
        <v>1814725.39</v>
      </c>
      <c r="P47" s="195">
        <f t="shared" si="7"/>
        <v>0</v>
      </c>
      <c r="Q47" s="95">
        <f t="shared" si="8"/>
        <v>383.24640665323511</v>
      </c>
      <c r="R47" s="196">
        <f t="shared" si="3"/>
        <v>383.24640665323511</v>
      </c>
      <c r="S47" s="194">
        <f t="shared" si="9"/>
        <v>1814725.39</v>
      </c>
      <c r="T47" s="197">
        <v>0.69941666666666669</v>
      </c>
      <c r="U47" s="195">
        <f t="shared" si="10"/>
        <v>467215.17541789054</v>
      </c>
      <c r="V47" s="195">
        <f t="shared" si="11"/>
        <v>244287.75534001016</v>
      </c>
      <c r="W47" s="195">
        <f t="shared" si="12"/>
        <v>98033.42418205888</v>
      </c>
      <c r="X47" s="195">
        <f t="shared" si="13"/>
        <v>27141.488908694329</v>
      </c>
      <c r="Y47" s="195">
        <f t="shared" si="14"/>
        <v>836677.84384865395</v>
      </c>
      <c r="Z47" s="198">
        <f t="shared" si="15"/>
        <v>0.46104928517512722</v>
      </c>
      <c r="AA47" s="199">
        <f t="shared" si="16"/>
        <v>838789.71784496319</v>
      </c>
      <c r="AB47" s="195"/>
      <c r="AC47" s="199">
        <v>827946.69080818968</v>
      </c>
      <c r="AD47" s="194">
        <f t="shared" si="17"/>
        <v>10843.027036773507</v>
      </c>
      <c r="AE47" s="194">
        <v>10726.753636055742</v>
      </c>
      <c r="AF47" s="194">
        <f t="shared" si="18"/>
        <v>116.27340071776416</v>
      </c>
    </row>
    <row r="48" spans="2:32" s="200" customFormat="1" x14ac:dyDescent="0.25">
      <c r="B48" s="201">
        <v>87</v>
      </c>
      <c r="C48" s="201">
        <v>4</v>
      </c>
      <c r="D48" s="202" t="s">
        <v>84</v>
      </c>
      <c r="E48" s="193">
        <v>11432.019999999997</v>
      </c>
      <c r="F48" s="193">
        <f>INDEX('Revised 2017 Lockdown'!H$5:H$249,MATCH(B48,'Revised 2017 Lockdown'!B$5:B$249,0))</f>
        <v>11432.019999999997</v>
      </c>
      <c r="G48" s="193">
        <f t="shared" si="4"/>
        <v>0</v>
      </c>
      <c r="H48" s="194">
        <v>4885516.33</v>
      </c>
      <c r="I48" s="194">
        <f>INDEX('Revised 2017 Lockdown'!E$5:E$249,MATCH(B48,'Revised 2017 Lockdown'!B$5:B$249,0))</f>
        <v>4885516.33</v>
      </c>
      <c r="J48" s="194">
        <f t="shared" si="5"/>
        <v>0</v>
      </c>
      <c r="K48" s="194">
        <v>1799892.97</v>
      </c>
      <c r="L48" s="194">
        <f>INDEX('Revised 2017 Lockdown'!F$5:F$249,MATCH(B48,'Revised 2017 Lockdown'!B$5:B$249,0))</f>
        <v>1799892.97</v>
      </c>
      <c r="M48" s="194">
        <f t="shared" si="6"/>
        <v>0</v>
      </c>
      <c r="N48" s="194">
        <f t="shared" si="2"/>
        <v>3085623.3600000003</v>
      </c>
      <c r="O48" s="195">
        <f t="shared" si="2"/>
        <v>3085623.3600000003</v>
      </c>
      <c r="P48" s="195">
        <f t="shared" si="7"/>
        <v>0</v>
      </c>
      <c r="Q48" s="95">
        <f t="shared" si="8"/>
        <v>269.91059847690968</v>
      </c>
      <c r="R48" s="196">
        <f t="shared" si="3"/>
        <v>269.91059847690968</v>
      </c>
      <c r="S48" s="194">
        <f t="shared" si="9"/>
        <v>3085623.3600000003</v>
      </c>
      <c r="T48" s="197">
        <v>0.88075000000000003</v>
      </c>
      <c r="U48" s="195">
        <f t="shared" si="10"/>
        <v>794417.74902148754</v>
      </c>
      <c r="V48" s="195">
        <f t="shared" si="11"/>
        <v>589782.45728787361</v>
      </c>
      <c r="W48" s="195">
        <f t="shared" si="12"/>
        <v>209905.02973520255</v>
      </c>
      <c r="X48" s="195">
        <f t="shared" si="13"/>
        <v>46149.358279407854</v>
      </c>
      <c r="Y48" s="195">
        <f t="shared" si="14"/>
        <v>1640254.5943239718</v>
      </c>
      <c r="Z48" s="198">
        <f t="shared" si="15"/>
        <v>0.53157965278172237</v>
      </c>
      <c r="AA48" s="199">
        <f t="shared" si="16"/>
        <v>1644394.7912355396</v>
      </c>
      <c r="AB48" s="195"/>
      <c r="AC48" s="199">
        <v>1624856.7522581134</v>
      </c>
      <c r="AD48" s="194">
        <f t="shared" si="17"/>
        <v>19538.038977426244</v>
      </c>
      <c r="AE48" s="194">
        <v>19295.18264121539</v>
      </c>
      <c r="AF48" s="194">
        <f t="shared" si="18"/>
        <v>242.85633621085435</v>
      </c>
    </row>
    <row r="49" spans="2:32" s="200" customFormat="1" x14ac:dyDescent="0.25">
      <c r="B49" s="201">
        <v>88</v>
      </c>
      <c r="C49" s="201">
        <v>4</v>
      </c>
      <c r="D49" s="202" t="s">
        <v>85</v>
      </c>
      <c r="E49" s="193">
        <v>5008.41</v>
      </c>
      <c r="F49" s="193">
        <f>INDEX('Revised 2017 Lockdown'!H$5:H$249,MATCH(B49,'Revised 2017 Lockdown'!B$5:B$249,0))</f>
        <v>5008.41</v>
      </c>
      <c r="G49" s="193">
        <f t="shared" si="4"/>
        <v>0</v>
      </c>
      <c r="H49" s="194">
        <v>2105518.15</v>
      </c>
      <c r="I49" s="194">
        <f>INDEX('Revised 2017 Lockdown'!E$5:E$249,MATCH(B49,'Revised 2017 Lockdown'!B$5:B$249,0))</f>
        <v>2105518.15</v>
      </c>
      <c r="J49" s="194">
        <f t="shared" si="5"/>
        <v>0</v>
      </c>
      <c r="K49" s="194">
        <v>782435.3</v>
      </c>
      <c r="L49" s="194">
        <f>INDEX('Revised 2017 Lockdown'!F$5:F$249,MATCH(B49,'Revised 2017 Lockdown'!B$5:B$249,0))</f>
        <v>782435.3</v>
      </c>
      <c r="M49" s="194">
        <f t="shared" si="6"/>
        <v>0</v>
      </c>
      <c r="N49" s="194">
        <f t="shared" si="2"/>
        <v>1323082.8499999999</v>
      </c>
      <c r="O49" s="195">
        <f t="shared" si="2"/>
        <v>1323082.8499999999</v>
      </c>
      <c r="P49" s="195">
        <f t="shared" si="7"/>
        <v>0</v>
      </c>
      <c r="Q49" s="95">
        <f t="shared" si="8"/>
        <v>264.17223230526253</v>
      </c>
      <c r="R49" s="196">
        <f t="shared" si="3"/>
        <v>264.17223230526253</v>
      </c>
      <c r="S49" s="194">
        <f t="shared" si="9"/>
        <v>1323082.8499999999</v>
      </c>
      <c r="T49" s="197">
        <v>0.96424999999999994</v>
      </c>
      <c r="U49" s="195">
        <f t="shared" si="10"/>
        <v>340637.97710746335</v>
      </c>
      <c r="V49" s="195">
        <f t="shared" si="11"/>
        <v>258385.86329495223</v>
      </c>
      <c r="W49" s="195">
        <f t="shared" si="12"/>
        <v>98538.050827761472</v>
      </c>
      <c r="X49" s="195">
        <f t="shared" si="13"/>
        <v>19788.35954819516</v>
      </c>
      <c r="Y49" s="195">
        <f t="shared" si="14"/>
        <v>717350.25077837228</v>
      </c>
      <c r="Z49" s="198">
        <f t="shared" si="15"/>
        <v>0.54218090029537636</v>
      </c>
      <c r="AA49" s="199">
        <f t="shared" si="16"/>
        <v>719160.92779342993</v>
      </c>
      <c r="AB49" s="195"/>
      <c r="AC49" s="199">
        <v>710609.66163190396</v>
      </c>
      <c r="AD49" s="194">
        <f t="shared" si="17"/>
        <v>8551.2661615259713</v>
      </c>
      <c r="AE49" s="194">
        <v>8444.9263795771403</v>
      </c>
      <c r="AF49" s="194">
        <f t="shared" si="18"/>
        <v>106.33978194883093</v>
      </c>
    </row>
    <row r="50" spans="2:32" s="200" customFormat="1" x14ac:dyDescent="0.25">
      <c r="B50" s="201">
        <v>89</v>
      </c>
      <c r="C50" s="201">
        <v>4</v>
      </c>
      <c r="D50" s="202" t="s">
        <v>86</v>
      </c>
      <c r="E50" s="193">
        <v>5649.21</v>
      </c>
      <c r="F50" s="193">
        <f>INDEX('Revised 2017 Lockdown'!H$5:H$249,MATCH(B50,'Revised 2017 Lockdown'!B$5:B$249,0))</f>
        <v>5649.21</v>
      </c>
      <c r="G50" s="193">
        <f t="shared" si="4"/>
        <v>0</v>
      </c>
      <c r="H50" s="194">
        <v>3518610.54</v>
      </c>
      <c r="I50" s="194">
        <f>INDEX('Revised 2017 Lockdown'!E$5:E$249,MATCH(B50,'Revised 2017 Lockdown'!B$5:B$249,0))</f>
        <v>3518610.54</v>
      </c>
      <c r="J50" s="194">
        <f t="shared" si="5"/>
        <v>0</v>
      </c>
      <c r="K50" s="194">
        <v>652661.15999999992</v>
      </c>
      <c r="L50" s="194">
        <f>INDEX('Revised 2017 Lockdown'!F$5:F$249,MATCH(B50,'Revised 2017 Lockdown'!B$5:B$249,0))</f>
        <v>652661.15999999992</v>
      </c>
      <c r="M50" s="194">
        <f t="shared" si="6"/>
        <v>0</v>
      </c>
      <c r="N50" s="194">
        <f t="shared" si="2"/>
        <v>2865949.38</v>
      </c>
      <c r="O50" s="195">
        <f t="shared" si="2"/>
        <v>2865949.38</v>
      </c>
      <c r="P50" s="195">
        <f t="shared" si="7"/>
        <v>0</v>
      </c>
      <c r="Q50" s="95">
        <f t="shared" si="8"/>
        <v>507.318612690978</v>
      </c>
      <c r="R50" s="196">
        <f t="shared" si="3"/>
        <v>507.318612690978</v>
      </c>
      <c r="S50" s="194">
        <f t="shared" si="9"/>
        <v>2865949.38</v>
      </c>
      <c r="T50" s="197">
        <v>0.76175000000000004</v>
      </c>
      <c r="U50" s="195">
        <f t="shared" si="10"/>
        <v>737860.97317759716</v>
      </c>
      <c r="V50" s="195">
        <f t="shared" si="11"/>
        <v>291444.99008357484</v>
      </c>
      <c r="W50" s="195">
        <f t="shared" si="12"/>
        <v>168619.67889541041</v>
      </c>
      <c r="X50" s="195">
        <f t="shared" si="13"/>
        <v>42863.859038280934</v>
      </c>
      <c r="Y50" s="195">
        <f t="shared" si="14"/>
        <v>1240789.5011948633</v>
      </c>
      <c r="Z50" s="198">
        <f t="shared" si="15"/>
        <v>0.43294187603371537</v>
      </c>
      <c r="AA50" s="199">
        <f t="shared" si="16"/>
        <v>1243921.4008880754</v>
      </c>
      <c r="AB50" s="195"/>
      <c r="AC50" s="199">
        <v>1226667.9437732056</v>
      </c>
      <c r="AD50" s="194">
        <f t="shared" si="17"/>
        <v>17253.457114869729</v>
      </c>
      <c r="AE50" s="194">
        <v>17090.195487178164</v>
      </c>
      <c r="AF50" s="194">
        <f t="shared" si="18"/>
        <v>163.26162769156508</v>
      </c>
    </row>
    <row r="51" spans="2:32" s="200" customFormat="1" x14ac:dyDescent="0.25">
      <c r="B51" s="201">
        <v>143</v>
      </c>
      <c r="C51" s="201">
        <v>4</v>
      </c>
      <c r="D51" s="202" t="s">
        <v>87</v>
      </c>
      <c r="E51" s="193">
        <v>3054.17</v>
      </c>
      <c r="F51" s="193">
        <f>INDEX('Revised 2017 Lockdown'!H$5:H$249,MATCH(B51,'Revised 2017 Lockdown'!B$5:B$249,0))</f>
        <v>3054.17</v>
      </c>
      <c r="G51" s="193">
        <f t="shared" si="4"/>
        <v>0</v>
      </c>
      <c r="H51" s="194">
        <v>975888.65</v>
      </c>
      <c r="I51" s="194">
        <f>INDEX('Revised 2017 Lockdown'!E$5:E$249,MATCH(B51,'Revised 2017 Lockdown'!B$5:B$249,0))</f>
        <v>975888.65</v>
      </c>
      <c r="J51" s="194">
        <f t="shared" si="5"/>
        <v>0</v>
      </c>
      <c r="K51" s="194">
        <v>393302.16</v>
      </c>
      <c r="L51" s="194">
        <f>INDEX('Revised 2017 Lockdown'!F$5:F$249,MATCH(B51,'Revised 2017 Lockdown'!B$5:B$249,0))</f>
        <v>393302.16</v>
      </c>
      <c r="M51" s="194">
        <f t="shared" si="6"/>
        <v>0</v>
      </c>
      <c r="N51" s="194">
        <f t="shared" si="2"/>
        <v>582586.49</v>
      </c>
      <c r="O51" s="195">
        <f t="shared" si="2"/>
        <v>582586.49</v>
      </c>
      <c r="P51" s="195">
        <f t="shared" si="7"/>
        <v>0</v>
      </c>
      <c r="Q51" s="95">
        <f t="shared" si="8"/>
        <v>190.75116643801752</v>
      </c>
      <c r="R51" s="196">
        <f t="shared" si="3"/>
        <v>190.75116643801752</v>
      </c>
      <c r="S51" s="194">
        <f t="shared" si="9"/>
        <v>582586.49</v>
      </c>
      <c r="T51" s="197">
        <v>0.8390833333333334</v>
      </c>
      <c r="U51" s="195">
        <f t="shared" si="10"/>
        <v>149991.42604239596</v>
      </c>
      <c r="V51" s="195">
        <f t="shared" si="11"/>
        <v>157565.84466917531</v>
      </c>
      <c r="W51" s="195">
        <f t="shared" si="12"/>
        <v>37756.591720522119</v>
      </c>
      <c r="X51" s="195">
        <f t="shared" si="13"/>
        <v>8713.3099276746016</v>
      </c>
      <c r="Y51" s="195">
        <f t="shared" si="14"/>
        <v>354027.17235976795</v>
      </c>
      <c r="Z51" s="198">
        <f t="shared" si="15"/>
        <v>0.60768174071418646</v>
      </c>
      <c r="AA51" s="199">
        <f t="shared" si="16"/>
        <v>354920.77888322301</v>
      </c>
      <c r="AB51" s="195"/>
      <c r="AC51" s="199">
        <v>351225.95942922472</v>
      </c>
      <c r="AD51" s="194">
        <f t="shared" si="17"/>
        <v>3694.8194539982942</v>
      </c>
      <c r="AE51" s="194">
        <v>3638.4585430909065</v>
      </c>
      <c r="AF51" s="194">
        <f t="shared" si="18"/>
        <v>56.360910907387733</v>
      </c>
    </row>
    <row r="52" spans="2:32" s="200" customFormat="1" x14ac:dyDescent="0.25">
      <c r="B52" s="201">
        <v>183</v>
      </c>
      <c r="C52" s="201">
        <v>4</v>
      </c>
      <c r="D52" s="202" t="s">
        <v>88</v>
      </c>
      <c r="E52" s="193">
        <v>11921.288399999999</v>
      </c>
      <c r="F52" s="193">
        <f>INDEX('Revised 2017 Lockdown'!H$5:H$249,MATCH(B52,'Revised 2017 Lockdown'!B$5:B$249,0))</f>
        <v>11921.288399999999</v>
      </c>
      <c r="G52" s="193">
        <f t="shared" si="4"/>
        <v>0</v>
      </c>
      <c r="H52" s="194">
        <v>6998839.0599999996</v>
      </c>
      <c r="I52" s="194">
        <f>INDEX('Revised 2017 Lockdown'!E$5:E$249,MATCH(B52,'Revised 2017 Lockdown'!B$5:B$249,0))</f>
        <v>7022821.2999999998</v>
      </c>
      <c r="J52" s="194">
        <f t="shared" si="5"/>
        <v>23982.240000000224</v>
      </c>
      <c r="K52" s="194">
        <v>656113.0199999999</v>
      </c>
      <c r="L52" s="194">
        <f>INDEX('Revised 2017 Lockdown'!F$5:F$249,MATCH(B52,'Revised 2017 Lockdown'!B$5:B$249,0))</f>
        <v>656113.0199999999</v>
      </c>
      <c r="M52" s="194">
        <f t="shared" si="6"/>
        <v>0</v>
      </c>
      <c r="N52" s="194">
        <f t="shared" si="2"/>
        <v>6342726.04</v>
      </c>
      <c r="O52" s="195">
        <f t="shared" si="2"/>
        <v>6366708.2800000003</v>
      </c>
      <c r="P52" s="195">
        <f t="shared" si="7"/>
        <v>23982.240000000224</v>
      </c>
      <c r="Q52" s="95">
        <f t="shared" si="8"/>
        <v>534.06209684516989</v>
      </c>
      <c r="R52" s="196">
        <f t="shared" si="3"/>
        <v>520.85506757931932</v>
      </c>
      <c r="S52" s="194">
        <f t="shared" si="9"/>
        <v>6209263.4752145549</v>
      </c>
      <c r="T52" s="197">
        <v>0.75550000000000006</v>
      </c>
      <c r="U52" s="195">
        <f t="shared" si="10"/>
        <v>1598623.2075522286</v>
      </c>
      <c r="V52" s="195">
        <f t="shared" si="11"/>
        <v>615024.00858198514</v>
      </c>
      <c r="W52" s="195">
        <f t="shared" si="12"/>
        <v>362327.94999171264</v>
      </c>
      <c r="X52" s="195">
        <f t="shared" si="13"/>
        <v>92867.304702061097</v>
      </c>
      <c r="Y52" s="195">
        <f t="shared" si="14"/>
        <v>2668842.4708279879</v>
      </c>
      <c r="Z52" s="198">
        <f t="shared" si="15"/>
        <v>0.42981627071893075</v>
      </c>
      <c r="AA52" s="199">
        <f t="shared" si="16"/>
        <v>2675578.9453932289</v>
      </c>
      <c r="AB52" s="195"/>
      <c r="AC52" s="199">
        <v>2634872.0413144832</v>
      </c>
      <c r="AD52" s="194">
        <f t="shared" si="17"/>
        <v>40706.904078745749</v>
      </c>
      <c r="AE52" s="194">
        <v>40357.13154707849</v>
      </c>
      <c r="AF52" s="194">
        <f t="shared" si="18"/>
        <v>349.77253166725859</v>
      </c>
    </row>
    <row r="53" spans="2:32" s="200" customFormat="1" x14ac:dyDescent="0.25">
      <c r="B53" s="201">
        <v>186</v>
      </c>
      <c r="C53" s="201">
        <v>4</v>
      </c>
      <c r="D53" s="202" t="s">
        <v>89</v>
      </c>
      <c r="E53" s="193">
        <v>11753.909999999998</v>
      </c>
      <c r="F53" s="193">
        <f>INDEX('Revised 2017 Lockdown'!H$5:H$249,MATCH(B53,'Revised 2017 Lockdown'!B$5:B$249,0))</f>
        <v>11753.909999999998</v>
      </c>
      <c r="G53" s="193">
        <f t="shared" si="4"/>
        <v>0</v>
      </c>
      <c r="H53" s="194">
        <v>7142685.9100000001</v>
      </c>
      <c r="I53" s="194">
        <f>INDEX('Revised 2017 Lockdown'!E$5:E$249,MATCH(B53,'Revised 2017 Lockdown'!B$5:B$249,0))</f>
        <v>7142685.9100000001</v>
      </c>
      <c r="J53" s="194">
        <f t="shared" si="5"/>
        <v>0</v>
      </c>
      <c r="K53" s="194">
        <v>1669583.4900000002</v>
      </c>
      <c r="L53" s="194">
        <f>INDEX('Revised 2017 Lockdown'!F$5:F$249,MATCH(B53,'Revised 2017 Lockdown'!B$5:B$249,0))</f>
        <v>1669583.4900000002</v>
      </c>
      <c r="M53" s="194">
        <f t="shared" si="6"/>
        <v>0</v>
      </c>
      <c r="N53" s="194">
        <f t="shared" si="2"/>
        <v>5473102.4199999999</v>
      </c>
      <c r="O53" s="195">
        <f t="shared" si="2"/>
        <v>5473102.4199999999</v>
      </c>
      <c r="P53" s="195">
        <f t="shared" si="7"/>
        <v>0</v>
      </c>
      <c r="Q53" s="95">
        <f t="shared" si="8"/>
        <v>465.64100116471889</v>
      </c>
      <c r="R53" s="196">
        <f t="shared" si="3"/>
        <v>465.64100116471889</v>
      </c>
      <c r="S53" s="194">
        <f t="shared" si="9"/>
        <v>5473102.4199999999</v>
      </c>
      <c r="T53" s="197">
        <v>0.83899999999999997</v>
      </c>
      <c r="U53" s="195">
        <f t="shared" si="10"/>
        <v>1409092.8144452651</v>
      </c>
      <c r="V53" s="195">
        <f t="shared" si="11"/>
        <v>606388.89037462417</v>
      </c>
      <c r="W53" s="195">
        <f t="shared" si="12"/>
        <v>354668.66139587318</v>
      </c>
      <c r="X53" s="195">
        <f t="shared" si="13"/>
        <v>81857.094989219331</v>
      </c>
      <c r="Y53" s="195">
        <f t="shared" si="14"/>
        <v>2452007.4612049819</v>
      </c>
      <c r="Z53" s="198">
        <f t="shared" si="15"/>
        <v>0.44801052000137465</v>
      </c>
      <c r="AA53" s="199">
        <f t="shared" si="16"/>
        <v>2458196.6185182137</v>
      </c>
      <c r="AB53" s="195"/>
      <c r="AC53" s="199">
        <v>2424264.7149712606</v>
      </c>
      <c r="AD53" s="194">
        <f t="shared" si="17"/>
        <v>33931.903546953108</v>
      </c>
      <c r="AE53" s="194">
        <v>33605.007275260054</v>
      </c>
      <c r="AF53" s="194">
        <f t="shared" si="18"/>
        <v>326.89627169305459</v>
      </c>
    </row>
    <row r="54" spans="2:32" s="200" customFormat="1" x14ac:dyDescent="0.25">
      <c r="B54" s="201">
        <v>190</v>
      </c>
      <c r="C54" s="201">
        <v>4</v>
      </c>
      <c r="D54" s="202" t="s">
        <v>90</v>
      </c>
      <c r="E54" s="193">
        <v>3149.7200000000003</v>
      </c>
      <c r="F54" s="193">
        <f>INDEX('Revised 2017 Lockdown'!H$5:H$249,MATCH(B54,'Revised 2017 Lockdown'!B$5:B$249,0))</f>
        <v>3149.7200000000003</v>
      </c>
      <c r="G54" s="193">
        <f t="shared" si="4"/>
        <v>0</v>
      </c>
      <c r="H54" s="194">
        <v>1959680.03</v>
      </c>
      <c r="I54" s="194">
        <f>INDEX('Revised 2017 Lockdown'!E$5:E$249,MATCH(B54,'Revised 2017 Lockdown'!B$5:B$249,0))</f>
        <v>1959680.03</v>
      </c>
      <c r="J54" s="194">
        <f t="shared" si="5"/>
        <v>0</v>
      </c>
      <c r="K54" s="194">
        <v>576911.32999999996</v>
      </c>
      <c r="L54" s="194">
        <f>INDEX('Revised 2017 Lockdown'!F$5:F$249,MATCH(B54,'Revised 2017 Lockdown'!B$5:B$249,0))</f>
        <v>576911.32999999996</v>
      </c>
      <c r="M54" s="194">
        <f t="shared" si="6"/>
        <v>0</v>
      </c>
      <c r="N54" s="194">
        <f t="shared" si="2"/>
        <v>1382768.7000000002</v>
      </c>
      <c r="O54" s="195">
        <f t="shared" si="2"/>
        <v>1382768.7000000002</v>
      </c>
      <c r="P54" s="195">
        <f t="shared" si="7"/>
        <v>0</v>
      </c>
      <c r="Q54" s="95">
        <f t="shared" si="8"/>
        <v>439.01321387297924</v>
      </c>
      <c r="R54" s="196">
        <f t="shared" si="3"/>
        <v>439.01321387297924</v>
      </c>
      <c r="S54" s="194">
        <f t="shared" si="9"/>
        <v>1382768.7000000002</v>
      </c>
      <c r="T54" s="197">
        <v>0.41783333333333339</v>
      </c>
      <c r="U54" s="195">
        <f t="shared" si="10"/>
        <v>356004.56371686549</v>
      </c>
      <c r="V54" s="195">
        <f t="shared" si="11"/>
        <v>162495.30716083088</v>
      </c>
      <c r="W54" s="195">
        <f t="shared" si="12"/>
        <v>44625.172061909092</v>
      </c>
      <c r="X54" s="195">
        <f t="shared" si="13"/>
        <v>20681.036117723401</v>
      </c>
      <c r="Y54" s="195">
        <f t="shared" si="14"/>
        <v>583806.07905732887</v>
      </c>
      <c r="Z54" s="198">
        <f t="shared" si="15"/>
        <v>0.42220082003398601</v>
      </c>
      <c r="AA54" s="199">
        <f t="shared" si="16"/>
        <v>585279.67476242967</v>
      </c>
      <c r="AB54" s="195"/>
      <c r="AC54" s="199">
        <v>577974.04956875707</v>
      </c>
      <c r="AD54" s="194">
        <f t="shared" si="17"/>
        <v>7305.6251936726039</v>
      </c>
      <c r="AE54" s="194">
        <v>7225.7945605699206</v>
      </c>
      <c r="AF54" s="194">
        <f t="shared" si="18"/>
        <v>79.83063310268335</v>
      </c>
    </row>
    <row r="55" spans="2:32" s="200" customFormat="1" x14ac:dyDescent="0.25">
      <c r="B55" s="201">
        <v>324</v>
      </c>
      <c r="C55" s="201">
        <v>4</v>
      </c>
      <c r="D55" s="202" t="s">
        <v>91</v>
      </c>
      <c r="E55" s="193">
        <v>8276.9499999999971</v>
      </c>
      <c r="F55" s="193">
        <f>INDEX('Revised 2017 Lockdown'!H$5:H$249,MATCH(B55,'Revised 2017 Lockdown'!B$5:B$249,0))</f>
        <v>8276.9499999999971</v>
      </c>
      <c r="G55" s="193">
        <f t="shared" si="4"/>
        <v>0</v>
      </c>
      <c r="H55" s="194">
        <v>4083823.39</v>
      </c>
      <c r="I55" s="194">
        <f>INDEX('Revised 2017 Lockdown'!E$5:E$249,MATCH(B55,'Revised 2017 Lockdown'!B$5:B$249,0))</f>
        <v>4083823.39</v>
      </c>
      <c r="J55" s="194">
        <f t="shared" si="5"/>
        <v>0</v>
      </c>
      <c r="K55" s="194">
        <v>1467151.12</v>
      </c>
      <c r="L55" s="194">
        <f>INDEX('Revised 2017 Lockdown'!F$5:F$249,MATCH(B55,'Revised 2017 Lockdown'!B$5:B$249,0))</f>
        <v>1467151.12</v>
      </c>
      <c r="M55" s="194">
        <f t="shared" si="6"/>
        <v>0</v>
      </c>
      <c r="N55" s="194">
        <f t="shared" si="2"/>
        <v>2616672.27</v>
      </c>
      <c r="O55" s="195">
        <f t="shared" si="2"/>
        <v>2616672.27</v>
      </c>
      <c r="P55" s="195">
        <f t="shared" si="7"/>
        <v>0</v>
      </c>
      <c r="Q55" s="95">
        <f t="shared" si="8"/>
        <v>316.13967343043038</v>
      </c>
      <c r="R55" s="196">
        <f t="shared" si="3"/>
        <v>316.13967343043038</v>
      </c>
      <c r="S55" s="194">
        <f t="shared" si="9"/>
        <v>2616672.27</v>
      </c>
      <c r="T55" s="197">
        <v>0.83899999999999997</v>
      </c>
      <c r="U55" s="195">
        <f t="shared" si="10"/>
        <v>673682.64111804811</v>
      </c>
      <c r="V55" s="195">
        <f t="shared" si="11"/>
        <v>427011.14149982814</v>
      </c>
      <c r="W55" s="195">
        <f t="shared" si="12"/>
        <v>169565.92076941271</v>
      </c>
      <c r="X55" s="195">
        <f t="shared" si="13"/>
        <v>39135.607946661847</v>
      </c>
      <c r="Y55" s="195">
        <f t="shared" si="14"/>
        <v>1309395.3113339508</v>
      </c>
      <c r="Z55" s="198">
        <f t="shared" si="15"/>
        <v>0.50040477989777099</v>
      </c>
      <c r="AA55" s="199">
        <f t="shared" si="16"/>
        <v>1312700.3802194556</v>
      </c>
      <c r="AB55" s="195"/>
      <c r="AC55" s="199">
        <v>1296360.9676115396</v>
      </c>
      <c r="AD55" s="194">
        <f t="shared" si="17"/>
        <v>16339.412607915932</v>
      </c>
      <c r="AE55" s="194">
        <v>16151.341871186625</v>
      </c>
      <c r="AF55" s="194">
        <f t="shared" si="18"/>
        <v>188.0707367293071</v>
      </c>
    </row>
    <row r="56" spans="2:32" s="200" customFormat="1" x14ac:dyDescent="0.25">
      <c r="B56" s="201">
        <v>429</v>
      </c>
      <c r="C56" s="201">
        <v>4</v>
      </c>
      <c r="D56" s="202" t="s">
        <v>92</v>
      </c>
      <c r="E56" s="193">
        <v>4436.7299999999996</v>
      </c>
      <c r="F56" s="193">
        <f>INDEX('Revised 2017 Lockdown'!H$5:H$249,MATCH(B56,'Revised 2017 Lockdown'!B$5:B$249,0))</f>
        <v>4436.7299999999996</v>
      </c>
      <c r="G56" s="193">
        <f t="shared" si="4"/>
        <v>0</v>
      </c>
      <c r="H56" s="194">
        <v>1634027.55</v>
      </c>
      <c r="I56" s="194">
        <f>INDEX('Revised 2017 Lockdown'!E$5:E$249,MATCH(B56,'Revised 2017 Lockdown'!B$5:B$249,0))</f>
        <v>1634027.55</v>
      </c>
      <c r="J56" s="194">
        <f t="shared" si="5"/>
        <v>0</v>
      </c>
      <c r="K56" s="194">
        <v>574685.66</v>
      </c>
      <c r="L56" s="194">
        <f>INDEX('Revised 2017 Lockdown'!F$5:F$249,MATCH(B56,'Revised 2017 Lockdown'!B$5:B$249,0))</f>
        <v>574685.66</v>
      </c>
      <c r="M56" s="194">
        <f t="shared" si="6"/>
        <v>0</v>
      </c>
      <c r="N56" s="194">
        <f t="shared" si="2"/>
        <v>1059341.8900000001</v>
      </c>
      <c r="O56" s="195">
        <f t="shared" si="2"/>
        <v>1059341.8900000001</v>
      </c>
      <c r="P56" s="195">
        <f t="shared" si="7"/>
        <v>0</v>
      </c>
      <c r="Q56" s="95">
        <f t="shared" si="8"/>
        <v>238.76636396625449</v>
      </c>
      <c r="R56" s="196">
        <f t="shared" si="3"/>
        <v>238.76636396625449</v>
      </c>
      <c r="S56" s="194">
        <f t="shared" si="9"/>
        <v>1059341.8900000001</v>
      </c>
      <c r="T56" s="197">
        <v>0.74075000000000002</v>
      </c>
      <c r="U56" s="195">
        <f t="shared" si="10"/>
        <v>272735.81429522502</v>
      </c>
      <c r="V56" s="195">
        <f t="shared" si="11"/>
        <v>228892.6647891473</v>
      </c>
      <c r="W56" s="195">
        <f t="shared" si="12"/>
        <v>60608.716331756383</v>
      </c>
      <c r="X56" s="195">
        <f t="shared" si="13"/>
        <v>15843.783481725737</v>
      </c>
      <c r="Y56" s="195">
        <f t="shared" si="14"/>
        <v>578080.97889785445</v>
      </c>
      <c r="Z56" s="198">
        <f t="shared" si="15"/>
        <v>0.54569821542491292</v>
      </c>
      <c r="AA56" s="199">
        <f t="shared" si="16"/>
        <v>579540.12377191929</v>
      </c>
      <c r="AB56" s="195"/>
      <c r="AC56" s="199">
        <v>573103.65962140507</v>
      </c>
      <c r="AD56" s="194">
        <f t="shared" si="17"/>
        <v>6436.4641505142208</v>
      </c>
      <c r="AE56" s="194">
        <v>6348.216288031661</v>
      </c>
      <c r="AF56" s="194">
        <f t="shared" si="18"/>
        <v>88.247862482559867</v>
      </c>
    </row>
    <row r="57" spans="2:32" s="200" customFormat="1" x14ac:dyDescent="0.25">
      <c r="B57" s="201">
        <v>601</v>
      </c>
      <c r="C57" s="201">
        <v>4</v>
      </c>
      <c r="D57" s="202" t="s">
        <v>93</v>
      </c>
      <c r="E57" s="193">
        <v>5722.57</v>
      </c>
      <c r="F57" s="193">
        <f>INDEX('Revised 2017 Lockdown'!H$5:H$249,MATCH(B57,'Revised 2017 Lockdown'!B$5:B$249,0))</f>
        <v>5722.57</v>
      </c>
      <c r="G57" s="193">
        <f t="shared" si="4"/>
        <v>0</v>
      </c>
      <c r="H57" s="194">
        <v>2724212.74</v>
      </c>
      <c r="I57" s="194">
        <f>INDEX('Revised 2017 Lockdown'!E$5:E$249,MATCH(B57,'Revised 2017 Lockdown'!B$5:B$249,0))</f>
        <v>2724212.74</v>
      </c>
      <c r="J57" s="194">
        <f t="shared" si="5"/>
        <v>0</v>
      </c>
      <c r="K57" s="194">
        <v>460929.09000000008</v>
      </c>
      <c r="L57" s="194">
        <f>INDEX('Revised 2017 Lockdown'!F$5:F$249,MATCH(B57,'Revised 2017 Lockdown'!B$5:B$249,0))</f>
        <v>460929.09000000008</v>
      </c>
      <c r="M57" s="194">
        <f t="shared" si="6"/>
        <v>0</v>
      </c>
      <c r="N57" s="194">
        <f t="shared" si="2"/>
        <v>2263283.6500000004</v>
      </c>
      <c r="O57" s="195">
        <f t="shared" si="2"/>
        <v>2263283.6500000004</v>
      </c>
      <c r="P57" s="195">
        <f t="shared" si="7"/>
        <v>0</v>
      </c>
      <c r="Q57" s="95">
        <f t="shared" si="8"/>
        <v>395.50126079715938</v>
      </c>
      <c r="R57" s="196">
        <f t="shared" si="3"/>
        <v>395.50126079715938</v>
      </c>
      <c r="S57" s="194">
        <f t="shared" si="9"/>
        <v>2263283.6500000004</v>
      </c>
      <c r="T57" s="197">
        <v>0.69408333333333327</v>
      </c>
      <c r="U57" s="195">
        <f t="shared" si="10"/>
        <v>582699.99052319082</v>
      </c>
      <c r="V57" s="195">
        <f t="shared" si="11"/>
        <v>295229.66165225982</v>
      </c>
      <c r="W57" s="195">
        <f t="shared" si="12"/>
        <v>121332.7055266914</v>
      </c>
      <c r="X57" s="195">
        <f t="shared" si="13"/>
        <v>33850.238951968502</v>
      </c>
      <c r="Y57" s="195">
        <f t="shared" si="14"/>
        <v>1033112.5966541106</v>
      </c>
      <c r="Z57" s="198">
        <f t="shared" si="15"/>
        <v>0.45646624834413063</v>
      </c>
      <c r="AA57" s="199">
        <f t="shared" si="16"/>
        <v>1035720.2952374711</v>
      </c>
      <c r="AB57" s="195"/>
      <c r="AC57" s="199">
        <v>1022342.9085913032</v>
      </c>
      <c r="AD57" s="194">
        <f t="shared" si="17"/>
        <v>13377.386646167957</v>
      </c>
      <c r="AE57" s="194">
        <v>13234.66348571796</v>
      </c>
      <c r="AF57" s="194">
        <f t="shared" si="18"/>
        <v>142.72316044999752</v>
      </c>
    </row>
    <row r="58" spans="2:32" s="200" customFormat="1" x14ac:dyDescent="0.25">
      <c r="B58" s="201">
        <v>760</v>
      </c>
      <c r="C58" s="201">
        <v>4</v>
      </c>
      <c r="D58" s="202" t="s">
        <v>94</v>
      </c>
      <c r="E58" s="193">
        <v>5279.67</v>
      </c>
      <c r="F58" s="193">
        <f>INDEX('Revised 2017 Lockdown'!H$5:H$249,MATCH(B58,'Revised 2017 Lockdown'!B$5:B$249,0))</f>
        <v>5279.67</v>
      </c>
      <c r="G58" s="193">
        <f t="shared" si="4"/>
        <v>0</v>
      </c>
      <c r="H58" s="194">
        <v>1383723.61</v>
      </c>
      <c r="I58" s="194">
        <f>INDEX('Revised 2017 Lockdown'!E$5:E$249,MATCH(B58,'Revised 2017 Lockdown'!B$5:B$249,0))</f>
        <v>1383721.21</v>
      </c>
      <c r="J58" s="194">
        <f t="shared" si="5"/>
        <v>-2.4000000001396984</v>
      </c>
      <c r="K58" s="194">
        <v>1018311.7500000002</v>
      </c>
      <c r="L58" s="194">
        <f>INDEX('Revised 2017 Lockdown'!F$5:F$249,MATCH(B58,'Revised 2017 Lockdown'!B$5:B$249,0))</f>
        <v>1018311.7500000002</v>
      </c>
      <c r="M58" s="194">
        <f t="shared" si="6"/>
        <v>0</v>
      </c>
      <c r="N58" s="194">
        <f t="shared" si="2"/>
        <v>365411.85999999987</v>
      </c>
      <c r="O58" s="195">
        <f t="shared" si="2"/>
        <v>365409.45999999973</v>
      </c>
      <c r="P58" s="195">
        <f t="shared" si="7"/>
        <v>-2.4000000001396984</v>
      </c>
      <c r="Q58" s="95">
        <f t="shared" si="8"/>
        <v>69.210662787636295</v>
      </c>
      <c r="R58" s="196">
        <f t="shared" si="3"/>
        <v>69.210662787636295</v>
      </c>
      <c r="S58" s="194">
        <f t="shared" si="9"/>
        <v>365409.45999999973</v>
      </c>
      <c r="T58" s="197">
        <v>1</v>
      </c>
      <c r="U58" s="195">
        <f t="shared" si="10"/>
        <v>94077.50940943</v>
      </c>
      <c r="V58" s="195">
        <f t="shared" si="11"/>
        <v>272380.27455069782</v>
      </c>
      <c r="W58" s="195">
        <f t="shared" si="12"/>
        <v>28223.252822828999</v>
      </c>
      <c r="X58" s="195">
        <f t="shared" si="13"/>
        <v>5465.1556981422837</v>
      </c>
      <c r="Y58" s="195">
        <f t="shared" si="14"/>
        <v>400146.19248109916</v>
      </c>
      <c r="Z58" s="198">
        <f t="shared" si="15"/>
        <v>1.0950624882046005</v>
      </c>
      <c r="AA58" s="199">
        <f t="shared" si="16"/>
        <v>274057.0949999998</v>
      </c>
      <c r="AB58" s="195"/>
      <c r="AC58" s="199">
        <v>274058.8949999999</v>
      </c>
      <c r="AD58" s="194">
        <f t="shared" si="17"/>
        <v>-1.8000000001047738</v>
      </c>
      <c r="AE58" s="194">
        <v>0</v>
      </c>
      <c r="AF58" s="194">
        <f t="shared" si="18"/>
        <v>-1.8000000001047738</v>
      </c>
    </row>
    <row r="59" spans="2:32" s="200" customFormat="1" x14ac:dyDescent="0.25">
      <c r="B59" s="201">
        <v>878</v>
      </c>
      <c r="C59" s="201">
        <v>4</v>
      </c>
      <c r="D59" s="202" t="s">
        <v>95</v>
      </c>
      <c r="E59" s="193">
        <v>7770.5699999999988</v>
      </c>
      <c r="F59" s="193">
        <f>INDEX('Revised 2017 Lockdown'!H$5:H$249,MATCH(B59,'Revised 2017 Lockdown'!B$5:B$249,0))</f>
        <v>7770.5700000000015</v>
      </c>
      <c r="G59" s="193">
        <f t="shared" si="4"/>
        <v>0</v>
      </c>
      <c r="H59" s="194">
        <v>2800060.09</v>
      </c>
      <c r="I59" s="194">
        <f>INDEX('Revised 2017 Lockdown'!E$5:E$249,MATCH(B59,'Revised 2017 Lockdown'!B$5:B$249,0))</f>
        <v>2784486.68</v>
      </c>
      <c r="J59" s="194">
        <f t="shared" si="5"/>
        <v>-15573.409999999683</v>
      </c>
      <c r="K59" s="194">
        <v>1233731.0899999999</v>
      </c>
      <c r="L59" s="194">
        <f>INDEX('Revised 2017 Lockdown'!F$5:F$249,MATCH(B59,'Revised 2017 Lockdown'!B$5:B$249,0))</f>
        <v>1233731.0899999999</v>
      </c>
      <c r="M59" s="194">
        <f t="shared" si="6"/>
        <v>0</v>
      </c>
      <c r="N59" s="194">
        <f t="shared" si="2"/>
        <v>1566329</v>
      </c>
      <c r="O59" s="195">
        <f t="shared" si="2"/>
        <v>1550755.5900000003</v>
      </c>
      <c r="P59" s="195">
        <f t="shared" si="7"/>
        <v>-15573.409999999683</v>
      </c>
      <c r="Q59" s="95">
        <f t="shared" si="8"/>
        <v>199.56780390627713</v>
      </c>
      <c r="R59" s="196">
        <f t="shared" si="3"/>
        <v>199.56780390627713</v>
      </c>
      <c r="S59" s="194">
        <f t="shared" si="9"/>
        <v>1550755.5900000003</v>
      </c>
      <c r="T59" s="197">
        <v>0.90837500000000004</v>
      </c>
      <c r="U59" s="195">
        <f t="shared" si="10"/>
        <v>399254.09596662142</v>
      </c>
      <c r="V59" s="195">
        <f t="shared" si="11"/>
        <v>400886.79595797014</v>
      </c>
      <c r="W59" s="195">
        <f t="shared" si="12"/>
        <v>108801.73182710393</v>
      </c>
      <c r="X59" s="195">
        <f t="shared" si="13"/>
        <v>23193.49025368557</v>
      </c>
      <c r="Y59" s="195">
        <f t="shared" si="14"/>
        <v>932136.11400538101</v>
      </c>
      <c r="Z59" s="198">
        <f t="shared" si="15"/>
        <v>0.60108512264358871</v>
      </c>
      <c r="AA59" s="199">
        <f t="shared" si="16"/>
        <v>934488.93598418881</v>
      </c>
      <c r="AB59" s="195"/>
      <c r="AC59" s="199">
        <v>929791.76353176963</v>
      </c>
      <c r="AD59" s="194">
        <f t="shared" si="17"/>
        <v>4697.1724524191814</v>
      </c>
      <c r="AE59" s="194">
        <v>4550.5373490490019</v>
      </c>
      <c r="AF59" s="194">
        <f t="shared" si="18"/>
        <v>146.63510337017942</v>
      </c>
    </row>
    <row r="60" spans="2:32" s="200" customFormat="1" x14ac:dyDescent="0.25">
      <c r="B60" s="201">
        <v>8</v>
      </c>
      <c r="C60" s="201">
        <v>5</v>
      </c>
      <c r="D60" s="202" t="s">
        <v>96</v>
      </c>
      <c r="E60" s="193">
        <v>2267.96</v>
      </c>
      <c r="F60" s="193">
        <f>INDEX('Revised 2017 Lockdown'!H$5:H$249,MATCH(B60,'Revised 2017 Lockdown'!B$5:B$249,0))</f>
        <v>2267.96</v>
      </c>
      <c r="G60" s="193">
        <f t="shared" si="4"/>
        <v>0</v>
      </c>
      <c r="H60" s="194">
        <v>612861.15</v>
      </c>
      <c r="I60" s="194">
        <f>INDEX('Revised 2017 Lockdown'!E$5:E$249,MATCH(B60,'Revised 2017 Lockdown'!B$5:B$249,0))</f>
        <v>612861.15</v>
      </c>
      <c r="J60" s="194">
        <f t="shared" si="5"/>
        <v>0</v>
      </c>
      <c r="K60" s="194">
        <v>115862.97</v>
      </c>
      <c r="L60" s="194">
        <f>INDEX('Revised 2017 Lockdown'!F$5:F$249,MATCH(B60,'Revised 2017 Lockdown'!B$5:B$249,0))</f>
        <v>115862.97</v>
      </c>
      <c r="M60" s="194">
        <f t="shared" si="6"/>
        <v>0</v>
      </c>
      <c r="N60" s="194">
        <f t="shared" si="2"/>
        <v>496998.18000000005</v>
      </c>
      <c r="O60" s="195">
        <f t="shared" si="2"/>
        <v>496998.18000000005</v>
      </c>
      <c r="P60" s="195">
        <f t="shared" si="7"/>
        <v>0</v>
      </c>
      <c r="Q60" s="95">
        <f t="shared" si="8"/>
        <v>219.13886488297857</v>
      </c>
      <c r="R60" s="196">
        <f t="shared" si="3"/>
        <v>219.13886488297857</v>
      </c>
      <c r="S60" s="194">
        <f t="shared" si="9"/>
        <v>496998.18000000005</v>
      </c>
      <c r="T60" s="197">
        <v>0.6612083333333334</v>
      </c>
      <c r="U60" s="195">
        <f t="shared" si="10"/>
        <v>127956.0495106493</v>
      </c>
      <c r="V60" s="195">
        <f t="shared" si="11"/>
        <v>117004.95816405205</v>
      </c>
      <c r="W60" s="195">
        <f t="shared" si="12"/>
        <v>25381.681871056171</v>
      </c>
      <c r="X60" s="195">
        <f t="shared" si="13"/>
        <v>7433.2296580207485</v>
      </c>
      <c r="Y60" s="195">
        <f t="shared" si="14"/>
        <v>277775.91920377826</v>
      </c>
      <c r="Z60" s="198">
        <f t="shared" si="15"/>
        <v>0.55890731673057281</v>
      </c>
      <c r="AA60" s="199">
        <f t="shared" si="16"/>
        <v>278477.05853103584</v>
      </c>
      <c r="AB60" s="195"/>
      <c r="AC60" s="199">
        <v>275491.51337361964</v>
      </c>
      <c r="AD60" s="194">
        <f t="shared" si="17"/>
        <v>2985.5451574161998</v>
      </c>
      <c r="AE60" s="194">
        <v>2942.2467887602397</v>
      </c>
      <c r="AF60" s="194">
        <f t="shared" si="18"/>
        <v>43.298368655960076</v>
      </c>
    </row>
    <row r="61" spans="2:32" s="200" customFormat="1" x14ac:dyDescent="0.25">
      <c r="B61" s="201">
        <v>41</v>
      </c>
      <c r="C61" s="201">
        <v>5</v>
      </c>
      <c r="D61" s="202" t="s">
        <v>97</v>
      </c>
      <c r="E61" s="193">
        <v>1693.7200000000003</v>
      </c>
      <c r="F61" s="193">
        <f>INDEX('Revised 2017 Lockdown'!H$5:H$249,MATCH(B61,'Revised 2017 Lockdown'!B$5:B$249,0))</f>
        <v>1693.7200000000003</v>
      </c>
      <c r="G61" s="193">
        <f t="shared" si="4"/>
        <v>0</v>
      </c>
      <c r="H61" s="194">
        <v>622722.11</v>
      </c>
      <c r="I61" s="194">
        <f>INDEX('Revised 2017 Lockdown'!E$5:E$249,MATCH(B61,'Revised 2017 Lockdown'!B$5:B$249,0))</f>
        <v>622722.11</v>
      </c>
      <c r="J61" s="194">
        <f t="shared" si="5"/>
        <v>0</v>
      </c>
      <c r="K61" s="194">
        <v>293926.43000000005</v>
      </c>
      <c r="L61" s="194">
        <f>INDEX('Revised 2017 Lockdown'!F$5:F$249,MATCH(B61,'Revised 2017 Lockdown'!B$5:B$249,0))</f>
        <v>293926.43000000005</v>
      </c>
      <c r="M61" s="194">
        <f t="shared" si="6"/>
        <v>0</v>
      </c>
      <c r="N61" s="194">
        <f t="shared" si="2"/>
        <v>328795.67999999993</v>
      </c>
      <c r="O61" s="195">
        <f t="shared" si="2"/>
        <v>328795.67999999993</v>
      </c>
      <c r="P61" s="195">
        <f t="shared" si="7"/>
        <v>0</v>
      </c>
      <c r="Q61" s="95">
        <f t="shared" si="8"/>
        <v>194.12634910138624</v>
      </c>
      <c r="R61" s="196">
        <f t="shared" si="3"/>
        <v>194.12634910138624</v>
      </c>
      <c r="S61" s="194">
        <f t="shared" si="9"/>
        <v>328795.67999999993</v>
      </c>
      <c r="T61" s="197">
        <v>0.42516666666666669</v>
      </c>
      <c r="U61" s="195">
        <f t="shared" si="10"/>
        <v>84651.006788329876</v>
      </c>
      <c r="V61" s="195">
        <f t="shared" si="11"/>
        <v>87379.688240365009</v>
      </c>
      <c r="W61" s="195">
        <f t="shared" si="12"/>
        <v>10797.235915851476</v>
      </c>
      <c r="X61" s="195">
        <f t="shared" si="13"/>
        <v>4917.550804723468</v>
      </c>
      <c r="Y61" s="195">
        <f t="shared" si="14"/>
        <v>187745.48174926982</v>
      </c>
      <c r="Z61" s="198">
        <f t="shared" si="15"/>
        <v>0.5710095757622784</v>
      </c>
      <c r="AA61" s="199">
        <f t="shared" si="16"/>
        <v>188219.37358678639</v>
      </c>
      <c r="AB61" s="195"/>
      <c r="AC61" s="199">
        <v>186427.70977003881</v>
      </c>
      <c r="AD61" s="194">
        <f t="shared" si="17"/>
        <v>1791.6638167475758</v>
      </c>
      <c r="AE61" s="194">
        <v>1761.361871557514</v>
      </c>
      <c r="AF61" s="194">
        <f t="shared" si="18"/>
        <v>30.301945190061815</v>
      </c>
    </row>
    <row r="62" spans="2:32" s="200" customFormat="1" x14ac:dyDescent="0.25">
      <c r="B62" s="201">
        <v>56</v>
      </c>
      <c r="C62" s="201">
        <v>5</v>
      </c>
      <c r="D62" s="202" t="s">
        <v>98</v>
      </c>
      <c r="E62" s="193">
        <v>3045.59</v>
      </c>
      <c r="F62" s="193">
        <f>INDEX('Revised 2017 Lockdown'!H$5:H$249,MATCH(B62,'Revised 2017 Lockdown'!B$5:B$249,0))</f>
        <v>3045.59</v>
      </c>
      <c r="G62" s="193">
        <f t="shared" si="4"/>
        <v>0</v>
      </c>
      <c r="H62" s="194">
        <v>521383.94</v>
      </c>
      <c r="I62" s="194">
        <f>INDEX('Revised 2017 Lockdown'!E$5:E$249,MATCH(B62,'Revised 2017 Lockdown'!B$5:B$249,0))</f>
        <v>521383.94</v>
      </c>
      <c r="J62" s="194">
        <f t="shared" si="5"/>
        <v>0</v>
      </c>
      <c r="K62" s="194">
        <v>3002.24</v>
      </c>
      <c r="L62" s="194">
        <f>INDEX('Revised 2017 Lockdown'!F$5:F$249,MATCH(B62,'Revised 2017 Lockdown'!B$5:B$249,0))</f>
        <v>3002.24</v>
      </c>
      <c r="M62" s="194">
        <f t="shared" si="6"/>
        <v>0</v>
      </c>
      <c r="N62" s="194">
        <f t="shared" si="2"/>
        <v>518381.7</v>
      </c>
      <c r="O62" s="195">
        <f t="shared" si="2"/>
        <v>518381.7</v>
      </c>
      <c r="P62" s="195">
        <f t="shared" si="7"/>
        <v>0</v>
      </c>
      <c r="Q62" s="95">
        <f t="shared" si="8"/>
        <v>170.20731615220697</v>
      </c>
      <c r="R62" s="196">
        <f t="shared" si="3"/>
        <v>170.20731615220697</v>
      </c>
      <c r="S62" s="194">
        <f t="shared" si="9"/>
        <v>518381.70000000007</v>
      </c>
      <c r="T62" s="197">
        <v>0.96424999999999994</v>
      </c>
      <c r="U62" s="195">
        <f t="shared" si="10"/>
        <v>133461.4031596948</v>
      </c>
      <c r="V62" s="195">
        <f t="shared" si="11"/>
        <v>157123.19905767971</v>
      </c>
      <c r="W62" s="195">
        <f t="shared" si="12"/>
        <v>38607.04739902071</v>
      </c>
      <c r="X62" s="195">
        <f t="shared" si="13"/>
        <v>7753.0469560576967</v>
      </c>
      <c r="Y62" s="195">
        <f t="shared" si="14"/>
        <v>336944.6965724529</v>
      </c>
      <c r="Z62" s="198">
        <f t="shared" si="15"/>
        <v>0.64999342486907397</v>
      </c>
      <c r="AA62" s="199">
        <f t="shared" si="16"/>
        <v>337795.18490331678</v>
      </c>
      <c r="AB62" s="195"/>
      <c r="AC62" s="199">
        <v>334397.24791209312</v>
      </c>
      <c r="AD62" s="194">
        <f t="shared" si="17"/>
        <v>3397.936991223658</v>
      </c>
      <c r="AE62" s="194">
        <v>3343.3170670357067</v>
      </c>
      <c r="AF62" s="194">
        <f t="shared" si="18"/>
        <v>54.619924187951256</v>
      </c>
    </row>
    <row r="63" spans="2:32" s="200" customFormat="1" x14ac:dyDescent="0.25">
      <c r="B63" s="201">
        <v>67</v>
      </c>
      <c r="C63" s="201">
        <v>5</v>
      </c>
      <c r="D63" s="202" t="s">
        <v>99</v>
      </c>
      <c r="E63" s="193">
        <v>1344.9746487732793</v>
      </c>
      <c r="F63" s="193">
        <f>INDEX('Revised 2017 Lockdown'!H$5:H$249,MATCH(B63,'Revised 2017 Lockdown'!B$5:B$249,0))</f>
        <v>1363.6442455288275</v>
      </c>
      <c r="G63" s="193">
        <f t="shared" si="4"/>
        <v>18.669596755548127</v>
      </c>
      <c r="H63" s="194">
        <v>208551.34</v>
      </c>
      <c r="I63" s="194">
        <f>INDEX('Revised 2017 Lockdown'!E$5:E$249,MATCH(B63,'Revised 2017 Lockdown'!B$5:B$249,0))</f>
        <v>211733.41</v>
      </c>
      <c r="J63" s="194">
        <f t="shared" si="5"/>
        <v>3182.070000000007</v>
      </c>
      <c r="K63" s="194">
        <v>0</v>
      </c>
      <c r="L63" s="194">
        <f>INDEX('Revised 2017 Lockdown'!F$5:F$249,MATCH(B63,'Revised 2017 Lockdown'!B$5:B$249,0))</f>
        <v>0</v>
      </c>
      <c r="M63" s="194">
        <f t="shared" si="6"/>
        <v>0</v>
      </c>
      <c r="N63" s="194">
        <f t="shared" si="2"/>
        <v>208551.34</v>
      </c>
      <c r="O63" s="195">
        <f t="shared" si="2"/>
        <v>211733.41</v>
      </c>
      <c r="P63" s="195">
        <f t="shared" si="7"/>
        <v>3182.070000000007</v>
      </c>
      <c r="Q63" s="95">
        <f t="shared" si="8"/>
        <v>155.27026986271542</v>
      </c>
      <c r="R63" s="196">
        <f t="shared" si="3"/>
        <v>155.27026986271542</v>
      </c>
      <c r="S63" s="194">
        <f t="shared" si="9"/>
        <v>211733.41</v>
      </c>
      <c r="T63" s="197">
        <v>0.55925000000000002</v>
      </c>
      <c r="U63" s="195">
        <f t="shared" si="10"/>
        <v>54512.414297007301</v>
      </c>
      <c r="V63" s="195">
        <f t="shared" si="11"/>
        <v>70350.948825707135</v>
      </c>
      <c r="W63" s="195">
        <f t="shared" si="12"/>
        <v>9145.8203086804006</v>
      </c>
      <c r="X63" s="195">
        <f t="shared" si="13"/>
        <v>3166.7380810244958</v>
      </c>
      <c r="Y63" s="195">
        <f t="shared" si="14"/>
        <v>137175.92151241933</v>
      </c>
      <c r="Z63" s="198">
        <f t="shared" si="15"/>
        <v>0.64787093124518857</v>
      </c>
      <c r="AA63" s="199">
        <f t="shared" si="16"/>
        <v>137522.16978909084</v>
      </c>
      <c r="AB63" s="195"/>
      <c r="AC63" s="199">
        <v>134328.99774495908</v>
      </c>
      <c r="AD63" s="194">
        <f t="shared" si="17"/>
        <v>3193.1720441317593</v>
      </c>
      <c r="AE63" s="194">
        <v>11127.475724752352</v>
      </c>
      <c r="AF63" s="194">
        <f t="shared" si="18"/>
        <v>-7934.3036806205928</v>
      </c>
    </row>
    <row r="64" spans="2:32" s="200" customFormat="1" x14ac:dyDescent="0.25">
      <c r="B64" s="201">
        <v>157</v>
      </c>
      <c r="C64" s="201">
        <v>5</v>
      </c>
      <c r="D64" s="202" t="s">
        <v>100</v>
      </c>
      <c r="E64" s="193">
        <v>458.49377410764129</v>
      </c>
      <c r="F64" s="193">
        <f>INDEX('Revised 2017 Lockdown'!H$5:H$249,MATCH(B64,'Revised 2017 Lockdown'!B$5:B$249,0))</f>
        <v>458.49377410764129</v>
      </c>
      <c r="G64" s="193">
        <f t="shared" si="4"/>
        <v>0</v>
      </c>
      <c r="H64" s="194">
        <v>145658.07999999999</v>
      </c>
      <c r="I64" s="194">
        <f>INDEX('Revised 2017 Lockdown'!E$5:E$249,MATCH(B64,'Revised 2017 Lockdown'!B$5:B$249,0))</f>
        <v>145658.07999999999</v>
      </c>
      <c r="J64" s="194">
        <f t="shared" si="5"/>
        <v>0</v>
      </c>
      <c r="K64" s="194">
        <v>150</v>
      </c>
      <c r="L64" s="194">
        <f>INDEX('Revised 2017 Lockdown'!F$5:F$249,MATCH(B64,'Revised 2017 Lockdown'!B$5:B$249,0))</f>
        <v>150</v>
      </c>
      <c r="M64" s="194">
        <f t="shared" si="6"/>
        <v>0</v>
      </c>
      <c r="N64" s="194">
        <f t="shared" si="2"/>
        <v>145508.07999999999</v>
      </c>
      <c r="O64" s="195">
        <f t="shared" si="2"/>
        <v>145508.07999999999</v>
      </c>
      <c r="P64" s="195">
        <f t="shared" si="7"/>
        <v>0</v>
      </c>
      <c r="Q64" s="95">
        <f t="shared" si="8"/>
        <v>317.36108147422482</v>
      </c>
      <c r="R64" s="196">
        <f t="shared" si="3"/>
        <v>317.36108147422482</v>
      </c>
      <c r="S64" s="194">
        <f t="shared" si="9"/>
        <v>145508.07999999999</v>
      </c>
      <c r="T64" s="197">
        <v>0.55958333333333343</v>
      </c>
      <c r="U64" s="195">
        <f t="shared" si="10"/>
        <v>37462.187665716432</v>
      </c>
      <c r="V64" s="195">
        <f t="shared" si="11"/>
        <v>23653.876108019052</v>
      </c>
      <c r="W64" s="195">
        <f t="shared" si="12"/>
        <v>6288.9647543821475</v>
      </c>
      <c r="X64" s="195">
        <f t="shared" si="13"/>
        <v>2176.2554054778543</v>
      </c>
      <c r="Y64" s="195">
        <f t="shared" si="14"/>
        <v>69581.283933595492</v>
      </c>
      <c r="Z64" s="198">
        <f t="shared" si="15"/>
        <v>0.47819532725327346</v>
      </c>
      <c r="AA64" s="199">
        <f t="shared" si="16"/>
        <v>69756.915337306651</v>
      </c>
      <c r="AB64" s="195"/>
      <c r="AC64" s="199">
        <v>68922.507337570831</v>
      </c>
      <c r="AD64" s="194">
        <f t="shared" si="17"/>
        <v>834.40799973582034</v>
      </c>
      <c r="AE64" s="194">
        <v>824.31394469295628</v>
      </c>
      <c r="AF64" s="194">
        <f t="shared" si="18"/>
        <v>10.094055042864056</v>
      </c>
    </row>
    <row r="65" spans="2:32" s="200" customFormat="1" x14ac:dyDescent="0.25">
      <c r="B65" s="201">
        <v>214</v>
      </c>
      <c r="C65" s="201">
        <v>5</v>
      </c>
      <c r="D65" s="202" t="s">
        <v>101</v>
      </c>
      <c r="E65" s="193">
        <v>3109.6</v>
      </c>
      <c r="F65" s="193">
        <f>INDEX('Revised 2017 Lockdown'!H$5:H$249,MATCH(B65,'Revised 2017 Lockdown'!B$5:B$249,0))</f>
        <v>3109.6</v>
      </c>
      <c r="G65" s="193">
        <f t="shared" si="4"/>
        <v>0</v>
      </c>
      <c r="H65" s="194">
        <v>1693525.15</v>
      </c>
      <c r="I65" s="194">
        <f>INDEX('Revised 2017 Lockdown'!E$5:E$249,MATCH(B65,'Revised 2017 Lockdown'!B$5:B$249,0))</f>
        <v>1693525.15</v>
      </c>
      <c r="J65" s="194">
        <f t="shared" si="5"/>
        <v>0</v>
      </c>
      <c r="K65" s="194">
        <v>371766.18000000005</v>
      </c>
      <c r="L65" s="194">
        <f>INDEX('Revised 2017 Lockdown'!F$5:F$249,MATCH(B65,'Revised 2017 Lockdown'!B$5:B$249,0))</f>
        <v>371766.18000000005</v>
      </c>
      <c r="M65" s="194">
        <f t="shared" si="6"/>
        <v>0</v>
      </c>
      <c r="N65" s="194">
        <f t="shared" si="2"/>
        <v>1321758.9699999997</v>
      </c>
      <c r="O65" s="195">
        <f t="shared" si="2"/>
        <v>1321758.9699999997</v>
      </c>
      <c r="P65" s="195">
        <f t="shared" si="7"/>
        <v>0</v>
      </c>
      <c r="Q65" s="95">
        <f t="shared" si="8"/>
        <v>425.05755402624123</v>
      </c>
      <c r="R65" s="196">
        <f t="shared" si="3"/>
        <v>416.47205103805584</v>
      </c>
      <c r="S65" s="194">
        <f t="shared" si="9"/>
        <v>1295061.4899079383</v>
      </c>
      <c r="T65" s="197">
        <v>0.68600000000000005</v>
      </c>
      <c r="U65" s="195">
        <f t="shared" si="10"/>
        <v>333423.65986530454</v>
      </c>
      <c r="V65" s="195">
        <f t="shared" si="11"/>
        <v>160425.50040870925</v>
      </c>
      <c r="W65" s="195">
        <f t="shared" si="12"/>
        <v>68618.589200279675</v>
      </c>
      <c r="X65" s="195">
        <f t="shared" si="13"/>
        <v>19369.265045888547</v>
      </c>
      <c r="Y65" s="195">
        <f t="shared" si="14"/>
        <v>581837.01452018204</v>
      </c>
      <c r="Z65" s="198">
        <f t="shared" si="15"/>
        <v>0.44927365924651419</v>
      </c>
      <c r="AA65" s="199">
        <f t="shared" si="16"/>
        <v>583305.64007312257</v>
      </c>
      <c r="AB65" s="195"/>
      <c r="AC65" s="199">
        <v>575439.89922011923</v>
      </c>
      <c r="AD65" s="194">
        <f t="shared" si="17"/>
        <v>7865.7408530033426</v>
      </c>
      <c r="AE65" s="194">
        <v>7050.6507129417732</v>
      </c>
      <c r="AF65" s="194">
        <f t="shared" si="18"/>
        <v>815.0901400615694</v>
      </c>
    </row>
    <row r="66" spans="2:32" s="200" customFormat="1" x14ac:dyDescent="0.25">
      <c r="B66" s="201">
        <v>223</v>
      </c>
      <c r="C66" s="201">
        <v>5</v>
      </c>
      <c r="D66" s="202" t="s">
        <v>102</v>
      </c>
      <c r="E66" s="193">
        <v>333.74</v>
      </c>
      <c r="F66" s="193">
        <f>INDEX('Revised 2017 Lockdown'!H$5:H$249,MATCH(B66,'Revised 2017 Lockdown'!B$5:B$249,0))</f>
        <v>333.74</v>
      </c>
      <c r="G66" s="193">
        <f t="shared" si="4"/>
        <v>0</v>
      </c>
      <c r="H66" s="194">
        <v>205904.35</v>
      </c>
      <c r="I66" s="194">
        <f>INDEX('Revised 2017 Lockdown'!E$5:E$249,MATCH(B66,'Revised 2017 Lockdown'!B$5:B$249,0))</f>
        <v>205904.35</v>
      </c>
      <c r="J66" s="194">
        <f t="shared" si="5"/>
        <v>0</v>
      </c>
      <c r="K66" s="194">
        <v>3510.12</v>
      </c>
      <c r="L66" s="194">
        <f>INDEX('Revised 2017 Lockdown'!F$5:F$249,MATCH(B66,'Revised 2017 Lockdown'!B$5:B$249,0))</f>
        <v>3510.12</v>
      </c>
      <c r="M66" s="194">
        <f t="shared" si="6"/>
        <v>0</v>
      </c>
      <c r="N66" s="194">
        <f t="shared" si="2"/>
        <v>202394.23</v>
      </c>
      <c r="O66" s="195">
        <f t="shared" si="2"/>
        <v>202394.23</v>
      </c>
      <c r="P66" s="195">
        <f t="shared" si="7"/>
        <v>0</v>
      </c>
      <c r="Q66" s="95">
        <f t="shared" si="8"/>
        <v>606.44282974770783</v>
      </c>
      <c r="R66" s="196">
        <f t="shared" si="3"/>
        <v>416.47205103805584</v>
      </c>
      <c r="S66" s="194">
        <f t="shared" si="9"/>
        <v>138993.38231344076</v>
      </c>
      <c r="T66" s="197">
        <v>0.51175000000000004</v>
      </c>
      <c r="U66" s="195">
        <f t="shared" si="10"/>
        <v>35784.928043300344</v>
      </c>
      <c r="V66" s="195">
        <f t="shared" si="11"/>
        <v>17217.779298431509</v>
      </c>
      <c r="W66" s="195">
        <f t="shared" si="12"/>
        <v>5493.8810778476854</v>
      </c>
      <c r="X66" s="195">
        <f t="shared" si="13"/>
        <v>2078.8199499661837</v>
      </c>
      <c r="Y66" s="195">
        <f t="shared" si="14"/>
        <v>60575.408369545723</v>
      </c>
      <c r="Z66" s="198">
        <f t="shared" si="15"/>
        <v>0.43581505364725581</v>
      </c>
      <c r="AA66" s="199">
        <f t="shared" si="16"/>
        <v>60728.307876437168</v>
      </c>
      <c r="AB66" s="195"/>
      <c r="AC66" s="199">
        <v>59924.730427148599</v>
      </c>
      <c r="AD66" s="194">
        <f t="shared" si="17"/>
        <v>803.57744928856846</v>
      </c>
      <c r="AE66" s="194">
        <v>719.56646243503201</v>
      </c>
      <c r="AF66" s="194">
        <f t="shared" si="18"/>
        <v>84.010986853536451</v>
      </c>
    </row>
    <row r="67" spans="2:32" s="200" customFormat="1" x14ac:dyDescent="0.25">
      <c r="B67" s="201">
        <v>224</v>
      </c>
      <c r="C67" s="201">
        <v>5</v>
      </c>
      <c r="D67" s="202" t="s">
        <v>103</v>
      </c>
      <c r="E67" s="193">
        <v>274.49707003740264</v>
      </c>
      <c r="F67" s="193">
        <f>INDEX('Revised 2017 Lockdown'!H$5:H$249,MATCH(B67,'Revised 2017 Lockdown'!B$5:B$249,0))</f>
        <v>274.49707003740264</v>
      </c>
      <c r="G67" s="193">
        <f t="shared" si="4"/>
        <v>0</v>
      </c>
      <c r="H67" s="194">
        <v>77159.710000000006</v>
      </c>
      <c r="I67" s="194">
        <f>INDEX('Revised 2017 Lockdown'!E$5:E$249,MATCH(B67,'Revised 2017 Lockdown'!B$5:B$249,0))</f>
        <v>77159.710000000006</v>
      </c>
      <c r="J67" s="194">
        <f t="shared" si="5"/>
        <v>0</v>
      </c>
      <c r="K67" s="194">
        <v>180</v>
      </c>
      <c r="L67" s="194">
        <f>INDEX('Revised 2017 Lockdown'!F$5:F$249,MATCH(B67,'Revised 2017 Lockdown'!B$5:B$249,0))</f>
        <v>180</v>
      </c>
      <c r="M67" s="194">
        <f t="shared" si="6"/>
        <v>0</v>
      </c>
      <c r="N67" s="194">
        <f t="shared" si="2"/>
        <v>76979.710000000006</v>
      </c>
      <c r="O67" s="195">
        <f t="shared" si="2"/>
        <v>76979.710000000006</v>
      </c>
      <c r="P67" s="195">
        <f t="shared" si="7"/>
        <v>0</v>
      </c>
      <c r="Q67" s="95">
        <f t="shared" si="8"/>
        <v>280.43909535905374</v>
      </c>
      <c r="R67" s="196">
        <f t="shared" si="3"/>
        <v>280.43909535905374</v>
      </c>
      <c r="S67" s="194">
        <f t="shared" si="9"/>
        <v>76979.710000000006</v>
      </c>
      <c r="T67" s="197">
        <v>0.47066666666666673</v>
      </c>
      <c r="U67" s="195">
        <f t="shared" si="10"/>
        <v>19819.025462176593</v>
      </c>
      <c r="V67" s="195">
        <f t="shared" si="11"/>
        <v>14161.412986067284</v>
      </c>
      <c r="W67" s="195">
        <f t="shared" si="12"/>
        <v>2798.4463952593351</v>
      </c>
      <c r="X67" s="195">
        <f t="shared" si="13"/>
        <v>1151.3278850192901</v>
      </c>
      <c r="Y67" s="195">
        <f t="shared" si="14"/>
        <v>37930.2127285225</v>
      </c>
      <c r="Z67" s="198">
        <f t="shared" si="15"/>
        <v>0.49273000286078628</v>
      </c>
      <c r="AA67" s="199">
        <f t="shared" si="16"/>
        <v>38025.953078915154</v>
      </c>
      <c r="AB67" s="195"/>
      <c r="AC67" s="199">
        <v>37598.123124895537</v>
      </c>
      <c r="AD67" s="194">
        <f t="shared" si="17"/>
        <v>427.82995401961671</v>
      </c>
      <c r="AE67" s="194">
        <v>422.16559305124974</v>
      </c>
      <c r="AF67" s="194">
        <f t="shared" si="18"/>
        <v>5.6643609683669638</v>
      </c>
    </row>
    <row r="68" spans="2:32" s="200" customFormat="1" x14ac:dyDescent="0.25">
      <c r="B68" s="201">
        <v>233</v>
      </c>
      <c r="C68" s="201">
        <v>5</v>
      </c>
      <c r="D68" s="202" t="s">
        <v>104</v>
      </c>
      <c r="E68" s="193">
        <v>2132.25</v>
      </c>
      <c r="F68" s="193">
        <f>INDEX('Revised 2017 Lockdown'!H$5:H$249,MATCH(B68,'Revised 2017 Lockdown'!B$5:B$249,0))</f>
        <v>2132.25</v>
      </c>
      <c r="G68" s="193">
        <f t="shared" si="4"/>
        <v>0</v>
      </c>
      <c r="H68" s="194">
        <v>629398.4</v>
      </c>
      <c r="I68" s="194">
        <f>INDEX('Revised 2017 Lockdown'!E$5:E$249,MATCH(B68,'Revised 2017 Lockdown'!B$5:B$249,0))</f>
        <v>629398.4</v>
      </c>
      <c r="J68" s="194">
        <f t="shared" si="5"/>
        <v>0</v>
      </c>
      <c r="K68" s="194">
        <v>324977.27999999997</v>
      </c>
      <c r="L68" s="194">
        <f>INDEX('Revised 2017 Lockdown'!F$5:F$249,MATCH(B68,'Revised 2017 Lockdown'!B$5:B$249,0))</f>
        <v>324977.27999999997</v>
      </c>
      <c r="M68" s="194">
        <f t="shared" si="6"/>
        <v>0</v>
      </c>
      <c r="N68" s="194">
        <f t="shared" si="2"/>
        <v>304421.12000000005</v>
      </c>
      <c r="O68" s="195">
        <f t="shared" si="2"/>
        <v>304421.12000000005</v>
      </c>
      <c r="P68" s="195">
        <f t="shared" si="7"/>
        <v>0</v>
      </c>
      <c r="Q68" s="95">
        <f t="shared" si="8"/>
        <v>142.76990034001645</v>
      </c>
      <c r="R68" s="196">
        <f t="shared" si="3"/>
        <v>142.76990034001645</v>
      </c>
      <c r="S68" s="194">
        <f t="shared" si="9"/>
        <v>304421.12000000005</v>
      </c>
      <c r="T68" s="197">
        <v>0.58924999999999994</v>
      </c>
      <c r="U68" s="195">
        <f t="shared" si="10"/>
        <v>78375.586612424449</v>
      </c>
      <c r="V68" s="195">
        <f t="shared" si="11"/>
        <v>110003.62530437043</v>
      </c>
      <c r="W68" s="195">
        <f t="shared" si="12"/>
        <v>13854.844323411331</v>
      </c>
      <c r="X68" s="195">
        <f t="shared" si="13"/>
        <v>4552.9987609047057</v>
      </c>
      <c r="Y68" s="195">
        <f t="shared" si="14"/>
        <v>206787.05500111092</v>
      </c>
      <c r="Z68" s="198">
        <f t="shared" si="15"/>
        <v>0.67927959466514964</v>
      </c>
      <c r="AA68" s="199">
        <f t="shared" si="16"/>
        <v>207309.01002530684</v>
      </c>
      <c r="AB68" s="195"/>
      <c r="AC68" s="199">
        <v>205455.65175701363</v>
      </c>
      <c r="AD68" s="194">
        <f t="shared" si="17"/>
        <v>1853.3582682932029</v>
      </c>
      <c r="AE68" s="194">
        <v>1818.1348322699487</v>
      </c>
      <c r="AF68" s="194">
        <f t="shared" si="18"/>
        <v>35.22343602325418</v>
      </c>
    </row>
    <row r="69" spans="2:32" s="200" customFormat="1" x14ac:dyDescent="0.25">
      <c r="B69" s="201">
        <v>272</v>
      </c>
      <c r="C69" s="201">
        <v>5</v>
      </c>
      <c r="D69" s="35" t="s">
        <v>105</v>
      </c>
      <c r="E69" s="193">
        <v>386.38981858925848</v>
      </c>
      <c r="F69" s="193">
        <f>INDEX('Revised 2017 Lockdown'!H$5:H$249,MATCH(B69,'Revised 2017 Lockdown'!B$5:B$249,0))</f>
        <v>386.38981858925848</v>
      </c>
      <c r="G69" s="193">
        <f t="shared" si="4"/>
        <v>0</v>
      </c>
      <c r="H69" s="194">
        <v>101161.37</v>
      </c>
      <c r="I69" s="194">
        <f>INDEX('Revised 2017 Lockdown'!E$5:E$249,MATCH(B69,'Revised 2017 Lockdown'!B$5:B$249,0))</f>
        <v>101161.37</v>
      </c>
      <c r="J69" s="194">
        <f t="shared" si="5"/>
        <v>0</v>
      </c>
      <c r="K69" s="194">
        <v>0</v>
      </c>
      <c r="L69" s="194">
        <f>INDEX('Revised 2017 Lockdown'!F$5:F$249,MATCH(B69,'Revised 2017 Lockdown'!B$5:B$249,0))</f>
        <v>0</v>
      </c>
      <c r="M69" s="194">
        <f t="shared" si="6"/>
        <v>0</v>
      </c>
      <c r="N69" s="194">
        <f t="shared" si="2"/>
        <v>101161.37</v>
      </c>
      <c r="O69" s="195">
        <f t="shared" si="2"/>
        <v>101161.37</v>
      </c>
      <c r="P69" s="195">
        <f t="shared" si="7"/>
        <v>0</v>
      </c>
      <c r="Q69" s="95">
        <f t="shared" si="8"/>
        <v>261.81168636727699</v>
      </c>
      <c r="R69" s="196">
        <f t="shared" si="3"/>
        <v>261.81168636727699</v>
      </c>
      <c r="S69" s="194">
        <f t="shared" si="9"/>
        <v>101161.37</v>
      </c>
      <c r="T69" s="197">
        <v>0.67258333333333331</v>
      </c>
      <c r="U69" s="195">
        <f t="shared" si="10"/>
        <v>26044.782031767423</v>
      </c>
      <c r="V69" s="195">
        <f t="shared" si="11"/>
        <v>19934.004373556785</v>
      </c>
      <c r="W69" s="195">
        <f t="shared" si="12"/>
        <v>5255.1858944598716</v>
      </c>
      <c r="X69" s="195">
        <f t="shared" si="13"/>
        <v>1512.9948679691552</v>
      </c>
      <c r="Y69" s="195">
        <f t="shared" si="14"/>
        <v>52746.967167753231</v>
      </c>
      <c r="Z69" s="198">
        <f t="shared" si="15"/>
        <v>0.5214141244602879</v>
      </c>
      <c r="AA69" s="199">
        <f t="shared" si="16"/>
        <v>52880.106761642019</v>
      </c>
      <c r="AB69" s="195"/>
      <c r="AC69" s="199">
        <v>52284.57057341007</v>
      </c>
      <c r="AD69" s="194">
        <f t="shared" si="17"/>
        <v>595.53618823194847</v>
      </c>
      <c r="AE69" s="194">
        <v>587.6132039685981</v>
      </c>
      <c r="AF69" s="194">
        <f t="shared" si="18"/>
        <v>7.9229842633503722</v>
      </c>
    </row>
    <row r="70" spans="2:32" s="200" customFormat="1" x14ac:dyDescent="0.25">
      <c r="B70" s="201">
        <v>427</v>
      </c>
      <c r="C70" s="201">
        <v>5</v>
      </c>
      <c r="D70" s="202" t="s">
        <v>106</v>
      </c>
      <c r="E70" s="193">
        <v>452.62</v>
      </c>
      <c r="F70" s="193">
        <f>INDEX('Revised 2017 Lockdown'!H$5:H$249,MATCH(B70,'Revised 2017 Lockdown'!B$5:B$249,0))</f>
        <v>452.62</v>
      </c>
      <c r="G70" s="193">
        <f t="shared" si="4"/>
        <v>0</v>
      </c>
      <c r="H70" s="194">
        <v>190983.95</v>
      </c>
      <c r="I70" s="194">
        <f>INDEX('Revised 2017 Lockdown'!E$5:E$249,MATCH(B70,'Revised 2017 Lockdown'!B$5:B$249,0))</f>
        <v>190983.95</v>
      </c>
      <c r="J70" s="194">
        <f t="shared" si="5"/>
        <v>0</v>
      </c>
      <c r="K70" s="194">
        <v>69834.559999999998</v>
      </c>
      <c r="L70" s="194">
        <f>INDEX('Revised 2017 Lockdown'!F$5:F$249,MATCH(B70,'Revised 2017 Lockdown'!B$5:B$249,0))</f>
        <v>69834.559999999998</v>
      </c>
      <c r="M70" s="194">
        <f t="shared" si="6"/>
        <v>0</v>
      </c>
      <c r="N70" s="194">
        <f t="shared" si="2"/>
        <v>121149.39000000001</v>
      </c>
      <c r="O70" s="195">
        <f t="shared" si="2"/>
        <v>121149.39000000001</v>
      </c>
      <c r="P70" s="195">
        <f t="shared" si="7"/>
        <v>0</v>
      </c>
      <c r="Q70" s="95">
        <f t="shared" si="8"/>
        <v>267.66247624939245</v>
      </c>
      <c r="R70" s="196">
        <f t="shared" si="3"/>
        <v>267.66247624939245</v>
      </c>
      <c r="S70" s="194">
        <f t="shared" si="9"/>
        <v>121149.39000000001</v>
      </c>
      <c r="T70" s="197">
        <v>0.49337500000000001</v>
      </c>
      <c r="U70" s="195">
        <f t="shared" si="10"/>
        <v>31190.853344825049</v>
      </c>
      <c r="V70" s="195">
        <f t="shared" si="11"/>
        <v>23350.845766333285</v>
      </c>
      <c r="W70" s="195">
        <f t="shared" si="12"/>
        <v>4616.6361807009171</v>
      </c>
      <c r="X70" s="195">
        <f t="shared" si="13"/>
        <v>1811.9407173666559</v>
      </c>
      <c r="Y70" s="195">
        <f t="shared" si="14"/>
        <v>60970.276009225905</v>
      </c>
      <c r="Z70" s="198">
        <f t="shared" si="15"/>
        <v>0.50326523319040972</v>
      </c>
      <c r="AA70" s="199">
        <f t="shared" si="16"/>
        <v>61124.172208818556</v>
      </c>
      <c r="AB70" s="195"/>
      <c r="AC70" s="199">
        <v>60439.555235502768</v>
      </c>
      <c r="AD70" s="194">
        <f t="shared" si="17"/>
        <v>684.61697331578762</v>
      </c>
      <c r="AE70" s="194">
        <v>675.43266076971486</v>
      </c>
      <c r="AF70" s="194">
        <f t="shared" si="18"/>
        <v>9.1843125460727606</v>
      </c>
    </row>
    <row r="71" spans="2:32" s="200" customFormat="1" x14ac:dyDescent="0.25">
      <c r="B71" s="201">
        <v>524</v>
      </c>
      <c r="C71" s="201">
        <v>5</v>
      </c>
      <c r="D71" s="202" t="s">
        <v>107</v>
      </c>
      <c r="E71" s="193">
        <v>529.66425187151924</v>
      </c>
      <c r="F71" s="193">
        <f>INDEX('Revised 2017 Lockdown'!H$5:H$249,MATCH(B71,'Revised 2017 Lockdown'!B$5:B$249,0))</f>
        <v>529.66425187151924</v>
      </c>
      <c r="G71" s="193">
        <f t="shared" si="4"/>
        <v>0</v>
      </c>
      <c r="H71" s="194">
        <v>245808.58</v>
      </c>
      <c r="I71" s="194">
        <f>INDEX('Revised 2017 Lockdown'!E$5:E$249,MATCH(B71,'Revised 2017 Lockdown'!B$5:B$249,0))</f>
        <v>245808.58</v>
      </c>
      <c r="J71" s="194">
        <f t="shared" si="5"/>
        <v>0</v>
      </c>
      <c r="K71" s="194">
        <v>450.32</v>
      </c>
      <c r="L71" s="194">
        <f>INDEX('Revised 2017 Lockdown'!F$5:F$249,MATCH(B71,'Revised 2017 Lockdown'!B$5:B$249,0))</f>
        <v>450.32</v>
      </c>
      <c r="M71" s="194">
        <f t="shared" si="6"/>
        <v>0</v>
      </c>
      <c r="N71" s="194">
        <f t="shared" si="2"/>
        <v>245358.25999999998</v>
      </c>
      <c r="O71" s="195">
        <f t="shared" si="2"/>
        <v>245358.25999999998</v>
      </c>
      <c r="P71" s="195">
        <f t="shared" si="7"/>
        <v>0</v>
      </c>
      <c r="Q71" s="95">
        <f t="shared" si="8"/>
        <v>463.23356566551251</v>
      </c>
      <c r="R71" s="196">
        <f t="shared" si="3"/>
        <v>416.47205103805584</v>
      </c>
      <c r="S71" s="194">
        <f t="shared" si="9"/>
        <v>220590.35733846901</v>
      </c>
      <c r="T71" s="197">
        <v>0.71375</v>
      </c>
      <c r="U71" s="195">
        <f t="shared" si="10"/>
        <v>56792.704321719968</v>
      </c>
      <c r="V71" s="195">
        <f t="shared" si="11"/>
        <v>27325.589353966134</v>
      </c>
      <c r="W71" s="195">
        <f t="shared" si="12"/>
        <v>12160.737812888288</v>
      </c>
      <c r="X71" s="195">
        <f t="shared" si="13"/>
        <v>3299.2048108540412</v>
      </c>
      <c r="Y71" s="195">
        <f t="shared" si="14"/>
        <v>99578.236299428434</v>
      </c>
      <c r="Z71" s="198">
        <f t="shared" si="15"/>
        <v>0.45141699528886375</v>
      </c>
      <c r="AA71" s="199">
        <f t="shared" si="16"/>
        <v>99829.583564549917</v>
      </c>
      <c r="AB71" s="195"/>
      <c r="AC71" s="199">
        <v>98481.702773740384</v>
      </c>
      <c r="AD71" s="194">
        <f t="shared" si="17"/>
        <v>1347.8807908095332</v>
      </c>
      <c r="AE71" s="194">
        <v>1208.1680862515495</v>
      </c>
      <c r="AF71" s="194">
        <f t="shared" si="18"/>
        <v>139.71270455798367</v>
      </c>
    </row>
    <row r="72" spans="2:32" s="200" customFormat="1" x14ac:dyDescent="0.25">
      <c r="B72" s="201">
        <v>565</v>
      </c>
      <c r="C72" s="201">
        <v>5</v>
      </c>
      <c r="D72" s="202" t="s">
        <v>108</v>
      </c>
      <c r="E72" s="193">
        <v>445.33784061237589</v>
      </c>
      <c r="F72" s="193">
        <f>INDEX('Revised 2017 Lockdown'!H$5:H$249,MATCH(B72,'Revised 2017 Lockdown'!B$5:B$249,0))</f>
        <v>445.33784061237589</v>
      </c>
      <c r="G72" s="193">
        <f t="shared" si="4"/>
        <v>0</v>
      </c>
      <c r="H72" s="194">
        <v>183464.86</v>
      </c>
      <c r="I72" s="194">
        <f>INDEX('Revised 2017 Lockdown'!E$5:E$249,MATCH(B72,'Revised 2017 Lockdown'!B$5:B$249,0))</f>
        <v>183464.86</v>
      </c>
      <c r="J72" s="194">
        <f t="shared" si="5"/>
        <v>0</v>
      </c>
      <c r="K72" s="194">
        <v>760</v>
      </c>
      <c r="L72" s="194">
        <f>INDEX('Revised 2017 Lockdown'!F$5:F$249,MATCH(B72,'Revised 2017 Lockdown'!B$5:B$249,0))</f>
        <v>760</v>
      </c>
      <c r="M72" s="194">
        <f t="shared" si="6"/>
        <v>0</v>
      </c>
      <c r="N72" s="194">
        <f t="shared" si="2"/>
        <v>182704.86</v>
      </c>
      <c r="O72" s="195">
        <f t="shared" si="2"/>
        <v>182704.86</v>
      </c>
      <c r="P72" s="195">
        <f t="shared" si="7"/>
        <v>0</v>
      </c>
      <c r="Q72" s="95">
        <f t="shared" si="8"/>
        <v>410.26125188186546</v>
      </c>
      <c r="R72" s="196">
        <f t="shared" si="3"/>
        <v>410.26125188186546</v>
      </c>
      <c r="S72" s="194">
        <f t="shared" si="9"/>
        <v>182704.86</v>
      </c>
      <c r="T72" s="197">
        <v>0.68591666666666673</v>
      </c>
      <c r="U72" s="195">
        <f t="shared" si="10"/>
        <v>47038.788174226807</v>
      </c>
      <c r="V72" s="195">
        <f t="shared" si="11"/>
        <v>22975.156268064835</v>
      </c>
      <c r="W72" s="195">
        <f t="shared" si="12"/>
        <v>9679.4066365515209</v>
      </c>
      <c r="X72" s="195">
        <f t="shared" si="13"/>
        <v>2732.579793383808</v>
      </c>
      <c r="Y72" s="195">
        <f t="shared" si="14"/>
        <v>82425.930872226963</v>
      </c>
      <c r="Z72" s="198">
        <f t="shared" si="15"/>
        <v>0.45114251953794204</v>
      </c>
      <c r="AA72" s="199">
        <f t="shared" si="16"/>
        <v>82633.983686473744</v>
      </c>
      <c r="AB72" s="195"/>
      <c r="AC72" s="199">
        <v>81541.688368185001</v>
      </c>
      <c r="AD72" s="194">
        <f t="shared" si="17"/>
        <v>1092.2953182887431</v>
      </c>
      <c r="AE72" s="194">
        <v>1080.9852697788447</v>
      </c>
      <c r="AF72" s="194">
        <f t="shared" si="18"/>
        <v>11.310048509898479</v>
      </c>
    </row>
    <row r="73" spans="2:32" s="200" customFormat="1" x14ac:dyDescent="0.25">
      <c r="B73" s="201">
        <v>613</v>
      </c>
      <c r="C73" s="201">
        <v>5</v>
      </c>
      <c r="D73" s="202" t="s">
        <v>109</v>
      </c>
      <c r="E73" s="193">
        <v>94.470534067416096</v>
      </c>
      <c r="F73" s="193">
        <f>INDEX('Revised 2017 Lockdown'!H$5:H$249,MATCH(B73,'Revised 2017 Lockdown'!B$5:B$249,0))</f>
        <v>94.470534067416096</v>
      </c>
      <c r="G73" s="193">
        <f t="shared" si="4"/>
        <v>0</v>
      </c>
      <c r="H73" s="194">
        <v>62648.94</v>
      </c>
      <c r="I73" s="194">
        <f>INDEX('Revised 2017 Lockdown'!E$5:E$249,MATCH(B73,'Revised 2017 Lockdown'!B$5:B$249,0))</f>
        <v>62648.94</v>
      </c>
      <c r="J73" s="194">
        <f t="shared" si="5"/>
        <v>0</v>
      </c>
      <c r="K73" s="194">
        <v>0</v>
      </c>
      <c r="L73" s="194">
        <f>INDEX('Revised 2017 Lockdown'!F$5:F$249,MATCH(B73,'Revised 2017 Lockdown'!B$5:B$249,0))</f>
        <v>0</v>
      </c>
      <c r="M73" s="194">
        <f t="shared" si="6"/>
        <v>0</v>
      </c>
      <c r="N73" s="194">
        <f t="shared" si="2"/>
        <v>62648.94</v>
      </c>
      <c r="O73" s="195">
        <f t="shared" si="2"/>
        <v>62648.94</v>
      </c>
      <c r="P73" s="195">
        <f t="shared" si="7"/>
        <v>0</v>
      </c>
      <c r="Q73" s="95">
        <f t="shared" si="8"/>
        <v>663.15852470244783</v>
      </c>
      <c r="R73" s="196">
        <f t="shared" si="3"/>
        <v>416.47205103805584</v>
      </c>
      <c r="S73" s="194">
        <f t="shared" si="9"/>
        <v>39344.337085717307</v>
      </c>
      <c r="T73" s="197">
        <v>0.34799999999999998</v>
      </c>
      <c r="U73" s="195">
        <f t="shared" si="10"/>
        <v>10129.505794374778</v>
      </c>
      <c r="V73" s="195">
        <f t="shared" si="11"/>
        <v>4873.7724149868927</v>
      </c>
      <c r="W73" s="195">
        <f t="shared" si="12"/>
        <v>1057.5204049327267</v>
      </c>
      <c r="X73" s="195">
        <f t="shared" si="13"/>
        <v>588.44379128454659</v>
      </c>
      <c r="Y73" s="195">
        <f t="shared" si="14"/>
        <v>16649.242405578942</v>
      </c>
      <c r="Z73" s="198">
        <f t="shared" si="15"/>
        <v>0.42316744006402163</v>
      </c>
      <c r="AA73" s="199">
        <f t="shared" si="16"/>
        <v>16691.267065790871</v>
      </c>
      <c r="AB73" s="195"/>
      <c r="AC73" s="199">
        <v>16484.859399142468</v>
      </c>
      <c r="AD73" s="194">
        <f t="shared" si="17"/>
        <v>206.40766664840339</v>
      </c>
      <c r="AE73" s="194">
        <v>183.54981215105727</v>
      </c>
      <c r="AF73" s="194">
        <f t="shared" si="18"/>
        <v>22.857854497346125</v>
      </c>
    </row>
    <row r="74" spans="2:32" s="200" customFormat="1" x14ac:dyDescent="0.25">
      <c r="B74" s="201">
        <v>696</v>
      </c>
      <c r="C74" s="201">
        <v>5</v>
      </c>
      <c r="D74" s="202" t="s">
        <v>110</v>
      </c>
      <c r="E74" s="193">
        <v>317.03380077970206</v>
      </c>
      <c r="F74" s="193">
        <f>INDEX('Revised 2017 Lockdown'!H$5:H$249,MATCH(B74,'Revised 2017 Lockdown'!B$5:B$249,0))</f>
        <v>317.03380077970206</v>
      </c>
      <c r="G74" s="193">
        <f t="shared" si="4"/>
        <v>0</v>
      </c>
      <c r="H74" s="194">
        <v>124256.29</v>
      </c>
      <c r="I74" s="194">
        <f>INDEX('Revised 2017 Lockdown'!E$5:E$249,MATCH(B74,'Revised 2017 Lockdown'!B$5:B$249,0))</f>
        <v>124256.29</v>
      </c>
      <c r="J74" s="194">
        <f t="shared" si="5"/>
        <v>0</v>
      </c>
      <c r="K74" s="194">
        <v>136.29</v>
      </c>
      <c r="L74" s="194">
        <f>INDEX('Revised 2017 Lockdown'!F$5:F$249,MATCH(B74,'Revised 2017 Lockdown'!B$5:B$249,0))</f>
        <v>136.29</v>
      </c>
      <c r="M74" s="194">
        <f t="shared" si="6"/>
        <v>0</v>
      </c>
      <c r="N74" s="194">
        <f t="shared" si="2"/>
        <v>124120</v>
      </c>
      <c r="O74" s="195">
        <f t="shared" si="2"/>
        <v>124120</v>
      </c>
      <c r="P74" s="195">
        <f t="shared" si="7"/>
        <v>0</v>
      </c>
      <c r="Q74" s="95">
        <f t="shared" si="8"/>
        <v>391.50399640272906</v>
      </c>
      <c r="R74" s="196">
        <f t="shared" si="3"/>
        <v>391.50399640272906</v>
      </c>
      <c r="S74" s="194">
        <f t="shared" si="9"/>
        <v>124120</v>
      </c>
      <c r="T74" s="197">
        <v>0.53841666666666665</v>
      </c>
      <c r="U74" s="195">
        <f t="shared" si="10"/>
        <v>31955.660009181101</v>
      </c>
      <c r="V74" s="195">
        <f t="shared" si="11"/>
        <v>16355.899838100959</v>
      </c>
      <c r="W74" s="195">
        <f t="shared" si="12"/>
        <v>5161.6379829829775</v>
      </c>
      <c r="X74" s="195">
        <f t="shared" si="13"/>
        <v>1856.3699069351428</v>
      </c>
      <c r="Y74" s="195">
        <f t="shared" si="14"/>
        <v>55329.567737200174</v>
      </c>
      <c r="Z74" s="198">
        <f t="shared" si="15"/>
        <v>0.44577479646471296</v>
      </c>
      <c r="AA74" s="199">
        <f t="shared" si="16"/>
        <v>55469.226120878324</v>
      </c>
      <c r="AB74" s="195"/>
      <c r="AC74" s="199">
        <v>54767.482943004827</v>
      </c>
      <c r="AD74" s="194">
        <f t="shared" si="17"/>
        <v>701.74317787349719</v>
      </c>
      <c r="AE74" s="194">
        <v>694.04082762303733</v>
      </c>
      <c r="AF74" s="194">
        <f t="shared" si="18"/>
        <v>7.7023502504598582</v>
      </c>
    </row>
    <row r="75" spans="2:32" s="200" customFormat="1" x14ac:dyDescent="0.25">
      <c r="B75" s="201">
        <v>731</v>
      </c>
      <c r="C75" s="201">
        <v>5</v>
      </c>
      <c r="D75" s="202" t="s">
        <v>111</v>
      </c>
      <c r="E75" s="193">
        <v>862.70999999999992</v>
      </c>
      <c r="F75" s="193">
        <f>INDEX('Revised 2017 Lockdown'!H$5:H$249,MATCH(B75,'Revised 2017 Lockdown'!B$5:B$249,0))</f>
        <v>862.70999999999992</v>
      </c>
      <c r="G75" s="193">
        <f t="shared" si="4"/>
        <v>0</v>
      </c>
      <c r="H75" s="194">
        <v>224685.08</v>
      </c>
      <c r="I75" s="194">
        <f>INDEX('Revised 2017 Lockdown'!E$5:E$249,MATCH(B75,'Revised 2017 Lockdown'!B$5:B$249,0))</f>
        <v>224685.08</v>
      </c>
      <c r="J75" s="194">
        <f t="shared" si="5"/>
        <v>0</v>
      </c>
      <c r="K75" s="194">
        <v>35649.1</v>
      </c>
      <c r="L75" s="194">
        <f>INDEX('Revised 2017 Lockdown'!F$5:F$249,MATCH(B75,'Revised 2017 Lockdown'!B$5:B$249,0))</f>
        <v>35649.1</v>
      </c>
      <c r="M75" s="194">
        <f t="shared" si="6"/>
        <v>0</v>
      </c>
      <c r="N75" s="194">
        <f t="shared" si="2"/>
        <v>189035.97999999998</v>
      </c>
      <c r="O75" s="195">
        <f t="shared" si="2"/>
        <v>189035.97999999998</v>
      </c>
      <c r="P75" s="195">
        <f t="shared" si="7"/>
        <v>0</v>
      </c>
      <c r="Q75" s="95">
        <f t="shared" si="8"/>
        <v>219.11880006027519</v>
      </c>
      <c r="R75" s="196">
        <f t="shared" si="3"/>
        <v>219.11880006027519</v>
      </c>
      <c r="S75" s="194">
        <f t="shared" si="9"/>
        <v>189035.97999999998</v>
      </c>
      <c r="T75" s="197">
        <v>0.76891666666666669</v>
      </c>
      <c r="U75" s="195">
        <f t="shared" si="10"/>
        <v>48668.784292477903</v>
      </c>
      <c r="V75" s="195">
        <f t="shared" si="11"/>
        <v>44507.551922304323</v>
      </c>
      <c r="W75" s="195">
        <f t="shared" si="12"/>
        <v>11226.671816667342</v>
      </c>
      <c r="X75" s="195">
        <f t="shared" si="13"/>
        <v>2827.2696148887644</v>
      </c>
      <c r="Y75" s="195">
        <f t="shared" si="14"/>
        <v>107230.27764633833</v>
      </c>
      <c r="Z75" s="198">
        <f t="shared" si="15"/>
        <v>0.56724797917485525</v>
      </c>
      <c r="AA75" s="199">
        <f t="shared" si="16"/>
        <v>107500.93957033125</v>
      </c>
      <c r="AB75" s="195"/>
      <c r="AC75" s="199">
        <v>106336.33495130295</v>
      </c>
      <c r="AD75" s="194">
        <f t="shared" si="17"/>
        <v>1164.6046190282941</v>
      </c>
      <c r="AE75" s="194">
        <v>1147.9631276846776</v>
      </c>
      <c r="AF75" s="194">
        <f t="shared" si="18"/>
        <v>16.641491343616508</v>
      </c>
    </row>
    <row r="76" spans="2:32" s="200" customFormat="1" x14ac:dyDescent="0.25">
      <c r="B76" s="201">
        <v>732</v>
      </c>
      <c r="C76" s="201">
        <v>5</v>
      </c>
      <c r="D76" s="202" t="s">
        <v>112</v>
      </c>
      <c r="E76" s="193">
        <v>222.6459090886845</v>
      </c>
      <c r="F76" s="193">
        <f>INDEX('Revised 2017 Lockdown'!H$5:H$249,MATCH(B76,'Revised 2017 Lockdown'!B$5:B$249,0))</f>
        <v>222.6459090886845</v>
      </c>
      <c r="G76" s="193">
        <f t="shared" si="4"/>
        <v>0</v>
      </c>
      <c r="H76" s="194">
        <v>69015.66</v>
      </c>
      <c r="I76" s="194">
        <f>INDEX('Revised 2017 Lockdown'!E$5:E$249,MATCH(B76,'Revised 2017 Lockdown'!B$5:B$249,0))</f>
        <v>69015.66</v>
      </c>
      <c r="J76" s="194">
        <f t="shared" si="5"/>
        <v>0</v>
      </c>
      <c r="K76" s="194">
        <v>0</v>
      </c>
      <c r="L76" s="194">
        <f>INDEX('Revised 2017 Lockdown'!F$5:F$249,MATCH(B76,'Revised 2017 Lockdown'!B$5:B$249,0))</f>
        <v>0</v>
      </c>
      <c r="M76" s="194">
        <f t="shared" si="6"/>
        <v>0</v>
      </c>
      <c r="N76" s="194">
        <f t="shared" si="2"/>
        <v>69015.66</v>
      </c>
      <c r="O76" s="195">
        <f t="shared" si="2"/>
        <v>69015.66</v>
      </c>
      <c r="P76" s="195">
        <f t="shared" si="7"/>
        <v>0</v>
      </c>
      <c r="Q76" s="95">
        <f t="shared" si="8"/>
        <v>309.97946597127742</v>
      </c>
      <c r="R76" s="196">
        <f t="shared" si="3"/>
        <v>309.97946597127742</v>
      </c>
      <c r="S76" s="194">
        <f t="shared" si="9"/>
        <v>69015.66</v>
      </c>
      <c r="T76" s="197">
        <v>0.48533333333333334</v>
      </c>
      <c r="U76" s="195">
        <f t="shared" si="10"/>
        <v>17768.618806552047</v>
      </c>
      <c r="V76" s="195">
        <f t="shared" si="11"/>
        <v>11486.390976171919</v>
      </c>
      <c r="W76" s="195">
        <f t="shared" si="12"/>
        <v>2587.1108982339779</v>
      </c>
      <c r="X76" s="195">
        <f t="shared" si="13"/>
        <v>1032.2155521371856</v>
      </c>
      <c r="Y76" s="195">
        <f t="shared" si="14"/>
        <v>32874.336233095128</v>
      </c>
      <c r="Z76" s="198">
        <f t="shared" si="15"/>
        <v>0.47633154900054747</v>
      </c>
      <c r="AA76" s="199">
        <f t="shared" si="16"/>
        <v>32957.314952260487</v>
      </c>
      <c r="AB76" s="195"/>
      <c r="AC76" s="199">
        <v>32569.300238190845</v>
      </c>
      <c r="AD76" s="194">
        <f t="shared" si="17"/>
        <v>388.01471406964265</v>
      </c>
      <c r="AE76" s="194">
        <v>383.20831911540154</v>
      </c>
      <c r="AF76" s="194">
        <f t="shared" si="18"/>
        <v>4.8063949542411137</v>
      </c>
    </row>
    <row r="77" spans="2:32" s="200" customFormat="1" x14ac:dyDescent="0.25">
      <c r="B77" s="201">
        <v>754</v>
      </c>
      <c r="C77" s="201">
        <v>5</v>
      </c>
      <c r="D77" s="202" t="s">
        <v>113</v>
      </c>
      <c r="E77" s="193">
        <v>120.10207431826544</v>
      </c>
      <c r="F77" s="193">
        <f>INDEX('Revised 2017 Lockdown'!H$5:H$249,MATCH(B77,'Revised 2017 Lockdown'!B$5:B$249,0))</f>
        <v>120.10207431826544</v>
      </c>
      <c r="G77" s="193">
        <f t="shared" si="4"/>
        <v>0</v>
      </c>
      <c r="H77" s="194">
        <v>29707.96</v>
      </c>
      <c r="I77" s="194">
        <f>INDEX('Revised 2017 Lockdown'!E$5:E$249,MATCH(B77,'Revised 2017 Lockdown'!B$5:B$249,0))</f>
        <v>29707.96</v>
      </c>
      <c r="J77" s="194">
        <f t="shared" si="5"/>
        <v>0</v>
      </c>
      <c r="K77" s="194">
        <v>0</v>
      </c>
      <c r="L77" s="194">
        <f>INDEX('Revised 2017 Lockdown'!F$5:F$249,MATCH(B77,'Revised 2017 Lockdown'!B$5:B$249,0))</f>
        <v>0</v>
      </c>
      <c r="M77" s="194">
        <f t="shared" si="6"/>
        <v>0</v>
      </c>
      <c r="N77" s="194">
        <f t="shared" si="2"/>
        <v>29707.96</v>
      </c>
      <c r="O77" s="195">
        <f t="shared" si="2"/>
        <v>29707.96</v>
      </c>
      <c r="P77" s="195">
        <f t="shared" si="7"/>
        <v>0</v>
      </c>
      <c r="Q77" s="95">
        <f t="shared" si="8"/>
        <v>247.35592760267534</v>
      </c>
      <c r="R77" s="196">
        <f t="shared" si="3"/>
        <v>247.35592760267534</v>
      </c>
      <c r="S77" s="194">
        <f t="shared" si="9"/>
        <v>29707.96</v>
      </c>
      <c r="T77" s="197">
        <v>0.2235</v>
      </c>
      <c r="U77" s="195">
        <f t="shared" si="10"/>
        <v>7648.5455150366724</v>
      </c>
      <c r="V77" s="195">
        <f t="shared" si="11"/>
        <v>6196.1137678903133</v>
      </c>
      <c r="W77" s="195">
        <f t="shared" si="12"/>
        <v>512.83497678320896</v>
      </c>
      <c r="X77" s="195">
        <f t="shared" si="13"/>
        <v>444.31971431222161</v>
      </c>
      <c r="Y77" s="195">
        <f t="shared" si="14"/>
        <v>14801.813974022418</v>
      </c>
      <c r="Z77" s="198">
        <f t="shared" si="15"/>
        <v>0.49824403877016188</v>
      </c>
      <c r="AA77" s="199">
        <f t="shared" si="16"/>
        <v>14839.175506014411</v>
      </c>
      <c r="AB77" s="195"/>
      <c r="AC77" s="199">
        <v>14687.614364570081</v>
      </c>
      <c r="AD77" s="194">
        <f t="shared" si="17"/>
        <v>151.56114144433013</v>
      </c>
      <c r="AE77" s="194">
        <v>149.26765150643041</v>
      </c>
      <c r="AF77" s="194">
        <f t="shared" si="18"/>
        <v>2.2934899378997216</v>
      </c>
    </row>
    <row r="78" spans="2:32" s="200" customFormat="1" x14ac:dyDescent="0.25">
      <c r="B78" s="201">
        <v>885</v>
      </c>
      <c r="C78" s="201">
        <v>5</v>
      </c>
      <c r="D78" s="202" t="s">
        <v>114</v>
      </c>
      <c r="E78" s="193">
        <v>413.50000000000006</v>
      </c>
      <c r="F78" s="193">
        <f>INDEX('Revised 2017 Lockdown'!H$5:H$249,MATCH(B78,'Revised 2017 Lockdown'!B$5:B$249,0))</f>
        <v>411.83000000000004</v>
      </c>
      <c r="G78" s="193">
        <f t="shared" si="4"/>
        <v>-1.6700000000000159</v>
      </c>
      <c r="H78" s="194">
        <v>153311.22</v>
      </c>
      <c r="I78" s="194">
        <f>INDEX('Revised 2017 Lockdown'!E$5:E$249,MATCH(B78,'Revised 2017 Lockdown'!B$5:B$249,0))</f>
        <v>134922.51999999999</v>
      </c>
      <c r="J78" s="194">
        <f t="shared" si="5"/>
        <v>-18388.700000000012</v>
      </c>
      <c r="K78" s="194">
        <v>72444.280000000013</v>
      </c>
      <c r="L78" s="194">
        <f>INDEX('Revised 2017 Lockdown'!F$5:F$249,MATCH(B78,'Revised 2017 Lockdown'!B$5:B$249,0))</f>
        <v>72127.05</v>
      </c>
      <c r="M78" s="194">
        <f t="shared" si="6"/>
        <v>-317.23000000001048</v>
      </c>
      <c r="N78" s="194">
        <f t="shared" si="2"/>
        <v>80866.939999999988</v>
      </c>
      <c r="O78" s="195">
        <f t="shared" si="2"/>
        <v>62795.469999999987</v>
      </c>
      <c r="P78" s="195">
        <f t="shared" si="7"/>
        <v>-18071.47</v>
      </c>
      <c r="Q78" s="95">
        <f t="shared" si="8"/>
        <v>152.47910545613476</v>
      </c>
      <c r="R78" s="196">
        <f t="shared" si="3"/>
        <v>152.47910545613476</v>
      </c>
      <c r="S78" s="194">
        <f t="shared" si="9"/>
        <v>62795.469999999987</v>
      </c>
      <c r="T78" s="197">
        <v>0.5588333333333334</v>
      </c>
      <c r="U78" s="195">
        <f t="shared" si="10"/>
        <v>16167.182480154133</v>
      </c>
      <c r="V78" s="195">
        <f t="shared" si="11"/>
        <v>21246.473447812816</v>
      </c>
      <c r="W78" s="195">
        <f t="shared" si="12"/>
        <v>2710.4281427978408</v>
      </c>
      <c r="X78" s="195">
        <f t="shared" si="13"/>
        <v>939.18482758498646</v>
      </c>
      <c r="Y78" s="195">
        <f t="shared" si="14"/>
        <v>41063.268898349772</v>
      </c>
      <c r="Z78" s="198">
        <f t="shared" si="15"/>
        <v>0.65392087834281332</v>
      </c>
      <c r="AA78" s="199">
        <f t="shared" si="16"/>
        <v>41166.917453677794</v>
      </c>
      <c r="AB78" s="195"/>
      <c r="AC78" s="199">
        <v>46504.624706068375</v>
      </c>
      <c r="AD78" s="194">
        <f t="shared" si="17"/>
        <v>-5337.7072523905808</v>
      </c>
      <c r="AE78" s="194">
        <v>-5344.6220096477555</v>
      </c>
      <c r="AF78" s="194">
        <f t="shared" si="18"/>
        <v>6.9147572571746423</v>
      </c>
    </row>
    <row r="79" spans="2:32" s="200" customFormat="1" x14ac:dyDescent="0.25">
      <c r="B79" s="201">
        <v>909</v>
      </c>
      <c r="C79" s="201">
        <v>5</v>
      </c>
      <c r="D79" s="202" t="s">
        <v>115</v>
      </c>
      <c r="E79" s="193">
        <v>535.34</v>
      </c>
      <c r="F79" s="193">
        <f>INDEX('Revised 2017 Lockdown'!H$5:H$249,MATCH(B79,'Revised 2017 Lockdown'!B$5:B$249,0))</f>
        <v>535.34</v>
      </c>
      <c r="G79" s="193">
        <f t="shared" si="4"/>
        <v>0</v>
      </c>
      <c r="H79" s="194">
        <v>229582.5</v>
      </c>
      <c r="I79" s="194">
        <f>INDEX('Revised 2017 Lockdown'!E$5:E$249,MATCH(B79,'Revised 2017 Lockdown'!B$5:B$249,0))</f>
        <v>229582.5</v>
      </c>
      <c r="J79" s="194">
        <f t="shared" si="5"/>
        <v>0</v>
      </c>
      <c r="K79" s="194">
        <v>103857.59000000003</v>
      </c>
      <c r="L79" s="194">
        <f>INDEX('Revised 2017 Lockdown'!F$5:F$249,MATCH(B79,'Revised 2017 Lockdown'!B$5:B$249,0))</f>
        <v>97120.69</v>
      </c>
      <c r="M79" s="194">
        <f t="shared" si="6"/>
        <v>-6736.9000000000233</v>
      </c>
      <c r="N79" s="194">
        <f t="shared" si="2"/>
        <v>125724.90999999997</v>
      </c>
      <c r="O79" s="195">
        <f t="shared" si="2"/>
        <v>132461.81</v>
      </c>
      <c r="P79" s="195">
        <f t="shared" si="7"/>
        <v>6736.9000000000233</v>
      </c>
      <c r="Q79" s="95">
        <f t="shared" si="8"/>
        <v>247.43491986401165</v>
      </c>
      <c r="R79" s="196">
        <f t="shared" si="3"/>
        <v>247.43491986401165</v>
      </c>
      <c r="S79" s="194">
        <f t="shared" si="9"/>
        <v>132461.81</v>
      </c>
      <c r="T79" s="197">
        <v>0.78249999999999997</v>
      </c>
      <c r="U79" s="195">
        <f t="shared" si="10"/>
        <v>34103.32391686066</v>
      </c>
      <c r="V79" s="195">
        <f t="shared" si="11"/>
        <v>27618.403456649863</v>
      </c>
      <c r="W79" s="195">
        <f t="shared" si="12"/>
        <v>8005.7552894830396</v>
      </c>
      <c r="X79" s="195">
        <f t="shared" si="13"/>
        <v>1981.1321132948804</v>
      </c>
      <c r="Y79" s="195">
        <f t="shared" si="14"/>
        <v>71708.61477628845</v>
      </c>
      <c r="Z79" s="198">
        <f t="shared" si="15"/>
        <v>0.54135312492172993</v>
      </c>
      <c r="AA79" s="199">
        <f t="shared" si="16"/>
        <v>71889.615815064361</v>
      </c>
      <c r="AB79" s="195"/>
      <c r="AC79" s="199">
        <v>68869.260833874097</v>
      </c>
      <c r="AD79" s="194">
        <f t="shared" si="17"/>
        <v>3020.3549811902631</v>
      </c>
      <c r="AE79" s="194">
        <v>3009.506120462218</v>
      </c>
      <c r="AF79" s="194">
        <f t="shared" si="18"/>
        <v>10.848860728045111</v>
      </c>
    </row>
    <row r="80" spans="2:32" s="200" customFormat="1" x14ac:dyDescent="0.25">
      <c r="B80" s="201">
        <v>923</v>
      </c>
      <c r="C80" s="201">
        <v>5</v>
      </c>
      <c r="D80" s="202" t="s">
        <v>116</v>
      </c>
      <c r="E80" s="193">
        <v>48.43321380028214</v>
      </c>
      <c r="F80" s="193">
        <f>INDEX('Revised 2017 Lockdown'!H$5:H$249,MATCH(B80,'Revised 2017 Lockdown'!B$5:B$249,0))</f>
        <v>48.433213800282132</v>
      </c>
      <c r="G80" s="193">
        <f t="shared" si="4"/>
        <v>0</v>
      </c>
      <c r="H80" s="194">
        <v>31066.29</v>
      </c>
      <c r="I80" s="194">
        <f>INDEX('Revised 2017 Lockdown'!E$5:E$249,MATCH(B80,'Revised 2017 Lockdown'!B$5:B$249,0))</f>
        <v>31066.29</v>
      </c>
      <c r="J80" s="194">
        <f t="shared" si="5"/>
        <v>0</v>
      </c>
      <c r="K80" s="194">
        <v>93.24</v>
      </c>
      <c r="L80" s="194">
        <f>INDEX('Revised 2017 Lockdown'!F$5:F$249,MATCH(B80,'Revised 2017 Lockdown'!B$5:B$249,0))</f>
        <v>93.24</v>
      </c>
      <c r="M80" s="194">
        <f t="shared" si="6"/>
        <v>0</v>
      </c>
      <c r="N80" s="194">
        <f t="shared" si="2"/>
        <v>30973.05</v>
      </c>
      <c r="O80" s="195">
        <f t="shared" si="2"/>
        <v>30973.05</v>
      </c>
      <c r="P80" s="195">
        <f t="shared" si="7"/>
        <v>0</v>
      </c>
      <c r="Q80" s="95">
        <f t="shared" si="8"/>
        <v>639.50020181852096</v>
      </c>
      <c r="R80" s="196">
        <f t="shared" si="3"/>
        <v>416.47205103805584</v>
      </c>
      <c r="S80" s="194">
        <f t="shared" si="9"/>
        <v>20171.079889768171</v>
      </c>
      <c r="T80" s="197">
        <v>0.32633333333333336</v>
      </c>
      <c r="U80" s="195">
        <f t="shared" si="10"/>
        <v>5193.2015064088127</v>
      </c>
      <c r="V80" s="195">
        <f t="shared" si="11"/>
        <v>2498.6887574968691</v>
      </c>
      <c r="W80" s="195">
        <f t="shared" si="12"/>
        <v>508.41442747742286</v>
      </c>
      <c r="X80" s="195">
        <f t="shared" si="13"/>
        <v>301.68373910530346</v>
      </c>
      <c r="Y80" s="195">
        <f t="shared" si="14"/>
        <v>8501.9884304884072</v>
      </c>
      <c r="Z80" s="198">
        <f t="shared" si="15"/>
        <v>0.42149396447540033</v>
      </c>
      <c r="AA80" s="199">
        <f t="shared" si="16"/>
        <v>8523.4484564891882</v>
      </c>
      <c r="AB80" s="195"/>
      <c r="AC80" s="199">
        <v>8415.9662352510913</v>
      </c>
      <c r="AD80" s="194">
        <f t="shared" si="17"/>
        <v>107.48222123809683</v>
      </c>
      <c r="AE80" s="194">
        <v>95.826041934962632</v>
      </c>
      <c r="AF80" s="194">
        <f t="shared" si="18"/>
        <v>11.656179303134195</v>
      </c>
    </row>
    <row r="81" spans="2:32" s="200" customFormat="1" x14ac:dyDescent="0.25">
      <c r="B81" s="201">
        <v>394</v>
      </c>
      <c r="C81" s="201">
        <v>6</v>
      </c>
      <c r="D81" s="202" t="s">
        <v>117</v>
      </c>
      <c r="E81" s="193">
        <v>703.72</v>
      </c>
      <c r="F81" s="193">
        <f>INDEX('Revised 2017 Lockdown'!H$5:H$249,MATCH(B81,'Revised 2017 Lockdown'!B$5:B$249,0))</f>
        <v>703.72</v>
      </c>
      <c r="G81" s="193">
        <f t="shared" si="4"/>
        <v>0</v>
      </c>
      <c r="H81" s="194">
        <v>403733.09</v>
      </c>
      <c r="I81" s="194">
        <f>INDEX('Revised 2017 Lockdown'!E$5:E$249,MATCH(B81,'Revised 2017 Lockdown'!B$5:B$249,0))</f>
        <v>403733.09</v>
      </c>
      <c r="J81" s="194">
        <f t="shared" si="5"/>
        <v>0</v>
      </c>
      <c r="K81" s="194">
        <v>74442.03</v>
      </c>
      <c r="L81" s="194">
        <f>INDEX('Revised 2017 Lockdown'!F$5:F$249,MATCH(B81,'Revised 2017 Lockdown'!B$5:B$249,0))</f>
        <v>74442.03</v>
      </c>
      <c r="M81" s="194">
        <f t="shared" si="6"/>
        <v>0</v>
      </c>
      <c r="N81" s="194">
        <f t="shared" si="2"/>
        <v>329291.06000000006</v>
      </c>
      <c r="O81" s="195">
        <f t="shared" si="2"/>
        <v>329291.06000000006</v>
      </c>
      <c r="P81" s="195">
        <f t="shared" si="7"/>
        <v>0</v>
      </c>
      <c r="Q81" s="95">
        <f t="shared" si="8"/>
        <v>467.92909111578473</v>
      </c>
      <c r="R81" s="196">
        <f t="shared" si="3"/>
        <v>467.92909111578473</v>
      </c>
      <c r="S81" s="194">
        <f t="shared" si="9"/>
        <v>329291.06000000006</v>
      </c>
      <c r="T81" s="197">
        <v>0.82041666666666657</v>
      </c>
      <c r="U81" s="195">
        <f t="shared" si="10"/>
        <v>84778.546224805468</v>
      </c>
      <c r="V81" s="195">
        <f t="shared" si="11"/>
        <v>36305.194606257035</v>
      </c>
      <c r="W81" s="195">
        <f t="shared" si="12"/>
        <v>20866.119689580246</v>
      </c>
      <c r="X81" s="195">
        <f t="shared" si="13"/>
        <v>4924.9598324748194</v>
      </c>
      <c r="Y81" s="195">
        <f t="shared" si="14"/>
        <v>146874.82035311757</v>
      </c>
      <c r="Z81" s="198">
        <f t="shared" si="15"/>
        <v>0.44603342815659053</v>
      </c>
      <c r="AA81" s="199">
        <f t="shared" si="16"/>
        <v>147245.5497994592</v>
      </c>
      <c r="AB81" s="195"/>
      <c r="AC81" s="199">
        <v>145214.22597914733</v>
      </c>
      <c r="AD81" s="194">
        <f t="shared" si="17"/>
        <v>2031.3238203118672</v>
      </c>
      <c r="AE81" s="194">
        <v>2011.7489785311336</v>
      </c>
      <c r="AF81" s="194">
        <f t="shared" si="18"/>
        <v>19.57484178073355</v>
      </c>
    </row>
    <row r="82" spans="2:32" s="200" customFormat="1" x14ac:dyDescent="0.25">
      <c r="B82" s="201">
        <v>414</v>
      </c>
      <c r="C82" s="201">
        <v>6</v>
      </c>
      <c r="D82" s="202" t="s">
        <v>118</v>
      </c>
      <c r="E82" s="193">
        <v>239.14632293138175</v>
      </c>
      <c r="F82" s="193">
        <f>INDEX('Revised 2017 Lockdown'!H$5:H$249,MATCH(B82,'Revised 2017 Lockdown'!B$5:B$249,0))</f>
        <v>239.14632293138175</v>
      </c>
      <c r="G82" s="193">
        <f t="shared" si="4"/>
        <v>0</v>
      </c>
      <c r="H82" s="194">
        <v>229439.83</v>
      </c>
      <c r="I82" s="194">
        <f>INDEX('Revised 2017 Lockdown'!E$5:E$249,MATCH(B82,'Revised 2017 Lockdown'!B$5:B$249,0))</f>
        <v>229275.21</v>
      </c>
      <c r="J82" s="194">
        <f t="shared" si="5"/>
        <v>-164.61999999999534</v>
      </c>
      <c r="K82" s="194">
        <v>14423.09</v>
      </c>
      <c r="L82" s="194">
        <f>INDEX('Revised 2017 Lockdown'!F$5:F$249,MATCH(B82,'Revised 2017 Lockdown'!B$5:B$249,0))</f>
        <v>14423.09</v>
      </c>
      <c r="M82" s="194">
        <f t="shared" si="6"/>
        <v>0</v>
      </c>
      <c r="N82" s="194">
        <f t="shared" si="2"/>
        <v>215016.74</v>
      </c>
      <c r="O82" s="195">
        <f t="shared" si="2"/>
        <v>214852.12</v>
      </c>
      <c r="P82" s="195">
        <f t="shared" si="7"/>
        <v>-164.61999999999534</v>
      </c>
      <c r="Q82" s="95">
        <f t="shared" si="8"/>
        <v>898.41281005875021</v>
      </c>
      <c r="R82" s="196">
        <f t="shared" si="3"/>
        <v>898.41281005875021</v>
      </c>
      <c r="S82" s="194">
        <f t="shared" si="9"/>
        <v>214852.12</v>
      </c>
      <c r="T82" s="197">
        <v>0.48424999999999996</v>
      </c>
      <c r="U82" s="195">
        <f t="shared" si="10"/>
        <v>55315.350459005625</v>
      </c>
      <c r="V82" s="195">
        <f t="shared" si="11"/>
        <v>12337.653887049682</v>
      </c>
      <c r="W82" s="195">
        <f t="shared" si="12"/>
        <v>8035.9375379320409</v>
      </c>
      <c r="X82" s="195">
        <f t="shared" si="13"/>
        <v>3213.3822914052375</v>
      </c>
      <c r="Y82" s="195">
        <f t="shared" si="14"/>
        <v>78902.324175392598</v>
      </c>
      <c r="Z82" s="198">
        <f t="shared" si="15"/>
        <v>0.36724014720167808</v>
      </c>
      <c r="AA82" s="199">
        <f t="shared" si="16"/>
        <v>79101.482988906617</v>
      </c>
      <c r="AB82" s="195"/>
      <c r="AC82" s="199">
        <v>77943.900548882943</v>
      </c>
      <c r="AD82" s="194">
        <f t="shared" si="17"/>
        <v>1157.5824400236743</v>
      </c>
      <c r="AE82" s="194">
        <v>1148.0510887534183</v>
      </c>
      <c r="AF82" s="194">
        <f t="shared" si="18"/>
        <v>9.5313512702559819</v>
      </c>
    </row>
    <row r="83" spans="2:32" s="200" customFormat="1" x14ac:dyDescent="0.25">
      <c r="B83" s="201">
        <v>426</v>
      </c>
      <c r="C83" s="201">
        <v>6</v>
      </c>
      <c r="D83" s="202" t="s">
        <v>119</v>
      </c>
      <c r="E83" s="193">
        <v>354.4475851831736</v>
      </c>
      <c r="F83" s="193">
        <f>INDEX('Revised 2017 Lockdown'!H$5:H$249,MATCH(B83,'Revised 2017 Lockdown'!B$5:B$249,0))</f>
        <v>354.4475851831736</v>
      </c>
      <c r="G83" s="193">
        <f t="shared" si="4"/>
        <v>0</v>
      </c>
      <c r="H83" s="194">
        <v>142088.12</v>
      </c>
      <c r="I83" s="194">
        <f>INDEX('Revised 2017 Lockdown'!E$5:E$249,MATCH(B83,'Revised 2017 Lockdown'!B$5:B$249,0))</f>
        <v>142088.12</v>
      </c>
      <c r="J83" s="194">
        <f t="shared" si="5"/>
        <v>0</v>
      </c>
      <c r="K83" s="194">
        <v>0</v>
      </c>
      <c r="L83" s="194">
        <f>INDEX('Revised 2017 Lockdown'!F$5:F$249,MATCH(B83,'Revised 2017 Lockdown'!B$5:B$249,0))</f>
        <v>0</v>
      </c>
      <c r="M83" s="194">
        <f t="shared" si="6"/>
        <v>0</v>
      </c>
      <c r="N83" s="194">
        <f t="shared" si="2"/>
        <v>142088.12</v>
      </c>
      <c r="O83" s="195">
        <f t="shared" si="2"/>
        <v>142088.12</v>
      </c>
      <c r="P83" s="195">
        <f t="shared" si="7"/>
        <v>0</v>
      </c>
      <c r="Q83" s="95">
        <f t="shared" si="8"/>
        <v>400.87202153336955</v>
      </c>
      <c r="R83" s="196">
        <f t="shared" si="3"/>
        <v>400.87202153336955</v>
      </c>
      <c r="S83" s="194">
        <f t="shared" si="9"/>
        <v>142088.12</v>
      </c>
      <c r="T83" s="197">
        <v>0.32991666666666669</v>
      </c>
      <c r="U83" s="195">
        <f t="shared" si="10"/>
        <v>36581.69234663008</v>
      </c>
      <c r="V83" s="195">
        <f t="shared" si="11"/>
        <v>18286.091851578731</v>
      </c>
      <c r="W83" s="195">
        <f t="shared" si="12"/>
        <v>3620.6730000077118</v>
      </c>
      <c r="X83" s="195">
        <f t="shared" si="13"/>
        <v>2125.1056244037172</v>
      </c>
      <c r="Y83" s="195">
        <f t="shared" si="14"/>
        <v>60613.562822620246</v>
      </c>
      <c r="Z83" s="198">
        <f t="shared" si="15"/>
        <v>0.42659134924594855</v>
      </c>
      <c r="AA83" s="199">
        <f t="shared" si="16"/>
        <v>60766.558635871283</v>
      </c>
      <c r="AB83" s="195"/>
      <c r="AC83" s="199">
        <v>60031.207475476236</v>
      </c>
      <c r="AD83" s="194">
        <f t="shared" si="17"/>
        <v>735.35116039504646</v>
      </c>
      <c r="AE83" s="194">
        <v>726.88515857337916</v>
      </c>
      <c r="AF83" s="194">
        <f t="shared" si="18"/>
        <v>8.4660018216673052</v>
      </c>
    </row>
    <row r="84" spans="2:32" s="200" customFormat="1" x14ac:dyDescent="0.25">
      <c r="B84" s="201">
        <v>430</v>
      </c>
      <c r="C84" s="201">
        <v>6</v>
      </c>
      <c r="D84" s="202" t="s">
        <v>120</v>
      </c>
      <c r="E84" s="193">
        <v>2825.6247831068954</v>
      </c>
      <c r="F84" s="193">
        <f>INDEX('Revised 2017 Lockdown'!H$5:H$249,MATCH(B84,'Revised 2017 Lockdown'!B$5:B$249,0))</f>
        <v>2825.6247831068954</v>
      </c>
      <c r="G84" s="193">
        <f t="shared" si="4"/>
        <v>0</v>
      </c>
      <c r="H84" s="194">
        <v>1647154.35</v>
      </c>
      <c r="I84" s="194">
        <f>INDEX('Revised 2017 Lockdown'!E$5:E$249,MATCH(B84,'Revised 2017 Lockdown'!B$5:B$249,0))</f>
        <v>1647154.35</v>
      </c>
      <c r="J84" s="194">
        <f t="shared" si="5"/>
        <v>0</v>
      </c>
      <c r="K84" s="194">
        <v>350</v>
      </c>
      <c r="L84" s="194">
        <f>INDEX('Revised 2017 Lockdown'!F$5:F$249,MATCH(B84,'Revised 2017 Lockdown'!B$5:B$249,0))</f>
        <v>350</v>
      </c>
      <c r="M84" s="194">
        <f t="shared" si="6"/>
        <v>0</v>
      </c>
      <c r="N84" s="194">
        <f t="shared" si="2"/>
        <v>1646804.35</v>
      </c>
      <c r="O84" s="195">
        <f t="shared" si="2"/>
        <v>1646804.35</v>
      </c>
      <c r="P84" s="195">
        <f t="shared" si="7"/>
        <v>0</v>
      </c>
      <c r="Q84" s="95">
        <f t="shared" si="8"/>
        <v>582.81069724666986</v>
      </c>
      <c r="R84" s="196">
        <f t="shared" si="3"/>
        <v>582.81069724666986</v>
      </c>
      <c r="S84" s="194">
        <f t="shared" si="9"/>
        <v>1646804.35</v>
      </c>
      <c r="T84" s="197">
        <v>0.59416666666666673</v>
      </c>
      <c r="U84" s="195">
        <f t="shared" si="10"/>
        <v>423982.59676313633</v>
      </c>
      <c r="V84" s="195">
        <f t="shared" si="11"/>
        <v>145775.10605774834</v>
      </c>
      <c r="W84" s="195">
        <f t="shared" si="12"/>
        <v>75574.897873029055</v>
      </c>
      <c r="X84" s="195">
        <f t="shared" si="13"/>
        <v>24630.019641877927</v>
      </c>
      <c r="Y84" s="195">
        <f t="shared" si="14"/>
        <v>669962.62033579161</v>
      </c>
      <c r="Z84" s="198">
        <f t="shared" si="15"/>
        <v>0.40682587481372123</v>
      </c>
      <c r="AA84" s="199">
        <f t="shared" si="16"/>
        <v>671653.68535775749</v>
      </c>
      <c r="AB84" s="195"/>
      <c r="AC84" s="199">
        <v>662252.92874214705</v>
      </c>
      <c r="AD84" s="194">
        <f t="shared" si="17"/>
        <v>9400.756615610444</v>
      </c>
      <c r="AE84" s="194">
        <v>9314.3018543955404</v>
      </c>
      <c r="AF84" s="194">
        <f t="shared" si="18"/>
        <v>86.454761214903556</v>
      </c>
    </row>
    <row r="85" spans="2:32" s="200" customFormat="1" x14ac:dyDescent="0.25">
      <c r="B85" s="201">
        <v>443</v>
      </c>
      <c r="C85" s="201">
        <v>6</v>
      </c>
      <c r="D85" s="202" t="s">
        <v>121</v>
      </c>
      <c r="E85" s="193">
        <v>14.58</v>
      </c>
      <c r="F85" s="193">
        <f>INDEX('Revised 2017 Lockdown'!H$5:H$249,MATCH(B85,'Revised 2017 Lockdown'!B$5:B$249,0))</f>
        <v>14.58</v>
      </c>
      <c r="G85" s="193">
        <f t="shared" si="4"/>
        <v>0</v>
      </c>
      <c r="H85" s="194">
        <v>15600.67</v>
      </c>
      <c r="I85" s="194">
        <f>INDEX('Revised 2017 Lockdown'!E$5:E$249,MATCH(B85,'Revised 2017 Lockdown'!B$5:B$249,0))</f>
        <v>15600.67</v>
      </c>
      <c r="J85" s="194">
        <f t="shared" si="5"/>
        <v>0</v>
      </c>
      <c r="K85" s="194">
        <v>0</v>
      </c>
      <c r="L85" s="194">
        <f>INDEX('Revised 2017 Lockdown'!F$5:F$249,MATCH(B85,'Revised 2017 Lockdown'!B$5:B$249,0))</f>
        <v>0</v>
      </c>
      <c r="M85" s="194">
        <f t="shared" si="6"/>
        <v>0</v>
      </c>
      <c r="N85" s="194">
        <f t="shared" si="2"/>
        <v>15600.67</v>
      </c>
      <c r="O85" s="195">
        <f t="shared" si="2"/>
        <v>15600.67</v>
      </c>
      <c r="P85" s="195">
        <f t="shared" si="7"/>
        <v>0</v>
      </c>
      <c r="Q85" s="95">
        <f t="shared" si="8"/>
        <v>1070.0048010973937</v>
      </c>
      <c r="R85" s="196">
        <f t="shared" si="3"/>
        <v>1040.9329630986604</v>
      </c>
      <c r="S85" s="194">
        <f t="shared" si="9"/>
        <v>15176.802601978468</v>
      </c>
      <c r="T85" s="197">
        <v>0.33566666666666667</v>
      </c>
      <c r="U85" s="195">
        <f t="shared" si="10"/>
        <v>3907.3859488823637</v>
      </c>
      <c r="V85" s="195">
        <f t="shared" si="11"/>
        <v>752.18799715686293</v>
      </c>
      <c r="W85" s="195">
        <f t="shared" si="12"/>
        <v>393.47376505245404</v>
      </c>
      <c r="X85" s="195">
        <f t="shared" si="13"/>
        <v>226.98807310512245</v>
      </c>
      <c r="Y85" s="195">
        <f t="shared" si="14"/>
        <v>5280.0357841968034</v>
      </c>
      <c r="Z85" s="198">
        <f t="shared" si="15"/>
        <v>0.34790172361525551</v>
      </c>
      <c r="AA85" s="199">
        <f t="shared" si="16"/>
        <v>5293.3632200243555</v>
      </c>
      <c r="AB85" s="195"/>
      <c r="AC85" s="199">
        <v>5181.0424195523728</v>
      </c>
      <c r="AD85" s="194">
        <f t="shared" si="17"/>
        <v>112.32080047198269</v>
      </c>
      <c r="AE85" s="194">
        <v>100.85360995959127</v>
      </c>
      <c r="AF85" s="194">
        <f t="shared" si="18"/>
        <v>11.467190512391426</v>
      </c>
    </row>
    <row r="86" spans="2:32" s="200" customFormat="1" x14ac:dyDescent="0.25">
      <c r="B86" s="201">
        <v>562</v>
      </c>
      <c r="C86" s="201">
        <v>6</v>
      </c>
      <c r="D86" s="202" t="s">
        <v>122</v>
      </c>
      <c r="E86" s="193">
        <v>52.103903515218583</v>
      </c>
      <c r="F86" s="193">
        <f>INDEX('Revised 2017 Lockdown'!H$5:H$249,MATCH(B86,'Revised 2017 Lockdown'!B$5:B$249,0))</f>
        <v>52.103903515218583</v>
      </c>
      <c r="G86" s="193">
        <f t="shared" si="4"/>
        <v>0</v>
      </c>
      <c r="H86" s="194">
        <v>43377.29</v>
      </c>
      <c r="I86" s="194">
        <f>INDEX('Revised 2017 Lockdown'!E$5:E$249,MATCH(B86,'Revised 2017 Lockdown'!B$5:B$249,0))</f>
        <v>43377.29</v>
      </c>
      <c r="J86" s="194">
        <f t="shared" si="5"/>
        <v>0</v>
      </c>
      <c r="K86" s="194">
        <v>0</v>
      </c>
      <c r="L86" s="194">
        <f>INDEX('Revised 2017 Lockdown'!F$5:F$249,MATCH(B86,'Revised 2017 Lockdown'!B$5:B$249,0))</f>
        <v>0</v>
      </c>
      <c r="M86" s="194">
        <f t="shared" si="6"/>
        <v>0</v>
      </c>
      <c r="N86" s="194">
        <f t="shared" si="2"/>
        <v>43377.29</v>
      </c>
      <c r="O86" s="195">
        <f t="shared" si="2"/>
        <v>43377.29</v>
      </c>
      <c r="P86" s="195">
        <f t="shared" si="7"/>
        <v>0</v>
      </c>
      <c r="Q86" s="95">
        <f t="shared" si="8"/>
        <v>832.51516822209487</v>
      </c>
      <c r="R86" s="196">
        <f t="shared" si="3"/>
        <v>832.51516822209487</v>
      </c>
      <c r="S86" s="194">
        <f t="shared" si="9"/>
        <v>43377.29</v>
      </c>
      <c r="T86" s="197">
        <v>0.49741666666666667</v>
      </c>
      <c r="U86" s="195">
        <f t="shared" si="10"/>
        <v>11167.820910084203</v>
      </c>
      <c r="V86" s="195">
        <f t="shared" si="11"/>
        <v>2688.0610993941491</v>
      </c>
      <c r="W86" s="195">
        <f t="shared" si="12"/>
        <v>1666.5180753073153</v>
      </c>
      <c r="X86" s="195">
        <f t="shared" si="13"/>
        <v>648.76164840798174</v>
      </c>
      <c r="Y86" s="195">
        <f t="shared" si="14"/>
        <v>16171.161733193647</v>
      </c>
      <c r="Z86" s="198">
        <f t="shared" si="15"/>
        <v>0.37280249027068418</v>
      </c>
      <c r="AA86" s="199">
        <f t="shared" si="16"/>
        <v>16211.979661151854</v>
      </c>
      <c r="AB86" s="195"/>
      <c r="AC86" s="199">
        <v>15969.56178651564</v>
      </c>
      <c r="AD86" s="194">
        <f t="shared" si="17"/>
        <v>242.41787463621404</v>
      </c>
      <c r="AE86" s="194">
        <v>240.44302856372633</v>
      </c>
      <c r="AF86" s="194">
        <f t="shared" si="18"/>
        <v>1.9748460724877077</v>
      </c>
    </row>
    <row r="87" spans="2:32" s="200" customFormat="1" x14ac:dyDescent="0.25">
      <c r="B87" s="201">
        <v>603</v>
      </c>
      <c r="C87" s="201">
        <v>6</v>
      </c>
      <c r="D87" s="202" t="s">
        <v>123</v>
      </c>
      <c r="E87" s="193">
        <v>94.022299065256178</v>
      </c>
      <c r="F87" s="193">
        <f>INDEX('Revised 2017 Lockdown'!H$5:H$249,MATCH(B87,'Revised 2017 Lockdown'!B$5:B$249,0))</f>
        <v>94.022299065256178</v>
      </c>
      <c r="G87" s="193">
        <f t="shared" si="4"/>
        <v>0</v>
      </c>
      <c r="H87" s="194">
        <v>85468.56</v>
      </c>
      <c r="I87" s="194">
        <f>INDEX('Revised 2017 Lockdown'!E$5:E$249,MATCH(B87,'Revised 2017 Lockdown'!B$5:B$249,0))</f>
        <v>85468.56</v>
      </c>
      <c r="J87" s="194">
        <f t="shared" si="5"/>
        <v>0</v>
      </c>
      <c r="K87" s="194">
        <v>0</v>
      </c>
      <c r="L87" s="194">
        <f>INDEX('Revised 2017 Lockdown'!F$5:F$249,MATCH(B87,'Revised 2017 Lockdown'!B$5:B$249,0))</f>
        <v>0</v>
      </c>
      <c r="M87" s="194">
        <f t="shared" si="6"/>
        <v>0</v>
      </c>
      <c r="N87" s="194">
        <f t="shared" si="2"/>
        <v>85468.56</v>
      </c>
      <c r="O87" s="195">
        <f t="shared" si="2"/>
        <v>85468.56</v>
      </c>
      <c r="P87" s="195">
        <f t="shared" si="7"/>
        <v>0</v>
      </c>
      <c r="Q87" s="95">
        <f t="shared" si="8"/>
        <v>909.02435751630094</v>
      </c>
      <c r="R87" s="196">
        <f t="shared" si="3"/>
        <v>909.02435751630094</v>
      </c>
      <c r="S87" s="194">
        <f t="shared" si="9"/>
        <v>85468.56</v>
      </c>
      <c r="T87" s="197">
        <v>0.35675000000000001</v>
      </c>
      <c r="U87" s="195">
        <f t="shared" si="10"/>
        <v>22004.545962248594</v>
      </c>
      <c r="V87" s="195">
        <f t="shared" si="11"/>
        <v>4850.6477930026495</v>
      </c>
      <c r="W87" s="195">
        <f t="shared" si="12"/>
        <v>2355.0365316096559</v>
      </c>
      <c r="X87" s="195">
        <f t="shared" si="13"/>
        <v>1278.2892585649424</v>
      </c>
      <c r="Y87" s="195">
        <f t="shared" si="14"/>
        <v>30488.519545425839</v>
      </c>
      <c r="Z87" s="198">
        <f t="shared" si="15"/>
        <v>0.35672204545654962</v>
      </c>
      <c r="AA87" s="199">
        <f t="shared" si="16"/>
        <v>30565.476180631777</v>
      </c>
      <c r="AB87" s="195"/>
      <c r="AC87" s="199">
        <v>30116.316662257403</v>
      </c>
      <c r="AD87" s="194">
        <f t="shared" si="17"/>
        <v>449.15951837437387</v>
      </c>
      <c r="AE87" s="194">
        <v>445.47314695065143</v>
      </c>
      <c r="AF87" s="194">
        <f t="shared" si="18"/>
        <v>3.6863714237224485</v>
      </c>
    </row>
    <row r="88" spans="2:32" s="200" customFormat="1" x14ac:dyDescent="0.25">
      <c r="B88" s="201">
        <v>618</v>
      </c>
      <c r="C88" s="201">
        <v>6</v>
      </c>
      <c r="D88" s="202" t="s">
        <v>124</v>
      </c>
      <c r="E88" s="193">
        <v>17.150356288495274</v>
      </c>
      <c r="F88" s="193">
        <f>INDEX('Revised 2017 Lockdown'!H$5:H$249,MATCH(B88,'Revised 2017 Lockdown'!B$5:B$249,0))</f>
        <v>17.150356288495274</v>
      </c>
      <c r="G88" s="193">
        <f t="shared" si="4"/>
        <v>0</v>
      </c>
      <c r="H88" s="194">
        <v>16015.47</v>
      </c>
      <c r="I88" s="194">
        <f>INDEX('Revised 2017 Lockdown'!E$5:E$249,MATCH(B88,'Revised 2017 Lockdown'!B$5:B$249,0))</f>
        <v>16015.47</v>
      </c>
      <c r="J88" s="194">
        <f t="shared" si="5"/>
        <v>0</v>
      </c>
      <c r="K88" s="194">
        <v>0</v>
      </c>
      <c r="L88" s="194">
        <f>INDEX('Revised 2017 Lockdown'!F$5:F$249,MATCH(B88,'Revised 2017 Lockdown'!B$5:B$249,0))</f>
        <v>0</v>
      </c>
      <c r="M88" s="194">
        <f t="shared" si="6"/>
        <v>0</v>
      </c>
      <c r="N88" s="194">
        <f t="shared" si="2"/>
        <v>16015.47</v>
      </c>
      <c r="O88" s="195">
        <f t="shared" si="2"/>
        <v>16015.47</v>
      </c>
      <c r="P88" s="195">
        <f t="shared" si="7"/>
        <v>0</v>
      </c>
      <c r="Q88" s="95">
        <f t="shared" si="8"/>
        <v>933.82724711925812</v>
      </c>
      <c r="R88" s="196">
        <f t="shared" si="3"/>
        <v>933.82724711925812</v>
      </c>
      <c r="S88" s="194">
        <f t="shared" si="9"/>
        <v>16015.47</v>
      </c>
      <c r="T88" s="197">
        <v>0.19724999999999998</v>
      </c>
      <c r="U88" s="195">
        <f t="shared" si="10"/>
        <v>4123.3073977379927</v>
      </c>
      <c r="V88" s="195">
        <f t="shared" si="11"/>
        <v>884.79370008023795</v>
      </c>
      <c r="W88" s="195">
        <f t="shared" si="12"/>
        <v>243.99671526114568</v>
      </c>
      <c r="X88" s="195">
        <f t="shared" si="13"/>
        <v>239.53139343717828</v>
      </c>
      <c r="Y88" s="195">
        <f t="shared" si="14"/>
        <v>5491.6292065165535</v>
      </c>
      <c r="Z88" s="198">
        <f t="shared" si="15"/>
        <v>0.3428952885251918</v>
      </c>
      <c r="AA88" s="199">
        <f t="shared" si="16"/>
        <v>5505.4907292088074</v>
      </c>
      <c r="AB88" s="195"/>
      <c r="AC88" s="199">
        <v>5427.4119155594326</v>
      </c>
      <c r="AD88" s="194">
        <f t="shared" si="17"/>
        <v>78.078813649374752</v>
      </c>
      <c r="AE88" s="194">
        <v>77.415192938902692</v>
      </c>
      <c r="AF88" s="194">
        <f t="shared" si="18"/>
        <v>0.66362071047205973</v>
      </c>
    </row>
    <row r="89" spans="2:32" s="200" customFormat="1" x14ac:dyDescent="0.25">
      <c r="B89" s="201">
        <v>620</v>
      </c>
      <c r="C89" s="201">
        <v>6</v>
      </c>
      <c r="D89" s="202" t="s">
        <v>125</v>
      </c>
      <c r="E89" s="193">
        <v>236.62386999831702</v>
      </c>
      <c r="F89" s="193">
        <f>INDEX('Revised 2017 Lockdown'!H$5:H$249,MATCH(B89,'Revised 2017 Lockdown'!B$5:B$249,0))</f>
        <v>236.62386999831702</v>
      </c>
      <c r="G89" s="193">
        <f t="shared" si="4"/>
        <v>0</v>
      </c>
      <c r="H89" s="194">
        <v>117371.79</v>
      </c>
      <c r="I89" s="194">
        <f>INDEX('Revised 2017 Lockdown'!E$5:E$249,MATCH(B89,'Revised 2017 Lockdown'!B$5:B$249,0))</f>
        <v>117371.79</v>
      </c>
      <c r="J89" s="194">
        <f t="shared" si="5"/>
        <v>0</v>
      </c>
      <c r="K89" s="194">
        <v>0</v>
      </c>
      <c r="L89" s="194">
        <f>INDEX('Revised 2017 Lockdown'!F$5:F$249,MATCH(B89,'Revised 2017 Lockdown'!B$5:B$249,0))</f>
        <v>0</v>
      </c>
      <c r="M89" s="194">
        <f t="shared" si="6"/>
        <v>0</v>
      </c>
      <c r="N89" s="194">
        <f t="shared" si="2"/>
        <v>117371.79</v>
      </c>
      <c r="O89" s="195">
        <f t="shared" si="2"/>
        <v>117371.79</v>
      </c>
      <c r="P89" s="195">
        <f t="shared" si="7"/>
        <v>0</v>
      </c>
      <c r="Q89" s="95">
        <f t="shared" si="8"/>
        <v>496.02683787073045</v>
      </c>
      <c r="R89" s="196">
        <f t="shared" si="3"/>
        <v>496.02683787073045</v>
      </c>
      <c r="S89" s="194">
        <f t="shared" si="9"/>
        <v>117371.79</v>
      </c>
      <c r="T89" s="197">
        <v>0.41491666666666666</v>
      </c>
      <c r="U89" s="195">
        <f t="shared" si="10"/>
        <v>30218.280824274909</v>
      </c>
      <c r="V89" s="195">
        <f t="shared" si="11"/>
        <v>12207.519537279833</v>
      </c>
      <c r="W89" s="195">
        <f t="shared" si="12"/>
        <v>3761.420505601619</v>
      </c>
      <c r="X89" s="195">
        <f t="shared" si="13"/>
        <v>1755.4419825903244</v>
      </c>
      <c r="Y89" s="195">
        <f t="shared" si="14"/>
        <v>47942.662849746688</v>
      </c>
      <c r="Z89" s="198">
        <f t="shared" si="15"/>
        <v>0.40846836237009498</v>
      </c>
      <c r="AA89" s="199">
        <f t="shared" si="16"/>
        <v>48063.675810386907</v>
      </c>
      <c r="AB89" s="195"/>
      <c r="AC89" s="199">
        <v>47430.091159842668</v>
      </c>
      <c r="AD89" s="194">
        <f t="shared" si="17"/>
        <v>633.58465054423868</v>
      </c>
      <c r="AE89" s="194">
        <v>627.17890146574791</v>
      </c>
      <c r="AF89" s="194">
        <f t="shared" si="18"/>
        <v>6.4057490784907714</v>
      </c>
    </row>
    <row r="90" spans="2:32" s="200" customFormat="1" x14ac:dyDescent="0.25">
      <c r="B90" s="201">
        <v>622</v>
      </c>
      <c r="C90" s="201">
        <v>6</v>
      </c>
      <c r="D90" s="202" t="s">
        <v>126</v>
      </c>
      <c r="E90" s="193">
        <v>117.57960527770567</v>
      </c>
      <c r="F90" s="193">
        <f>INDEX('Revised 2017 Lockdown'!H$5:H$249,MATCH(B90,'Revised 2017 Lockdown'!B$5:B$249,0))</f>
        <v>117.57960527770567</v>
      </c>
      <c r="G90" s="193">
        <f t="shared" si="4"/>
        <v>0</v>
      </c>
      <c r="H90" s="194">
        <v>78014.31</v>
      </c>
      <c r="I90" s="194">
        <f>INDEX('Revised 2017 Lockdown'!E$5:E$249,MATCH(B90,'Revised 2017 Lockdown'!B$5:B$249,0))</f>
        <v>78014.31</v>
      </c>
      <c r="J90" s="194">
        <f t="shared" si="5"/>
        <v>0</v>
      </c>
      <c r="K90" s="194">
        <v>228</v>
      </c>
      <c r="L90" s="194">
        <f>INDEX('Revised 2017 Lockdown'!F$5:F$249,MATCH(B90,'Revised 2017 Lockdown'!B$5:B$249,0))</f>
        <v>228</v>
      </c>
      <c r="M90" s="194">
        <f t="shared" si="6"/>
        <v>0</v>
      </c>
      <c r="N90" s="194">
        <f t="shared" ref="N90:O153" si="19">H90-K90</f>
        <v>77786.31</v>
      </c>
      <c r="O90" s="195">
        <f t="shared" si="19"/>
        <v>77786.31</v>
      </c>
      <c r="P90" s="195">
        <f t="shared" si="7"/>
        <v>0</v>
      </c>
      <c r="Q90" s="95">
        <f t="shared" si="8"/>
        <v>661.56294551491487</v>
      </c>
      <c r="R90" s="196">
        <f t="shared" ref="R90:R153" si="20">MIN(Q90,INDEX($V$3:$V$11,MATCH(C90,$S$3:$S$11,0)))</f>
        <v>661.56294551491487</v>
      </c>
      <c r="S90" s="194">
        <f t="shared" si="9"/>
        <v>77786.31</v>
      </c>
      <c r="T90" s="197">
        <v>0.39216666666666666</v>
      </c>
      <c r="U90" s="195">
        <f t="shared" si="10"/>
        <v>20026.690909835354</v>
      </c>
      <c r="V90" s="195">
        <f t="shared" si="11"/>
        <v>6065.9785871283902</v>
      </c>
      <c r="W90" s="195">
        <f t="shared" si="12"/>
        <v>2356.1401855421291</v>
      </c>
      <c r="X90" s="195">
        <f t="shared" si="13"/>
        <v>1163.3915972891409</v>
      </c>
      <c r="Y90" s="195">
        <f t="shared" si="14"/>
        <v>29612.201279795012</v>
      </c>
      <c r="Z90" s="198">
        <f t="shared" si="15"/>
        <v>0.38068654085526121</v>
      </c>
      <c r="AA90" s="199">
        <f t="shared" si="16"/>
        <v>29686.94598388399</v>
      </c>
      <c r="AB90" s="195"/>
      <c r="AC90" s="199">
        <v>29268.851698398139</v>
      </c>
      <c r="AD90" s="194">
        <f t="shared" si="17"/>
        <v>418.09428548585129</v>
      </c>
      <c r="AE90" s="194">
        <v>414.33320093505972</v>
      </c>
      <c r="AF90" s="194">
        <f t="shared" si="18"/>
        <v>3.7610845507915656</v>
      </c>
    </row>
    <row r="91" spans="2:32" s="200" customFormat="1" x14ac:dyDescent="0.25">
      <c r="B91" s="201">
        <v>623</v>
      </c>
      <c r="C91" s="201">
        <v>6</v>
      </c>
      <c r="D91" s="202" t="s">
        <v>127</v>
      </c>
      <c r="E91" s="193">
        <v>232.45591936140642</v>
      </c>
      <c r="F91" s="193">
        <f>INDEX('Revised 2017 Lockdown'!H$5:H$249,MATCH(B91,'Revised 2017 Lockdown'!B$5:B$249,0))</f>
        <v>232.45591936140642</v>
      </c>
      <c r="G91" s="193">
        <f t="shared" ref="G91:G154" si="21">F91-E91</f>
        <v>0</v>
      </c>
      <c r="H91" s="194">
        <v>84819.42</v>
      </c>
      <c r="I91" s="194">
        <f>INDEX('Revised 2017 Lockdown'!E$5:E$249,MATCH(B91,'Revised 2017 Lockdown'!B$5:B$249,0))</f>
        <v>84819.42</v>
      </c>
      <c r="J91" s="194">
        <f t="shared" ref="J91:J154" si="22">I91-H91</f>
        <v>0</v>
      </c>
      <c r="K91" s="194">
        <v>0</v>
      </c>
      <c r="L91" s="194">
        <f>INDEX('Revised 2017 Lockdown'!F$5:F$249,MATCH(B91,'Revised 2017 Lockdown'!B$5:B$249,0))</f>
        <v>0</v>
      </c>
      <c r="M91" s="194">
        <f t="shared" ref="M91:M154" si="23">L91-K91</f>
        <v>0</v>
      </c>
      <c r="N91" s="194">
        <f t="shared" si="19"/>
        <v>84819.42</v>
      </c>
      <c r="O91" s="195">
        <f t="shared" si="19"/>
        <v>84819.42</v>
      </c>
      <c r="P91" s="195">
        <f t="shared" ref="P91:P154" si="24">O91-N91</f>
        <v>0</v>
      </c>
      <c r="Q91" s="95">
        <f t="shared" ref="Q91:Q154" si="25">IFERROR(O91/F91,"n.a.")</f>
        <v>364.88388952629174</v>
      </c>
      <c r="R91" s="196">
        <f t="shared" si="20"/>
        <v>364.88388952629174</v>
      </c>
      <c r="S91" s="194">
        <f t="shared" ref="S91:S154" si="26">F91*R91</f>
        <v>84819.42</v>
      </c>
      <c r="T91" s="197">
        <v>0.57233333333333336</v>
      </c>
      <c r="U91" s="195">
        <f t="shared" ref="U91:U154" si="27">$E$14*(S91/$S$24)</f>
        <v>21837.419817079724</v>
      </c>
      <c r="V91" s="195">
        <f t="shared" ref="V91:V154" si="28">$E$15*(F91/$F$24)</f>
        <v>11992.493306701886</v>
      </c>
      <c r="W91" s="195">
        <f t="shared" ref="W91:W154" si="29">IFERROR(T91*$E$16*(S91/$S$24),0)</f>
        <v>3749.4849825925889</v>
      </c>
      <c r="X91" s="195">
        <f t="shared" ref="X91:X154" si="30">($W$23+$E$9)*(S91/$S$24)</f>
        <v>1268.5805576191813</v>
      </c>
      <c r="Y91" s="195">
        <f t="shared" ref="Y91:Y154" si="31">U91+V91+W91+X91</f>
        <v>38847.978663993381</v>
      </c>
      <c r="Z91" s="198">
        <f t="shared" ref="Z91:Z154" si="32">IFERROR((Y91/S91),0)</f>
        <v>0.45800806777496689</v>
      </c>
      <c r="AA91" s="199">
        <f t="shared" ref="AA91:AA154" si="33">IF(Z91&gt;$Z$19,$Z$19*S91,Y91+($Z$23*Y91/$Z$22))</f>
        <v>38946.03556433184</v>
      </c>
      <c r="AB91" s="195"/>
      <c r="AC91" s="199">
        <v>38452.096780383567</v>
      </c>
      <c r="AD91" s="194">
        <f t="shared" ref="AD91:AD154" si="34">AA91-AC91</f>
        <v>493.93878394827334</v>
      </c>
      <c r="AE91" s="194">
        <v>488.4619529962074</v>
      </c>
      <c r="AF91" s="194">
        <f t="shared" ref="AF91:AF154" si="35">AD91-AE91</f>
        <v>5.4768309520659386</v>
      </c>
    </row>
    <row r="92" spans="2:32" s="200" customFormat="1" x14ac:dyDescent="0.25">
      <c r="B92" s="201">
        <v>626</v>
      </c>
      <c r="C92" s="201">
        <v>6</v>
      </c>
      <c r="D92" s="202" t="s">
        <v>128</v>
      </c>
      <c r="E92" s="193">
        <v>21.725781736434193</v>
      </c>
      <c r="F92" s="193">
        <f>INDEX('Revised 2017 Lockdown'!H$5:H$249,MATCH(B92,'Revised 2017 Lockdown'!B$5:B$249,0))</f>
        <v>21.725781736434193</v>
      </c>
      <c r="G92" s="193">
        <f t="shared" si="21"/>
        <v>0</v>
      </c>
      <c r="H92" s="194">
        <v>17580.990000000002</v>
      </c>
      <c r="I92" s="194">
        <f>INDEX('Revised 2017 Lockdown'!E$5:E$249,MATCH(B92,'Revised 2017 Lockdown'!B$5:B$249,0))</f>
        <v>17580.990000000002</v>
      </c>
      <c r="J92" s="194">
        <f t="shared" si="22"/>
        <v>0</v>
      </c>
      <c r="K92" s="194">
        <v>0</v>
      </c>
      <c r="L92" s="194">
        <f>INDEX('Revised 2017 Lockdown'!F$5:F$249,MATCH(B92,'Revised 2017 Lockdown'!B$5:B$249,0))</f>
        <v>0</v>
      </c>
      <c r="M92" s="194">
        <f t="shared" si="23"/>
        <v>0</v>
      </c>
      <c r="N92" s="194">
        <f t="shared" si="19"/>
        <v>17580.990000000002</v>
      </c>
      <c r="O92" s="195">
        <f t="shared" si="19"/>
        <v>17580.990000000002</v>
      </c>
      <c r="P92" s="195">
        <f t="shared" si="24"/>
        <v>0</v>
      </c>
      <c r="Q92" s="95">
        <f t="shared" si="25"/>
        <v>809.22243504438029</v>
      </c>
      <c r="R92" s="196">
        <f t="shared" si="20"/>
        <v>809.22243504438029</v>
      </c>
      <c r="S92" s="194">
        <f t="shared" si="26"/>
        <v>17580.990000000002</v>
      </c>
      <c r="T92" s="197">
        <v>0.39083333333333337</v>
      </c>
      <c r="U92" s="195">
        <f t="shared" si="27"/>
        <v>4526.3627059685214</v>
      </c>
      <c r="V92" s="195">
        <f t="shared" si="28"/>
        <v>1120.8417181752802</v>
      </c>
      <c r="W92" s="195">
        <f t="shared" si="29"/>
        <v>530.71602727480922</v>
      </c>
      <c r="X92" s="195">
        <f t="shared" si="30"/>
        <v>262.94570391659425</v>
      </c>
      <c r="Y92" s="195">
        <f t="shared" si="31"/>
        <v>6440.8661553352058</v>
      </c>
      <c r="Z92" s="198">
        <f t="shared" si="32"/>
        <v>0.36635400824044639</v>
      </c>
      <c r="AA92" s="199">
        <f t="shared" si="33"/>
        <v>6457.1236645392155</v>
      </c>
      <c r="AB92" s="195"/>
      <c r="AC92" s="199">
        <v>6364.6554829585029</v>
      </c>
      <c r="AD92" s="194">
        <f t="shared" si="34"/>
        <v>92.468181580712553</v>
      </c>
      <c r="AE92" s="194">
        <v>91.676307386978806</v>
      </c>
      <c r="AF92" s="194">
        <f t="shared" si="35"/>
        <v>0.79187419373374723</v>
      </c>
    </row>
    <row r="93" spans="2:32" s="200" customFormat="1" x14ac:dyDescent="0.25">
      <c r="B93" s="201">
        <v>627</v>
      </c>
      <c r="C93" s="201">
        <v>6</v>
      </c>
      <c r="D93" s="202" t="s">
        <v>129</v>
      </c>
      <c r="E93" s="193">
        <v>163.57172000647836</v>
      </c>
      <c r="F93" s="193">
        <f>INDEX('Revised 2017 Lockdown'!H$5:H$249,MATCH(B93,'Revised 2017 Lockdown'!B$5:B$249,0))</f>
        <v>163.57172000647836</v>
      </c>
      <c r="G93" s="193">
        <f t="shared" si="21"/>
        <v>0</v>
      </c>
      <c r="H93" s="194">
        <v>80106.67</v>
      </c>
      <c r="I93" s="194">
        <f>INDEX('Revised 2017 Lockdown'!E$5:E$249,MATCH(B93,'Revised 2017 Lockdown'!B$5:B$249,0))</f>
        <v>80106.67</v>
      </c>
      <c r="J93" s="194">
        <f t="shared" si="22"/>
        <v>0</v>
      </c>
      <c r="K93" s="194">
        <v>21.24</v>
      </c>
      <c r="L93" s="194">
        <f>INDEX('Revised 2017 Lockdown'!F$5:F$249,MATCH(B93,'Revised 2017 Lockdown'!B$5:B$249,0))</f>
        <v>21.24</v>
      </c>
      <c r="M93" s="194">
        <f t="shared" si="23"/>
        <v>0</v>
      </c>
      <c r="N93" s="194">
        <f t="shared" si="19"/>
        <v>80085.429999999993</v>
      </c>
      <c r="O93" s="195">
        <f t="shared" si="19"/>
        <v>80085.429999999993</v>
      </c>
      <c r="P93" s="195">
        <f t="shared" si="24"/>
        <v>0</v>
      </c>
      <c r="Q93" s="95">
        <f t="shared" si="25"/>
        <v>489.6043765806715</v>
      </c>
      <c r="R93" s="196">
        <f t="shared" si="20"/>
        <v>489.6043765806715</v>
      </c>
      <c r="S93" s="194">
        <f t="shared" si="26"/>
        <v>80085.429999999993</v>
      </c>
      <c r="T93" s="197">
        <v>0.26524999999999999</v>
      </c>
      <c r="U93" s="195">
        <f t="shared" si="27"/>
        <v>20618.617247575508</v>
      </c>
      <c r="V93" s="195">
        <f t="shared" si="28"/>
        <v>8438.7300729201725</v>
      </c>
      <c r="W93" s="195">
        <f t="shared" si="29"/>
        <v>1640.7264674758212</v>
      </c>
      <c r="X93" s="195">
        <f t="shared" si="30"/>
        <v>1197.7778136961076</v>
      </c>
      <c r="Y93" s="195">
        <f t="shared" si="31"/>
        <v>31895.851601667611</v>
      </c>
      <c r="Z93" s="198">
        <f t="shared" si="32"/>
        <v>0.39827283941245761</v>
      </c>
      <c r="AA93" s="199">
        <f t="shared" si="33"/>
        <v>31976.360509705439</v>
      </c>
      <c r="AB93" s="195"/>
      <c r="AC93" s="199">
        <v>31569.710986164253</v>
      </c>
      <c r="AD93" s="194">
        <f t="shared" si="34"/>
        <v>406.64952354118577</v>
      </c>
      <c r="AE93" s="194">
        <v>402.35452788767361</v>
      </c>
      <c r="AF93" s="194">
        <f t="shared" si="35"/>
        <v>4.2949956535121601</v>
      </c>
    </row>
    <row r="94" spans="2:32" s="200" customFormat="1" x14ac:dyDescent="0.25">
      <c r="B94" s="201">
        <v>634</v>
      </c>
      <c r="C94" s="201">
        <v>6</v>
      </c>
      <c r="D94" s="202" t="s">
        <v>130</v>
      </c>
      <c r="E94" s="193">
        <v>626.47952350471223</v>
      </c>
      <c r="F94" s="193">
        <f>INDEX('Revised 2017 Lockdown'!H$5:H$249,MATCH(B94,'Revised 2017 Lockdown'!B$5:B$249,0))</f>
        <v>626.47952350471223</v>
      </c>
      <c r="G94" s="193">
        <f t="shared" si="21"/>
        <v>0</v>
      </c>
      <c r="H94" s="194">
        <v>571666.62</v>
      </c>
      <c r="I94" s="194">
        <f>INDEX('Revised 2017 Lockdown'!E$5:E$249,MATCH(B94,'Revised 2017 Lockdown'!B$5:B$249,0))</f>
        <v>571666.62</v>
      </c>
      <c r="J94" s="194">
        <f t="shared" si="22"/>
        <v>0</v>
      </c>
      <c r="K94" s="194">
        <v>0</v>
      </c>
      <c r="L94" s="194">
        <f>INDEX('Revised 2017 Lockdown'!F$5:F$249,MATCH(B94,'Revised 2017 Lockdown'!B$5:B$249,0))</f>
        <v>0</v>
      </c>
      <c r="M94" s="194">
        <f t="shared" si="23"/>
        <v>0</v>
      </c>
      <c r="N94" s="194">
        <f t="shared" si="19"/>
        <v>571666.62</v>
      </c>
      <c r="O94" s="195">
        <f t="shared" si="19"/>
        <v>571666.62</v>
      </c>
      <c r="P94" s="195">
        <f t="shared" si="24"/>
        <v>0</v>
      </c>
      <c r="Q94" s="95">
        <f t="shared" si="25"/>
        <v>912.50647236150257</v>
      </c>
      <c r="R94" s="196">
        <f t="shared" si="20"/>
        <v>912.50647236150257</v>
      </c>
      <c r="S94" s="194">
        <f t="shared" si="26"/>
        <v>571666.62</v>
      </c>
      <c r="T94" s="197">
        <v>0.7366666666666668</v>
      </c>
      <c r="U94" s="195">
        <f t="shared" si="27"/>
        <v>147180.02052302391</v>
      </c>
      <c r="V94" s="195">
        <f t="shared" si="28"/>
        <v>32320.327712263053</v>
      </c>
      <c r="W94" s="195">
        <f t="shared" si="29"/>
        <v>32526.784535588289</v>
      </c>
      <c r="X94" s="195">
        <f t="shared" si="30"/>
        <v>8549.989608180209</v>
      </c>
      <c r="Y94" s="195">
        <f t="shared" si="31"/>
        <v>220577.12237905545</v>
      </c>
      <c r="Z94" s="198">
        <f t="shared" si="32"/>
        <v>0.38584922516388215</v>
      </c>
      <c r="AA94" s="199">
        <f t="shared" si="33"/>
        <v>221133.8851669766</v>
      </c>
      <c r="AB94" s="195"/>
      <c r="AC94" s="199">
        <v>217717.57122712641</v>
      </c>
      <c r="AD94" s="194">
        <f t="shared" si="34"/>
        <v>3416.3139398501953</v>
      </c>
      <c r="AE94" s="194">
        <v>3389.8536052046111</v>
      </c>
      <c r="AF94" s="194">
        <f t="shared" si="35"/>
        <v>26.460334645584226</v>
      </c>
    </row>
    <row r="95" spans="2:32" s="200" customFormat="1" x14ac:dyDescent="0.25">
      <c r="B95" s="201">
        <v>694</v>
      </c>
      <c r="C95" s="201">
        <v>6</v>
      </c>
      <c r="D95" s="202" t="s">
        <v>131</v>
      </c>
      <c r="E95" s="193">
        <v>14.249988124121606</v>
      </c>
      <c r="F95" s="193">
        <f>INDEX('Revised 2017 Lockdown'!H$5:H$249,MATCH(B95,'Revised 2017 Lockdown'!B$5:B$249,0))</f>
        <v>14.249988124121606</v>
      </c>
      <c r="G95" s="193">
        <f t="shared" si="21"/>
        <v>0</v>
      </c>
      <c r="H95" s="194">
        <v>48928.97</v>
      </c>
      <c r="I95" s="194">
        <f>INDEX('Revised 2017 Lockdown'!E$5:E$249,MATCH(B95,'Revised 2017 Lockdown'!B$5:B$249,0))</f>
        <v>48928.97</v>
      </c>
      <c r="J95" s="194">
        <f t="shared" si="22"/>
        <v>0</v>
      </c>
      <c r="K95" s="194">
        <v>0</v>
      </c>
      <c r="L95" s="194">
        <f>INDEX('Revised 2017 Lockdown'!F$5:F$249,MATCH(B95,'Revised 2017 Lockdown'!B$5:B$249,0))</f>
        <v>0</v>
      </c>
      <c r="M95" s="194">
        <f t="shared" si="23"/>
        <v>0</v>
      </c>
      <c r="N95" s="194">
        <f t="shared" si="19"/>
        <v>48928.97</v>
      </c>
      <c r="O95" s="195">
        <f t="shared" si="19"/>
        <v>48928.97</v>
      </c>
      <c r="P95" s="195">
        <f t="shared" si="24"/>
        <v>0</v>
      </c>
      <c r="Q95" s="95">
        <f t="shared" si="25"/>
        <v>3433.614791381875</v>
      </c>
      <c r="R95" s="196">
        <f t="shared" si="20"/>
        <v>1040.9329630986604</v>
      </c>
      <c r="S95" s="194">
        <f t="shared" si="26"/>
        <v>14833.282362162623</v>
      </c>
      <c r="T95" s="197">
        <v>0.63608333333333333</v>
      </c>
      <c r="U95" s="195">
        <f t="shared" si="27"/>
        <v>3818.9439895701862</v>
      </c>
      <c r="V95" s="195">
        <f t="shared" si="28"/>
        <v>735.16255326420526</v>
      </c>
      <c r="W95" s="195">
        <f t="shared" si="29"/>
        <v>728.74998680973079</v>
      </c>
      <c r="X95" s="195">
        <f t="shared" si="30"/>
        <v>221.85029808403581</v>
      </c>
      <c r="Y95" s="195">
        <f t="shared" si="31"/>
        <v>5504.7068277281587</v>
      </c>
      <c r="Z95" s="198">
        <f t="shared" si="32"/>
        <v>0.37110510629594717</v>
      </c>
      <c r="AA95" s="199">
        <f t="shared" si="33"/>
        <v>5518.6013598856134</v>
      </c>
      <c r="AB95" s="195"/>
      <c r="AC95" s="199">
        <v>5398.1292438879245</v>
      </c>
      <c r="AD95" s="194">
        <f t="shared" si="34"/>
        <v>120.47211599768889</v>
      </c>
      <c r="AE95" s="194">
        <v>108.40284999602409</v>
      </c>
      <c r="AF95" s="194">
        <f t="shared" si="35"/>
        <v>12.069266001664801</v>
      </c>
    </row>
    <row r="96" spans="2:32" s="200" customFormat="1" x14ac:dyDescent="0.25">
      <c r="B96" s="201">
        <v>697</v>
      </c>
      <c r="C96" s="201">
        <v>6</v>
      </c>
      <c r="D96" s="202" t="s">
        <v>132</v>
      </c>
      <c r="E96" s="193">
        <v>62.556960408059503</v>
      </c>
      <c r="F96" s="193">
        <f>INDEX('Revised 2017 Lockdown'!H$5:H$249,MATCH(B96,'Revised 2017 Lockdown'!B$5:B$249,0))</f>
        <v>62.556960408059503</v>
      </c>
      <c r="G96" s="193">
        <f t="shared" si="21"/>
        <v>0</v>
      </c>
      <c r="H96" s="194">
        <v>89356.54</v>
      </c>
      <c r="I96" s="194">
        <f>INDEX('Revised 2017 Lockdown'!E$5:E$249,MATCH(B96,'Revised 2017 Lockdown'!B$5:B$249,0))</f>
        <v>100771.09</v>
      </c>
      <c r="J96" s="194">
        <f t="shared" si="22"/>
        <v>11414.550000000003</v>
      </c>
      <c r="K96" s="194">
        <v>0</v>
      </c>
      <c r="L96" s="194">
        <f>INDEX('Revised 2017 Lockdown'!F$5:F$249,MATCH(B96,'Revised 2017 Lockdown'!B$5:B$249,0))</f>
        <v>0</v>
      </c>
      <c r="M96" s="194">
        <f t="shared" si="23"/>
        <v>0</v>
      </c>
      <c r="N96" s="194">
        <f t="shared" si="19"/>
        <v>89356.54</v>
      </c>
      <c r="O96" s="195">
        <f t="shared" si="19"/>
        <v>100771.09</v>
      </c>
      <c r="P96" s="195">
        <f t="shared" si="24"/>
        <v>11414.550000000003</v>
      </c>
      <c r="Q96" s="95">
        <f t="shared" si="25"/>
        <v>1610.8693475940879</v>
      </c>
      <c r="R96" s="196">
        <f t="shared" si="20"/>
        <v>1040.9329630986604</v>
      </c>
      <c r="S96" s="194">
        <f t="shared" si="26"/>
        <v>65117.602160006958</v>
      </c>
      <c r="T96" s="197">
        <v>3.1125E-2</v>
      </c>
      <c r="U96" s="195">
        <f t="shared" si="27"/>
        <v>16765.033477588619</v>
      </c>
      <c r="V96" s="195">
        <f t="shared" si="28"/>
        <v>3227.3384607379589</v>
      </c>
      <c r="W96" s="195">
        <f t="shared" si="29"/>
        <v>156.54350009698371</v>
      </c>
      <c r="X96" s="195">
        <f t="shared" si="30"/>
        <v>973.91521963915375</v>
      </c>
      <c r="Y96" s="195">
        <f t="shared" si="31"/>
        <v>21122.830658062718</v>
      </c>
      <c r="Z96" s="198">
        <f t="shared" si="32"/>
        <v>0.32437973692826866</v>
      </c>
      <c r="AA96" s="199">
        <f t="shared" si="33"/>
        <v>21176.147184995007</v>
      </c>
      <c r="AB96" s="195"/>
      <c r="AC96" s="199">
        <v>20744.899657330054</v>
      </c>
      <c r="AD96" s="194">
        <f t="shared" si="34"/>
        <v>431.24752766495294</v>
      </c>
      <c r="AE96" s="194">
        <v>385.88085542744739</v>
      </c>
      <c r="AF96" s="194">
        <f t="shared" si="35"/>
        <v>45.366672237505554</v>
      </c>
    </row>
    <row r="97" spans="2:32" s="200" customFormat="1" x14ac:dyDescent="0.25">
      <c r="B97" s="201">
        <v>710</v>
      </c>
      <c r="C97" s="201">
        <v>6</v>
      </c>
      <c r="D97" s="202" t="s">
        <v>133</v>
      </c>
      <c r="E97" s="193">
        <v>0</v>
      </c>
      <c r="F97" s="193">
        <f>INDEX('Revised 2017 Lockdown'!H$5:H$249,MATCH(B97,'Revised 2017 Lockdown'!B$5:B$249,0))</f>
        <v>43.94</v>
      </c>
      <c r="G97" s="193">
        <f t="shared" si="21"/>
        <v>43.94</v>
      </c>
      <c r="H97" s="194">
        <v>0</v>
      </c>
      <c r="I97" s="194">
        <f>INDEX('Revised 2017 Lockdown'!E$5:E$249,MATCH(B97,'Revised 2017 Lockdown'!B$5:B$249,0))</f>
        <v>46102.8</v>
      </c>
      <c r="J97" s="194">
        <f t="shared" si="22"/>
        <v>46102.8</v>
      </c>
      <c r="K97" s="194">
        <v>0</v>
      </c>
      <c r="L97" s="194">
        <f>INDEX('Revised 2017 Lockdown'!F$5:F$249,MATCH(B97,'Revised 2017 Lockdown'!B$5:B$249,0))</f>
        <v>0</v>
      </c>
      <c r="M97" s="194">
        <f t="shared" si="23"/>
        <v>0</v>
      </c>
      <c r="N97" s="194">
        <f t="shared" si="19"/>
        <v>0</v>
      </c>
      <c r="O97" s="195">
        <f t="shared" si="19"/>
        <v>46102.8</v>
      </c>
      <c r="P97" s="195">
        <f t="shared" si="24"/>
        <v>46102.8</v>
      </c>
      <c r="Q97" s="95">
        <f t="shared" si="25"/>
        <v>1049.2216659080566</v>
      </c>
      <c r="R97" s="196">
        <f t="shared" si="20"/>
        <v>1040.9329630986604</v>
      </c>
      <c r="S97" s="194">
        <f t="shared" si="26"/>
        <v>45738.594398555135</v>
      </c>
      <c r="T97" s="197">
        <v>0.16950000000000001</v>
      </c>
      <c r="U97" s="195">
        <f t="shared" si="27"/>
        <v>11775.757105205148</v>
      </c>
      <c r="V97" s="195">
        <f t="shared" si="28"/>
        <v>2266.8820709926304</v>
      </c>
      <c r="W97" s="195">
        <f t="shared" si="29"/>
        <v>598.79724879968182</v>
      </c>
      <c r="X97" s="195">
        <f t="shared" si="30"/>
        <v>684.07791030446367</v>
      </c>
      <c r="Y97" s="195">
        <f t="shared" si="31"/>
        <v>15325.514335301925</v>
      </c>
      <c r="Z97" s="198">
        <f t="shared" si="32"/>
        <v>0.33506745313944436</v>
      </c>
      <c r="AA97" s="199">
        <f t="shared" si="33"/>
        <v>15364.197749046825</v>
      </c>
      <c r="AB97" s="195"/>
      <c r="AC97" s="199">
        <v>0</v>
      </c>
      <c r="AD97" s="194">
        <f t="shared" si="34"/>
        <v>15364.197749046825</v>
      </c>
      <c r="AE97" s="194">
        <v>15331.10843409006</v>
      </c>
      <c r="AF97" s="194">
        <f t="shared" si="35"/>
        <v>33.08931495676552</v>
      </c>
    </row>
    <row r="98" spans="2:32" s="200" customFormat="1" x14ac:dyDescent="0.25">
      <c r="B98" s="201">
        <v>743</v>
      </c>
      <c r="C98" s="201">
        <v>6</v>
      </c>
      <c r="D98" s="202" t="s">
        <v>134</v>
      </c>
      <c r="E98" s="193">
        <v>87.262897628956765</v>
      </c>
      <c r="F98" s="193">
        <f>INDEX('Revised 2017 Lockdown'!H$5:H$249,MATCH(B98,'Revised 2017 Lockdown'!B$5:B$249,0))</f>
        <v>87.262897628956765</v>
      </c>
      <c r="G98" s="193">
        <f t="shared" si="21"/>
        <v>0</v>
      </c>
      <c r="H98" s="194">
        <v>135598.5</v>
      </c>
      <c r="I98" s="194">
        <f>INDEX('Revised 2017 Lockdown'!E$5:E$249,MATCH(B98,'Revised 2017 Lockdown'!B$5:B$249,0))</f>
        <v>135598.5</v>
      </c>
      <c r="J98" s="194">
        <f t="shared" si="22"/>
        <v>0</v>
      </c>
      <c r="K98" s="194">
        <v>0</v>
      </c>
      <c r="L98" s="194">
        <f>INDEX('Revised 2017 Lockdown'!F$5:F$249,MATCH(B98,'Revised 2017 Lockdown'!B$5:B$249,0))</f>
        <v>0</v>
      </c>
      <c r="M98" s="194">
        <f t="shared" si="23"/>
        <v>0</v>
      </c>
      <c r="N98" s="194">
        <f t="shared" si="19"/>
        <v>135598.5</v>
      </c>
      <c r="O98" s="195">
        <f t="shared" si="19"/>
        <v>135598.5</v>
      </c>
      <c r="P98" s="195">
        <f t="shared" si="24"/>
        <v>0</v>
      </c>
      <c r="Q98" s="95">
        <f t="shared" si="25"/>
        <v>1553.9078312132951</v>
      </c>
      <c r="R98" s="196">
        <f t="shared" si="20"/>
        <v>1040.9329630986604</v>
      </c>
      <c r="S98" s="194">
        <f t="shared" si="26"/>
        <v>90834.826597485022</v>
      </c>
      <c r="T98" s="197">
        <v>0.62016666666666675</v>
      </c>
      <c r="U98" s="195">
        <f t="shared" si="27"/>
        <v>23386.133062698613</v>
      </c>
      <c r="V98" s="195">
        <f t="shared" si="28"/>
        <v>4501.9275852969377</v>
      </c>
      <c r="W98" s="195">
        <f t="shared" si="29"/>
        <v>4350.9900563150777</v>
      </c>
      <c r="X98" s="195">
        <f t="shared" si="30"/>
        <v>1358.5484901485909</v>
      </c>
      <c r="Y98" s="195">
        <f t="shared" si="31"/>
        <v>33597.599194459217</v>
      </c>
      <c r="Z98" s="198">
        <f t="shared" si="32"/>
        <v>0.36987574538276763</v>
      </c>
      <c r="AA98" s="199">
        <f t="shared" si="33"/>
        <v>33682.403515021615</v>
      </c>
      <c r="AB98" s="195"/>
      <c r="AC98" s="199">
        <v>32945.511779579268</v>
      </c>
      <c r="AD98" s="194">
        <f t="shared" si="34"/>
        <v>736.89173544234654</v>
      </c>
      <c r="AE98" s="194">
        <v>663.26251644017611</v>
      </c>
      <c r="AF98" s="194">
        <f t="shared" si="35"/>
        <v>73.62921900217043</v>
      </c>
    </row>
    <row r="99" spans="2:32" s="200" customFormat="1" x14ac:dyDescent="0.25">
      <c r="B99" s="201">
        <v>747</v>
      </c>
      <c r="C99" s="201">
        <v>6</v>
      </c>
      <c r="D99" s="202" t="s">
        <v>135</v>
      </c>
      <c r="E99" s="193">
        <v>33.619999999999997</v>
      </c>
      <c r="F99" s="193">
        <f>INDEX('Revised 2017 Lockdown'!H$5:H$249,MATCH(B99,'Revised 2017 Lockdown'!B$5:B$249,0))</f>
        <v>33.619999999999997</v>
      </c>
      <c r="G99" s="193">
        <f t="shared" si="21"/>
        <v>0</v>
      </c>
      <c r="H99" s="194">
        <v>57407.45</v>
      </c>
      <c r="I99" s="194">
        <f>INDEX('Revised 2017 Lockdown'!E$5:E$249,MATCH(B99,'Revised 2017 Lockdown'!B$5:B$249,0))</f>
        <v>57407.45</v>
      </c>
      <c r="J99" s="194">
        <f t="shared" si="22"/>
        <v>0</v>
      </c>
      <c r="K99" s="194">
        <v>0</v>
      </c>
      <c r="L99" s="194">
        <f>INDEX('Revised 2017 Lockdown'!F$5:F$249,MATCH(B99,'Revised 2017 Lockdown'!B$5:B$249,0))</f>
        <v>0</v>
      </c>
      <c r="M99" s="194">
        <f t="shared" si="23"/>
        <v>0</v>
      </c>
      <c r="N99" s="194">
        <f t="shared" si="19"/>
        <v>57407.45</v>
      </c>
      <c r="O99" s="195">
        <f t="shared" si="19"/>
        <v>57407.45</v>
      </c>
      <c r="P99" s="195">
        <f t="shared" si="24"/>
        <v>0</v>
      </c>
      <c r="Q99" s="95">
        <f t="shared" si="25"/>
        <v>1707.5386674598453</v>
      </c>
      <c r="R99" s="196">
        <f t="shared" si="20"/>
        <v>1040.9329630986604</v>
      </c>
      <c r="S99" s="194">
        <f t="shared" si="26"/>
        <v>34996.166219376959</v>
      </c>
      <c r="T99" s="197">
        <v>0.28000000000000003</v>
      </c>
      <c r="U99" s="195">
        <f t="shared" si="27"/>
        <v>9010.0353636094005</v>
      </c>
      <c r="V99" s="195">
        <f t="shared" si="28"/>
        <v>1734.4691676552625</v>
      </c>
      <c r="W99" s="195">
        <f t="shared" si="29"/>
        <v>756.84297054318972</v>
      </c>
      <c r="X99" s="195">
        <f t="shared" si="30"/>
        <v>523.41145526709306</v>
      </c>
      <c r="Y99" s="195">
        <f t="shared" si="31"/>
        <v>12024.758957074946</v>
      </c>
      <c r="Z99" s="198">
        <f t="shared" si="32"/>
        <v>0.34360217864141301</v>
      </c>
      <c r="AA99" s="199">
        <f t="shared" si="33"/>
        <v>12055.110873215714</v>
      </c>
      <c r="AB99" s="195"/>
      <c r="AC99" s="199">
        <v>11800.195186570199</v>
      </c>
      <c r="AD99" s="194">
        <f t="shared" si="34"/>
        <v>254.91568664551414</v>
      </c>
      <c r="AE99" s="194">
        <v>228.85019177303911</v>
      </c>
      <c r="AF99" s="194">
        <f t="shared" si="35"/>
        <v>26.065494872475028</v>
      </c>
    </row>
    <row r="100" spans="2:32" s="200" customFormat="1" x14ac:dyDescent="0.25">
      <c r="B100" s="201">
        <v>758</v>
      </c>
      <c r="C100" s="201">
        <v>6</v>
      </c>
      <c r="D100" s="202" t="s">
        <v>136</v>
      </c>
      <c r="E100" s="193">
        <v>337.19826516058561</v>
      </c>
      <c r="F100" s="193">
        <f>INDEX('Revised 2017 Lockdown'!H$5:H$249,MATCH(B100,'Revised 2017 Lockdown'!B$5:B$249,0))</f>
        <v>337.19826516058561</v>
      </c>
      <c r="G100" s="193">
        <f t="shared" si="21"/>
        <v>0</v>
      </c>
      <c r="H100" s="194">
        <v>290135.25</v>
      </c>
      <c r="I100" s="194">
        <f>INDEX('Revised 2017 Lockdown'!E$5:E$249,MATCH(B100,'Revised 2017 Lockdown'!B$5:B$249,0))</f>
        <v>290135.25</v>
      </c>
      <c r="J100" s="194">
        <f t="shared" si="22"/>
        <v>0</v>
      </c>
      <c r="K100" s="194">
        <v>1630.1100000000001</v>
      </c>
      <c r="L100" s="194">
        <f>INDEX('Revised 2017 Lockdown'!F$5:F$249,MATCH(B100,'Revised 2017 Lockdown'!B$5:B$249,0))</f>
        <v>1630.1100000000001</v>
      </c>
      <c r="M100" s="194">
        <f t="shared" si="23"/>
        <v>0</v>
      </c>
      <c r="N100" s="194">
        <f t="shared" si="19"/>
        <v>288505.14</v>
      </c>
      <c r="O100" s="195">
        <f t="shared" si="19"/>
        <v>288505.14</v>
      </c>
      <c r="P100" s="195">
        <f t="shared" si="24"/>
        <v>0</v>
      </c>
      <c r="Q100" s="95">
        <f t="shared" si="25"/>
        <v>855.5949712926423</v>
      </c>
      <c r="R100" s="196">
        <f t="shared" si="20"/>
        <v>855.5949712926423</v>
      </c>
      <c r="S100" s="194">
        <f t="shared" si="26"/>
        <v>288505.14</v>
      </c>
      <c r="T100" s="197">
        <v>0.69991666666666674</v>
      </c>
      <c r="U100" s="195">
        <f t="shared" si="27"/>
        <v>74277.89368950366</v>
      </c>
      <c r="V100" s="195">
        <f t="shared" si="28"/>
        <v>17396.192573107659</v>
      </c>
      <c r="W100" s="195">
        <f t="shared" si="29"/>
        <v>15596.500727453531</v>
      </c>
      <c r="X100" s="195">
        <f t="shared" si="30"/>
        <v>4314.9553649058198</v>
      </c>
      <c r="Y100" s="195">
        <f t="shared" si="31"/>
        <v>111585.54235497068</v>
      </c>
      <c r="Z100" s="198">
        <f t="shared" si="32"/>
        <v>0.38677141889039018</v>
      </c>
      <c r="AA100" s="199">
        <f t="shared" si="33"/>
        <v>111867.19748304186</v>
      </c>
      <c r="AB100" s="195"/>
      <c r="AC100" s="199">
        <v>110150.45027335866</v>
      </c>
      <c r="AD100" s="194">
        <f t="shared" si="34"/>
        <v>1716.7472096832062</v>
      </c>
      <c r="AE100" s="194">
        <v>1703.2313004504686</v>
      </c>
      <c r="AF100" s="194">
        <f t="shared" si="35"/>
        <v>13.515909232737613</v>
      </c>
    </row>
    <row r="101" spans="2:32" s="200" customFormat="1" x14ac:dyDescent="0.25">
      <c r="B101" s="201">
        <v>765</v>
      </c>
      <c r="C101" s="201">
        <v>6</v>
      </c>
      <c r="D101" s="202" t="s">
        <v>137</v>
      </c>
      <c r="E101" s="193">
        <v>80.350199999999987</v>
      </c>
      <c r="F101" s="193">
        <f>INDEX('Revised 2017 Lockdown'!H$5:H$249,MATCH(B101,'Revised 2017 Lockdown'!B$5:B$249,0))</f>
        <v>80.350199999999987</v>
      </c>
      <c r="G101" s="193">
        <f t="shared" si="21"/>
        <v>0</v>
      </c>
      <c r="H101" s="194">
        <v>86841.69</v>
      </c>
      <c r="I101" s="194">
        <f>INDEX('Revised 2017 Lockdown'!E$5:E$249,MATCH(B101,'Revised 2017 Lockdown'!B$5:B$249,0))</f>
        <v>86841.69</v>
      </c>
      <c r="J101" s="194">
        <f t="shared" si="22"/>
        <v>0</v>
      </c>
      <c r="K101" s="194">
        <v>0</v>
      </c>
      <c r="L101" s="194">
        <f>INDEX('Revised 2017 Lockdown'!F$5:F$249,MATCH(B101,'Revised 2017 Lockdown'!B$5:B$249,0))</f>
        <v>0</v>
      </c>
      <c r="M101" s="194">
        <f t="shared" si="23"/>
        <v>0</v>
      </c>
      <c r="N101" s="194">
        <f t="shared" si="19"/>
        <v>86841.69</v>
      </c>
      <c r="O101" s="195">
        <f t="shared" si="19"/>
        <v>86841.69</v>
      </c>
      <c r="P101" s="195">
        <f t="shared" si="24"/>
        <v>0</v>
      </c>
      <c r="Q101" s="95">
        <f t="shared" si="25"/>
        <v>1080.7899669198086</v>
      </c>
      <c r="R101" s="196">
        <f t="shared" si="20"/>
        <v>1040.9329630986604</v>
      </c>
      <c r="S101" s="194">
        <f t="shared" si="26"/>
        <v>83639.171771569963</v>
      </c>
      <c r="T101" s="197">
        <v>0.28000000000000003</v>
      </c>
      <c r="U101" s="195">
        <f t="shared" si="27"/>
        <v>21533.555724957998</v>
      </c>
      <c r="V101" s="195">
        <f t="shared" si="28"/>
        <v>4145.298766059901</v>
      </c>
      <c r="W101" s="195">
        <f t="shared" si="29"/>
        <v>1808.818680896472</v>
      </c>
      <c r="X101" s="195">
        <f t="shared" si="30"/>
        <v>1250.9284685604393</v>
      </c>
      <c r="Y101" s="195">
        <f t="shared" si="31"/>
        <v>28738.601640474808</v>
      </c>
      <c r="Z101" s="198">
        <f t="shared" si="32"/>
        <v>0.34360217864141296</v>
      </c>
      <c r="AA101" s="199">
        <f t="shared" si="33"/>
        <v>28811.141275581707</v>
      </c>
      <c r="AB101" s="195"/>
      <c r="AC101" s="199">
        <v>28201.904916119947</v>
      </c>
      <c r="AD101" s="194">
        <f t="shared" si="34"/>
        <v>609.23635946176</v>
      </c>
      <c r="AE101" s="194">
        <v>546.94106719221236</v>
      </c>
      <c r="AF101" s="194">
        <f t="shared" si="35"/>
        <v>62.295292269547645</v>
      </c>
    </row>
    <row r="102" spans="2:32" s="200" customFormat="1" x14ac:dyDescent="0.25">
      <c r="B102" s="201">
        <v>770</v>
      </c>
      <c r="C102" s="201">
        <v>6</v>
      </c>
      <c r="D102" s="202" t="s">
        <v>138</v>
      </c>
      <c r="E102" s="193">
        <v>25.493992436427366</v>
      </c>
      <c r="F102" s="193">
        <f>INDEX('Revised 2017 Lockdown'!H$5:H$249,MATCH(B102,'Revised 2017 Lockdown'!B$5:B$249,0))</f>
        <v>25.493992436427366</v>
      </c>
      <c r="G102" s="193">
        <f t="shared" si="21"/>
        <v>0</v>
      </c>
      <c r="H102" s="194">
        <v>24693.97</v>
      </c>
      <c r="I102" s="194">
        <f>INDEX('Revised 2017 Lockdown'!E$5:E$249,MATCH(B102,'Revised 2017 Lockdown'!B$5:B$249,0))</f>
        <v>24693.97</v>
      </c>
      <c r="J102" s="194">
        <f t="shared" si="22"/>
        <v>0</v>
      </c>
      <c r="K102" s="194">
        <v>0</v>
      </c>
      <c r="L102" s="194">
        <f>INDEX('Revised 2017 Lockdown'!F$5:F$249,MATCH(B102,'Revised 2017 Lockdown'!B$5:B$249,0))</f>
        <v>0</v>
      </c>
      <c r="M102" s="194">
        <f t="shared" si="23"/>
        <v>0</v>
      </c>
      <c r="N102" s="194">
        <f t="shared" si="19"/>
        <v>24693.97</v>
      </c>
      <c r="O102" s="195">
        <f t="shared" si="19"/>
        <v>24693.97</v>
      </c>
      <c r="P102" s="195">
        <f t="shared" si="24"/>
        <v>0</v>
      </c>
      <c r="Q102" s="95">
        <f t="shared" si="25"/>
        <v>968.61917808980581</v>
      </c>
      <c r="R102" s="196">
        <f t="shared" si="20"/>
        <v>968.61917808980581</v>
      </c>
      <c r="S102" s="194">
        <f t="shared" si="26"/>
        <v>24693.97</v>
      </c>
      <c r="T102" s="197">
        <v>0.28000000000000003</v>
      </c>
      <c r="U102" s="195">
        <f t="shared" si="27"/>
        <v>6357.6547663303081</v>
      </c>
      <c r="V102" s="195">
        <f t="shared" si="28"/>
        <v>1315.245206466976</v>
      </c>
      <c r="W102" s="195">
        <f t="shared" si="29"/>
        <v>534.04300037174596</v>
      </c>
      <c r="X102" s="195">
        <f t="shared" si="30"/>
        <v>369.3292200351209</v>
      </c>
      <c r="Y102" s="195">
        <f t="shared" si="31"/>
        <v>8576.2721932041513</v>
      </c>
      <c r="Z102" s="198">
        <f t="shared" si="32"/>
        <v>0.3473022844526073</v>
      </c>
      <c r="AA102" s="199">
        <f t="shared" si="33"/>
        <v>8597.9197202221767</v>
      </c>
      <c r="AB102" s="195"/>
      <c r="AC102" s="199">
        <v>8471.5076206825215</v>
      </c>
      <c r="AD102" s="194">
        <f t="shared" si="34"/>
        <v>126.41209953965517</v>
      </c>
      <c r="AE102" s="194">
        <v>125.38299494268358</v>
      </c>
      <c r="AF102" s="194">
        <f t="shared" si="35"/>
        <v>1.0291045969715924</v>
      </c>
    </row>
    <row r="103" spans="2:32" s="200" customFormat="1" x14ac:dyDescent="0.25">
      <c r="B103" s="201">
        <v>774</v>
      </c>
      <c r="C103" s="201">
        <v>6</v>
      </c>
      <c r="D103" s="202" t="s">
        <v>139</v>
      </c>
      <c r="E103" s="193">
        <v>421.00021926566802</v>
      </c>
      <c r="F103" s="193">
        <f>INDEX('Revised 2017 Lockdown'!H$5:H$249,MATCH(B103,'Revised 2017 Lockdown'!B$5:B$249,0))</f>
        <v>421.00021926566802</v>
      </c>
      <c r="G103" s="193">
        <f t="shared" si="21"/>
        <v>0</v>
      </c>
      <c r="H103" s="194">
        <v>279347.78000000003</v>
      </c>
      <c r="I103" s="194">
        <f>INDEX('Revised 2017 Lockdown'!E$5:E$249,MATCH(B103,'Revised 2017 Lockdown'!B$5:B$249,0))</f>
        <v>279347.78000000003</v>
      </c>
      <c r="J103" s="194">
        <f t="shared" si="22"/>
        <v>0</v>
      </c>
      <c r="K103" s="194">
        <v>0</v>
      </c>
      <c r="L103" s="194">
        <f>INDEX('Revised 2017 Lockdown'!F$5:F$249,MATCH(B103,'Revised 2017 Lockdown'!B$5:B$249,0))</f>
        <v>0</v>
      </c>
      <c r="M103" s="194">
        <f t="shared" si="23"/>
        <v>0</v>
      </c>
      <c r="N103" s="194">
        <f t="shared" si="19"/>
        <v>279347.78000000003</v>
      </c>
      <c r="O103" s="195">
        <f t="shared" si="19"/>
        <v>279347.78000000003</v>
      </c>
      <c r="P103" s="195">
        <f t="shared" si="24"/>
        <v>0</v>
      </c>
      <c r="Q103" s="95">
        <f t="shared" si="25"/>
        <v>663.53357365764305</v>
      </c>
      <c r="R103" s="196">
        <f t="shared" si="20"/>
        <v>663.53357365764305</v>
      </c>
      <c r="S103" s="194">
        <f t="shared" si="26"/>
        <v>279347.78000000003</v>
      </c>
      <c r="T103" s="197">
        <v>0.73408333333333331</v>
      </c>
      <c r="U103" s="195">
        <f t="shared" si="27"/>
        <v>71920.260087008704</v>
      </c>
      <c r="V103" s="195">
        <f t="shared" si="28"/>
        <v>21719.568705901438</v>
      </c>
      <c r="W103" s="195">
        <f t="shared" si="29"/>
        <v>15838.63927766149</v>
      </c>
      <c r="X103" s="195">
        <f t="shared" si="30"/>
        <v>4177.995587827415</v>
      </c>
      <c r="Y103" s="195">
        <f t="shared" si="31"/>
        <v>113656.46365839907</v>
      </c>
      <c r="Z103" s="198">
        <f t="shared" si="32"/>
        <v>0.40686367243870364</v>
      </c>
      <c r="AA103" s="199">
        <f t="shared" si="33"/>
        <v>113943.34603717526</v>
      </c>
      <c r="AB103" s="195"/>
      <c r="AC103" s="199">
        <v>112275.60199332506</v>
      </c>
      <c r="AD103" s="194">
        <f t="shared" si="34"/>
        <v>1667.7440438501944</v>
      </c>
      <c r="AE103" s="194">
        <v>1653.4463508818153</v>
      </c>
      <c r="AF103" s="194">
        <f t="shared" si="35"/>
        <v>14.297692968379124</v>
      </c>
    </row>
    <row r="104" spans="2:32" s="200" customFormat="1" x14ac:dyDescent="0.25">
      <c r="B104" s="201">
        <v>794</v>
      </c>
      <c r="C104" s="201">
        <v>6</v>
      </c>
      <c r="D104" s="202" t="s">
        <v>140</v>
      </c>
      <c r="E104" s="193">
        <v>18.66988734321124</v>
      </c>
      <c r="F104" s="193">
        <f>INDEX('Revised 2017 Lockdown'!H$5:H$249,MATCH(B104,'Revised 2017 Lockdown'!B$5:B$249,0))</f>
        <v>18.66988734321124</v>
      </c>
      <c r="G104" s="193">
        <f t="shared" si="21"/>
        <v>0</v>
      </c>
      <c r="H104" s="194">
        <v>39895.620000000003</v>
      </c>
      <c r="I104" s="194">
        <f>INDEX('Revised 2017 Lockdown'!E$5:E$249,MATCH(B104,'Revised 2017 Lockdown'!B$5:B$249,0))</f>
        <v>39895.620000000003</v>
      </c>
      <c r="J104" s="194">
        <f t="shared" si="22"/>
        <v>0</v>
      </c>
      <c r="K104" s="194">
        <v>0</v>
      </c>
      <c r="L104" s="194">
        <f>INDEX('Revised 2017 Lockdown'!F$5:F$249,MATCH(B104,'Revised 2017 Lockdown'!B$5:B$249,0))</f>
        <v>0</v>
      </c>
      <c r="M104" s="194">
        <f t="shared" si="23"/>
        <v>0</v>
      </c>
      <c r="N104" s="194">
        <f t="shared" si="19"/>
        <v>39895.620000000003</v>
      </c>
      <c r="O104" s="195">
        <f t="shared" si="19"/>
        <v>39895.620000000003</v>
      </c>
      <c r="P104" s="195">
        <f t="shared" si="24"/>
        <v>0</v>
      </c>
      <c r="Q104" s="95">
        <f t="shared" si="25"/>
        <v>2136.8966650196139</v>
      </c>
      <c r="R104" s="196">
        <f t="shared" si="20"/>
        <v>1040.9329630986604</v>
      </c>
      <c r="S104" s="194">
        <f t="shared" si="26"/>
        <v>19434.101152887051</v>
      </c>
      <c r="T104" s="197">
        <v>0.61550000000000005</v>
      </c>
      <c r="U104" s="195">
        <f t="shared" si="27"/>
        <v>5003.4605947928867</v>
      </c>
      <c r="V104" s="195">
        <f t="shared" si="28"/>
        <v>963.18691137409644</v>
      </c>
      <c r="W104" s="195">
        <f t="shared" si="29"/>
        <v>923.8889988285066</v>
      </c>
      <c r="X104" s="195">
        <f t="shared" si="30"/>
        <v>290.66129994000232</v>
      </c>
      <c r="Y104" s="195">
        <f t="shared" si="31"/>
        <v>7181.1978049354921</v>
      </c>
      <c r="Z104" s="198">
        <f t="shared" si="32"/>
        <v>0.3695153044867569</v>
      </c>
      <c r="AA104" s="199">
        <f t="shared" si="33"/>
        <v>7199.3239989277154</v>
      </c>
      <c r="AB104" s="195"/>
      <c r="AC104" s="199">
        <v>7041.8969195449145</v>
      </c>
      <c r="AD104" s="194">
        <f t="shared" si="34"/>
        <v>157.42707938280091</v>
      </c>
      <c r="AE104" s="194">
        <v>141.69165209639141</v>
      </c>
      <c r="AF104" s="194">
        <f t="shared" si="35"/>
        <v>15.735427286409504</v>
      </c>
    </row>
    <row r="105" spans="2:32" s="200" customFormat="1" x14ac:dyDescent="0.25">
      <c r="B105" s="201">
        <v>806</v>
      </c>
      <c r="C105" s="201">
        <v>6</v>
      </c>
      <c r="D105" s="202" t="s">
        <v>141</v>
      </c>
      <c r="E105" s="193">
        <v>27</v>
      </c>
      <c r="F105" s="193">
        <f>INDEX('Revised 2017 Lockdown'!H$5:H$249,MATCH(B105,'Revised 2017 Lockdown'!B$5:B$249,0))</f>
        <v>27</v>
      </c>
      <c r="G105" s="193">
        <f t="shared" si="21"/>
        <v>0</v>
      </c>
      <c r="H105" s="194">
        <v>38615.089999999997</v>
      </c>
      <c r="I105" s="194">
        <f>INDEX('Revised 2017 Lockdown'!E$5:E$249,MATCH(B105,'Revised 2017 Lockdown'!B$5:B$249,0))</f>
        <v>38615.089999999997</v>
      </c>
      <c r="J105" s="194">
        <f t="shared" si="22"/>
        <v>0</v>
      </c>
      <c r="K105" s="194">
        <v>0</v>
      </c>
      <c r="L105" s="194">
        <f>INDEX('Revised 2017 Lockdown'!F$5:F$249,MATCH(B105,'Revised 2017 Lockdown'!B$5:B$249,0))</f>
        <v>0</v>
      </c>
      <c r="M105" s="194">
        <f t="shared" si="23"/>
        <v>0</v>
      </c>
      <c r="N105" s="194">
        <f t="shared" si="19"/>
        <v>38615.089999999997</v>
      </c>
      <c r="O105" s="195">
        <f t="shared" si="19"/>
        <v>38615.089999999997</v>
      </c>
      <c r="P105" s="195">
        <f t="shared" si="24"/>
        <v>0</v>
      </c>
      <c r="Q105" s="95">
        <f t="shared" si="25"/>
        <v>1430.1885185185183</v>
      </c>
      <c r="R105" s="196">
        <f t="shared" si="20"/>
        <v>1040.9329630986604</v>
      </c>
      <c r="S105" s="194">
        <f t="shared" si="26"/>
        <v>28105.190003663829</v>
      </c>
      <c r="T105" s="197">
        <v>0.32174999999999998</v>
      </c>
      <c r="U105" s="195">
        <f t="shared" si="27"/>
        <v>7235.8999053377111</v>
      </c>
      <c r="V105" s="195">
        <f t="shared" si="28"/>
        <v>1392.940735475672</v>
      </c>
      <c r="W105" s="195">
        <f t="shared" si="29"/>
        <v>698.44523836272242</v>
      </c>
      <c r="X105" s="195">
        <f t="shared" si="30"/>
        <v>420.34828352800457</v>
      </c>
      <c r="Y105" s="195">
        <f t="shared" si="31"/>
        <v>9747.6341627041111</v>
      </c>
      <c r="Z105" s="198">
        <f t="shared" si="32"/>
        <v>0.34682683737179493</v>
      </c>
      <c r="AA105" s="199">
        <f t="shared" si="33"/>
        <v>9772.2383461005029</v>
      </c>
      <c r="AB105" s="195"/>
      <c r="AC105" s="199">
        <v>9565.056958163208</v>
      </c>
      <c r="AD105" s="194">
        <f t="shared" si="34"/>
        <v>207.18138793729486</v>
      </c>
      <c r="AE105" s="194">
        <v>186.02147774383775</v>
      </c>
      <c r="AF105" s="194">
        <f t="shared" si="35"/>
        <v>21.159910193457108</v>
      </c>
    </row>
    <row r="106" spans="2:32" s="200" customFormat="1" x14ac:dyDescent="0.25">
      <c r="B106" s="201">
        <v>811</v>
      </c>
      <c r="C106" s="201">
        <v>6</v>
      </c>
      <c r="D106" s="202" t="s">
        <v>142</v>
      </c>
      <c r="E106" s="193">
        <v>804.4337651642104</v>
      </c>
      <c r="F106" s="193">
        <f>INDEX('Revised 2017 Lockdown'!H$5:H$249,MATCH(B106,'Revised 2017 Lockdown'!B$5:B$249,0))</f>
        <v>804.4337651642104</v>
      </c>
      <c r="G106" s="193">
        <f t="shared" si="21"/>
        <v>0</v>
      </c>
      <c r="H106" s="194">
        <v>471184.23</v>
      </c>
      <c r="I106" s="194">
        <f>INDEX('Revised 2017 Lockdown'!E$5:E$249,MATCH(B106,'Revised 2017 Lockdown'!B$5:B$249,0))</f>
        <v>471184.23</v>
      </c>
      <c r="J106" s="194">
        <f t="shared" si="22"/>
        <v>0</v>
      </c>
      <c r="K106" s="194">
        <v>11327.71</v>
      </c>
      <c r="L106" s="194">
        <f>INDEX('Revised 2017 Lockdown'!F$5:F$249,MATCH(B106,'Revised 2017 Lockdown'!B$5:B$249,0))</f>
        <v>11327.71</v>
      </c>
      <c r="M106" s="194">
        <f t="shared" si="23"/>
        <v>0</v>
      </c>
      <c r="N106" s="194">
        <f t="shared" si="19"/>
        <v>459856.51999999996</v>
      </c>
      <c r="O106" s="195">
        <f t="shared" si="19"/>
        <v>459856.51999999996</v>
      </c>
      <c r="P106" s="195">
        <f t="shared" si="24"/>
        <v>0</v>
      </c>
      <c r="Q106" s="95">
        <f t="shared" si="25"/>
        <v>571.6524341890705</v>
      </c>
      <c r="R106" s="196">
        <f t="shared" si="20"/>
        <v>571.6524341890705</v>
      </c>
      <c r="S106" s="194">
        <f t="shared" si="26"/>
        <v>459856.51999999996</v>
      </c>
      <c r="T106" s="197">
        <v>0.78333333333333344</v>
      </c>
      <c r="U106" s="195">
        <f t="shared" si="27"/>
        <v>118393.64007513042</v>
      </c>
      <c r="V106" s="195">
        <f t="shared" si="28"/>
        <v>41501.057795899978</v>
      </c>
      <c r="W106" s="195">
        <f t="shared" si="29"/>
        <v>27822.505417655651</v>
      </c>
      <c r="X106" s="195">
        <f t="shared" si="30"/>
        <v>6877.7296586844868</v>
      </c>
      <c r="Y106" s="195">
        <f t="shared" si="31"/>
        <v>194594.93294737054</v>
      </c>
      <c r="Z106" s="198">
        <f t="shared" si="32"/>
        <v>0.42316445344163123</v>
      </c>
      <c r="AA106" s="199">
        <f t="shared" si="33"/>
        <v>195086.11361114276</v>
      </c>
      <c r="AB106" s="195"/>
      <c r="AC106" s="199">
        <v>192282.28872855287</v>
      </c>
      <c r="AD106" s="194">
        <f t="shared" si="34"/>
        <v>2803.8248825898918</v>
      </c>
      <c r="AE106" s="194">
        <v>2778.7650123532803</v>
      </c>
      <c r="AF106" s="194">
        <f t="shared" si="35"/>
        <v>25.059870236611459</v>
      </c>
    </row>
    <row r="107" spans="2:32" s="200" customFormat="1" x14ac:dyDescent="0.25">
      <c r="B107" s="201">
        <v>824</v>
      </c>
      <c r="C107" s="201">
        <v>6</v>
      </c>
      <c r="D107" s="202" t="s">
        <v>143</v>
      </c>
      <c r="E107" s="193">
        <v>31.519999999999996</v>
      </c>
      <c r="F107" s="193">
        <f>INDEX('Revised 2017 Lockdown'!H$5:H$249,MATCH(B107,'Revised 2017 Lockdown'!B$5:B$249,0))</f>
        <v>31.519999999999996</v>
      </c>
      <c r="G107" s="193">
        <f t="shared" si="21"/>
        <v>0</v>
      </c>
      <c r="H107" s="194">
        <v>54441.32</v>
      </c>
      <c r="I107" s="194">
        <f>INDEX('Revised 2017 Lockdown'!E$5:E$249,MATCH(B107,'Revised 2017 Lockdown'!B$5:B$249,0))</f>
        <v>54441.32</v>
      </c>
      <c r="J107" s="194">
        <f t="shared" si="22"/>
        <v>0</v>
      </c>
      <c r="K107" s="194">
        <v>0</v>
      </c>
      <c r="L107" s="194">
        <f>INDEX('Revised 2017 Lockdown'!F$5:F$249,MATCH(B107,'Revised 2017 Lockdown'!B$5:B$249,0))</f>
        <v>0</v>
      </c>
      <c r="M107" s="194">
        <f t="shared" si="23"/>
        <v>0</v>
      </c>
      <c r="N107" s="194">
        <f t="shared" si="19"/>
        <v>54441.32</v>
      </c>
      <c r="O107" s="195">
        <f t="shared" si="19"/>
        <v>54441.32</v>
      </c>
      <c r="P107" s="195">
        <f t="shared" si="24"/>
        <v>0</v>
      </c>
      <c r="Q107" s="95">
        <f t="shared" si="25"/>
        <v>1727.1992385786805</v>
      </c>
      <c r="R107" s="196">
        <f t="shared" si="20"/>
        <v>1040.9329630986604</v>
      </c>
      <c r="S107" s="194">
        <f t="shared" si="26"/>
        <v>32810.206996869769</v>
      </c>
      <c r="T107" s="197">
        <v>0.23825000000000002</v>
      </c>
      <c r="U107" s="195">
        <f t="shared" si="27"/>
        <v>8447.2431487497997</v>
      </c>
      <c r="V107" s="195">
        <f t="shared" si="28"/>
        <v>1626.1293326738214</v>
      </c>
      <c r="W107" s="195">
        <f t="shared" si="29"/>
        <v>603.76670405689208</v>
      </c>
      <c r="X107" s="195">
        <f t="shared" si="30"/>
        <v>490.71769988158155</v>
      </c>
      <c r="Y107" s="195">
        <f t="shared" si="31"/>
        <v>11167.856885362095</v>
      </c>
      <c r="Z107" s="198">
        <f t="shared" si="32"/>
        <v>0.34037751991103121</v>
      </c>
      <c r="AA107" s="199">
        <f t="shared" si="33"/>
        <v>11196.045879159527</v>
      </c>
      <c r="AB107" s="195"/>
      <c r="AC107" s="199">
        <v>10959.925097996294</v>
      </c>
      <c r="AD107" s="194">
        <f t="shared" si="34"/>
        <v>236.1207811632321</v>
      </c>
      <c r="AE107" s="194">
        <v>211.94827593402988</v>
      </c>
      <c r="AF107" s="194">
        <f t="shared" si="35"/>
        <v>24.172505229202216</v>
      </c>
    </row>
    <row r="108" spans="2:32" s="200" customFormat="1" x14ac:dyDescent="0.25">
      <c r="B108" s="201">
        <v>826</v>
      </c>
      <c r="C108" s="201">
        <v>6</v>
      </c>
      <c r="D108" s="202" t="s">
        <v>144</v>
      </c>
      <c r="E108" s="193">
        <v>37.220399999999998</v>
      </c>
      <c r="F108" s="193">
        <f>INDEX('Revised 2017 Lockdown'!H$5:H$249,MATCH(B108,'Revised 2017 Lockdown'!B$5:B$249,0))</f>
        <v>37.220399999999998</v>
      </c>
      <c r="G108" s="193">
        <f t="shared" si="21"/>
        <v>0</v>
      </c>
      <c r="H108" s="194">
        <v>28069.94</v>
      </c>
      <c r="I108" s="194">
        <f>INDEX('Revised 2017 Lockdown'!E$5:E$249,MATCH(B108,'Revised 2017 Lockdown'!B$5:B$249,0))</f>
        <v>28069.94</v>
      </c>
      <c r="J108" s="194">
        <f t="shared" si="22"/>
        <v>0</v>
      </c>
      <c r="K108" s="194">
        <v>0</v>
      </c>
      <c r="L108" s="194">
        <f>INDEX('Revised 2017 Lockdown'!F$5:F$249,MATCH(B108,'Revised 2017 Lockdown'!B$5:B$249,0))</f>
        <v>0</v>
      </c>
      <c r="M108" s="194">
        <f t="shared" si="23"/>
        <v>0</v>
      </c>
      <c r="N108" s="194">
        <f t="shared" si="19"/>
        <v>28069.94</v>
      </c>
      <c r="O108" s="195">
        <f t="shared" si="19"/>
        <v>28069.94</v>
      </c>
      <c r="P108" s="195">
        <f t="shared" si="24"/>
        <v>0</v>
      </c>
      <c r="Q108" s="95">
        <f t="shared" si="25"/>
        <v>754.15471085748675</v>
      </c>
      <c r="R108" s="196">
        <f t="shared" si="20"/>
        <v>754.15471085748675</v>
      </c>
      <c r="S108" s="194">
        <f t="shared" si="26"/>
        <v>28069.94</v>
      </c>
      <c r="T108" s="197">
        <v>0.48825000000000002</v>
      </c>
      <c r="U108" s="195">
        <f t="shared" si="27"/>
        <v>7226.8245175484444</v>
      </c>
      <c r="V108" s="195">
        <f t="shared" si="28"/>
        <v>1920.2152352110629</v>
      </c>
      <c r="W108" s="195">
        <f t="shared" si="29"/>
        <v>1058.5491212079082</v>
      </c>
      <c r="X108" s="195">
        <f t="shared" si="30"/>
        <v>419.82107561613788</v>
      </c>
      <c r="Y108" s="195">
        <f t="shared" si="31"/>
        <v>10625.409949583553</v>
      </c>
      <c r="Z108" s="198">
        <f t="shared" si="32"/>
        <v>0.3785334044028435</v>
      </c>
      <c r="AA108" s="199">
        <f t="shared" si="33"/>
        <v>10652.2297430532</v>
      </c>
      <c r="AB108" s="195"/>
      <c r="AC108" s="199">
        <v>10500.302982160432</v>
      </c>
      <c r="AD108" s="194">
        <f t="shared" si="34"/>
        <v>151.92676089276756</v>
      </c>
      <c r="AE108" s="194">
        <v>150.60908637459761</v>
      </c>
      <c r="AF108" s="194">
        <f t="shared" si="35"/>
        <v>1.3176745181699516</v>
      </c>
    </row>
    <row r="109" spans="2:32" s="200" customFormat="1" x14ac:dyDescent="0.25">
      <c r="B109" s="201">
        <v>840</v>
      </c>
      <c r="C109" s="201">
        <v>6</v>
      </c>
      <c r="D109" s="202" t="s">
        <v>145</v>
      </c>
      <c r="E109" s="193">
        <v>134.24236671767576</v>
      </c>
      <c r="F109" s="193">
        <f>INDEX('Revised 2017 Lockdown'!H$5:H$249,MATCH(B109,'Revised 2017 Lockdown'!B$5:B$249,0))</f>
        <v>134.24236671767576</v>
      </c>
      <c r="G109" s="193">
        <f t="shared" si="21"/>
        <v>0</v>
      </c>
      <c r="H109" s="194">
        <v>88471.82</v>
      </c>
      <c r="I109" s="194">
        <f>INDEX('Revised 2017 Lockdown'!E$5:E$249,MATCH(B109,'Revised 2017 Lockdown'!B$5:B$249,0))</f>
        <v>88471.82</v>
      </c>
      <c r="J109" s="194">
        <f t="shared" si="22"/>
        <v>0</v>
      </c>
      <c r="K109" s="194">
        <v>0</v>
      </c>
      <c r="L109" s="194">
        <f>INDEX('Revised 2017 Lockdown'!F$5:F$249,MATCH(B109,'Revised 2017 Lockdown'!B$5:B$249,0))</f>
        <v>0</v>
      </c>
      <c r="M109" s="194">
        <f t="shared" si="23"/>
        <v>0</v>
      </c>
      <c r="N109" s="194">
        <f t="shared" si="19"/>
        <v>88471.82</v>
      </c>
      <c r="O109" s="195">
        <f t="shared" si="19"/>
        <v>88471.82</v>
      </c>
      <c r="P109" s="195">
        <f t="shared" si="24"/>
        <v>0</v>
      </c>
      <c r="Q109" s="95">
        <f t="shared" si="25"/>
        <v>659.04544268103155</v>
      </c>
      <c r="R109" s="196">
        <f t="shared" si="20"/>
        <v>659.04544268103155</v>
      </c>
      <c r="S109" s="194">
        <f t="shared" si="26"/>
        <v>88471.82</v>
      </c>
      <c r="T109" s="197">
        <v>0.41375000000000006</v>
      </c>
      <c r="U109" s="195">
        <f t="shared" si="27"/>
        <v>22777.758623215188</v>
      </c>
      <c r="V109" s="195">
        <f t="shared" si="28"/>
        <v>6925.6170751005247</v>
      </c>
      <c r="W109" s="195">
        <f t="shared" si="29"/>
        <v>2827.2892891065853</v>
      </c>
      <c r="X109" s="195">
        <f t="shared" si="30"/>
        <v>1323.2067697372117</v>
      </c>
      <c r="Y109" s="195">
        <f t="shared" si="31"/>
        <v>33853.871757159512</v>
      </c>
      <c r="Z109" s="198">
        <f t="shared" si="32"/>
        <v>0.38265146751993467</v>
      </c>
      <c r="AA109" s="199">
        <f t="shared" si="33"/>
        <v>33939.322940029924</v>
      </c>
      <c r="AB109" s="195"/>
      <c r="AC109" s="199">
        <v>33471.672679966774</v>
      </c>
      <c r="AD109" s="194">
        <f t="shared" si="34"/>
        <v>467.6502600631502</v>
      </c>
      <c r="AE109" s="194">
        <v>463.35029569738981</v>
      </c>
      <c r="AF109" s="194">
        <f t="shared" si="35"/>
        <v>4.2999643657603883</v>
      </c>
    </row>
    <row r="110" spans="2:32" s="200" customFormat="1" x14ac:dyDescent="0.25">
      <c r="B110" s="201">
        <v>843</v>
      </c>
      <c r="C110" s="201">
        <v>6</v>
      </c>
      <c r="D110" s="202" t="s">
        <v>146</v>
      </c>
      <c r="E110" s="193">
        <v>19.498273373940624</v>
      </c>
      <c r="F110" s="193">
        <f>INDEX('Revised 2017 Lockdown'!H$5:H$249,MATCH(B110,'Revised 2017 Lockdown'!B$5:B$249,0))</f>
        <v>19.498273373940624</v>
      </c>
      <c r="G110" s="193">
        <f t="shared" si="21"/>
        <v>0</v>
      </c>
      <c r="H110" s="194">
        <v>32653.86</v>
      </c>
      <c r="I110" s="194">
        <f>INDEX('Revised 2017 Lockdown'!E$5:E$249,MATCH(B110,'Revised 2017 Lockdown'!B$5:B$249,0))</f>
        <v>32653.86</v>
      </c>
      <c r="J110" s="194">
        <f t="shared" si="22"/>
        <v>0</v>
      </c>
      <c r="K110" s="194">
        <v>0</v>
      </c>
      <c r="L110" s="194">
        <f>INDEX('Revised 2017 Lockdown'!F$5:F$249,MATCH(B110,'Revised 2017 Lockdown'!B$5:B$249,0))</f>
        <v>0</v>
      </c>
      <c r="M110" s="194">
        <f t="shared" si="23"/>
        <v>0</v>
      </c>
      <c r="N110" s="194">
        <f t="shared" si="19"/>
        <v>32653.86</v>
      </c>
      <c r="O110" s="195">
        <f t="shared" si="19"/>
        <v>32653.86</v>
      </c>
      <c r="P110" s="195">
        <f t="shared" si="24"/>
        <v>0</v>
      </c>
      <c r="Q110" s="95">
        <f t="shared" si="25"/>
        <v>1674.7052097259941</v>
      </c>
      <c r="R110" s="196">
        <f t="shared" si="20"/>
        <v>1040.9329630986604</v>
      </c>
      <c r="S110" s="194">
        <f t="shared" si="26"/>
        <v>20296.395478443726</v>
      </c>
      <c r="T110" s="197">
        <v>0.14083333333333334</v>
      </c>
      <c r="U110" s="195">
        <f t="shared" si="27"/>
        <v>5225.4649800276211</v>
      </c>
      <c r="V110" s="195">
        <f t="shared" si="28"/>
        <v>1005.9236760741691</v>
      </c>
      <c r="W110" s="195">
        <f t="shared" si="29"/>
        <v>220.775895406167</v>
      </c>
      <c r="X110" s="195">
        <f t="shared" si="30"/>
        <v>303.55799053687912</v>
      </c>
      <c r="Y110" s="195">
        <f t="shared" si="31"/>
        <v>6755.7225420448367</v>
      </c>
      <c r="Z110" s="198">
        <f t="shared" si="32"/>
        <v>0.33285331620680697</v>
      </c>
      <c r="AA110" s="199">
        <f t="shared" si="33"/>
        <v>6772.7747860688878</v>
      </c>
      <c r="AB110" s="195"/>
      <c r="AC110" s="199">
        <v>6630.856126330923</v>
      </c>
      <c r="AD110" s="194">
        <f t="shared" si="34"/>
        <v>141.91865973796484</v>
      </c>
      <c r="AE110" s="194">
        <v>127.34785360150636</v>
      </c>
      <c r="AF110" s="194">
        <f t="shared" si="35"/>
        <v>14.570806136458486</v>
      </c>
    </row>
    <row r="111" spans="2:32" s="200" customFormat="1" x14ac:dyDescent="0.25">
      <c r="B111" s="201">
        <v>846</v>
      </c>
      <c r="C111" s="201">
        <v>6</v>
      </c>
      <c r="D111" s="202" t="s">
        <v>147</v>
      </c>
      <c r="E111" s="193">
        <v>20.237582906035872</v>
      </c>
      <c r="F111" s="193">
        <f>INDEX('Revised 2017 Lockdown'!H$5:H$249,MATCH(B111,'Revised 2017 Lockdown'!B$5:B$249,0))</f>
        <v>20.237582906035872</v>
      </c>
      <c r="G111" s="193">
        <f t="shared" si="21"/>
        <v>0</v>
      </c>
      <c r="H111" s="194">
        <v>39845.980000000003</v>
      </c>
      <c r="I111" s="194">
        <f>INDEX('Revised 2017 Lockdown'!E$5:E$249,MATCH(B111,'Revised 2017 Lockdown'!B$5:B$249,0))</f>
        <v>39845.980000000003</v>
      </c>
      <c r="J111" s="194">
        <f t="shared" si="22"/>
        <v>0</v>
      </c>
      <c r="K111" s="194">
        <v>0</v>
      </c>
      <c r="L111" s="194">
        <f>INDEX('Revised 2017 Lockdown'!F$5:F$249,MATCH(B111,'Revised 2017 Lockdown'!B$5:B$249,0))</f>
        <v>0</v>
      </c>
      <c r="M111" s="194">
        <f t="shared" si="23"/>
        <v>0</v>
      </c>
      <c r="N111" s="194">
        <f t="shared" si="19"/>
        <v>39845.980000000003</v>
      </c>
      <c r="O111" s="195">
        <f t="shared" si="19"/>
        <v>39845.980000000003</v>
      </c>
      <c r="P111" s="195">
        <f t="shared" si="24"/>
        <v>0</v>
      </c>
      <c r="Q111" s="95">
        <f t="shared" si="25"/>
        <v>1968.9100316478957</v>
      </c>
      <c r="R111" s="196">
        <f t="shared" si="20"/>
        <v>1040.9329630986604</v>
      </c>
      <c r="S111" s="194">
        <f t="shared" si="26"/>
        <v>21065.967140334717</v>
      </c>
      <c r="T111" s="197">
        <v>0.19650000000000001</v>
      </c>
      <c r="U111" s="195">
        <f t="shared" si="27"/>
        <v>5423.5971938536677</v>
      </c>
      <c r="V111" s="195">
        <f t="shared" si="28"/>
        <v>1044.0649487919814</v>
      </c>
      <c r="W111" s="195">
        <f t="shared" si="29"/>
        <v>319.72105457767373</v>
      </c>
      <c r="X111" s="195">
        <f t="shared" si="30"/>
        <v>315.06789767806907</v>
      </c>
      <c r="Y111" s="195">
        <f t="shared" si="31"/>
        <v>7102.451094901392</v>
      </c>
      <c r="Z111" s="198">
        <f t="shared" si="32"/>
        <v>0.33715286118064935</v>
      </c>
      <c r="AA111" s="199">
        <f t="shared" si="33"/>
        <v>7120.3785228686293</v>
      </c>
      <c r="AB111" s="195"/>
      <c r="AC111" s="199">
        <v>6970.6200059815628</v>
      </c>
      <c r="AD111" s="194">
        <f t="shared" si="34"/>
        <v>149.75851688706643</v>
      </c>
      <c r="AE111" s="194">
        <v>134.40849009647809</v>
      </c>
      <c r="AF111" s="194">
        <f t="shared" si="35"/>
        <v>15.350026790588345</v>
      </c>
    </row>
    <row r="112" spans="2:32" s="200" customFormat="1" x14ac:dyDescent="0.25">
      <c r="B112" s="201">
        <v>888</v>
      </c>
      <c r="C112" s="201">
        <v>6</v>
      </c>
      <c r="D112" s="202" t="s">
        <v>148</v>
      </c>
      <c r="E112" s="193">
        <v>96.531906616690762</v>
      </c>
      <c r="F112" s="193">
        <f>INDEX('Revised 2017 Lockdown'!H$5:H$249,MATCH(B112,'Revised 2017 Lockdown'!B$5:B$249,0))</f>
        <v>96.531906616690762</v>
      </c>
      <c r="G112" s="193">
        <f t="shared" si="21"/>
        <v>0</v>
      </c>
      <c r="H112" s="194">
        <v>45506.29</v>
      </c>
      <c r="I112" s="194">
        <f>INDEX('Revised 2017 Lockdown'!E$5:E$249,MATCH(B112,'Revised 2017 Lockdown'!B$5:B$249,0))</f>
        <v>45506.29</v>
      </c>
      <c r="J112" s="194">
        <f t="shared" si="22"/>
        <v>0</v>
      </c>
      <c r="K112" s="194">
        <v>0</v>
      </c>
      <c r="L112" s="194">
        <f>INDEX('Revised 2017 Lockdown'!F$5:F$249,MATCH(B112,'Revised 2017 Lockdown'!B$5:B$249,0))</f>
        <v>0</v>
      </c>
      <c r="M112" s="194">
        <f t="shared" si="23"/>
        <v>0</v>
      </c>
      <c r="N112" s="194">
        <f t="shared" si="19"/>
        <v>45506.29</v>
      </c>
      <c r="O112" s="195">
        <f t="shared" si="19"/>
        <v>45506.29</v>
      </c>
      <c r="P112" s="195">
        <f t="shared" si="24"/>
        <v>0</v>
      </c>
      <c r="Q112" s="95">
        <f t="shared" si="25"/>
        <v>471.41190508850656</v>
      </c>
      <c r="R112" s="196">
        <f t="shared" si="20"/>
        <v>471.41190508850656</v>
      </c>
      <c r="S112" s="194">
        <f t="shared" si="26"/>
        <v>45506.29</v>
      </c>
      <c r="T112" s="197">
        <v>0.46558333333333335</v>
      </c>
      <c r="U112" s="195">
        <f t="shared" si="27"/>
        <v>11715.9485298034</v>
      </c>
      <c r="V112" s="195">
        <f t="shared" si="28"/>
        <v>4980.1194444267448</v>
      </c>
      <c r="W112" s="195">
        <f t="shared" si="29"/>
        <v>1636.4251109002898</v>
      </c>
      <c r="X112" s="195">
        <f t="shared" si="30"/>
        <v>680.60350734985195</v>
      </c>
      <c r="Y112" s="195">
        <f t="shared" si="31"/>
        <v>19013.096592480288</v>
      </c>
      <c r="Z112" s="198">
        <f t="shared" si="32"/>
        <v>0.41781249564577311</v>
      </c>
      <c r="AA112" s="199">
        <f t="shared" si="33"/>
        <v>19061.087900697883</v>
      </c>
      <c r="AB112" s="195"/>
      <c r="AC112" s="199">
        <v>18812.952763857251</v>
      </c>
      <c r="AD112" s="194">
        <f t="shared" si="34"/>
        <v>248.13513684063219</v>
      </c>
      <c r="AE112" s="194">
        <v>245.57481645383814</v>
      </c>
      <c r="AF112" s="194">
        <f t="shared" si="35"/>
        <v>2.5603203867940465</v>
      </c>
    </row>
    <row r="113" spans="2:32" s="200" customFormat="1" x14ac:dyDescent="0.25">
      <c r="B113" s="201">
        <v>889</v>
      </c>
      <c r="C113" s="201">
        <v>6</v>
      </c>
      <c r="D113" s="202" t="s">
        <v>149</v>
      </c>
      <c r="E113" s="193">
        <v>28.142507903054302</v>
      </c>
      <c r="F113" s="193">
        <f>INDEX('Revised 2017 Lockdown'!H$5:H$249,MATCH(B113,'Revised 2017 Lockdown'!B$5:B$249,0))</f>
        <v>28.142507903054302</v>
      </c>
      <c r="G113" s="193">
        <f t="shared" si="21"/>
        <v>0</v>
      </c>
      <c r="H113" s="194">
        <v>49421.78</v>
      </c>
      <c r="I113" s="194">
        <f>INDEX('Revised 2017 Lockdown'!E$5:E$249,MATCH(B113,'Revised 2017 Lockdown'!B$5:B$249,0))</f>
        <v>49421.78</v>
      </c>
      <c r="J113" s="194">
        <f t="shared" si="22"/>
        <v>0</v>
      </c>
      <c r="K113" s="194">
        <v>0</v>
      </c>
      <c r="L113" s="194">
        <f>INDEX('Revised 2017 Lockdown'!F$5:F$249,MATCH(B113,'Revised 2017 Lockdown'!B$5:B$249,0))</f>
        <v>0</v>
      </c>
      <c r="M113" s="194">
        <f t="shared" si="23"/>
        <v>0</v>
      </c>
      <c r="N113" s="194">
        <f t="shared" si="19"/>
        <v>49421.78</v>
      </c>
      <c r="O113" s="195">
        <f t="shared" si="19"/>
        <v>49421.78</v>
      </c>
      <c r="P113" s="195">
        <f t="shared" si="24"/>
        <v>0</v>
      </c>
      <c r="Q113" s="95">
        <f t="shared" si="25"/>
        <v>1756.1256505727501</v>
      </c>
      <c r="R113" s="196">
        <f t="shared" si="20"/>
        <v>1040.9329630986604</v>
      </c>
      <c r="S113" s="194">
        <f t="shared" si="26"/>
        <v>29294.46414055378</v>
      </c>
      <c r="T113" s="197">
        <v>0.54133333333333333</v>
      </c>
      <c r="U113" s="195">
        <f t="shared" si="27"/>
        <v>7542.0877878398669</v>
      </c>
      <c r="V113" s="195">
        <f t="shared" si="28"/>
        <v>1451.8831724670508</v>
      </c>
      <c r="W113" s="195">
        <f t="shared" si="29"/>
        <v>1224.8350567451944</v>
      </c>
      <c r="X113" s="195">
        <f t="shared" si="30"/>
        <v>438.13536634156219</v>
      </c>
      <c r="Y113" s="195">
        <f t="shared" si="31"/>
        <v>10656.941383393674</v>
      </c>
      <c r="Z113" s="198">
        <f t="shared" si="32"/>
        <v>0.3637868688180147</v>
      </c>
      <c r="AA113" s="199">
        <f t="shared" si="33"/>
        <v>10683.840765937683</v>
      </c>
      <c r="AB113" s="195"/>
      <c r="AC113" s="199">
        <v>10450.972133774922</v>
      </c>
      <c r="AD113" s="194">
        <f t="shared" si="34"/>
        <v>232.86863216276106</v>
      </c>
      <c r="AE113" s="194">
        <v>1412.6143578715109</v>
      </c>
      <c r="AF113" s="194">
        <f t="shared" si="35"/>
        <v>-1179.7457257087499</v>
      </c>
    </row>
    <row r="114" spans="2:32" s="200" customFormat="1" x14ac:dyDescent="0.25">
      <c r="B114" s="201">
        <v>891</v>
      </c>
      <c r="C114" s="201">
        <v>6</v>
      </c>
      <c r="D114" s="202" t="s">
        <v>150</v>
      </c>
      <c r="E114" s="193">
        <v>364.17087666120352</v>
      </c>
      <c r="F114" s="193">
        <f>INDEX('Revised 2017 Lockdown'!H$5:H$249,MATCH(B114,'Revised 2017 Lockdown'!B$5:B$249,0))</f>
        <v>364.17087666120352</v>
      </c>
      <c r="G114" s="193">
        <f t="shared" si="21"/>
        <v>0</v>
      </c>
      <c r="H114" s="194">
        <v>86921.99</v>
      </c>
      <c r="I114" s="194">
        <f>INDEX('Revised 2017 Lockdown'!E$5:E$249,MATCH(B114,'Revised 2017 Lockdown'!B$5:B$249,0))</f>
        <v>86921.99</v>
      </c>
      <c r="J114" s="194">
        <f t="shared" si="22"/>
        <v>0</v>
      </c>
      <c r="K114" s="194">
        <v>0</v>
      </c>
      <c r="L114" s="194">
        <f>INDEX('Revised 2017 Lockdown'!F$5:F$249,MATCH(B114,'Revised 2017 Lockdown'!B$5:B$249,0))</f>
        <v>0</v>
      </c>
      <c r="M114" s="194">
        <f t="shared" si="23"/>
        <v>0</v>
      </c>
      <c r="N114" s="194">
        <f t="shared" si="19"/>
        <v>86921.99</v>
      </c>
      <c r="O114" s="195">
        <f t="shared" si="19"/>
        <v>86921.99</v>
      </c>
      <c r="P114" s="195">
        <f t="shared" si="24"/>
        <v>0</v>
      </c>
      <c r="Q114" s="95">
        <f t="shared" si="25"/>
        <v>238.68462738404398</v>
      </c>
      <c r="R114" s="196">
        <f t="shared" si="20"/>
        <v>238.68462738404398</v>
      </c>
      <c r="S114" s="194">
        <f t="shared" si="26"/>
        <v>86921.99</v>
      </c>
      <c r="T114" s="197">
        <v>0.44700000000000001</v>
      </c>
      <c r="U114" s="195">
        <f t="shared" si="27"/>
        <v>22378.742827597805</v>
      </c>
      <c r="V114" s="195">
        <f t="shared" si="28"/>
        <v>18787.720325010261</v>
      </c>
      <c r="W114" s="195">
        <f t="shared" si="29"/>
        <v>3000.989413180866</v>
      </c>
      <c r="X114" s="195">
        <f t="shared" si="30"/>
        <v>1300.0271228401339</v>
      </c>
      <c r="Y114" s="195">
        <f t="shared" si="31"/>
        <v>45467.479688629064</v>
      </c>
      <c r="Z114" s="198">
        <f t="shared" si="32"/>
        <v>0.52308374081896958</v>
      </c>
      <c r="AA114" s="199">
        <f t="shared" si="33"/>
        <v>45582.244993743923</v>
      </c>
      <c r="AB114" s="195"/>
      <c r="AC114" s="199">
        <v>45103.038465013764</v>
      </c>
      <c r="AD114" s="194">
        <f t="shared" si="34"/>
        <v>479.20652873015933</v>
      </c>
      <c r="AE114" s="194">
        <v>472.17946552858484</v>
      </c>
      <c r="AF114" s="194">
        <f t="shared" si="35"/>
        <v>7.0270632015744923</v>
      </c>
    </row>
    <row r="115" spans="2:32" s="200" customFormat="1" x14ac:dyDescent="0.25">
      <c r="B115" s="201">
        <v>904</v>
      </c>
      <c r="C115" s="201">
        <v>6</v>
      </c>
      <c r="D115" s="202" t="s">
        <v>151</v>
      </c>
      <c r="E115" s="193">
        <v>25.493992436427366</v>
      </c>
      <c r="F115" s="193">
        <f>INDEX('Revised 2017 Lockdown'!H$5:H$249,MATCH(B115,'Revised 2017 Lockdown'!B$5:B$249,0))</f>
        <v>25.493992436427366</v>
      </c>
      <c r="G115" s="193">
        <f t="shared" si="21"/>
        <v>0</v>
      </c>
      <c r="H115" s="194">
        <v>13685.12</v>
      </c>
      <c r="I115" s="194">
        <f>INDEX('Revised 2017 Lockdown'!E$5:E$249,MATCH(B115,'Revised 2017 Lockdown'!B$5:B$249,0))</f>
        <v>13685.12</v>
      </c>
      <c r="J115" s="194">
        <f t="shared" si="22"/>
        <v>0</v>
      </c>
      <c r="K115" s="194">
        <v>0</v>
      </c>
      <c r="L115" s="194">
        <f>INDEX('Revised 2017 Lockdown'!F$5:F$249,MATCH(B115,'Revised 2017 Lockdown'!B$5:B$249,0))</f>
        <v>0</v>
      </c>
      <c r="M115" s="194">
        <f t="shared" si="23"/>
        <v>0</v>
      </c>
      <c r="N115" s="194">
        <f t="shared" si="19"/>
        <v>13685.12</v>
      </c>
      <c r="O115" s="195">
        <f t="shared" si="19"/>
        <v>13685.12</v>
      </c>
      <c r="P115" s="195">
        <f t="shared" si="24"/>
        <v>0</v>
      </c>
      <c r="Q115" s="95">
        <f t="shared" si="25"/>
        <v>536.79783714244263</v>
      </c>
      <c r="R115" s="196">
        <f t="shared" si="20"/>
        <v>536.79783714244263</v>
      </c>
      <c r="S115" s="194">
        <f t="shared" si="26"/>
        <v>13685.12</v>
      </c>
      <c r="T115" s="197">
        <v>9.3875E-2</v>
      </c>
      <c r="U115" s="195">
        <f t="shared" si="27"/>
        <v>3523.3406534389665</v>
      </c>
      <c r="V115" s="195">
        <f t="shared" si="28"/>
        <v>1315.245206466976</v>
      </c>
      <c r="W115" s="195">
        <f t="shared" si="29"/>
        <v>99.22608115247489</v>
      </c>
      <c r="X115" s="195">
        <f t="shared" si="30"/>
        <v>204.67809330322481</v>
      </c>
      <c r="Y115" s="195">
        <f t="shared" si="31"/>
        <v>5142.4900343616428</v>
      </c>
      <c r="Z115" s="198">
        <f t="shared" si="32"/>
        <v>0.37577237425478494</v>
      </c>
      <c r="AA115" s="199">
        <f t="shared" si="33"/>
        <v>5155.4702884220242</v>
      </c>
      <c r="AB115" s="195"/>
      <c r="AC115" s="199">
        <v>5090.6050513921</v>
      </c>
      <c r="AD115" s="194">
        <f t="shared" si="34"/>
        <v>64.865237029924174</v>
      </c>
      <c r="AE115" s="194">
        <v>64.180477930929555</v>
      </c>
      <c r="AF115" s="194">
        <f t="shared" si="35"/>
        <v>0.6847590989946184</v>
      </c>
    </row>
    <row r="116" spans="2:32" s="200" customFormat="1" x14ac:dyDescent="0.25">
      <c r="B116" s="201">
        <v>906</v>
      </c>
      <c r="C116" s="201">
        <v>6</v>
      </c>
      <c r="D116" s="202" t="s">
        <v>152</v>
      </c>
      <c r="E116" s="193">
        <v>223.33999999999997</v>
      </c>
      <c r="F116" s="193">
        <f>INDEX('Revised 2017 Lockdown'!H$5:H$249,MATCH(B116,'Revised 2017 Lockdown'!B$5:B$249,0))</f>
        <v>223.33999999999997</v>
      </c>
      <c r="G116" s="193">
        <f t="shared" si="21"/>
        <v>0</v>
      </c>
      <c r="H116" s="194">
        <v>119241.63</v>
      </c>
      <c r="I116" s="194">
        <f>INDEX('Revised 2017 Lockdown'!E$5:E$249,MATCH(B116,'Revised 2017 Lockdown'!B$5:B$249,0))</f>
        <v>119241.63</v>
      </c>
      <c r="J116" s="194">
        <f t="shared" si="22"/>
        <v>0</v>
      </c>
      <c r="K116" s="194">
        <v>36</v>
      </c>
      <c r="L116" s="194">
        <f>INDEX('Revised 2017 Lockdown'!F$5:F$249,MATCH(B116,'Revised 2017 Lockdown'!B$5:B$249,0))</f>
        <v>36</v>
      </c>
      <c r="M116" s="194">
        <f t="shared" si="23"/>
        <v>0</v>
      </c>
      <c r="N116" s="194">
        <f t="shared" si="19"/>
        <v>119205.63</v>
      </c>
      <c r="O116" s="195">
        <f t="shared" si="19"/>
        <v>119205.63</v>
      </c>
      <c r="P116" s="195">
        <f t="shared" si="24"/>
        <v>0</v>
      </c>
      <c r="Q116" s="95">
        <f t="shared" si="25"/>
        <v>533.74061968299463</v>
      </c>
      <c r="R116" s="196">
        <f t="shared" si="20"/>
        <v>533.74061968299463</v>
      </c>
      <c r="S116" s="194">
        <f t="shared" si="26"/>
        <v>119205.63</v>
      </c>
      <c r="T116" s="197">
        <v>0.74075000000000002</v>
      </c>
      <c r="U116" s="195">
        <f t="shared" si="27"/>
        <v>30690.417204803733</v>
      </c>
      <c r="V116" s="195">
        <f t="shared" si="28"/>
        <v>11522.199402264318</v>
      </c>
      <c r="W116" s="195">
        <f t="shared" si="29"/>
        <v>6820.1779633375099</v>
      </c>
      <c r="X116" s="195">
        <f t="shared" si="30"/>
        <v>1782.8693544089999</v>
      </c>
      <c r="Y116" s="195">
        <f t="shared" si="31"/>
        <v>50815.663924814558</v>
      </c>
      <c r="Z116" s="198">
        <f t="shared" si="32"/>
        <v>0.42628577127451578</v>
      </c>
      <c r="AA116" s="199">
        <f t="shared" si="33"/>
        <v>50943.92868052311</v>
      </c>
      <c r="AB116" s="195"/>
      <c r="AC116" s="199">
        <v>50231.760939711516</v>
      </c>
      <c r="AD116" s="194">
        <f t="shared" si="34"/>
        <v>712.16774081159383</v>
      </c>
      <c r="AE116" s="194">
        <v>705.53731053339288</v>
      </c>
      <c r="AF116" s="194">
        <f t="shared" si="35"/>
        <v>6.6304302782009472</v>
      </c>
    </row>
    <row r="117" spans="2:32" s="200" customFormat="1" x14ac:dyDescent="0.25">
      <c r="B117" s="201">
        <v>917</v>
      </c>
      <c r="C117" s="201">
        <v>6</v>
      </c>
      <c r="D117" s="202" t="s">
        <v>153</v>
      </c>
      <c r="E117" s="193">
        <v>83.135763098139336</v>
      </c>
      <c r="F117" s="193">
        <f>INDEX('Revised 2017 Lockdown'!H$5:H$249,MATCH(B117,'Revised 2017 Lockdown'!B$5:B$249,0))</f>
        <v>83.135763098139336</v>
      </c>
      <c r="G117" s="193">
        <f t="shared" si="21"/>
        <v>0</v>
      </c>
      <c r="H117" s="194">
        <v>58138.080000000002</v>
      </c>
      <c r="I117" s="194">
        <f>INDEX('Revised 2017 Lockdown'!E$5:E$249,MATCH(B117,'Revised 2017 Lockdown'!B$5:B$249,0))</f>
        <v>58138.080000000002</v>
      </c>
      <c r="J117" s="194">
        <f t="shared" si="22"/>
        <v>0</v>
      </c>
      <c r="K117" s="194">
        <v>0</v>
      </c>
      <c r="L117" s="194">
        <f>INDEX('Revised 2017 Lockdown'!F$5:F$249,MATCH(B117,'Revised 2017 Lockdown'!B$5:B$249,0))</f>
        <v>0</v>
      </c>
      <c r="M117" s="194">
        <f t="shared" si="23"/>
        <v>0</v>
      </c>
      <c r="N117" s="194">
        <f t="shared" si="19"/>
        <v>58138.080000000002</v>
      </c>
      <c r="O117" s="195">
        <f t="shared" si="19"/>
        <v>58138.080000000002</v>
      </c>
      <c r="P117" s="195">
        <f t="shared" si="24"/>
        <v>0</v>
      </c>
      <c r="Q117" s="95">
        <f t="shared" si="25"/>
        <v>699.31492577231415</v>
      </c>
      <c r="R117" s="196">
        <f t="shared" si="20"/>
        <v>699.31492577231415</v>
      </c>
      <c r="S117" s="194">
        <f t="shared" si="26"/>
        <v>58138.080000000002</v>
      </c>
      <c r="T117" s="197">
        <v>0.49516666666666664</v>
      </c>
      <c r="U117" s="195">
        <f t="shared" si="27"/>
        <v>14968.101176817368</v>
      </c>
      <c r="V117" s="195">
        <f t="shared" si="28"/>
        <v>4289.0070738612385</v>
      </c>
      <c r="W117" s="195">
        <f t="shared" si="29"/>
        <v>2223.5114298162198</v>
      </c>
      <c r="X117" s="195">
        <f t="shared" si="30"/>
        <v>869.52773250876487</v>
      </c>
      <c r="Y117" s="195">
        <f t="shared" si="31"/>
        <v>22350.147413003593</v>
      </c>
      <c r="Z117" s="198">
        <f t="shared" si="32"/>
        <v>0.38443215553392185</v>
      </c>
      <c r="AA117" s="199">
        <f t="shared" si="33"/>
        <v>22406.561832821477</v>
      </c>
      <c r="AB117" s="195"/>
      <c r="AC117" s="199">
        <v>22080.961444858905</v>
      </c>
      <c r="AD117" s="194">
        <f t="shared" si="34"/>
        <v>325.6003879625714</v>
      </c>
      <c r="AE117" s="194">
        <v>322.79554387188182</v>
      </c>
      <c r="AF117" s="194">
        <f t="shared" si="35"/>
        <v>2.8048440906895848</v>
      </c>
    </row>
    <row r="118" spans="2:32" s="200" customFormat="1" x14ac:dyDescent="0.25">
      <c r="B118" s="201">
        <v>957</v>
      </c>
      <c r="C118" s="201">
        <v>6</v>
      </c>
      <c r="D118" s="202" t="s">
        <v>154</v>
      </c>
      <c r="E118" s="193">
        <v>102.78835312589278</v>
      </c>
      <c r="F118" s="193">
        <f>INDEX('Revised 2017 Lockdown'!H$5:H$249,MATCH(B118,'Revised 2017 Lockdown'!B$5:B$249,0))</f>
        <v>102.78835312589278</v>
      </c>
      <c r="G118" s="193">
        <f t="shared" si="21"/>
        <v>0</v>
      </c>
      <c r="H118" s="194">
        <v>36361.17</v>
      </c>
      <c r="I118" s="194">
        <f>INDEX('Revised 2017 Lockdown'!E$5:E$249,MATCH(B118,'Revised 2017 Lockdown'!B$5:B$249,0))</f>
        <v>36361.17</v>
      </c>
      <c r="J118" s="194">
        <f t="shared" si="22"/>
        <v>0</v>
      </c>
      <c r="K118" s="194">
        <v>0</v>
      </c>
      <c r="L118" s="194">
        <f>INDEX('Revised 2017 Lockdown'!F$5:F$249,MATCH(B118,'Revised 2017 Lockdown'!B$5:B$249,0))</f>
        <v>0</v>
      </c>
      <c r="M118" s="194">
        <f t="shared" si="23"/>
        <v>0</v>
      </c>
      <c r="N118" s="194">
        <f t="shared" si="19"/>
        <v>36361.17</v>
      </c>
      <c r="O118" s="195">
        <f t="shared" si="19"/>
        <v>36361.17</v>
      </c>
      <c r="P118" s="195">
        <f t="shared" si="24"/>
        <v>0</v>
      </c>
      <c r="Q118" s="95">
        <f t="shared" si="25"/>
        <v>353.74795776196243</v>
      </c>
      <c r="R118" s="196">
        <f t="shared" si="20"/>
        <v>353.74795776196243</v>
      </c>
      <c r="S118" s="194">
        <f t="shared" si="26"/>
        <v>36361.17</v>
      </c>
      <c r="T118" s="197">
        <v>0.52616666666666678</v>
      </c>
      <c r="U118" s="195">
        <f t="shared" si="27"/>
        <v>9361.466210570703</v>
      </c>
      <c r="V118" s="195">
        <f t="shared" si="28"/>
        <v>5302.8920074634889</v>
      </c>
      <c r="W118" s="195">
        <f t="shared" si="29"/>
        <v>1477.7074413385856</v>
      </c>
      <c r="X118" s="195">
        <f t="shared" si="30"/>
        <v>543.82679478692319</v>
      </c>
      <c r="Y118" s="195">
        <f t="shared" si="31"/>
        <v>16685.892454159701</v>
      </c>
      <c r="Z118" s="198">
        <f t="shared" si="32"/>
        <v>0.45889316691843801</v>
      </c>
      <c r="AA118" s="199">
        <f t="shared" si="33"/>
        <v>16728.009623436057</v>
      </c>
      <c r="AB118" s="195"/>
      <c r="AC118" s="199">
        <v>16524.480040458027</v>
      </c>
      <c r="AD118" s="194">
        <f t="shared" si="34"/>
        <v>203.52958297802979</v>
      </c>
      <c r="AE118" s="194">
        <v>201.15836866771861</v>
      </c>
      <c r="AF118" s="194">
        <f t="shared" si="35"/>
        <v>2.3712143103111885</v>
      </c>
    </row>
    <row r="119" spans="2:32" s="200" customFormat="1" x14ac:dyDescent="0.25">
      <c r="B119" s="201">
        <v>959</v>
      </c>
      <c r="C119" s="201">
        <v>6</v>
      </c>
      <c r="D119" s="202" t="s">
        <v>155</v>
      </c>
      <c r="E119" s="193">
        <v>350.17274123482861</v>
      </c>
      <c r="F119" s="193">
        <f>INDEX('Revised 2017 Lockdown'!H$5:H$249,MATCH(B119,'Revised 2017 Lockdown'!B$5:B$249,0))</f>
        <v>350.17274123482861</v>
      </c>
      <c r="G119" s="193">
        <f t="shared" si="21"/>
        <v>0</v>
      </c>
      <c r="H119" s="194">
        <v>116846.11</v>
      </c>
      <c r="I119" s="194">
        <f>INDEX('Revised 2017 Lockdown'!E$5:E$249,MATCH(B119,'Revised 2017 Lockdown'!B$5:B$249,0))</f>
        <v>116846.11</v>
      </c>
      <c r="J119" s="194">
        <f t="shared" si="22"/>
        <v>0</v>
      </c>
      <c r="K119" s="194">
        <v>434.45</v>
      </c>
      <c r="L119" s="194">
        <f>INDEX('Revised 2017 Lockdown'!F$5:F$249,MATCH(B119,'Revised 2017 Lockdown'!B$5:B$249,0))</f>
        <v>434.45</v>
      </c>
      <c r="M119" s="194">
        <f t="shared" si="23"/>
        <v>0</v>
      </c>
      <c r="N119" s="194">
        <f t="shared" si="19"/>
        <v>116411.66</v>
      </c>
      <c r="O119" s="195">
        <f t="shared" si="19"/>
        <v>116411.66</v>
      </c>
      <c r="P119" s="195">
        <f t="shared" si="24"/>
        <v>0</v>
      </c>
      <c r="Q119" s="95">
        <f t="shared" si="25"/>
        <v>332.44066796716601</v>
      </c>
      <c r="R119" s="196">
        <f t="shared" si="20"/>
        <v>332.44066796716601</v>
      </c>
      <c r="S119" s="194">
        <f t="shared" si="26"/>
        <v>116411.66</v>
      </c>
      <c r="T119" s="197">
        <v>0.90858333333333341</v>
      </c>
      <c r="U119" s="195">
        <f t="shared" si="27"/>
        <v>29971.087883212916</v>
      </c>
      <c r="V119" s="195">
        <f t="shared" si="28"/>
        <v>18065.550952562011</v>
      </c>
      <c r="W119" s="195">
        <f t="shared" si="29"/>
        <v>8169.3692797667609</v>
      </c>
      <c r="X119" s="195">
        <f t="shared" si="30"/>
        <v>1741.0820370638532</v>
      </c>
      <c r="Y119" s="195">
        <f t="shared" si="31"/>
        <v>57947.090152605539</v>
      </c>
      <c r="Z119" s="198">
        <f t="shared" si="32"/>
        <v>0.49777737172208986</v>
      </c>
      <c r="AA119" s="199">
        <f t="shared" si="33"/>
        <v>58093.355472949326</v>
      </c>
      <c r="AB119" s="195"/>
      <c r="AC119" s="199">
        <v>57354.850492597521</v>
      </c>
      <c r="AD119" s="194">
        <f t="shared" si="34"/>
        <v>738.50498035180499</v>
      </c>
      <c r="AE119" s="194">
        <v>730.28561380792235</v>
      </c>
      <c r="AF119" s="194">
        <f t="shared" si="35"/>
        <v>8.2193665438826429</v>
      </c>
    </row>
    <row r="120" spans="2:32" s="200" customFormat="1" x14ac:dyDescent="0.25">
      <c r="B120" s="201">
        <v>969</v>
      </c>
      <c r="C120" s="201">
        <v>6</v>
      </c>
      <c r="D120" s="202" t="s">
        <v>156</v>
      </c>
      <c r="E120" s="193">
        <v>20.31070143118815</v>
      </c>
      <c r="F120" s="193">
        <f>INDEX('Revised 2017 Lockdown'!H$5:H$249,MATCH(B120,'Revised 2017 Lockdown'!B$5:B$249,0))</f>
        <v>20.31070143118815</v>
      </c>
      <c r="G120" s="193">
        <f t="shared" si="21"/>
        <v>0</v>
      </c>
      <c r="H120" s="194">
        <v>38489.4</v>
      </c>
      <c r="I120" s="194">
        <f>INDEX('Revised 2017 Lockdown'!E$5:E$249,MATCH(B120,'Revised 2017 Lockdown'!B$5:B$249,0))</f>
        <v>38489.4</v>
      </c>
      <c r="J120" s="194">
        <f t="shared" si="22"/>
        <v>0</v>
      </c>
      <c r="K120" s="194">
        <v>0</v>
      </c>
      <c r="L120" s="194">
        <f>INDEX('Revised 2017 Lockdown'!F$5:F$249,MATCH(B120,'Revised 2017 Lockdown'!B$5:B$249,0))</f>
        <v>0</v>
      </c>
      <c r="M120" s="194">
        <f t="shared" si="23"/>
        <v>0</v>
      </c>
      <c r="N120" s="194">
        <f t="shared" si="19"/>
        <v>38489.4</v>
      </c>
      <c r="O120" s="195">
        <f t="shared" si="19"/>
        <v>38489.4</v>
      </c>
      <c r="P120" s="195">
        <f t="shared" si="24"/>
        <v>0</v>
      </c>
      <c r="Q120" s="95">
        <f t="shared" si="25"/>
        <v>1895.030564572108</v>
      </c>
      <c r="R120" s="196">
        <f t="shared" si="20"/>
        <v>1040.9329630986604</v>
      </c>
      <c r="S120" s="194">
        <f t="shared" si="26"/>
        <v>21142.078623378882</v>
      </c>
      <c r="T120" s="197">
        <v>0.26774999999999999</v>
      </c>
      <c r="U120" s="195">
        <f t="shared" si="27"/>
        <v>5443.1926875287718</v>
      </c>
      <c r="V120" s="195">
        <f t="shared" si="28"/>
        <v>1047.8371625772595</v>
      </c>
      <c r="W120" s="195">
        <f t="shared" si="29"/>
        <v>437.22445262574854</v>
      </c>
      <c r="X120" s="195">
        <f t="shared" si="30"/>
        <v>316.20624014258237</v>
      </c>
      <c r="Y120" s="195">
        <f t="shared" si="31"/>
        <v>7244.4605428743616</v>
      </c>
      <c r="Z120" s="198">
        <f t="shared" si="32"/>
        <v>0.34265602128938483</v>
      </c>
      <c r="AA120" s="199">
        <f t="shared" si="33"/>
        <v>7262.7464195116681</v>
      </c>
      <c r="AB120" s="195"/>
      <c r="AC120" s="199">
        <v>7106.6337853512368</v>
      </c>
      <c r="AD120" s="194">
        <f t="shared" si="34"/>
        <v>156.1126341604313</v>
      </c>
      <c r="AE120" s="194">
        <v>140.41587998618797</v>
      </c>
      <c r="AF120" s="194">
        <f t="shared" si="35"/>
        <v>15.696754174243324</v>
      </c>
    </row>
    <row r="121" spans="2:32" s="200" customFormat="1" x14ac:dyDescent="0.25">
      <c r="B121" s="201">
        <v>970</v>
      </c>
      <c r="C121" s="201">
        <v>6</v>
      </c>
      <c r="D121" s="202" t="s">
        <v>157</v>
      </c>
      <c r="E121" s="193">
        <v>175.80943158836462</v>
      </c>
      <c r="F121" s="193">
        <f>INDEX('Revised 2017 Lockdown'!H$5:H$249,MATCH(B121,'Revised 2017 Lockdown'!B$5:B$249,0))</f>
        <v>175.80943158836462</v>
      </c>
      <c r="G121" s="193">
        <f t="shared" si="21"/>
        <v>0</v>
      </c>
      <c r="H121" s="194">
        <v>60933.56</v>
      </c>
      <c r="I121" s="194">
        <f>INDEX('Revised 2017 Lockdown'!E$5:E$249,MATCH(B121,'Revised 2017 Lockdown'!B$5:B$249,0))</f>
        <v>60933.56</v>
      </c>
      <c r="J121" s="194">
        <f t="shared" si="22"/>
        <v>0</v>
      </c>
      <c r="K121" s="194">
        <v>134.5</v>
      </c>
      <c r="L121" s="194">
        <f>INDEX('Revised 2017 Lockdown'!F$5:F$249,MATCH(B121,'Revised 2017 Lockdown'!B$5:B$249,0))</f>
        <v>134.5</v>
      </c>
      <c r="M121" s="194">
        <f t="shared" si="23"/>
        <v>0</v>
      </c>
      <c r="N121" s="194">
        <f t="shared" si="19"/>
        <v>60799.06</v>
      </c>
      <c r="O121" s="195">
        <f t="shared" si="19"/>
        <v>60799.06</v>
      </c>
      <c r="P121" s="195">
        <f t="shared" si="24"/>
        <v>0</v>
      </c>
      <c r="Q121" s="95">
        <f t="shared" si="25"/>
        <v>345.82365377503322</v>
      </c>
      <c r="R121" s="196">
        <f t="shared" si="20"/>
        <v>345.82365377503322</v>
      </c>
      <c r="S121" s="194">
        <f t="shared" si="26"/>
        <v>60799.06</v>
      </c>
      <c r="T121" s="197">
        <v>0.64324999999999999</v>
      </c>
      <c r="U121" s="195">
        <f t="shared" si="27"/>
        <v>15653.191187864988</v>
      </c>
      <c r="V121" s="195">
        <f t="shared" si="28"/>
        <v>9070.0784792687573</v>
      </c>
      <c r="W121" s="195">
        <f t="shared" si="29"/>
        <v>3020.6745694782458</v>
      </c>
      <c r="X121" s="195">
        <f t="shared" si="30"/>
        <v>909.32601799826102</v>
      </c>
      <c r="Y121" s="195">
        <f t="shared" si="31"/>
        <v>28653.270254610252</v>
      </c>
      <c r="Z121" s="198">
        <f t="shared" si="32"/>
        <v>0.47127817855424498</v>
      </c>
      <c r="AA121" s="199">
        <f t="shared" si="33"/>
        <v>28725.594503190303</v>
      </c>
      <c r="AB121" s="195"/>
      <c r="AC121" s="199">
        <v>28369.092632461932</v>
      </c>
      <c r="AD121" s="194">
        <f t="shared" si="34"/>
        <v>356.5018707283707</v>
      </c>
      <c r="AE121" s="194">
        <v>352.42983492398344</v>
      </c>
      <c r="AF121" s="194">
        <f t="shared" si="35"/>
        <v>4.0720358043872693</v>
      </c>
    </row>
    <row r="122" spans="2:32" s="200" customFormat="1" x14ac:dyDescent="0.25">
      <c r="B122" s="39">
        <v>980</v>
      </c>
      <c r="C122" s="39">
        <v>6</v>
      </c>
      <c r="D122" s="203" t="s">
        <v>158</v>
      </c>
      <c r="E122" s="193">
        <v>24.35659315628083</v>
      </c>
      <c r="F122" s="193">
        <f>INDEX('Revised 2017 Lockdown'!H$5:H$249,MATCH(B122,'Revised 2017 Lockdown'!B$5:B$249,0))</f>
        <v>24.35659315628083</v>
      </c>
      <c r="G122" s="193">
        <f t="shared" si="21"/>
        <v>0</v>
      </c>
      <c r="H122" s="194">
        <v>27355.57</v>
      </c>
      <c r="I122" s="194">
        <f>INDEX('Revised 2017 Lockdown'!E$5:E$249,MATCH(B122,'Revised 2017 Lockdown'!B$5:B$249,0))</f>
        <v>27355.57</v>
      </c>
      <c r="J122" s="194">
        <f t="shared" si="22"/>
        <v>0</v>
      </c>
      <c r="K122" s="194">
        <v>0</v>
      </c>
      <c r="L122" s="194">
        <f>INDEX('Revised 2017 Lockdown'!F$5:F$249,MATCH(B122,'Revised 2017 Lockdown'!B$5:B$249,0))</f>
        <v>0</v>
      </c>
      <c r="M122" s="194">
        <f t="shared" si="23"/>
        <v>0</v>
      </c>
      <c r="N122" s="194">
        <f t="shared" si="19"/>
        <v>27355.57</v>
      </c>
      <c r="O122" s="195">
        <f t="shared" si="19"/>
        <v>27355.57</v>
      </c>
      <c r="P122" s="195">
        <f t="shared" si="24"/>
        <v>0</v>
      </c>
      <c r="Q122" s="95">
        <f t="shared" si="25"/>
        <v>1123.1279278048714</v>
      </c>
      <c r="R122" s="196">
        <f t="shared" si="20"/>
        <v>1040.9329630986604</v>
      </c>
      <c r="S122" s="194">
        <f t="shared" si="26"/>
        <v>25353.580685155957</v>
      </c>
      <c r="T122" s="197">
        <v>0.23416666666666669</v>
      </c>
      <c r="U122" s="195">
        <f t="shared" si="27"/>
        <v>6527.4766708845027</v>
      </c>
      <c r="V122" s="195">
        <f t="shared" si="28"/>
        <v>1256.5663253626496</v>
      </c>
      <c r="W122" s="195">
        <f t="shared" si="29"/>
        <v>458.5552361296364</v>
      </c>
      <c r="X122" s="195">
        <f t="shared" si="30"/>
        <v>379.19452317898481</v>
      </c>
      <c r="Y122" s="195">
        <f t="shared" si="31"/>
        <v>8621.7927555557744</v>
      </c>
      <c r="Z122" s="198">
        <f t="shared" si="32"/>
        <v>0.3400621341270218</v>
      </c>
      <c r="AA122" s="199">
        <f t="shared" si="33"/>
        <v>8643.555181865846</v>
      </c>
      <c r="AB122" s="195"/>
      <c r="AC122" s="199">
        <v>8460.252437747753</v>
      </c>
      <c r="AD122" s="194">
        <f t="shared" si="34"/>
        <v>183.30274411809296</v>
      </c>
      <c r="AE122" s="194">
        <v>907.3954021431764</v>
      </c>
      <c r="AF122" s="194">
        <f t="shared" si="35"/>
        <v>-724.09265802508344</v>
      </c>
    </row>
    <row r="123" spans="2:32" s="200" customFormat="1" x14ac:dyDescent="0.25">
      <c r="B123" s="39">
        <v>986</v>
      </c>
      <c r="C123" s="39">
        <v>6</v>
      </c>
      <c r="D123" s="203" t="s">
        <v>159</v>
      </c>
      <c r="E123" s="193">
        <v>8.1405291336202108</v>
      </c>
      <c r="F123" s="193">
        <f>INDEX('Revised 2017 Lockdown'!H$5:H$249,MATCH(B123,'Revised 2017 Lockdown'!B$5:B$249,0))</f>
        <v>8.1405291336202108</v>
      </c>
      <c r="G123" s="193">
        <f t="shared" si="21"/>
        <v>0</v>
      </c>
      <c r="H123" s="194">
        <v>38850.550000000003</v>
      </c>
      <c r="I123" s="194">
        <f>INDEX('Revised 2017 Lockdown'!E$5:E$249,MATCH(B123,'Revised 2017 Lockdown'!B$5:B$249,0))</f>
        <v>38850.550000000003</v>
      </c>
      <c r="J123" s="194">
        <f t="shared" si="22"/>
        <v>0</v>
      </c>
      <c r="K123" s="194">
        <v>0</v>
      </c>
      <c r="L123" s="194">
        <f>INDEX('Revised 2017 Lockdown'!F$5:F$249,MATCH(B123,'Revised 2017 Lockdown'!B$5:B$249,0))</f>
        <v>0</v>
      </c>
      <c r="M123" s="194">
        <f t="shared" si="23"/>
        <v>0</v>
      </c>
      <c r="N123" s="194">
        <f t="shared" si="19"/>
        <v>38850.550000000003</v>
      </c>
      <c r="O123" s="195">
        <f t="shared" si="19"/>
        <v>38850.550000000003</v>
      </c>
      <c r="P123" s="195">
        <f t="shared" si="24"/>
        <v>0</v>
      </c>
      <c r="Q123" s="95">
        <f t="shared" si="25"/>
        <v>4772.48460908371</v>
      </c>
      <c r="R123" s="196">
        <f t="shared" si="20"/>
        <v>1040.9329630986604</v>
      </c>
      <c r="S123" s="194">
        <f t="shared" si="26"/>
        <v>8473.7451122502571</v>
      </c>
      <c r="T123" s="197">
        <v>0.22791666666666668</v>
      </c>
      <c r="U123" s="195">
        <f t="shared" si="27"/>
        <v>2181.6316291615321</v>
      </c>
      <c r="V123" s="195">
        <f t="shared" si="28"/>
        <v>419.97313476096565</v>
      </c>
      <c r="W123" s="195">
        <f t="shared" si="29"/>
        <v>149.16906264391977</v>
      </c>
      <c r="X123" s="195">
        <f t="shared" si="30"/>
        <v>126.73546104914703</v>
      </c>
      <c r="Y123" s="195">
        <f t="shared" si="31"/>
        <v>2877.509287615565</v>
      </c>
      <c r="Z123" s="198">
        <f t="shared" si="32"/>
        <v>0.33957940078415033</v>
      </c>
      <c r="AA123" s="199">
        <f t="shared" si="33"/>
        <v>2884.7724619464402</v>
      </c>
      <c r="AB123" s="195"/>
      <c r="AC123" s="199">
        <v>2823.1673655533041</v>
      </c>
      <c r="AD123" s="194">
        <f t="shared" si="34"/>
        <v>61.605096393136137</v>
      </c>
      <c r="AE123" s="194">
        <v>55.379102527117084</v>
      </c>
      <c r="AF123" s="194">
        <f t="shared" si="35"/>
        <v>6.2259938660190528</v>
      </c>
    </row>
    <row r="124" spans="2:32" s="200" customFormat="1" x14ac:dyDescent="0.25">
      <c r="B124" s="39">
        <v>988</v>
      </c>
      <c r="C124" s="39">
        <v>6</v>
      </c>
      <c r="D124" s="203" t="s">
        <v>160</v>
      </c>
      <c r="E124" s="193">
        <v>136.34894480531173</v>
      </c>
      <c r="F124" s="193">
        <f>INDEX('Revised 2017 Lockdown'!H$5:H$249,MATCH(B124,'Revised 2017 Lockdown'!B$5:B$249,0))</f>
        <v>136.34894480531173</v>
      </c>
      <c r="G124" s="193">
        <f t="shared" si="21"/>
        <v>0</v>
      </c>
      <c r="H124" s="194">
        <v>73072.52</v>
      </c>
      <c r="I124" s="194">
        <f>INDEX('Revised 2017 Lockdown'!E$5:E$249,MATCH(B124,'Revised 2017 Lockdown'!B$5:B$249,0))</f>
        <v>73398.22</v>
      </c>
      <c r="J124" s="194">
        <f t="shared" si="22"/>
        <v>325.69999999999709</v>
      </c>
      <c r="K124" s="194">
        <v>0</v>
      </c>
      <c r="L124" s="194">
        <f>INDEX('Revised 2017 Lockdown'!F$5:F$249,MATCH(B124,'Revised 2017 Lockdown'!B$5:B$249,0))</f>
        <v>0</v>
      </c>
      <c r="M124" s="194">
        <f t="shared" si="23"/>
        <v>0</v>
      </c>
      <c r="N124" s="194">
        <f t="shared" si="19"/>
        <v>73072.52</v>
      </c>
      <c r="O124" s="195">
        <f t="shared" si="19"/>
        <v>73398.22</v>
      </c>
      <c r="P124" s="195">
        <f t="shared" si="24"/>
        <v>325.69999999999709</v>
      </c>
      <c r="Q124" s="95">
        <f t="shared" si="25"/>
        <v>538.31161000037775</v>
      </c>
      <c r="R124" s="196">
        <f t="shared" si="20"/>
        <v>538.31161000037775</v>
      </c>
      <c r="S124" s="194">
        <f t="shared" si="26"/>
        <v>73398.22</v>
      </c>
      <c r="T124" s="197">
        <v>0.82516666666666671</v>
      </c>
      <c r="U124" s="195">
        <f t="shared" si="27"/>
        <v>18896.942987424074</v>
      </c>
      <c r="V124" s="195">
        <f t="shared" si="28"/>
        <v>7034.2962762386196</v>
      </c>
      <c r="W124" s="195">
        <f t="shared" si="29"/>
        <v>4677.9382365368301</v>
      </c>
      <c r="X124" s="195">
        <f t="shared" si="30"/>
        <v>1097.762220678417</v>
      </c>
      <c r="Y124" s="195">
        <f t="shared" si="31"/>
        <v>31706.939720877941</v>
      </c>
      <c r="Z124" s="198">
        <f t="shared" si="32"/>
        <v>0.43198513153149953</v>
      </c>
      <c r="AA124" s="199">
        <f t="shared" si="33"/>
        <v>31786.971792948894</v>
      </c>
      <c r="AB124" s="195"/>
      <c r="AC124" s="199">
        <v>31226.166942322769</v>
      </c>
      <c r="AD124" s="194">
        <f t="shared" si="34"/>
        <v>560.8048506261257</v>
      </c>
      <c r="AE124" s="194">
        <v>556.68400268100231</v>
      </c>
      <c r="AF124" s="194">
        <f t="shared" si="35"/>
        <v>4.120847945123387</v>
      </c>
    </row>
    <row r="125" spans="2:32" s="200" customFormat="1" x14ac:dyDescent="0.25">
      <c r="B125" s="39">
        <v>989</v>
      </c>
      <c r="C125" s="39">
        <v>6</v>
      </c>
      <c r="D125" s="203" t="s">
        <v>161</v>
      </c>
      <c r="E125" s="193">
        <v>440.04353292754996</v>
      </c>
      <c r="F125" s="193">
        <f>INDEX('Revised 2017 Lockdown'!H$5:H$249,MATCH(B125,'Revised 2017 Lockdown'!B$5:B$249,0))</f>
        <v>440.04353292754996</v>
      </c>
      <c r="G125" s="193">
        <f t="shared" si="21"/>
        <v>0</v>
      </c>
      <c r="H125" s="194">
        <v>332675.46000000002</v>
      </c>
      <c r="I125" s="194">
        <f>INDEX('Revised 2017 Lockdown'!E$5:E$249,MATCH(B125,'Revised 2017 Lockdown'!B$5:B$249,0))</f>
        <v>332675.46000000002</v>
      </c>
      <c r="J125" s="194">
        <f t="shared" si="22"/>
        <v>0</v>
      </c>
      <c r="K125" s="194">
        <v>32018.95</v>
      </c>
      <c r="L125" s="194">
        <f>INDEX('Revised 2017 Lockdown'!F$5:F$249,MATCH(B125,'Revised 2017 Lockdown'!B$5:B$249,0))</f>
        <v>32018.95</v>
      </c>
      <c r="M125" s="194">
        <f t="shared" si="23"/>
        <v>0</v>
      </c>
      <c r="N125" s="194">
        <f t="shared" si="19"/>
        <v>300656.51</v>
      </c>
      <c r="O125" s="195">
        <f t="shared" si="19"/>
        <v>300656.51</v>
      </c>
      <c r="P125" s="195">
        <f t="shared" si="24"/>
        <v>0</v>
      </c>
      <c r="Q125" s="95">
        <f t="shared" si="25"/>
        <v>683.24265101630522</v>
      </c>
      <c r="R125" s="196">
        <f t="shared" si="20"/>
        <v>683.24265101630522</v>
      </c>
      <c r="S125" s="194">
        <f t="shared" si="26"/>
        <v>300656.51</v>
      </c>
      <c r="T125" s="197">
        <v>0.61575000000000002</v>
      </c>
      <c r="U125" s="195">
        <f t="shared" si="27"/>
        <v>77406.358468473714</v>
      </c>
      <c r="V125" s="195">
        <f t="shared" si="28"/>
        <v>22702.020829533871</v>
      </c>
      <c r="W125" s="195">
        <f t="shared" si="29"/>
        <v>14298.889568088807</v>
      </c>
      <c r="X125" s="195">
        <f t="shared" si="30"/>
        <v>4496.6943078322975</v>
      </c>
      <c r="Y125" s="195">
        <f t="shared" si="31"/>
        <v>118903.96317392869</v>
      </c>
      <c r="Z125" s="198">
        <f t="shared" si="32"/>
        <v>0.39548108628656897</v>
      </c>
      <c r="AA125" s="199">
        <f t="shared" si="33"/>
        <v>119204.09086313585</v>
      </c>
      <c r="AB125" s="195"/>
      <c r="AC125" s="199">
        <v>117465.04269086638</v>
      </c>
      <c r="AD125" s="194">
        <f t="shared" si="34"/>
        <v>1739.0481722694676</v>
      </c>
      <c r="AE125" s="194">
        <v>1724.1163248539378</v>
      </c>
      <c r="AF125" s="194">
        <f t="shared" si="35"/>
        <v>14.931847415529774</v>
      </c>
    </row>
    <row r="126" spans="2:32" s="200" customFormat="1" x14ac:dyDescent="0.25">
      <c r="B126" s="201">
        <v>39</v>
      </c>
      <c r="C126" s="201">
        <v>7</v>
      </c>
      <c r="D126" s="202" t="s">
        <v>162</v>
      </c>
      <c r="E126" s="193">
        <v>410.4</v>
      </c>
      <c r="F126" s="193">
        <f>INDEX('Revised 2017 Lockdown'!H$5:H$249,MATCH(B126,'Revised 2017 Lockdown'!B$5:B$249,0))</f>
        <v>410.4</v>
      </c>
      <c r="G126" s="193">
        <f t="shared" si="21"/>
        <v>0</v>
      </c>
      <c r="H126" s="194">
        <v>115923.68</v>
      </c>
      <c r="I126" s="194">
        <f>INDEX('Revised 2017 Lockdown'!E$5:E$249,MATCH(B126,'Revised 2017 Lockdown'!B$5:B$249,0))</f>
        <v>115923.68</v>
      </c>
      <c r="J126" s="194">
        <f t="shared" si="22"/>
        <v>0</v>
      </c>
      <c r="K126" s="194">
        <v>480</v>
      </c>
      <c r="L126" s="194">
        <f>INDEX('Revised 2017 Lockdown'!F$5:F$249,MATCH(B126,'Revised 2017 Lockdown'!B$5:B$249,0))</f>
        <v>480</v>
      </c>
      <c r="M126" s="194">
        <f t="shared" si="23"/>
        <v>0</v>
      </c>
      <c r="N126" s="194">
        <f t="shared" si="19"/>
        <v>115443.68</v>
      </c>
      <c r="O126" s="195">
        <f t="shared" si="19"/>
        <v>115443.68</v>
      </c>
      <c r="P126" s="195">
        <f t="shared" si="24"/>
        <v>0</v>
      </c>
      <c r="Q126" s="95">
        <f t="shared" si="25"/>
        <v>281.2955165692008</v>
      </c>
      <c r="R126" s="196">
        <f t="shared" si="20"/>
        <v>281.2955165692008</v>
      </c>
      <c r="S126" s="194">
        <f t="shared" si="26"/>
        <v>115443.68000000001</v>
      </c>
      <c r="T126" s="197">
        <v>0.73825000000000007</v>
      </c>
      <c r="U126" s="195">
        <f t="shared" si="27"/>
        <v>29721.87389855543</v>
      </c>
      <c r="V126" s="195">
        <f t="shared" si="28"/>
        <v>21172.699179230211</v>
      </c>
      <c r="W126" s="195">
        <f t="shared" si="29"/>
        <v>6582.6520216825647</v>
      </c>
      <c r="X126" s="195">
        <f t="shared" si="30"/>
        <v>1726.6046849649565</v>
      </c>
      <c r="Y126" s="195">
        <f t="shared" si="31"/>
        <v>59203.829784433161</v>
      </c>
      <c r="Z126" s="198">
        <f t="shared" si="32"/>
        <v>0.51283734011626414</v>
      </c>
      <c r="AA126" s="199">
        <f t="shared" si="33"/>
        <v>59353.267264489434</v>
      </c>
      <c r="AB126" s="195"/>
      <c r="AC126" s="199">
        <v>58657.075028840969</v>
      </c>
      <c r="AD126" s="194">
        <f t="shared" si="34"/>
        <v>696.1922356484647</v>
      </c>
      <c r="AE126" s="194">
        <v>687.45197573587211</v>
      </c>
      <c r="AF126" s="194">
        <f t="shared" si="35"/>
        <v>8.7402599125925917</v>
      </c>
    </row>
    <row r="127" spans="2:32" s="200" customFormat="1" x14ac:dyDescent="0.25">
      <c r="B127" s="201">
        <v>59</v>
      </c>
      <c r="C127" s="201">
        <v>7</v>
      </c>
      <c r="D127" s="202" t="s">
        <v>163</v>
      </c>
      <c r="E127" s="193">
        <v>270.47377712324817</v>
      </c>
      <c r="F127" s="193">
        <f>INDEX('Revised 2017 Lockdown'!H$5:H$249,MATCH(B127,'Revised 2017 Lockdown'!B$5:B$249,0))</f>
        <v>270.47377712324817</v>
      </c>
      <c r="G127" s="193">
        <f t="shared" si="21"/>
        <v>0</v>
      </c>
      <c r="H127" s="194">
        <v>160123.23000000001</v>
      </c>
      <c r="I127" s="194">
        <f>INDEX('Revised 2017 Lockdown'!E$5:E$249,MATCH(B127,'Revised 2017 Lockdown'!B$5:B$249,0))</f>
        <v>160123.23000000001</v>
      </c>
      <c r="J127" s="194">
        <f t="shared" si="22"/>
        <v>0</v>
      </c>
      <c r="K127" s="194">
        <v>0</v>
      </c>
      <c r="L127" s="194">
        <f>INDEX('Revised 2017 Lockdown'!F$5:F$249,MATCH(B127,'Revised 2017 Lockdown'!B$5:B$249,0))</f>
        <v>0</v>
      </c>
      <c r="M127" s="194">
        <f t="shared" si="23"/>
        <v>0</v>
      </c>
      <c r="N127" s="194">
        <f t="shared" si="19"/>
        <v>160123.23000000001</v>
      </c>
      <c r="O127" s="195">
        <f t="shared" si="19"/>
        <v>160123.23000000001</v>
      </c>
      <c r="P127" s="195">
        <f t="shared" si="24"/>
        <v>0</v>
      </c>
      <c r="Q127" s="95">
        <f t="shared" si="25"/>
        <v>592.01018192250058</v>
      </c>
      <c r="R127" s="196">
        <f t="shared" si="20"/>
        <v>592.01018192250058</v>
      </c>
      <c r="S127" s="194">
        <f t="shared" si="26"/>
        <v>160123.23000000001</v>
      </c>
      <c r="T127" s="197">
        <v>0.14000000000000001</v>
      </c>
      <c r="U127" s="195">
        <f t="shared" si="27"/>
        <v>41224.971780953172</v>
      </c>
      <c r="V127" s="195">
        <f t="shared" si="28"/>
        <v>13953.849704923714</v>
      </c>
      <c r="W127" s="195">
        <f t="shared" si="29"/>
        <v>1731.4488148000335</v>
      </c>
      <c r="X127" s="195">
        <f t="shared" si="30"/>
        <v>2394.8432611444932</v>
      </c>
      <c r="Y127" s="195">
        <f t="shared" si="31"/>
        <v>59305.11356182141</v>
      </c>
      <c r="Z127" s="198">
        <f t="shared" si="32"/>
        <v>0.3703717041045288</v>
      </c>
      <c r="AA127" s="199">
        <f t="shared" si="33"/>
        <v>59454.806694130566</v>
      </c>
      <c r="AB127" s="195"/>
      <c r="AC127" s="199">
        <v>58674.891892704436</v>
      </c>
      <c r="AD127" s="194">
        <f t="shared" si="34"/>
        <v>779.91480142613</v>
      </c>
      <c r="AE127" s="194">
        <v>772.17316229614516</v>
      </c>
      <c r="AF127" s="194">
        <f t="shared" si="35"/>
        <v>7.7416391299848328</v>
      </c>
    </row>
    <row r="128" spans="2:32" s="200" customFormat="1" x14ac:dyDescent="0.25">
      <c r="B128" s="201">
        <v>128</v>
      </c>
      <c r="C128" s="201">
        <v>7</v>
      </c>
      <c r="D128" s="202" t="s">
        <v>164</v>
      </c>
      <c r="E128" s="193">
        <v>162.90807403927388</v>
      </c>
      <c r="F128" s="193">
        <f>INDEX('Revised 2017 Lockdown'!H$5:H$249,MATCH(B128,'Revised 2017 Lockdown'!B$5:B$249,0))</f>
        <v>162.90807403927388</v>
      </c>
      <c r="G128" s="193">
        <f t="shared" si="21"/>
        <v>0</v>
      </c>
      <c r="H128" s="194">
        <v>97728.05</v>
      </c>
      <c r="I128" s="194">
        <f>INDEX('Revised 2017 Lockdown'!E$5:E$249,MATCH(B128,'Revised 2017 Lockdown'!B$5:B$249,0))</f>
        <v>97728.05</v>
      </c>
      <c r="J128" s="194">
        <f t="shared" si="22"/>
        <v>0</v>
      </c>
      <c r="K128" s="194">
        <v>305.20999999999998</v>
      </c>
      <c r="L128" s="194">
        <f>INDEX('Revised 2017 Lockdown'!F$5:F$249,MATCH(B128,'Revised 2017 Lockdown'!B$5:B$249,0))</f>
        <v>305.20999999999998</v>
      </c>
      <c r="M128" s="194">
        <f t="shared" si="23"/>
        <v>0</v>
      </c>
      <c r="N128" s="194">
        <f t="shared" si="19"/>
        <v>97422.84</v>
      </c>
      <c r="O128" s="195">
        <f t="shared" si="19"/>
        <v>97422.84</v>
      </c>
      <c r="P128" s="195">
        <f t="shared" si="24"/>
        <v>0</v>
      </c>
      <c r="Q128" s="95">
        <f t="shared" si="25"/>
        <v>598.02339800858056</v>
      </c>
      <c r="R128" s="196">
        <f t="shared" si="20"/>
        <v>598.02339800858056</v>
      </c>
      <c r="S128" s="194">
        <f t="shared" si="26"/>
        <v>97422.84</v>
      </c>
      <c r="T128" s="197">
        <v>5.6500000000000002E-2</v>
      </c>
      <c r="U128" s="195">
        <f t="shared" si="27"/>
        <v>25082.268386793818</v>
      </c>
      <c r="V128" s="195">
        <f t="shared" si="28"/>
        <v>8404.4923135996814</v>
      </c>
      <c r="W128" s="195">
        <f t="shared" si="29"/>
        <v>425.14444915615519</v>
      </c>
      <c r="X128" s="195">
        <f t="shared" si="30"/>
        <v>1457.0804739297237</v>
      </c>
      <c r="Y128" s="195">
        <f t="shared" si="31"/>
        <v>35368.985623479377</v>
      </c>
      <c r="Z128" s="198">
        <f t="shared" si="32"/>
        <v>0.3630461360342131</v>
      </c>
      <c r="AA128" s="199">
        <f t="shared" si="33"/>
        <v>35458.26113323887</v>
      </c>
      <c r="AB128" s="195"/>
      <c r="AC128" s="199">
        <v>34996.250350769813</v>
      </c>
      <c r="AD128" s="194">
        <f t="shared" si="34"/>
        <v>462.01078246905672</v>
      </c>
      <c r="AE128" s="194">
        <v>457.38900220414507</v>
      </c>
      <c r="AF128" s="194">
        <f t="shared" si="35"/>
        <v>4.6217802649116493</v>
      </c>
    </row>
    <row r="129" spans="2:32" s="200" customFormat="1" x14ac:dyDescent="0.25">
      <c r="B129" s="201">
        <v>152</v>
      </c>
      <c r="C129" s="201">
        <v>7</v>
      </c>
      <c r="D129" s="202" t="s">
        <v>165</v>
      </c>
      <c r="E129" s="193">
        <v>349.11658476040691</v>
      </c>
      <c r="F129" s="193">
        <f>INDEX('Revised 2017 Lockdown'!H$5:H$249,MATCH(B129,'Revised 2017 Lockdown'!B$5:B$249,0))</f>
        <v>349.11658476040691</v>
      </c>
      <c r="G129" s="193">
        <f t="shared" si="21"/>
        <v>0</v>
      </c>
      <c r="H129" s="194">
        <v>154963.87</v>
      </c>
      <c r="I129" s="194">
        <f>INDEX('Revised 2017 Lockdown'!E$5:E$249,MATCH(B129,'Revised 2017 Lockdown'!B$5:B$249,0))</f>
        <v>154963.87</v>
      </c>
      <c r="J129" s="194">
        <f t="shared" si="22"/>
        <v>0</v>
      </c>
      <c r="K129" s="194">
        <v>38032.97</v>
      </c>
      <c r="L129" s="194">
        <f>INDEX('Revised 2017 Lockdown'!F$5:F$249,MATCH(B129,'Revised 2017 Lockdown'!B$5:B$249,0))</f>
        <v>38032.97</v>
      </c>
      <c r="M129" s="194">
        <f t="shared" si="23"/>
        <v>0</v>
      </c>
      <c r="N129" s="194">
        <f t="shared" si="19"/>
        <v>116930.9</v>
      </c>
      <c r="O129" s="195">
        <f t="shared" si="19"/>
        <v>116930.9</v>
      </c>
      <c r="P129" s="195">
        <f t="shared" si="24"/>
        <v>0</v>
      </c>
      <c r="Q129" s="95">
        <f t="shared" si="25"/>
        <v>334.93367288823526</v>
      </c>
      <c r="R129" s="196">
        <f t="shared" si="20"/>
        <v>334.93367288823526</v>
      </c>
      <c r="S129" s="194">
        <f t="shared" si="26"/>
        <v>116930.9</v>
      </c>
      <c r="T129" s="197">
        <v>0.28000000000000003</v>
      </c>
      <c r="U129" s="195">
        <f t="shared" si="27"/>
        <v>30104.770262387639</v>
      </c>
      <c r="V129" s="195">
        <f t="shared" si="28"/>
        <v>18011.063420107999</v>
      </c>
      <c r="W129" s="195">
        <f t="shared" si="29"/>
        <v>2528.8007020405621</v>
      </c>
      <c r="X129" s="195">
        <f t="shared" si="30"/>
        <v>1748.847920970371</v>
      </c>
      <c r="Y129" s="195">
        <f t="shared" si="31"/>
        <v>52393.482305506572</v>
      </c>
      <c r="Z129" s="198">
        <f t="shared" si="32"/>
        <v>0.44807217173139496</v>
      </c>
      <c r="AA129" s="199">
        <f t="shared" si="33"/>
        <v>52525.729661726873</v>
      </c>
      <c r="AB129" s="195"/>
      <c r="AC129" s="199">
        <v>51917.114715113603</v>
      </c>
      <c r="AD129" s="194">
        <f t="shared" si="34"/>
        <v>608.61494661327015</v>
      </c>
      <c r="AE129" s="194">
        <v>601.01032516553096</v>
      </c>
      <c r="AF129" s="194">
        <f t="shared" si="35"/>
        <v>7.6046214477391914</v>
      </c>
    </row>
    <row r="130" spans="2:32" s="200" customFormat="1" x14ac:dyDescent="0.25">
      <c r="B130" s="201">
        <v>162</v>
      </c>
      <c r="C130" s="201">
        <v>7</v>
      </c>
      <c r="D130" s="202" t="s">
        <v>166</v>
      </c>
      <c r="E130" s="193">
        <v>801.95999999999992</v>
      </c>
      <c r="F130" s="193">
        <f>INDEX('Revised 2017 Lockdown'!H$5:H$249,MATCH(B130,'Revised 2017 Lockdown'!B$5:B$249,0))</f>
        <v>801.95999999999992</v>
      </c>
      <c r="G130" s="193">
        <f t="shared" si="21"/>
        <v>0</v>
      </c>
      <c r="H130" s="194">
        <v>369094.26</v>
      </c>
      <c r="I130" s="194">
        <f>INDEX('Revised 2017 Lockdown'!E$5:E$249,MATCH(B130,'Revised 2017 Lockdown'!B$5:B$249,0))</f>
        <v>369094.26</v>
      </c>
      <c r="J130" s="194">
        <f t="shared" si="22"/>
        <v>0</v>
      </c>
      <c r="K130" s="194">
        <v>31965.68</v>
      </c>
      <c r="L130" s="194">
        <f>INDEX('Revised 2017 Lockdown'!F$5:F$249,MATCH(B130,'Revised 2017 Lockdown'!B$5:B$249,0))</f>
        <v>31965.68</v>
      </c>
      <c r="M130" s="194">
        <f t="shared" si="23"/>
        <v>0</v>
      </c>
      <c r="N130" s="194">
        <f t="shared" si="19"/>
        <v>337128.58</v>
      </c>
      <c r="O130" s="195">
        <f t="shared" si="19"/>
        <v>337128.58</v>
      </c>
      <c r="P130" s="195">
        <f t="shared" si="24"/>
        <v>0</v>
      </c>
      <c r="Q130" s="95">
        <f t="shared" si="25"/>
        <v>420.38079205945439</v>
      </c>
      <c r="R130" s="196">
        <f t="shared" si="20"/>
        <v>420.38079205945439</v>
      </c>
      <c r="S130" s="194">
        <f t="shared" si="26"/>
        <v>337128.58</v>
      </c>
      <c r="T130" s="197">
        <v>0.90866666666666673</v>
      </c>
      <c r="U130" s="195">
        <f t="shared" si="27"/>
        <v>86796.376747164119</v>
      </c>
      <c r="V130" s="195">
        <f t="shared" si="28"/>
        <v>41373.43526748407</v>
      </c>
      <c r="W130" s="195">
        <f t="shared" si="29"/>
        <v>23660.692301276944</v>
      </c>
      <c r="X130" s="195">
        <f t="shared" si="30"/>
        <v>5042.1797508844411</v>
      </c>
      <c r="Y130" s="195">
        <f t="shared" si="31"/>
        <v>156872.6840668096</v>
      </c>
      <c r="Z130" s="198">
        <f t="shared" si="32"/>
        <v>0.4653200392171129</v>
      </c>
      <c r="AA130" s="199">
        <f t="shared" si="33"/>
        <v>157268.6493055782</v>
      </c>
      <c r="AB130" s="195"/>
      <c r="AC130" s="199">
        <v>155137.07543037317</v>
      </c>
      <c r="AD130" s="194">
        <f t="shared" si="34"/>
        <v>2131.5738752050383</v>
      </c>
      <c r="AE130" s="194">
        <v>2110.3075095823733</v>
      </c>
      <c r="AF130" s="194">
        <f t="shared" si="35"/>
        <v>21.266365622665035</v>
      </c>
    </row>
    <row r="131" spans="2:32" s="200" customFormat="1" x14ac:dyDescent="0.25">
      <c r="B131" s="201">
        <v>166</v>
      </c>
      <c r="C131" s="201">
        <v>7</v>
      </c>
      <c r="D131" s="202" t="s">
        <v>167</v>
      </c>
      <c r="E131" s="193">
        <v>876.06119999999987</v>
      </c>
      <c r="F131" s="193">
        <f>INDEX('Revised 2017 Lockdown'!H$5:H$249,MATCH(B131,'Revised 2017 Lockdown'!B$5:B$249,0))</f>
        <v>890.20999999999981</v>
      </c>
      <c r="G131" s="193">
        <f t="shared" si="21"/>
        <v>14.148799999999937</v>
      </c>
      <c r="H131" s="194">
        <v>426068.96</v>
      </c>
      <c r="I131" s="194">
        <f>INDEX('Revised 2017 Lockdown'!E$5:E$249,MATCH(B131,'Revised 2017 Lockdown'!B$5:B$249,0))</f>
        <v>426068.96</v>
      </c>
      <c r="J131" s="194">
        <f t="shared" si="22"/>
        <v>0</v>
      </c>
      <c r="K131" s="194">
        <v>137468.31999999998</v>
      </c>
      <c r="L131" s="194">
        <f>INDEX('Revised 2017 Lockdown'!F$5:F$249,MATCH(B131,'Revised 2017 Lockdown'!B$5:B$249,0))</f>
        <v>137468.31999999998</v>
      </c>
      <c r="M131" s="194">
        <f t="shared" si="23"/>
        <v>0</v>
      </c>
      <c r="N131" s="194">
        <f t="shared" si="19"/>
        <v>288600.64</v>
      </c>
      <c r="O131" s="195">
        <f t="shared" si="19"/>
        <v>288600.64</v>
      </c>
      <c r="P131" s="195">
        <f t="shared" si="24"/>
        <v>0</v>
      </c>
      <c r="Q131" s="95">
        <f t="shared" si="25"/>
        <v>324.19388683569053</v>
      </c>
      <c r="R131" s="196">
        <f t="shared" si="20"/>
        <v>324.19388683569053</v>
      </c>
      <c r="S131" s="194">
        <f t="shared" si="26"/>
        <v>288600.64</v>
      </c>
      <c r="T131" s="197">
        <v>0.76008333333333333</v>
      </c>
      <c r="U131" s="195">
        <f t="shared" si="27"/>
        <v>74302.480907767254</v>
      </c>
      <c r="V131" s="195">
        <f t="shared" si="28"/>
        <v>45926.287856585099</v>
      </c>
      <c r="W131" s="195">
        <f t="shared" si="29"/>
        <v>16942.823208993632</v>
      </c>
      <c r="X131" s="195">
        <f t="shared" si="30"/>
        <v>4316.3836869015686</v>
      </c>
      <c r="Y131" s="195">
        <f t="shared" si="31"/>
        <v>141487.97566024755</v>
      </c>
      <c r="Z131" s="198">
        <f t="shared" si="32"/>
        <v>0.49025523872797905</v>
      </c>
      <c r="AA131" s="199">
        <f t="shared" si="33"/>
        <v>141845.10807242285</v>
      </c>
      <c r="AB131" s="195"/>
      <c r="AC131" s="199">
        <v>139348.85098336285</v>
      </c>
      <c r="AD131" s="194">
        <f t="shared" si="34"/>
        <v>2496.2570890600036</v>
      </c>
      <c r="AE131" s="194">
        <v>2475.9775951766933</v>
      </c>
      <c r="AF131" s="194">
        <f t="shared" si="35"/>
        <v>20.279493883310352</v>
      </c>
    </row>
    <row r="132" spans="2:32" s="200" customFormat="1" x14ac:dyDescent="0.25">
      <c r="B132" s="201">
        <v>192</v>
      </c>
      <c r="C132" s="201">
        <v>7</v>
      </c>
      <c r="D132" s="202" t="s">
        <v>168</v>
      </c>
      <c r="E132" s="193">
        <v>179.21000000000006</v>
      </c>
      <c r="F132" s="193">
        <f>INDEX('Revised 2017 Lockdown'!H$5:H$249,MATCH(B132,'Revised 2017 Lockdown'!B$5:B$249,0))</f>
        <v>179.21000000000006</v>
      </c>
      <c r="G132" s="193">
        <f t="shared" si="21"/>
        <v>0</v>
      </c>
      <c r="H132" s="194">
        <v>96817.45</v>
      </c>
      <c r="I132" s="194">
        <f>INDEX('Revised 2017 Lockdown'!E$5:E$249,MATCH(B132,'Revised 2017 Lockdown'!B$5:B$249,0))</f>
        <v>96817.45</v>
      </c>
      <c r="J132" s="194">
        <f t="shared" si="22"/>
        <v>0</v>
      </c>
      <c r="K132" s="194">
        <v>28148.03</v>
      </c>
      <c r="L132" s="194">
        <f>INDEX('Revised 2017 Lockdown'!F$5:F$249,MATCH(B132,'Revised 2017 Lockdown'!B$5:B$249,0))</f>
        <v>28148.03</v>
      </c>
      <c r="M132" s="194">
        <f t="shared" si="23"/>
        <v>0</v>
      </c>
      <c r="N132" s="194">
        <f t="shared" si="19"/>
        <v>68669.42</v>
      </c>
      <c r="O132" s="195">
        <f t="shared" si="19"/>
        <v>68669.42</v>
      </c>
      <c r="P132" s="195">
        <f t="shared" si="24"/>
        <v>0</v>
      </c>
      <c r="Q132" s="95">
        <f t="shared" si="25"/>
        <v>383.17850566374631</v>
      </c>
      <c r="R132" s="196">
        <f t="shared" si="20"/>
        <v>383.17850566374631</v>
      </c>
      <c r="S132" s="194">
        <f t="shared" si="26"/>
        <v>68669.42</v>
      </c>
      <c r="T132" s="197">
        <v>0.69900000000000007</v>
      </c>
      <c r="U132" s="195">
        <f t="shared" si="27"/>
        <v>17679.476623812927</v>
      </c>
      <c r="V132" s="195">
        <f t="shared" si="28"/>
        <v>9245.5151557257504</v>
      </c>
      <c r="W132" s="195">
        <f t="shared" si="29"/>
        <v>3707.3862480135713</v>
      </c>
      <c r="X132" s="195">
        <f t="shared" si="30"/>
        <v>1027.0370996994056</v>
      </c>
      <c r="Y132" s="195">
        <f t="shared" si="31"/>
        <v>31659.415127251657</v>
      </c>
      <c r="Z132" s="198">
        <f t="shared" si="32"/>
        <v>0.46104095720120625</v>
      </c>
      <c r="AA132" s="199">
        <f t="shared" si="33"/>
        <v>31739.327241618219</v>
      </c>
      <c r="AB132" s="195"/>
      <c r="AC132" s="199">
        <v>31331.23995497448</v>
      </c>
      <c r="AD132" s="194">
        <f t="shared" si="34"/>
        <v>408.08728664373848</v>
      </c>
      <c r="AE132" s="194">
        <v>403.6873492746854</v>
      </c>
      <c r="AF132" s="194">
        <f t="shared" si="35"/>
        <v>4.3999373690530774</v>
      </c>
    </row>
    <row r="133" spans="2:32" s="200" customFormat="1" x14ac:dyDescent="0.25">
      <c r="B133" s="201">
        <v>205</v>
      </c>
      <c r="C133" s="201">
        <v>7</v>
      </c>
      <c r="D133" s="202" t="s">
        <v>169</v>
      </c>
      <c r="E133" s="193">
        <v>697.88310122153791</v>
      </c>
      <c r="F133" s="193">
        <f>INDEX('Revised 2017 Lockdown'!H$5:H$249,MATCH(B133,'Revised 2017 Lockdown'!B$5:B$249,0))</f>
        <v>697.88310122153791</v>
      </c>
      <c r="G133" s="193">
        <f t="shared" si="21"/>
        <v>0</v>
      </c>
      <c r="H133" s="194">
        <v>396318.41</v>
      </c>
      <c r="I133" s="194">
        <f>INDEX('Revised 2017 Lockdown'!E$5:E$249,MATCH(B133,'Revised 2017 Lockdown'!B$5:B$249,0))</f>
        <v>396318.41</v>
      </c>
      <c r="J133" s="194">
        <f t="shared" si="22"/>
        <v>0</v>
      </c>
      <c r="K133" s="194">
        <v>15454.5</v>
      </c>
      <c r="L133" s="194">
        <f>INDEX('Revised 2017 Lockdown'!F$5:F$249,MATCH(B133,'Revised 2017 Lockdown'!B$5:B$249,0))</f>
        <v>15454.5</v>
      </c>
      <c r="M133" s="194">
        <f t="shared" si="23"/>
        <v>0</v>
      </c>
      <c r="N133" s="194">
        <f t="shared" si="19"/>
        <v>380863.91</v>
      </c>
      <c r="O133" s="195">
        <f t="shared" si="19"/>
        <v>380863.91</v>
      </c>
      <c r="P133" s="195">
        <f t="shared" si="24"/>
        <v>0</v>
      </c>
      <c r="Q133" s="95">
        <f t="shared" si="25"/>
        <v>545.74169991128281</v>
      </c>
      <c r="R133" s="196">
        <f t="shared" si="20"/>
        <v>545.74169991128281</v>
      </c>
      <c r="S133" s="194">
        <f t="shared" si="26"/>
        <v>380863.91</v>
      </c>
      <c r="T133" s="197">
        <v>0.52249999999999996</v>
      </c>
      <c r="U133" s="195">
        <f t="shared" si="27"/>
        <v>98056.377841825248</v>
      </c>
      <c r="V133" s="195">
        <f t="shared" si="28"/>
        <v>36004.06667746562</v>
      </c>
      <c r="W133" s="195">
        <f t="shared" si="29"/>
        <v>15370.337226706106</v>
      </c>
      <c r="X133" s="195">
        <f t="shared" si="30"/>
        <v>5696.2963354951216</v>
      </c>
      <c r="Y133" s="195">
        <f t="shared" si="31"/>
        <v>155127.0780814921</v>
      </c>
      <c r="Z133" s="198">
        <f t="shared" si="32"/>
        <v>0.4073031705248526</v>
      </c>
      <c r="AA133" s="199">
        <f t="shared" si="33"/>
        <v>155518.63720395762</v>
      </c>
      <c r="AB133" s="195"/>
      <c r="AC133" s="199">
        <v>153377.43276488487</v>
      </c>
      <c r="AD133" s="194">
        <f t="shared" si="34"/>
        <v>2141.2044390727533</v>
      </c>
      <c r="AE133" s="194">
        <v>2120.9090572005953</v>
      </c>
      <c r="AF133" s="194">
        <f t="shared" si="35"/>
        <v>20.295381872158032</v>
      </c>
    </row>
    <row r="134" spans="2:32" s="200" customFormat="1" x14ac:dyDescent="0.25">
      <c r="B134" s="201">
        <v>212</v>
      </c>
      <c r="C134" s="201">
        <v>7</v>
      </c>
      <c r="D134" s="202" t="s">
        <v>170</v>
      </c>
      <c r="E134" s="193">
        <v>463.08399263108981</v>
      </c>
      <c r="F134" s="193">
        <f>INDEX('Revised 2017 Lockdown'!H$5:H$249,MATCH(B134,'Revised 2017 Lockdown'!B$5:B$249,0))</f>
        <v>463.08399263108981</v>
      </c>
      <c r="G134" s="193">
        <f t="shared" si="21"/>
        <v>0</v>
      </c>
      <c r="H134" s="194">
        <v>240439.65</v>
      </c>
      <c r="I134" s="194">
        <f>INDEX('Revised 2017 Lockdown'!E$5:E$249,MATCH(B134,'Revised 2017 Lockdown'!B$5:B$249,0))</f>
        <v>240439.65</v>
      </c>
      <c r="J134" s="194">
        <f t="shared" si="22"/>
        <v>0</v>
      </c>
      <c r="K134" s="194">
        <v>909</v>
      </c>
      <c r="L134" s="194">
        <f>INDEX('Revised 2017 Lockdown'!F$5:F$249,MATCH(B134,'Revised 2017 Lockdown'!B$5:B$249,0))</f>
        <v>909</v>
      </c>
      <c r="M134" s="194">
        <f t="shared" si="23"/>
        <v>0</v>
      </c>
      <c r="N134" s="194">
        <f t="shared" si="19"/>
        <v>239530.65</v>
      </c>
      <c r="O134" s="195">
        <f t="shared" si="19"/>
        <v>239530.65</v>
      </c>
      <c r="P134" s="195">
        <f t="shared" si="24"/>
        <v>0</v>
      </c>
      <c r="Q134" s="95">
        <f t="shared" si="25"/>
        <v>517.25098213623448</v>
      </c>
      <c r="R134" s="196">
        <f t="shared" si="20"/>
        <v>517.25098213623448</v>
      </c>
      <c r="S134" s="194">
        <f t="shared" si="26"/>
        <v>239530.64999999997</v>
      </c>
      <c r="T134" s="197">
        <v>0.20141666666666666</v>
      </c>
      <c r="U134" s="195">
        <f t="shared" si="27"/>
        <v>61669.030077168492</v>
      </c>
      <c r="V134" s="195">
        <f t="shared" si="28"/>
        <v>23890.687306761516</v>
      </c>
      <c r="W134" s="195">
        <f t="shared" si="29"/>
        <v>3726.351142412906</v>
      </c>
      <c r="X134" s="195">
        <f t="shared" si="30"/>
        <v>3582.4805869208358</v>
      </c>
      <c r="Y134" s="195">
        <f t="shared" si="31"/>
        <v>92868.549113263754</v>
      </c>
      <c r="Z134" s="198">
        <f t="shared" si="32"/>
        <v>0.38771050432695675</v>
      </c>
      <c r="AA134" s="199">
        <f t="shared" si="33"/>
        <v>93102.960333053081</v>
      </c>
      <c r="AB134" s="195"/>
      <c r="AC134" s="199">
        <v>91891.016764495871</v>
      </c>
      <c r="AD134" s="194">
        <f t="shared" si="34"/>
        <v>1211.9435685572098</v>
      </c>
      <c r="AE134" s="194">
        <v>1199.5392329873721</v>
      </c>
      <c r="AF134" s="194">
        <f t="shared" si="35"/>
        <v>12.404335569837713</v>
      </c>
    </row>
    <row r="135" spans="2:32" s="200" customFormat="1" x14ac:dyDescent="0.25">
      <c r="B135" s="201">
        <v>216</v>
      </c>
      <c r="C135" s="201">
        <v>7</v>
      </c>
      <c r="D135" s="202" t="s">
        <v>171</v>
      </c>
      <c r="E135" s="193">
        <v>777.10128664585602</v>
      </c>
      <c r="F135" s="193">
        <f>INDEX('Revised 2017 Lockdown'!H$5:H$249,MATCH(B135,'Revised 2017 Lockdown'!B$5:B$249,0))</f>
        <v>764.29003707426727</v>
      </c>
      <c r="G135" s="193">
        <f t="shared" si="21"/>
        <v>-12.811249571588746</v>
      </c>
      <c r="H135" s="194">
        <v>341277.21</v>
      </c>
      <c r="I135" s="194">
        <f>INDEX('Revised 2017 Lockdown'!E$5:E$249,MATCH(B135,'Revised 2017 Lockdown'!B$5:B$249,0))</f>
        <v>336769.59</v>
      </c>
      <c r="J135" s="194">
        <f t="shared" si="22"/>
        <v>-4507.6199999999953</v>
      </c>
      <c r="K135" s="194">
        <v>500</v>
      </c>
      <c r="L135" s="194">
        <f>INDEX('Revised 2017 Lockdown'!F$5:F$249,MATCH(B135,'Revised 2017 Lockdown'!B$5:B$249,0))</f>
        <v>500</v>
      </c>
      <c r="M135" s="194">
        <f t="shared" si="23"/>
        <v>0</v>
      </c>
      <c r="N135" s="194">
        <f t="shared" si="19"/>
        <v>340777.21</v>
      </c>
      <c r="O135" s="195">
        <f t="shared" si="19"/>
        <v>336269.59</v>
      </c>
      <c r="P135" s="195">
        <f t="shared" si="24"/>
        <v>-4507.6199999999953</v>
      </c>
      <c r="Q135" s="95">
        <f t="shared" si="25"/>
        <v>439.97641430372875</v>
      </c>
      <c r="R135" s="196">
        <f t="shared" si="20"/>
        <v>439.97641430372875</v>
      </c>
      <c r="S135" s="194">
        <f t="shared" si="26"/>
        <v>336269.59</v>
      </c>
      <c r="T135" s="197">
        <v>0.63050000000000006</v>
      </c>
      <c r="U135" s="195">
        <f t="shared" si="27"/>
        <v>86575.223086261089</v>
      </c>
      <c r="V135" s="195">
        <f t="shared" si="28"/>
        <v>39430.026902183643</v>
      </c>
      <c r="W135" s="195">
        <f t="shared" si="29"/>
        <v>16375.703446766285</v>
      </c>
      <c r="X135" s="195">
        <f t="shared" si="30"/>
        <v>5029.3324806108494</v>
      </c>
      <c r="Y135" s="195">
        <f t="shared" si="31"/>
        <v>147410.28591582185</v>
      </c>
      <c r="Z135" s="198">
        <f t="shared" si="32"/>
        <v>0.43836936285502903</v>
      </c>
      <c r="AA135" s="199">
        <f t="shared" si="33"/>
        <v>147782.36694067859</v>
      </c>
      <c r="AB135" s="195"/>
      <c r="AC135" s="199">
        <v>147883.50471486137</v>
      </c>
      <c r="AD135" s="194">
        <f t="shared" si="34"/>
        <v>-101.13777418277459</v>
      </c>
      <c r="AE135" s="194">
        <v>-121.13471580305486</v>
      </c>
      <c r="AF135" s="194">
        <f t="shared" si="35"/>
        <v>19.996941620280268</v>
      </c>
    </row>
    <row r="136" spans="2:32" s="200" customFormat="1" x14ac:dyDescent="0.25">
      <c r="B136" s="201">
        <v>229</v>
      </c>
      <c r="C136" s="201">
        <v>7</v>
      </c>
      <c r="D136" s="202" t="s">
        <v>172</v>
      </c>
      <c r="E136" s="193">
        <v>820.78999999999985</v>
      </c>
      <c r="F136" s="193">
        <f>INDEX('Revised 2017 Lockdown'!H$5:H$249,MATCH(B136,'Revised 2017 Lockdown'!B$5:B$249,0))</f>
        <v>820.78999999999985</v>
      </c>
      <c r="G136" s="193">
        <f t="shared" si="21"/>
        <v>0</v>
      </c>
      <c r="H136" s="194">
        <v>433626.26</v>
      </c>
      <c r="I136" s="194">
        <f>INDEX('Revised 2017 Lockdown'!E$5:E$249,MATCH(B136,'Revised 2017 Lockdown'!B$5:B$249,0))</f>
        <v>433626.26</v>
      </c>
      <c r="J136" s="194">
        <f t="shared" si="22"/>
        <v>0</v>
      </c>
      <c r="K136" s="194">
        <v>126732.33000000002</v>
      </c>
      <c r="L136" s="194">
        <f>INDEX('Revised 2017 Lockdown'!F$5:F$249,MATCH(B136,'Revised 2017 Lockdown'!B$5:B$249,0))</f>
        <v>126732.33000000002</v>
      </c>
      <c r="M136" s="194">
        <f t="shared" si="23"/>
        <v>0</v>
      </c>
      <c r="N136" s="194">
        <f t="shared" si="19"/>
        <v>306893.93</v>
      </c>
      <c r="O136" s="195">
        <f t="shared" si="19"/>
        <v>306893.93</v>
      </c>
      <c r="P136" s="195">
        <f t="shared" si="24"/>
        <v>0</v>
      </c>
      <c r="Q136" s="95">
        <f t="shared" si="25"/>
        <v>373.90066886779817</v>
      </c>
      <c r="R136" s="196">
        <f t="shared" si="20"/>
        <v>373.90066886779817</v>
      </c>
      <c r="S136" s="194">
        <f t="shared" si="26"/>
        <v>306893.93</v>
      </c>
      <c r="T136" s="197">
        <v>0.67066666666666674</v>
      </c>
      <c r="U136" s="195">
        <f t="shared" si="27"/>
        <v>79012.230792470378</v>
      </c>
      <c r="V136" s="195">
        <f t="shared" si="28"/>
        <v>42344.882454484316</v>
      </c>
      <c r="W136" s="195">
        <f t="shared" si="29"/>
        <v>15897.26083544504</v>
      </c>
      <c r="X136" s="195">
        <f t="shared" si="30"/>
        <v>4589.9827285937818</v>
      </c>
      <c r="Y136" s="195">
        <f t="shared" si="31"/>
        <v>141844.35681099351</v>
      </c>
      <c r="Z136" s="198">
        <f t="shared" si="32"/>
        <v>0.46219342562752386</v>
      </c>
      <c r="AA136" s="199">
        <f t="shared" si="33"/>
        <v>142202.3887714126</v>
      </c>
      <c r="AB136" s="195"/>
      <c r="AC136" s="199">
        <v>140402.65252839634</v>
      </c>
      <c r="AD136" s="194">
        <f t="shared" si="34"/>
        <v>1799.7362430162611</v>
      </c>
      <c r="AE136" s="194">
        <v>1779.9079358263698</v>
      </c>
      <c r="AF136" s="194">
        <f t="shared" si="35"/>
        <v>19.828307189891348</v>
      </c>
    </row>
    <row r="137" spans="2:32" s="200" customFormat="1" x14ac:dyDescent="0.25">
      <c r="B137" s="201">
        <v>236</v>
      </c>
      <c r="C137" s="201">
        <v>7</v>
      </c>
      <c r="D137" s="202" t="s">
        <v>173</v>
      </c>
      <c r="E137" s="193">
        <v>1079.3800000000001</v>
      </c>
      <c r="F137" s="193">
        <f>INDEX('Revised 2017 Lockdown'!H$5:H$249,MATCH(B137,'Revised 2017 Lockdown'!B$5:B$249,0))</f>
        <v>1079.3800000000001</v>
      </c>
      <c r="G137" s="193">
        <f t="shared" si="21"/>
        <v>0</v>
      </c>
      <c r="H137" s="194">
        <v>596827.42000000004</v>
      </c>
      <c r="I137" s="194">
        <f>INDEX('Revised 2017 Lockdown'!E$5:E$249,MATCH(B137,'Revised 2017 Lockdown'!B$5:B$249,0))</f>
        <v>596827.42000000004</v>
      </c>
      <c r="J137" s="194">
        <f t="shared" si="22"/>
        <v>0</v>
      </c>
      <c r="K137" s="194">
        <v>137001.84999999998</v>
      </c>
      <c r="L137" s="194">
        <f>INDEX('Revised 2017 Lockdown'!F$5:F$249,MATCH(B137,'Revised 2017 Lockdown'!B$5:B$249,0))</f>
        <v>137001.84999999998</v>
      </c>
      <c r="M137" s="194">
        <f t="shared" si="23"/>
        <v>0</v>
      </c>
      <c r="N137" s="194">
        <f t="shared" si="19"/>
        <v>459825.57000000007</v>
      </c>
      <c r="O137" s="195">
        <f t="shared" si="19"/>
        <v>459825.57000000007</v>
      </c>
      <c r="P137" s="195">
        <f t="shared" si="24"/>
        <v>0</v>
      </c>
      <c r="Q137" s="95">
        <f t="shared" si="25"/>
        <v>426.008977375901</v>
      </c>
      <c r="R137" s="196">
        <f t="shared" si="20"/>
        <v>426.008977375901</v>
      </c>
      <c r="S137" s="194">
        <f t="shared" si="26"/>
        <v>459825.57000000007</v>
      </c>
      <c r="T137" s="197">
        <v>0.74483333333333335</v>
      </c>
      <c r="U137" s="195">
        <f t="shared" si="27"/>
        <v>118385.67175675077</v>
      </c>
      <c r="V137" s="195">
        <f t="shared" si="28"/>
        <v>55685.643372508552</v>
      </c>
      <c r="W137" s="195">
        <f t="shared" si="29"/>
        <v>26453.27835404596</v>
      </c>
      <c r="X137" s="195">
        <f t="shared" si="30"/>
        <v>6877.2667627078554</v>
      </c>
      <c r="Y137" s="195">
        <f t="shared" si="31"/>
        <v>207401.86024601312</v>
      </c>
      <c r="Z137" s="198">
        <f t="shared" si="32"/>
        <v>0.45104464339817618</v>
      </c>
      <c r="AA137" s="199">
        <f t="shared" si="33"/>
        <v>207925.36711148109</v>
      </c>
      <c r="AB137" s="195"/>
      <c r="AC137" s="199">
        <v>205185.19476289413</v>
      </c>
      <c r="AD137" s="194">
        <f t="shared" si="34"/>
        <v>2740.1723485869588</v>
      </c>
      <c r="AE137" s="194">
        <v>2711.9745495940733</v>
      </c>
      <c r="AF137" s="194">
        <f t="shared" si="35"/>
        <v>28.19779899288551</v>
      </c>
    </row>
    <row r="138" spans="2:32" s="200" customFormat="1" x14ac:dyDescent="0.25">
      <c r="B138" s="201">
        <v>239</v>
      </c>
      <c r="C138" s="201">
        <v>7</v>
      </c>
      <c r="D138" s="202" t="s">
        <v>174</v>
      </c>
      <c r="E138" s="193">
        <v>3332.4437947019587</v>
      </c>
      <c r="F138" s="193">
        <f>INDEX('Revised 2017 Lockdown'!H$5:H$249,MATCH(B138,'Revised 2017 Lockdown'!B$5:B$249,0))</f>
        <v>3332.4437947019587</v>
      </c>
      <c r="G138" s="193">
        <f t="shared" si="21"/>
        <v>0</v>
      </c>
      <c r="H138" s="194">
        <v>1716224.8</v>
      </c>
      <c r="I138" s="194">
        <f>INDEX('Revised 2017 Lockdown'!E$5:E$249,MATCH(B138,'Revised 2017 Lockdown'!B$5:B$249,0))</f>
        <v>1716224.8</v>
      </c>
      <c r="J138" s="194">
        <f t="shared" si="22"/>
        <v>0</v>
      </c>
      <c r="K138" s="194">
        <v>526079.6</v>
      </c>
      <c r="L138" s="194">
        <f>INDEX('Revised 2017 Lockdown'!F$5:F$249,MATCH(B138,'Revised 2017 Lockdown'!B$5:B$249,0))</f>
        <v>526079.6</v>
      </c>
      <c r="M138" s="194">
        <f t="shared" si="23"/>
        <v>0</v>
      </c>
      <c r="N138" s="194">
        <f t="shared" si="19"/>
        <v>1190145.2000000002</v>
      </c>
      <c r="O138" s="195">
        <f t="shared" si="19"/>
        <v>1190145.2000000002</v>
      </c>
      <c r="P138" s="195">
        <f t="shared" si="24"/>
        <v>0</v>
      </c>
      <c r="Q138" s="95">
        <f t="shared" si="25"/>
        <v>357.13886664559402</v>
      </c>
      <c r="R138" s="196">
        <f t="shared" si="20"/>
        <v>357.13886664559402</v>
      </c>
      <c r="S138" s="194">
        <f t="shared" si="26"/>
        <v>1190145.2000000002</v>
      </c>
      <c r="T138" s="197">
        <v>0.90774999999999995</v>
      </c>
      <c r="U138" s="195">
        <f t="shared" si="27"/>
        <v>306412.14447920438</v>
      </c>
      <c r="V138" s="195">
        <f t="shared" si="28"/>
        <v>171922.10038235132</v>
      </c>
      <c r="W138" s="195">
        <f t="shared" si="29"/>
        <v>83443.687245299327</v>
      </c>
      <c r="X138" s="195">
        <f t="shared" si="30"/>
        <v>17800.110652298641</v>
      </c>
      <c r="Y138" s="195">
        <f t="shared" si="31"/>
        <v>579578.04275915364</v>
      </c>
      <c r="Z138" s="198">
        <f t="shared" si="32"/>
        <v>0.48698095220579268</v>
      </c>
      <c r="AA138" s="199">
        <f t="shared" si="33"/>
        <v>581040.96639975649</v>
      </c>
      <c r="AB138" s="195"/>
      <c r="AC138" s="199">
        <v>573578.46043687977</v>
      </c>
      <c r="AD138" s="194">
        <f t="shared" si="34"/>
        <v>7462.5059628767194</v>
      </c>
      <c r="AE138" s="194">
        <v>7381.4439035610994</v>
      </c>
      <c r="AF138" s="194">
        <f t="shared" si="35"/>
        <v>81.06205931561999</v>
      </c>
    </row>
    <row r="139" spans="2:32" s="200" customFormat="1" x14ac:dyDescent="0.25">
      <c r="B139" s="201">
        <v>249</v>
      </c>
      <c r="C139" s="201">
        <v>7</v>
      </c>
      <c r="D139" s="202" t="s">
        <v>175</v>
      </c>
      <c r="E139" s="193">
        <v>1232.5183570890767</v>
      </c>
      <c r="F139" s="193">
        <f>INDEX('Revised 2017 Lockdown'!H$5:H$249,MATCH(B139,'Revised 2017 Lockdown'!B$5:B$249,0))</f>
        <v>1232.5183570890767</v>
      </c>
      <c r="G139" s="193">
        <f t="shared" si="21"/>
        <v>0</v>
      </c>
      <c r="H139" s="194">
        <v>536656.37</v>
      </c>
      <c r="I139" s="194">
        <f>INDEX('Revised 2017 Lockdown'!E$5:E$249,MATCH(B139,'Revised 2017 Lockdown'!B$5:B$249,0))</f>
        <v>536656.37</v>
      </c>
      <c r="J139" s="194">
        <f t="shared" si="22"/>
        <v>0</v>
      </c>
      <c r="K139" s="194">
        <v>0</v>
      </c>
      <c r="L139" s="194">
        <f>INDEX('Revised 2017 Lockdown'!F$5:F$249,MATCH(B139,'Revised 2017 Lockdown'!B$5:B$249,0))</f>
        <v>0</v>
      </c>
      <c r="M139" s="194">
        <f t="shared" si="23"/>
        <v>0</v>
      </c>
      <c r="N139" s="194">
        <f t="shared" si="19"/>
        <v>536656.37</v>
      </c>
      <c r="O139" s="195">
        <f t="shared" si="19"/>
        <v>536656.37</v>
      </c>
      <c r="P139" s="195">
        <f t="shared" si="24"/>
        <v>0</v>
      </c>
      <c r="Q139" s="95">
        <f t="shared" si="25"/>
        <v>435.41450471168497</v>
      </c>
      <c r="R139" s="196">
        <f t="shared" si="20"/>
        <v>435.41450471168497</v>
      </c>
      <c r="S139" s="194">
        <f t="shared" si="26"/>
        <v>536656.37</v>
      </c>
      <c r="T139" s="197">
        <v>0.7636666666666666</v>
      </c>
      <c r="U139" s="195">
        <f t="shared" si="27"/>
        <v>138166.35918048094</v>
      </c>
      <c r="V139" s="195">
        <f t="shared" si="28"/>
        <v>63586.112104108353</v>
      </c>
      <c r="W139" s="195">
        <f t="shared" si="29"/>
        <v>31653.912888248185</v>
      </c>
      <c r="X139" s="195">
        <f t="shared" si="30"/>
        <v>8026.3675123513658</v>
      </c>
      <c r="Y139" s="195">
        <f t="shared" si="31"/>
        <v>241432.75168518885</v>
      </c>
      <c r="Z139" s="198">
        <f t="shared" si="32"/>
        <v>0.44988332419344779</v>
      </c>
      <c r="AA139" s="199">
        <f t="shared" si="33"/>
        <v>242042.15655217558</v>
      </c>
      <c r="AB139" s="195"/>
      <c r="AC139" s="199">
        <v>238818.56675788475</v>
      </c>
      <c r="AD139" s="194">
        <f t="shared" si="34"/>
        <v>3223.5897942908341</v>
      </c>
      <c r="AE139" s="194">
        <v>3190.9206957342394</v>
      </c>
      <c r="AF139" s="194">
        <f t="shared" si="35"/>
        <v>32.66909855659469</v>
      </c>
    </row>
    <row r="140" spans="2:32" s="200" customFormat="1" x14ac:dyDescent="0.25">
      <c r="B140" s="201">
        <v>271</v>
      </c>
      <c r="C140" s="201">
        <v>7</v>
      </c>
      <c r="D140" s="202" t="s">
        <v>176</v>
      </c>
      <c r="E140" s="193">
        <v>877.30000000000018</v>
      </c>
      <c r="F140" s="193">
        <f>INDEX('Revised 2017 Lockdown'!H$5:H$249,MATCH(B140,'Revised 2017 Lockdown'!B$5:B$249,0))</f>
        <v>877.30000000000018</v>
      </c>
      <c r="G140" s="193">
        <f t="shared" si="21"/>
        <v>0</v>
      </c>
      <c r="H140" s="194">
        <v>610218.35</v>
      </c>
      <c r="I140" s="194">
        <f>INDEX('Revised 2017 Lockdown'!E$5:E$249,MATCH(B140,'Revised 2017 Lockdown'!B$5:B$249,0))</f>
        <v>606427.9</v>
      </c>
      <c r="J140" s="194">
        <f t="shared" si="22"/>
        <v>-3790.4499999999534</v>
      </c>
      <c r="K140" s="194">
        <v>147638.22</v>
      </c>
      <c r="L140" s="194">
        <f>INDEX('Revised 2017 Lockdown'!F$5:F$249,MATCH(B140,'Revised 2017 Lockdown'!B$5:B$249,0))</f>
        <v>147638.22</v>
      </c>
      <c r="M140" s="194">
        <f t="shared" si="23"/>
        <v>0</v>
      </c>
      <c r="N140" s="194">
        <f t="shared" si="19"/>
        <v>462580.13</v>
      </c>
      <c r="O140" s="195">
        <f t="shared" si="19"/>
        <v>458789.68000000005</v>
      </c>
      <c r="P140" s="195">
        <f t="shared" si="24"/>
        <v>-3790.4499999999534</v>
      </c>
      <c r="Q140" s="95">
        <f t="shared" si="25"/>
        <v>522.95643451498916</v>
      </c>
      <c r="R140" s="196">
        <f t="shared" si="20"/>
        <v>522.95643451498916</v>
      </c>
      <c r="S140" s="194">
        <f t="shared" si="26"/>
        <v>458789.68000000011</v>
      </c>
      <c r="T140" s="197">
        <v>0.82424999999999993</v>
      </c>
      <c r="U140" s="195">
        <f t="shared" si="27"/>
        <v>118118.97381405895</v>
      </c>
      <c r="V140" s="195">
        <f t="shared" si="28"/>
        <v>45260.255823437306</v>
      </c>
      <c r="W140" s="195">
        <f t="shared" si="29"/>
        <v>29207.869249871423</v>
      </c>
      <c r="X140" s="195">
        <f t="shared" si="30"/>
        <v>6861.7737315855948</v>
      </c>
      <c r="Y140" s="195">
        <f t="shared" si="31"/>
        <v>199448.87261895329</v>
      </c>
      <c r="Z140" s="198">
        <f t="shared" si="32"/>
        <v>0.43472833264024868</v>
      </c>
      <c r="AA140" s="199">
        <f t="shared" si="33"/>
        <v>199952.30520148663</v>
      </c>
      <c r="AB140" s="195"/>
      <c r="AC140" s="199">
        <v>198406.30776433824</v>
      </c>
      <c r="AD140" s="194">
        <f t="shared" si="34"/>
        <v>1545.9974371483841</v>
      </c>
      <c r="AE140" s="194">
        <v>2796.9131184465368</v>
      </c>
      <c r="AF140" s="194">
        <f t="shared" si="35"/>
        <v>-1250.9156812981528</v>
      </c>
    </row>
    <row r="141" spans="2:32" s="200" customFormat="1" x14ac:dyDescent="0.25">
      <c r="B141" s="201">
        <v>275</v>
      </c>
      <c r="C141" s="201">
        <v>7</v>
      </c>
      <c r="D141" s="202" t="s">
        <v>177</v>
      </c>
      <c r="E141" s="193">
        <v>688.04999999999984</v>
      </c>
      <c r="F141" s="193">
        <f>INDEX('Revised 2017 Lockdown'!H$5:H$249,MATCH(B141,'Revised 2017 Lockdown'!B$5:B$249,0))</f>
        <v>688.04999999999984</v>
      </c>
      <c r="G141" s="193">
        <f t="shared" si="21"/>
        <v>0</v>
      </c>
      <c r="H141" s="194">
        <v>307156.09999999998</v>
      </c>
      <c r="I141" s="194">
        <f>INDEX('Revised 2017 Lockdown'!E$5:E$249,MATCH(B141,'Revised 2017 Lockdown'!B$5:B$249,0))</f>
        <v>307156.09999999998</v>
      </c>
      <c r="J141" s="194">
        <f t="shared" si="22"/>
        <v>0</v>
      </c>
      <c r="K141" s="194">
        <v>62551.649999999994</v>
      </c>
      <c r="L141" s="194">
        <f>INDEX('Revised 2017 Lockdown'!F$5:F$249,MATCH(B141,'Revised 2017 Lockdown'!B$5:B$249,0))</f>
        <v>62551.649999999994</v>
      </c>
      <c r="M141" s="194">
        <f t="shared" si="23"/>
        <v>0</v>
      </c>
      <c r="N141" s="194">
        <f t="shared" si="19"/>
        <v>244604.44999999998</v>
      </c>
      <c r="O141" s="195">
        <f t="shared" si="19"/>
        <v>244604.44999999998</v>
      </c>
      <c r="P141" s="195">
        <f t="shared" si="24"/>
        <v>0</v>
      </c>
      <c r="Q141" s="95">
        <f t="shared" si="25"/>
        <v>355.50388779885191</v>
      </c>
      <c r="R141" s="196">
        <f t="shared" si="20"/>
        <v>355.50388779885191</v>
      </c>
      <c r="S141" s="194">
        <f t="shared" si="26"/>
        <v>244604.45</v>
      </c>
      <c r="T141" s="197">
        <v>0.64058333333333339</v>
      </c>
      <c r="U141" s="195">
        <f t="shared" si="27"/>
        <v>62975.319375868014</v>
      </c>
      <c r="V141" s="195">
        <f t="shared" si="28"/>
        <v>35496.773075705038</v>
      </c>
      <c r="W141" s="195">
        <f t="shared" si="29"/>
        <v>12102.282001057438</v>
      </c>
      <c r="X141" s="195">
        <f t="shared" si="30"/>
        <v>3658.36561458606</v>
      </c>
      <c r="Y141" s="195">
        <f t="shared" si="31"/>
        <v>114232.74006721655</v>
      </c>
      <c r="Z141" s="198">
        <f t="shared" si="32"/>
        <v>0.4670100648913646</v>
      </c>
      <c r="AA141" s="199">
        <f t="shared" si="33"/>
        <v>114521.07703591815</v>
      </c>
      <c r="AB141" s="195"/>
      <c r="AC141" s="199">
        <v>113095.10178661821</v>
      </c>
      <c r="AD141" s="194">
        <f t="shared" si="34"/>
        <v>1425.9752492999396</v>
      </c>
      <c r="AE141" s="194">
        <v>1409.828638273757</v>
      </c>
      <c r="AF141" s="194">
        <f t="shared" si="35"/>
        <v>16.146611026182654</v>
      </c>
    </row>
    <row r="142" spans="2:32" s="200" customFormat="1" x14ac:dyDescent="0.25">
      <c r="B142" s="201">
        <v>282</v>
      </c>
      <c r="C142" s="201">
        <v>7</v>
      </c>
      <c r="D142" s="202" t="s">
        <v>178</v>
      </c>
      <c r="E142" s="193">
        <v>157.14795911338896</v>
      </c>
      <c r="F142" s="193">
        <f>INDEX('Revised 2017 Lockdown'!H$5:H$249,MATCH(B142,'Revised 2017 Lockdown'!B$5:B$249,0))</f>
        <v>157.14795911338896</v>
      </c>
      <c r="G142" s="193">
        <f t="shared" si="21"/>
        <v>0</v>
      </c>
      <c r="H142" s="194">
        <v>53696.52</v>
      </c>
      <c r="I142" s="194">
        <f>INDEX('Revised 2017 Lockdown'!E$5:E$249,MATCH(B142,'Revised 2017 Lockdown'!B$5:B$249,0))</f>
        <v>53696.52</v>
      </c>
      <c r="J142" s="194">
        <f t="shared" si="22"/>
        <v>0</v>
      </c>
      <c r="K142" s="194">
        <v>0</v>
      </c>
      <c r="L142" s="194">
        <f>INDEX('Revised 2017 Lockdown'!F$5:F$249,MATCH(B142,'Revised 2017 Lockdown'!B$5:B$249,0))</f>
        <v>0</v>
      </c>
      <c r="M142" s="194">
        <f t="shared" si="23"/>
        <v>0</v>
      </c>
      <c r="N142" s="194">
        <f t="shared" si="19"/>
        <v>53696.52</v>
      </c>
      <c r="O142" s="195">
        <f t="shared" si="19"/>
        <v>53696.52</v>
      </c>
      <c r="P142" s="195">
        <f t="shared" si="24"/>
        <v>0</v>
      </c>
      <c r="Q142" s="95">
        <f t="shared" si="25"/>
        <v>341.69403346342961</v>
      </c>
      <c r="R142" s="196">
        <f t="shared" si="20"/>
        <v>341.69403346342961</v>
      </c>
      <c r="S142" s="194">
        <f t="shared" si="26"/>
        <v>53696.52</v>
      </c>
      <c r="T142" s="197">
        <v>0.28000000000000003</v>
      </c>
      <c r="U142" s="195">
        <f t="shared" si="27"/>
        <v>13824.586986756309</v>
      </c>
      <c r="V142" s="195">
        <f t="shared" si="28"/>
        <v>8107.3256942927719</v>
      </c>
      <c r="W142" s="195">
        <f t="shared" si="29"/>
        <v>1161.26530688753</v>
      </c>
      <c r="X142" s="195">
        <f t="shared" si="30"/>
        <v>803.0986451429344</v>
      </c>
      <c r="Y142" s="195">
        <f t="shared" si="31"/>
        <v>23896.276633079546</v>
      </c>
      <c r="Z142" s="198">
        <f t="shared" si="32"/>
        <v>0.44502468005523538</v>
      </c>
      <c r="AA142" s="199">
        <f t="shared" si="33"/>
        <v>23956.593666213677</v>
      </c>
      <c r="AB142" s="195"/>
      <c r="AC142" s="199">
        <v>23677.247319434711</v>
      </c>
      <c r="AD142" s="194">
        <f t="shared" si="34"/>
        <v>279.34634677896611</v>
      </c>
      <c r="AE142" s="194">
        <v>275.89211980585969</v>
      </c>
      <c r="AF142" s="194">
        <f t="shared" si="35"/>
        <v>3.4542269731064152</v>
      </c>
    </row>
    <row r="143" spans="2:32" s="200" customFormat="1" x14ac:dyDescent="0.25">
      <c r="B143" s="201">
        <v>287</v>
      </c>
      <c r="C143" s="201">
        <v>7</v>
      </c>
      <c r="D143" s="202" t="s">
        <v>179</v>
      </c>
      <c r="E143" s="193">
        <v>197.77748625633771</v>
      </c>
      <c r="F143" s="193">
        <f>INDEX('Revised 2017 Lockdown'!H$5:H$249,MATCH(B143,'Revised 2017 Lockdown'!B$5:B$249,0))</f>
        <v>197.77748625633771</v>
      </c>
      <c r="G143" s="193">
        <f t="shared" si="21"/>
        <v>0</v>
      </c>
      <c r="H143" s="194">
        <v>120033.56</v>
      </c>
      <c r="I143" s="194">
        <f>INDEX('Revised 2017 Lockdown'!E$5:E$249,MATCH(B143,'Revised 2017 Lockdown'!B$5:B$249,0))</f>
        <v>120033.56</v>
      </c>
      <c r="J143" s="194">
        <f t="shared" si="22"/>
        <v>0</v>
      </c>
      <c r="K143" s="194">
        <v>0</v>
      </c>
      <c r="L143" s="194">
        <f>INDEX('Revised 2017 Lockdown'!F$5:F$249,MATCH(B143,'Revised 2017 Lockdown'!B$5:B$249,0))</f>
        <v>0</v>
      </c>
      <c r="M143" s="194">
        <f t="shared" si="23"/>
        <v>0</v>
      </c>
      <c r="N143" s="194">
        <f t="shared" si="19"/>
        <v>120033.56</v>
      </c>
      <c r="O143" s="195">
        <f t="shared" si="19"/>
        <v>120033.56</v>
      </c>
      <c r="P143" s="195">
        <f t="shared" si="24"/>
        <v>0</v>
      </c>
      <c r="Q143" s="95">
        <f t="shared" si="25"/>
        <v>606.91215300626038</v>
      </c>
      <c r="R143" s="196">
        <f t="shared" si="20"/>
        <v>603.86505352200527</v>
      </c>
      <c r="S143" s="194">
        <f t="shared" si="26"/>
        <v>119430.91232363103</v>
      </c>
      <c r="T143" s="197">
        <v>0.22433333333333333</v>
      </c>
      <c r="U143" s="195">
        <f t="shared" si="27"/>
        <v>30748.417892364407</v>
      </c>
      <c r="V143" s="195">
        <f t="shared" si="28"/>
        <v>10203.419154312322</v>
      </c>
      <c r="W143" s="195">
        <f t="shared" si="29"/>
        <v>2069.3685241561243</v>
      </c>
      <c r="X143" s="195">
        <f t="shared" si="30"/>
        <v>1786.2387334466493</v>
      </c>
      <c r="Y143" s="195">
        <f t="shared" si="31"/>
        <v>44807.444304279503</v>
      </c>
      <c r="Z143" s="198">
        <f t="shared" si="32"/>
        <v>0.37517459619550897</v>
      </c>
      <c r="AA143" s="199">
        <f t="shared" si="33"/>
        <v>44920.543601892074</v>
      </c>
      <c r="AB143" s="195"/>
      <c r="AC143" s="199">
        <v>44310.772062145239</v>
      </c>
      <c r="AD143" s="194">
        <f t="shared" si="34"/>
        <v>609.77153974683461</v>
      </c>
      <c r="AE143" s="194">
        <v>615.0906549417632</v>
      </c>
      <c r="AF143" s="194">
        <f t="shared" si="35"/>
        <v>-5.3191151949285995</v>
      </c>
    </row>
    <row r="144" spans="2:32" s="200" customFormat="1" x14ac:dyDescent="0.25">
      <c r="B144" s="201">
        <v>290</v>
      </c>
      <c r="C144" s="201">
        <v>7</v>
      </c>
      <c r="D144" s="202" t="s">
        <v>180</v>
      </c>
      <c r="E144" s="193">
        <v>355.11230382289364</v>
      </c>
      <c r="F144" s="193">
        <f>INDEX('Revised 2017 Lockdown'!H$5:H$249,MATCH(B144,'Revised 2017 Lockdown'!B$5:B$249,0))</f>
        <v>355.11230382289364</v>
      </c>
      <c r="G144" s="193">
        <f t="shared" si="21"/>
        <v>0</v>
      </c>
      <c r="H144" s="194">
        <v>175443.77</v>
      </c>
      <c r="I144" s="194">
        <f>INDEX('Revised 2017 Lockdown'!E$5:E$249,MATCH(B144,'Revised 2017 Lockdown'!B$5:B$249,0))</f>
        <v>175443.77</v>
      </c>
      <c r="J144" s="194">
        <f t="shared" si="22"/>
        <v>0</v>
      </c>
      <c r="K144" s="194">
        <v>210</v>
      </c>
      <c r="L144" s="194">
        <f>INDEX('Revised 2017 Lockdown'!F$5:F$249,MATCH(B144,'Revised 2017 Lockdown'!B$5:B$249,0))</f>
        <v>210</v>
      </c>
      <c r="M144" s="194">
        <f t="shared" si="23"/>
        <v>0</v>
      </c>
      <c r="N144" s="194">
        <f t="shared" si="19"/>
        <v>175233.77</v>
      </c>
      <c r="O144" s="195">
        <f t="shared" si="19"/>
        <v>175233.77</v>
      </c>
      <c r="P144" s="195">
        <f t="shared" si="24"/>
        <v>0</v>
      </c>
      <c r="Q144" s="95">
        <f t="shared" si="25"/>
        <v>493.46014799699793</v>
      </c>
      <c r="R144" s="196">
        <f t="shared" si="20"/>
        <v>493.46014799699793</v>
      </c>
      <c r="S144" s="194">
        <f t="shared" si="26"/>
        <v>175233.77</v>
      </c>
      <c r="T144" s="197">
        <v>0.61275000000000002</v>
      </c>
      <c r="U144" s="195">
        <f t="shared" si="27"/>
        <v>45115.297907243301</v>
      </c>
      <c r="V144" s="195">
        <f t="shared" si="28"/>
        <v>18320.384950500804</v>
      </c>
      <c r="W144" s="195">
        <f t="shared" si="29"/>
        <v>8293.3196377990007</v>
      </c>
      <c r="X144" s="195">
        <f t="shared" si="30"/>
        <v>2620.8402941249933</v>
      </c>
      <c r="Y144" s="195">
        <f t="shared" si="31"/>
        <v>74349.842789668095</v>
      </c>
      <c r="Z144" s="198">
        <f t="shared" si="32"/>
        <v>0.42428946652045491</v>
      </c>
      <c r="AA144" s="199">
        <f t="shared" si="33"/>
        <v>74537.51060084725</v>
      </c>
      <c r="AB144" s="195"/>
      <c r="AC144" s="199">
        <v>73529.453463474129</v>
      </c>
      <c r="AD144" s="194">
        <f t="shared" si="34"/>
        <v>1008.0571373731218</v>
      </c>
      <c r="AE144" s="194">
        <v>998.17903227792704</v>
      </c>
      <c r="AF144" s="194">
        <f t="shared" si="35"/>
        <v>9.8781050951947691</v>
      </c>
    </row>
    <row r="145" spans="2:32" s="200" customFormat="1" x14ac:dyDescent="0.25">
      <c r="B145" s="201">
        <v>294</v>
      </c>
      <c r="C145" s="201">
        <v>7</v>
      </c>
      <c r="D145" s="202" t="s">
        <v>181</v>
      </c>
      <c r="E145" s="193">
        <v>1263.4393689479177</v>
      </c>
      <c r="F145" s="193">
        <f>INDEX('Revised 2017 Lockdown'!H$5:H$249,MATCH(B145,'Revised 2017 Lockdown'!B$5:B$249,0))</f>
        <v>1263.4393689479177</v>
      </c>
      <c r="G145" s="193">
        <f t="shared" si="21"/>
        <v>0</v>
      </c>
      <c r="H145" s="194">
        <v>609291.72</v>
      </c>
      <c r="I145" s="194">
        <f>INDEX('Revised 2017 Lockdown'!E$5:E$249,MATCH(B145,'Revised 2017 Lockdown'!B$5:B$249,0))</f>
        <v>609291.72</v>
      </c>
      <c r="J145" s="194">
        <f t="shared" si="22"/>
        <v>0</v>
      </c>
      <c r="K145" s="194">
        <v>700</v>
      </c>
      <c r="L145" s="194">
        <f>INDEX('Revised 2017 Lockdown'!F$5:F$249,MATCH(B145,'Revised 2017 Lockdown'!B$5:B$249,0))</f>
        <v>700</v>
      </c>
      <c r="M145" s="194">
        <f t="shared" si="23"/>
        <v>0</v>
      </c>
      <c r="N145" s="194">
        <f t="shared" si="19"/>
        <v>608591.72</v>
      </c>
      <c r="O145" s="195">
        <f t="shared" si="19"/>
        <v>608591.72</v>
      </c>
      <c r="P145" s="195">
        <f t="shared" si="24"/>
        <v>0</v>
      </c>
      <c r="Q145" s="95">
        <f t="shared" si="25"/>
        <v>481.69444055458092</v>
      </c>
      <c r="R145" s="196">
        <f t="shared" si="20"/>
        <v>481.69444055458092</v>
      </c>
      <c r="S145" s="194">
        <f t="shared" si="26"/>
        <v>608591.72</v>
      </c>
      <c r="T145" s="197">
        <v>0.84308333333333341</v>
      </c>
      <c r="U145" s="195">
        <f t="shared" si="27"/>
        <v>156686.67490108559</v>
      </c>
      <c r="V145" s="195">
        <f t="shared" si="28"/>
        <v>65181.339400415978</v>
      </c>
      <c r="W145" s="195">
        <f t="shared" si="29"/>
        <v>39629.977249357071</v>
      </c>
      <c r="X145" s="195">
        <f t="shared" si="30"/>
        <v>9102.2506817426547</v>
      </c>
      <c r="Y145" s="195">
        <f t="shared" si="31"/>
        <v>270600.24223260127</v>
      </c>
      <c r="Z145" s="198">
        <f t="shared" si="32"/>
        <v>0.44463346006843685</v>
      </c>
      <c r="AA145" s="199">
        <f t="shared" si="33"/>
        <v>271283.26930110506</v>
      </c>
      <c r="AB145" s="195"/>
      <c r="AC145" s="199">
        <v>267533.92581062217</v>
      </c>
      <c r="AD145" s="194">
        <f t="shared" si="34"/>
        <v>3749.34349048289</v>
      </c>
      <c r="AE145" s="194">
        <v>3713.4936432383838</v>
      </c>
      <c r="AF145" s="194">
        <f t="shared" si="35"/>
        <v>35.849847244506236</v>
      </c>
    </row>
    <row r="146" spans="2:32" s="200" customFormat="1" x14ac:dyDescent="0.25">
      <c r="B146" s="201">
        <v>296</v>
      </c>
      <c r="C146" s="201">
        <v>7</v>
      </c>
      <c r="D146" s="202" t="s">
        <v>182</v>
      </c>
      <c r="E146" s="193">
        <v>884.62</v>
      </c>
      <c r="F146" s="193">
        <f>INDEX('Revised 2017 Lockdown'!H$5:H$249,MATCH(B146,'Revised 2017 Lockdown'!B$5:B$249,0))</f>
        <v>884.62</v>
      </c>
      <c r="G146" s="193">
        <f t="shared" si="21"/>
        <v>0</v>
      </c>
      <c r="H146" s="194">
        <v>788176.46</v>
      </c>
      <c r="I146" s="194">
        <f>INDEX('Revised 2017 Lockdown'!E$5:E$249,MATCH(B146,'Revised 2017 Lockdown'!B$5:B$249,0))</f>
        <v>788176.46</v>
      </c>
      <c r="J146" s="194">
        <f t="shared" si="22"/>
        <v>0</v>
      </c>
      <c r="K146" s="194">
        <v>204908.74000000002</v>
      </c>
      <c r="L146" s="194">
        <f>INDEX('Revised 2017 Lockdown'!F$5:F$249,MATCH(B146,'Revised 2017 Lockdown'!B$5:B$249,0))</f>
        <v>204908.74000000002</v>
      </c>
      <c r="M146" s="194">
        <f t="shared" si="23"/>
        <v>0</v>
      </c>
      <c r="N146" s="194">
        <f t="shared" si="19"/>
        <v>583267.72</v>
      </c>
      <c r="O146" s="195">
        <f t="shared" si="19"/>
        <v>583267.72</v>
      </c>
      <c r="P146" s="195">
        <f t="shared" si="24"/>
        <v>0</v>
      </c>
      <c r="Q146" s="95">
        <f t="shared" si="25"/>
        <v>659.3426782121137</v>
      </c>
      <c r="R146" s="196">
        <f t="shared" si="20"/>
        <v>603.86505352200527</v>
      </c>
      <c r="S146" s="194">
        <f t="shared" si="26"/>
        <v>534191.10364663636</v>
      </c>
      <c r="T146" s="197">
        <v>0.51233333333333342</v>
      </c>
      <c r="U146" s="195">
        <f t="shared" si="27"/>
        <v>137531.6571709727</v>
      </c>
      <c r="V146" s="195">
        <f t="shared" si="28"/>
        <v>45637.897533944037</v>
      </c>
      <c r="W146" s="195">
        <f t="shared" si="29"/>
        <v>21138.615707178506</v>
      </c>
      <c r="X146" s="195">
        <f t="shared" si="30"/>
        <v>7989.4963693368309</v>
      </c>
      <c r="Y146" s="195">
        <f t="shared" si="31"/>
        <v>212297.66678143205</v>
      </c>
      <c r="Z146" s="198">
        <f t="shared" si="32"/>
        <v>0.39741894863502902</v>
      </c>
      <c r="AA146" s="199">
        <f t="shared" si="33"/>
        <v>212833.5312425853</v>
      </c>
      <c r="AB146" s="195"/>
      <c r="AC146" s="199">
        <v>209853.38443728435</v>
      </c>
      <c r="AD146" s="194">
        <f t="shared" si="34"/>
        <v>2980.1468053009594</v>
      </c>
      <c r="AE146" s="194">
        <v>3006.4624707960465</v>
      </c>
      <c r="AF146" s="194">
        <f t="shared" si="35"/>
        <v>-26.31566549508716</v>
      </c>
    </row>
    <row r="147" spans="2:32" s="200" customFormat="1" x14ac:dyDescent="0.25">
      <c r="B147" s="201">
        <v>301</v>
      </c>
      <c r="C147" s="201">
        <v>7</v>
      </c>
      <c r="D147" s="202" t="s">
        <v>183</v>
      </c>
      <c r="E147" s="193">
        <v>611.33586451761835</v>
      </c>
      <c r="F147" s="193">
        <f>INDEX('Revised 2017 Lockdown'!H$5:H$249,MATCH(B147,'Revised 2017 Lockdown'!B$5:B$249,0))</f>
        <v>640.13643914704323</v>
      </c>
      <c r="G147" s="193">
        <f t="shared" si="21"/>
        <v>28.800574629424887</v>
      </c>
      <c r="H147" s="194">
        <v>214115.43</v>
      </c>
      <c r="I147" s="194">
        <f>INDEX('Revised 2017 Lockdown'!E$5:E$249,MATCH(B147,'Revised 2017 Lockdown'!B$5:B$249,0))</f>
        <v>219085.76</v>
      </c>
      <c r="J147" s="194">
        <f t="shared" si="22"/>
        <v>4970.3300000000163</v>
      </c>
      <c r="K147" s="194">
        <v>380.36</v>
      </c>
      <c r="L147" s="194">
        <f>INDEX('Revised 2017 Lockdown'!F$5:F$249,MATCH(B147,'Revised 2017 Lockdown'!B$5:B$249,0))</f>
        <v>380.36</v>
      </c>
      <c r="M147" s="194">
        <f t="shared" si="23"/>
        <v>0</v>
      </c>
      <c r="N147" s="194">
        <f t="shared" si="19"/>
        <v>213735.07</v>
      </c>
      <c r="O147" s="195">
        <f t="shared" si="19"/>
        <v>218705.40000000002</v>
      </c>
      <c r="P147" s="195">
        <f t="shared" si="24"/>
        <v>4970.3300000000163</v>
      </c>
      <c r="Q147" s="95">
        <f t="shared" si="25"/>
        <v>341.65435151827387</v>
      </c>
      <c r="R147" s="196">
        <f t="shared" si="20"/>
        <v>341.65435151827387</v>
      </c>
      <c r="S147" s="194">
        <f t="shared" si="26"/>
        <v>218705.40000000005</v>
      </c>
      <c r="T147" s="197">
        <v>0.63508333333333333</v>
      </c>
      <c r="U147" s="195">
        <f t="shared" si="27"/>
        <v>56307.40738456299</v>
      </c>
      <c r="V147" s="195">
        <f t="shared" si="28"/>
        <v>33024.893420380009</v>
      </c>
      <c r="W147" s="195">
        <f t="shared" si="29"/>
        <v>10727.968791943864</v>
      </c>
      <c r="X147" s="195">
        <f t="shared" si="30"/>
        <v>3271.0129152772579</v>
      </c>
      <c r="Y147" s="195">
        <f t="shared" si="31"/>
        <v>103331.28251216411</v>
      </c>
      <c r="Z147" s="198">
        <f t="shared" si="32"/>
        <v>0.47246790665508981</v>
      </c>
      <c r="AA147" s="199">
        <f t="shared" si="33"/>
        <v>103592.1029105374</v>
      </c>
      <c r="AB147" s="195"/>
      <c r="AC147" s="199">
        <v>99232.371784416217</v>
      </c>
      <c r="AD147" s="194">
        <f t="shared" si="34"/>
        <v>4359.7311261211871</v>
      </c>
      <c r="AE147" s="194">
        <v>4345.0060316608142</v>
      </c>
      <c r="AF147" s="194">
        <f t="shared" si="35"/>
        <v>14.725094460372929</v>
      </c>
    </row>
    <row r="148" spans="2:32" s="200" customFormat="1" x14ac:dyDescent="0.25">
      <c r="B148" s="201">
        <v>321</v>
      </c>
      <c r="C148" s="201">
        <v>7</v>
      </c>
      <c r="D148" s="202" t="s">
        <v>184</v>
      </c>
      <c r="E148" s="193">
        <v>443.10000000000008</v>
      </c>
      <c r="F148" s="193">
        <f>INDEX('Revised 2017 Lockdown'!H$5:H$249,MATCH(B148,'Revised 2017 Lockdown'!B$5:B$249,0))</f>
        <v>443.10000000000008</v>
      </c>
      <c r="G148" s="193">
        <f t="shared" si="21"/>
        <v>0</v>
      </c>
      <c r="H148" s="194">
        <v>430321.48</v>
      </c>
      <c r="I148" s="194">
        <f>INDEX('Revised 2017 Lockdown'!E$5:E$249,MATCH(B148,'Revised 2017 Lockdown'!B$5:B$249,0))</f>
        <v>430321.48</v>
      </c>
      <c r="J148" s="194">
        <f t="shared" si="22"/>
        <v>0</v>
      </c>
      <c r="K148" s="194">
        <v>59452.28</v>
      </c>
      <c r="L148" s="194">
        <f>INDEX('Revised 2017 Lockdown'!F$5:F$249,MATCH(B148,'Revised 2017 Lockdown'!B$5:B$249,0))</f>
        <v>59452.28</v>
      </c>
      <c r="M148" s="194">
        <f t="shared" si="23"/>
        <v>0</v>
      </c>
      <c r="N148" s="194">
        <f t="shared" si="19"/>
        <v>370869.19999999995</v>
      </c>
      <c r="O148" s="195">
        <f t="shared" si="19"/>
        <v>370869.19999999995</v>
      </c>
      <c r="P148" s="195">
        <f t="shared" si="24"/>
        <v>0</v>
      </c>
      <c r="Q148" s="95">
        <f t="shared" si="25"/>
        <v>836.98758745204213</v>
      </c>
      <c r="R148" s="196">
        <f t="shared" si="20"/>
        <v>603.86505352200527</v>
      </c>
      <c r="S148" s="194">
        <f t="shared" si="26"/>
        <v>267572.60521560058</v>
      </c>
      <c r="T148" s="197">
        <v>0.43383333333333329</v>
      </c>
      <c r="U148" s="195">
        <f t="shared" si="27"/>
        <v>68888.64969417153</v>
      </c>
      <c r="V148" s="195">
        <f t="shared" si="28"/>
        <v>22859.705181084089</v>
      </c>
      <c r="W148" s="195">
        <f t="shared" si="29"/>
        <v>8965.8577576964235</v>
      </c>
      <c r="X148" s="195">
        <f t="shared" si="30"/>
        <v>4001.8831150699175</v>
      </c>
      <c r="Y148" s="195">
        <f t="shared" si="31"/>
        <v>104716.09574802197</v>
      </c>
      <c r="Z148" s="198">
        <f t="shared" si="32"/>
        <v>0.39135581784856271</v>
      </c>
      <c r="AA148" s="199">
        <f t="shared" si="33"/>
        <v>104980.41157905677</v>
      </c>
      <c r="AB148" s="195"/>
      <c r="AC148" s="199">
        <v>103512.69995666687</v>
      </c>
      <c r="AD148" s="194">
        <f t="shared" si="34"/>
        <v>1467.7116223899066</v>
      </c>
      <c r="AE148" s="194">
        <v>1480.5483175338595</v>
      </c>
      <c r="AF148" s="194">
        <f t="shared" si="35"/>
        <v>-12.836695143952966</v>
      </c>
    </row>
    <row r="149" spans="2:32" s="200" customFormat="1" x14ac:dyDescent="0.25">
      <c r="B149" s="201">
        <v>325</v>
      </c>
      <c r="C149" s="201">
        <v>7</v>
      </c>
      <c r="D149" s="202" t="s">
        <v>185</v>
      </c>
      <c r="E149" s="193">
        <v>400.69285092676949</v>
      </c>
      <c r="F149" s="193">
        <f>INDEX('Revised 2017 Lockdown'!H$5:H$249,MATCH(B149,'Revised 2017 Lockdown'!B$5:B$249,0))</f>
        <v>400.69285092676949</v>
      </c>
      <c r="G149" s="193">
        <f t="shared" si="21"/>
        <v>0</v>
      </c>
      <c r="H149" s="194">
        <v>173160.4</v>
      </c>
      <c r="I149" s="194">
        <f>INDEX('Revised 2017 Lockdown'!E$5:E$249,MATCH(B149,'Revised 2017 Lockdown'!B$5:B$249,0))</f>
        <v>173160.4</v>
      </c>
      <c r="J149" s="194">
        <f t="shared" si="22"/>
        <v>0</v>
      </c>
      <c r="K149" s="194">
        <v>1356</v>
      </c>
      <c r="L149" s="194">
        <f>INDEX('Revised 2017 Lockdown'!F$5:F$249,MATCH(B149,'Revised 2017 Lockdown'!B$5:B$249,0))</f>
        <v>1356</v>
      </c>
      <c r="M149" s="194">
        <f t="shared" si="23"/>
        <v>0</v>
      </c>
      <c r="N149" s="194">
        <f t="shared" si="19"/>
        <v>171804.4</v>
      </c>
      <c r="O149" s="195">
        <f t="shared" si="19"/>
        <v>171804.4</v>
      </c>
      <c r="P149" s="195">
        <f t="shared" si="24"/>
        <v>0</v>
      </c>
      <c r="Q149" s="95">
        <f t="shared" si="25"/>
        <v>428.76831868257841</v>
      </c>
      <c r="R149" s="196">
        <f t="shared" si="20"/>
        <v>428.76831868257841</v>
      </c>
      <c r="S149" s="194">
        <f t="shared" si="26"/>
        <v>171804.4</v>
      </c>
      <c r="T149" s="197">
        <v>0.41125</v>
      </c>
      <c r="U149" s="195">
        <f t="shared" si="27"/>
        <v>44232.379910420183</v>
      </c>
      <c r="V149" s="195">
        <f t="shared" si="28"/>
        <v>20671.903498880671</v>
      </c>
      <c r="W149" s="195">
        <f t="shared" si="29"/>
        <v>5457.1698714480908</v>
      </c>
      <c r="X149" s="195">
        <f t="shared" si="30"/>
        <v>2569.5497747264585</v>
      </c>
      <c r="Y149" s="195">
        <f t="shared" si="31"/>
        <v>72931.003055475405</v>
      </c>
      <c r="Z149" s="198">
        <f t="shared" si="32"/>
        <v>0.42450020520705761</v>
      </c>
      <c r="AA149" s="199">
        <f t="shared" si="33"/>
        <v>73115.08954708025</v>
      </c>
      <c r="AB149" s="195"/>
      <c r="AC149" s="199">
        <v>72203.818215222855</v>
      </c>
      <c r="AD149" s="194">
        <f t="shared" si="34"/>
        <v>911.27133185739513</v>
      </c>
      <c r="AE149" s="194">
        <v>901.25035150240001</v>
      </c>
      <c r="AF149" s="194">
        <f t="shared" si="35"/>
        <v>10.020980354995118</v>
      </c>
    </row>
    <row r="150" spans="2:32" s="200" customFormat="1" x14ac:dyDescent="0.25">
      <c r="B150" s="201">
        <v>346</v>
      </c>
      <c r="C150" s="201">
        <v>7</v>
      </c>
      <c r="D150" s="202" t="s">
        <v>186</v>
      </c>
      <c r="E150" s="193">
        <v>177.69000000000003</v>
      </c>
      <c r="F150" s="193">
        <f>INDEX('Revised 2017 Lockdown'!H$5:H$249,MATCH(B150,'Revised 2017 Lockdown'!B$5:B$249,0))</f>
        <v>177.69000000000003</v>
      </c>
      <c r="G150" s="193">
        <f t="shared" si="21"/>
        <v>0</v>
      </c>
      <c r="H150" s="194">
        <v>112381.75999999999</v>
      </c>
      <c r="I150" s="194">
        <f>INDEX('Revised 2017 Lockdown'!E$5:E$249,MATCH(B150,'Revised 2017 Lockdown'!B$5:B$249,0))</f>
        <v>112381.75999999999</v>
      </c>
      <c r="J150" s="194">
        <f t="shared" si="22"/>
        <v>0</v>
      </c>
      <c r="K150" s="194">
        <v>26716.230000000003</v>
      </c>
      <c r="L150" s="194">
        <f>INDEX('Revised 2017 Lockdown'!F$5:F$249,MATCH(B150,'Revised 2017 Lockdown'!B$5:B$249,0))</f>
        <v>26716.230000000003</v>
      </c>
      <c r="M150" s="194">
        <f t="shared" si="23"/>
        <v>0</v>
      </c>
      <c r="N150" s="194">
        <f t="shared" si="19"/>
        <v>85665.53</v>
      </c>
      <c r="O150" s="195">
        <f t="shared" si="19"/>
        <v>85665.53</v>
      </c>
      <c r="P150" s="195">
        <f t="shared" si="24"/>
        <v>0</v>
      </c>
      <c r="Q150" s="95">
        <f t="shared" si="25"/>
        <v>482.10664640666323</v>
      </c>
      <c r="R150" s="196">
        <f t="shared" si="20"/>
        <v>482.10664640666323</v>
      </c>
      <c r="S150" s="194">
        <f t="shared" si="26"/>
        <v>85665.53</v>
      </c>
      <c r="T150" s="197">
        <v>0.5305833333333333</v>
      </c>
      <c r="U150" s="195">
        <f t="shared" si="27"/>
        <v>22055.257421739476</v>
      </c>
      <c r="V150" s="195">
        <f t="shared" si="28"/>
        <v>9167.0977513582293</v>
      </c>
      <c r="W150" s="195">
        <f t="shared" si="29"/>
        <v>3510.6456001053812</v>
      </c>
      <c r="X150" s="195">
        <f t="shared" si="30"/>
        <v>1281.2351913764878</v>
      </c>
      <c r="Y150" s="195">
        <f t="shared" si="31"/>
        <v>36014.235964579573</v>
      </c>
      <c r="Z150" s="198">
        <f t="shared" si="32"/>
        <v>0.42040521974917533</v>
      </c>
      <c r="AA150" s="199">
        <f t="shared" si="33"/>
        <v>36105.140162640659</v>
      </c>
      <c r="AB150" s="195"/>
      <c r="AC150" s="199">
        <v>35614.247963129194</v>
      </c>
      <c r="AD150" s="194">
        <f t="shared" si="34"/>
        <v>490.89219951146515</v>
      </c>
      <c r="AE150" s="194">
        <v>486.07363526213885</v>
      </c>
      <c r="AF150" s="194">
        <f t="shared" si="35"/>
        <v>4.8185642493263003</v>
      </c>
    </row>
    <row r="151" spans="2:32" s="200" customFormat="1" x14ac:dyDescent="0.25">
      <c r="B151" s="201">
        <v>358</v>
      </c>
      <c r="C151" s="201">
        <v>7</v>
      </c>
      <c r="D151" s="202" t="s">
        <v>187</v>
      </c>
      <c r="E151" s="193">
        <v>418.90000000000003</v>
      </c>
      <c r="F151" s="193">
        <f>INDEX('Revised 2017 Lockdown'!H$5:H$249,MATCH(B151,'Revised 2017 Lockdown'!B$5:B$249,0))</f>
        <v>418.90000000000003</v>
      </c>
      <c r="G151" s="193">
        <f t="shared" si="21"/>
        <v>0</v>
      </c>
      <c r="H151" s="194">
        <v>233117</v>
      </c>
      <c r="I151" s="194">
        <f>INDEX('Revised 2017 Lockdown'!E$5:E$249,MATCH(B151,'Revised 2017 Lockdown'!B$5:B$249,0))</f>
        <v>233117</v>
      </c>
      <c r="J151" s="194">
        <f t="shared" si="22"/>
        <v>0</v>
      </c>
      <c r="K151" s="194">
        <v>65089.860000000008</v>
      </c>
      <c r="L151" s="194">
        <f>INDEX('Revised 2017 Lockdown'!F$5:F$249,MATCH(B151,'Revised 2017 Lockdown'!B$5:B$249,0))</f>
        <v>65089.860000000008</v>
      </c>
      <c r="M151" s="194">
        <f t="shared" si="23"/>
        <v>0</v>
      </c>
      <c r="N151" s="194">
        <f t="shared" si="19"/>
        <v>168027.13999999998</v>
      </c>
      <c r="O151" s="195">
        <f t="shared" si="19"/>
        <v>168027.13999999998</v>
      </c>
      <c r="P151" s="195">
        <f t="shared" si="24"/>
        <v>0</v>
      </c>
      <c r="Q151" s="95">
        <f t="shared" si="25"/>
        <v>401.11515874910475</v>
      </c>
      <c r="R151" s="196">
        <f t="shared" si="20"/>
        <v>401.11515874910475</v>
      </c>
      <c r="S151" s="194">
        <f t="shared" si="26"/>
        <v>168027.13999999998</v>
      </c>
      <c r="T151" s="197">
        <v>0.8111666666666667</v>
      </c>
      <c r="U151" s="195">
        <f t="shared" si="27"/>
        <v>43259.894925516222</v>
      </c>
      <c r="V151" s="195">
        <f t="shared" si="28"/>
        <v>21611.217558917</v>
      </c>
      <c r="W151" s="195">
        <f t="shared" si="29"/>
        <v>10527.295430124374</v>
      </c>
      <c r="X151" s="195">
        <f t="shared" si="30"/>
        <v>2513.0561250755572</v>
      </c>
      <c r="Y151" s="195">
        <f t="shared" si="31"/>
        <v>77911.464039633152</v>
      </c>
      <c r="Z151" s="198">
        <f t="shared" si="32"/>
        <v>0.46368380750653232</v>
      </c>
      <c r="AA151" s="199">
        <f t="shared" si="33"/>
        <v>78108.121804780618</v>
      </c>
      <c r="AB151" s="195"/>
      <c r="AC151" s="199">
        <v>77070.994941118857</v>
      </c>
      <c r="AD151" s="194">
        <f t="shared" si="34"/>
        <v>1037.1268636617606</v>
      </c>
      <c r="AE151" s="194">
        <v>1026.4361751647375</v>
      </c>
      <c r="AF151" s="194">
        <f t="shared" si="35"/>
        <v>10.690688497023075</v>
      </c>
    </row>
    <row r="152" spans="2:32" s="200" customFormat="1" x14ac:dyDescent="0.25">
      <c r="B152" s="201">
        <v>361</v>
      </c>
      <c r="C152" s="201">
        <v>7</v>
      </c>
      <c r="D152" s="202" t="s">
        <v>188</v>
      </c>
      <c r="E152" s="193">
        <v>1508.942788284392</v>
      </c>
      <c r="F152" s="193">
        <f>INDEX('Revised 2017 Lockdown'!H$5:H$249,MATCH(B152,'Revised 2017 Lockdown'!B$5:B$249,0))</f>
        <v>1508.942788284392</v>
      </c>
      <c r="G152" s="193">
        <f t="shared" si="21"/>
        <v>0</v>
      </c>
      <c r="H152" s="194">
        <v>891571.84</v>
      </c>
      <c r="I152" s="194">
        <f>INDEX('Revised 2017 Lockdown'!E$5:E$249,MATCH(B152,'Revised 2017 Lockdown'!B$5:B$249,0))</f>
        <v>891571.84</v>
      </c>
      <c r="J152" s="194">
        <f t="shared" si="22"/>
        <v>0</v>
      </c>
      <c r="K152" s="194">
        <v>7476</v>
      </c>
      <c r="L152" s="194">
        <f>INDEX('Revised 2017 Lockdown'!F$5:F$249,MATCH(B152,'Revised 2017 Lockdown'!B$5:B$249,0))</f>
        <v>7476</v>
      </c>
      <c r="M152" s="194">
        <f t="shared" si="23"/>
        <v>0</v>
      </c>
      <c r="N152" s="194">
        <f t="shared" si="19"/>
        <v>884095.84</v>
      </c>
      <c r="O152" s="195">
        <f t="shared" si="19"/>
        <v>884095.84</v>
      </c>
      <c r="P152" s="195">
        <f t="shared" si="24"/>
        <v>0</v>
      </c>
      <c r="Q152" s="95">
        <f t="shared" si="25"/>
        <v>585.9041488280559</v>
      </c>
      <c r="R152" s="196">
        <f t="shared" si="20"/>
        <v>585.9041488280559</v>
      </c>
      <c r="S152" s="194">
        <f t="shared" si="26"/>
        <v>884095.84000000008</v>
      </c>
      <c r="T152" s="197">
        <v>0.53491666666666671</v>
      </c>
      <c r="U152" s="195">
        <f t="shared" si="27"/>
        <v>227617.35480640811</v>
      </c>
      <c r="V152" s="195">
        <f t="shared" si="28"/>
        <v>77846.958418650815</v>
      </c>
      <c r="W152" s="195">
        <f t="shared" si="29"/>
        <v>36526.895012558343</v>
      </c>
      <c r="X152" s="195">
        <f t="shared" si="30"/>
        <v>13222.759524835215</v>
      </c>
      <c r="Y152" s="195">
        <f t="shared" si="31"/>
        <v>355213.96776245249</v>
      </c>
      <c r="Z152" s="198">
        <f t="shared" si="32"/>
        <v>0.40178219565251261</v>
      </c>
      <c r="AA152" s="199">
        <f t="shared" si="33"/>
        <v>356110.56989809964</v>
      </c>
      <c r="AB152" s="195"/>
      <c r="AC152" s="199">
        <v>351073.31690121972</v>
      </c>
      <c r="AD152" s="194">
        <f t="shared" si="34"/>
        <v>5037.2529968799208</v>
      </c>
      <c r="AE152" s="194">
        <v>4991.3770089409663</v>
      </c>
      <c r="AF152" s="194">
        <f t="shared" si="35"/>
        <v>45.875987938954495</v>
      </c>
    </row>
    <row r="153" spans="2:32" s="200" customFormat="1" x14ac:dyDescent="0.25">
      <c r="B153" s="201">
        <v>376</v>
      </c>
      <c r="C153" s="201">
        <v>7</v>
      </c>
      <c r="D153" s="202" t="s">
        <v>189</v>
      </c>
      <c r="E153" s="193">
        <v>785.0248588765669</v>
      </c>
      <c r="F153" s="193">
        <f>INDEX('Revised 2017 Lockdown'!H$5:H$249,MATCH(B153,'Revised 2017 Lockdown'!B$5:B$249,0))</f>
        <v>785.0248588765669</v>
      </c>
      <c r="G153" s="193">
        <f t="shared" si="21"/>
        <v>0</v>
      </c>
      <c r="H153" s="194">
        <v>270593.59000000003</v>
      </c>
      <c r="I153" s="194">
        <f>INDEX('Revised 2017 Lockdown'!E$5:E$249,MATCH(B153,'Revised 2017 Lockdown'!B$5:B$249,0))</f>
        <v>270593.59000000003</v>
      </c>
      <c r="J153" s="194">
        <f t="shared" si="22"/>
        <v>0</v>
      </c>
      <c r="K153" s="194">
        <v>205</v>
      </c>
      <c r="L153" s="194">
        <f>INDEX('Revised 2017 Lockdown'!F$5:F$249,MATCH(B153,'Revised 2017 Lockdown'!B$5:B$249,0))</f>
        <v>205</v>
      </c>
      <c r="M153" s="194">
        <f t="shared" si="23"/>
        <v>0</v>
      </c>
      <c r="N153" s="194">
        <f t="shared" si="19"/>
        <v>270388.59000000003</v>
      </c>
      <c r="O153" s="195">
        <f t="shared" si="19"/>
        <v>270388.59000000003</v>
      </c>
      <c r="P153" s="195">
        <f t="shared" si="24"/>
        <v>0</v>
      </c>
      <c r="Q153" s="95">
        <f t="shared" si="25"/>
        <v>344.43315640596097</v>
      </c>
      <c r="R153" s="196">
        <f t="shared" si="20"/>
        <v>344.43315640596097</v>
      </c>
      <c r="S153" s="194">
        <f t="shared" si="26"/>
        <v>270388.59000000003</v>
      </c>
      <c r="T153" s="197">
        <v>0.7775833333333334</v>
      </c>
      <c r="U153" s="195">
        <f t="shared" si="27"/>
        <v>69613.646893344063</v>
      </c>
      <c r="V153" s="195">
        <f t="shared" si="28"/>
        <v>40499.744603341132</v>
      </c>
      <c r="W153" s="195">
        <f t="shared" si="29"/>
        <v>16239.123479044838</v>
      </c>
      <c r="X153" s="195">
        <f t="shared" si="30"/>
        <v>4043.999691062073</v>
      </c>
      <c r="Y153" s="195">
        <f t="shared" si="31"/>
        <v>130396.51466679209</v>
      </c>
      <c r="Z153" s="198">
        <f t="shared" si="32"/>
        <v>0.48225598079708942</v>
      </c>
      <c r="AA153" s="199">
        <f t="shared" si="33"/>
        <v>130725.65091745151</v>
      </c>
      <c r="AB153" s="195"/>
      <c r="AC153" s="199">
        <v>129088.52499987285</v>
      </c>
      <c r="AD153" s="194">
        <f t="shared" si="34"/>
        <v>1637.1259175786545</v>
      </c>
      <c r="AE153" s="194">
        <v>1618.6723727220815</v>
      </c>
      <c r="AF153" s="194">
        <f t="shared" si="35"/>
        <v>18.453544856572989</v>
      </c>
    </row>
    <row r="154" spans="2:32" s="200" customFormat="1" x14ac:dyDescent="0.25">
      <c r="B154" s="201">
        <v>382</v>
      </c>
      <c r="C154" s="201">
        <v>7</v>
      </c>
      <c r="D154" s="202" t="s">
        <v>190</v>
      </c>
      <c r="E154" s="193">
        <v>177.19</v>
      </c>
      <c r="F154" s="193">
        <f>INDEX('Revised 2017 Lockdown'!H$5:H$249,MATCH(B154,'Revised 2017 Lockdown'!B$5:B$249,0))</f>
        <v>177.19</v>
      </c>
      <c r="G154" s="193">
        <f t="shared" si="21"/>
        <v>0</v>
      </c>
      <c r="H154" s="194">
        <v>106501.09</v>
      </c>
      <c r="I154" s="194">
        <f>INDEX('Revised 2017 Lockdown'!E$5:E$249,MATCH(B154,'Revised 2017 Lockdown'!B$5:B$249,0))</f>
        <v>106501.09</v>
      </c>
      <c r="J154" s="194">
        <f t="shared" si="22"/>
        <v>0</v>
      </c>
      <c r="K154" s="194">
        <v>27668.13</v>
      </c>
      <c r="L154" s="194">
        <f>INDEX('Revised 2017 Lockdown'!F$5:F$249,MATCH(B154,'Revised 2017 Lockdown'!B$5:B$249,0))</f>
        <v>27668.13</v>
      </c>
      <c r="M154" s="194">
        <f t="shared" si="23"/>
        <v>0</v>
      </c>
      <c r="N154" s="194">
        <f t="shared" ref="N154:O216" si="36">H154-K154</f>
        <v>78832.959999999992</v>
      </c>
      <c r="O154" s="195">
        <f t="shared" si="36"/>
        <v>78832.959999999992</v>
      </c>
      <c r="P154" s="195">
        <f t="shared" si="24"/>
        <v>0</v>
      </c>
      <c r="Q154" s="95">
        <f t="shared" si="25"/>
        <v>444.90637169140467</v>
      </c>
      <c r="R154" s="196">
        <f t="shared" ref="R154:R216" si="37">MIN(Q154,INDEX($V$3:$V$11,MATCH(C154,$S$3:$S$11,0)))</f>
        <v>444.90637169140467</v>
      </c>
      <c r="S154" s="194">
        <f t="shared" si="26"/>
        <v>78832.959999999992</v>
      </c>
      <c r="T154" s="197">
        <v>0.59299999999999997</v>
      </c>
      <c r="U154" s="195">
        <f t="shared" si="27"/>
        <v>20296.159098270811</v>
      </c>
      <c r="V154" s="195">
        <f t="shared" si="28"/>
        <v>9141.302552553123</v>
      </c>
      <c r="W154" s="195">
        <f t="shared" si="29"/>
        <v>3610.686703582377</v>
      </c>
      <c r="X154" s="195">
        <f t="shared" si="30"/>
        <v>1179.0455576750066</v>
      </c>
      <c r="Y154" s="195">
        <f t="shared" si="31"/>
        <v>34227.193912081319</v>
      </c>
      <c r="Z154" s="198">
        <f t="shared" si="32"/>
        <v>0.4341736490939998</v>
      </c>
      <c r="AA154" s="199">
        <f t="shared" si="33"/>
        <v>34313.587404296981</v>
      </c>
      <c r="AB154" s="195"/>
      <c r="AC154" s="199">
        <v>33854.972528440434</v>
      </c>
      <c r="AD154" s="194">
        <f t="shared" si="34"/>
        <v>458.61487585654686</v>
      </c>
      <c r="AE154" s="194">
        <v>453.97560262057959</v>
      </c>
      <c r="AF154" s="194">
        <f t="shared" si="35"/>
        <v>4.6392732359672664</v>
      </c>
    </row>
    <row r="155" spans="2:32" s="200" customFormat="1" x14ac:dyDescent="0.25">
      <c r="B155" s="201">
        <v>389</v>
      </c>
      <c r="C155" s="201">
        <v>7</v>
      </c>
      <c r="D155" s="202" t="s">
        <v>191</v>
      </c>
      <c r="E155" s="193">
        <v>909.4811851830467</v>
      </c>
      <c r="F155" s="193">
        <f>INDEX('Revised 2017 Lockdown'!H$5:H$249,MATCH(B155,'Revised 2017 Lockdown'!B$5:B$249,0))</f>
        <v>909.4811851830467</v>
      </c>
      <c r="G155" s="193">
        <f t="shared" ref="G155:G217" si="38">F155-E155</f>
        <v>0</v>
      </c>
      <c r="H155" s="194">
        <v>148142.21</v>
      </c>
      <c r="I155" s="194">
        <f>INDEX('Revised 2017 Lockdown'!E$5:E$249,MATCH(B155,'Revised 2017 Lockdown'!B$5:B$249,0))</f>
        <v>148142.21</v>
      </c>
      <c r="J155" s="194">
        <f t="shared" ref="J155:J217" si="39">I155-H155</f>
        <v>0</v>
      </c>
      <c r="K155" s="194">
        <v>987</v>
      </c>
      <c r="L155" s="194">
        <f>INDEX('Revised 2017 Lockdown'!F$5:F$249,MATCH(B155,'Revised 2017 Lockdown'!B$5:B$249,0))</f>
        <v>987</v>
      </c>
      <c r="M155" s="194">
        <f t="shared" ref="M155:M217" si="40">L155-K155</f>
        <v>0</v>
      </c>
      <c r="N155" s="194">
        <f t="shared" si="36"/>
        <v>147155.21</v>
      </c>
      <c r="O155" s="195">
        <f t="shared" si="36"/>
        <v>147155.21</v>
      </c>
      <c r="P155" s="195">
        <f t="shared" ref="P155:P217" si="41">O155-N155</f>
        <v>0</v>
      </c>
      <c r="Q155" s="95">
        <f t="shared" ref="Q155:Q217" si="42">IFERROR(O155/F155,"n.a.")</f>
        <v>161.80126911628503</v>
      </c>
      <c r="R155" s="196">
        <f t="shared" si="37"/>
        <v>161.80126911628503</v>
      </c>
      <c r="S155" s="194">
        <f t="shared" ref="S155:S217" si="43">F155*R155</f>
        <v>147155.21</v>
      </c>
      <c r="T155" s="197">
        <v>0.59166666666666667</v>
      </c>
      <c r="U155" s="195">
        <f t="shared" ref="U155:U217" si="44">$E$14*(S155/$S$24)</f>
        <v>37886.254103606567</v>
      </c>
      <c r="V155" s="195">
        <f t="shared" ref="V155:V217" si="45">$E$15*(F155/$F$24)</f>
        <v>46920.495962598477</v>
      </c>
      <c r="W155" s="195">
        <f t="shared" ref="W155:W217" si="46">IFERROR(T155*$E$16*(S155/$S$24),0)</f>
        <v>6724.8101033901648</v>
      </c>
      <c r="X155" s="195">
        <f t="shared" ref="X155:X217" si="47">($W$23+$E$9)*(S155/$S$24)</f>
        <v>2200.8902956229567</v>
      </c>
      <c r="Y155" s="195">
        <f t="shared" ref="Y155:Y217" si="48">U155+V155+W155+X155</f>
        <v>93732.450465218164</v>
      </c>
      <c r="Z155" s="198">
        <f t="shared" ref="Z155:Z217" si="49">IFERROR((Y155/S155),0)</f>
        <v>0.63696317966056504</v>
      </c>
      <c r="AA155" s="199">
        <f t="shared" ref="AA155:AA217" si="50">IF(Z155&gt;$Z$19,$Z$19*S155,Y155+($Z$23*Y155/$Z$22))</f>
        <v>93969.042274363339</v>
      </c>
      <c r="AB155" s="195"/>
      <c r="AC155" s="199">
        <v>93102.741620726272</v>
      </c>
      <c r="AD155" s="194">
        <f t="shared" ref="AD155:AD218" si="51">AA155-AC155</f>
        <v>866.30065363706672</v>
      </c>
      <c r="AE155" s="194">
        <v>850.72082359135675</v>
      </c>
      <c r="AF155" s="194">
        <f t="shared" ref="AF155:AF218" si="52">AD155-AE155</f>
        <v>15.579830045709969</v>
      </c>
    </row>
    <row r="156" spans="2:32" s="200" customFormat="1" x14ac:dyDescent="0.25">
      <c r="B156" s="201">
        <v>434</v>
      </c>
      <c r="C156" s="201">
        <v>7</v>
      </c>
      <c r="D156" s="202" t="s">
        <v>192</v>
      </c>
      <c r="E156" s="193">
        <v>342.03221210120842</v>
      </c>
      <c r="F156" s="193">
        <f>INDEX('Revised 2017 Lockdown'!H$5:H$249,MATCH(B156,'Revised 2017 Lockdown'!B$5:B$249,0))</f>
        <v>342.03221210120842</v>
      </c>
      <c r="G156" s="193">
        <f t="shared" si="38"/>
        <v>0</v>
      </c>
      <c r="H156" s="194">
        <v>144330.47</v>
      </c>
      <c r="I156" s="194">
        <f>INDEX('Revised 2017 Lockdown'!E$5:E$249,MATCH(B156,'Revised 2017 Lockdown'!B$5:B$249,0))</f>
        <v>128474.53</v>
      </c>
      <c r="J156" s="194">
        <f t="shared" si="39"/>
        <v>-15855.940000000002</v>
      </c>
      <c r="K156" s="194">
        <v>0</v>
      </c>
      <c r="L156" s="194">
        <f>INDEX('Revised 2017 Lockdown'!F$5:F$249,MATCH(B156,'Revised 2017 Lockdown'!B$5:B$249,0))</f>
        <v>0</v>
      </c>
      <c r="M156" s="194">
        <f t="shared" si="40"/>
        <v>0</v>
      </c>
      <c r="N156" s="194">
        <f t="shared" si="36"/>
        <v>144330.47</v>
      </c>
      <c r="O156" s="195">
        <f t="shared" si="36"/>
        <v>128474.53</v>
      </c>
      <c r="P156" s="195">
        <f t="shared" si="41"/>
        <v>-15855.940000000002</v>
      </c>
      <c r="Q156" s="95">
        <f t="shared" si="42"/>
        <v>375.62114167768499</v>
      </c>
      <c r="R156" s="196">
        <f t="shared" si="37"/>
        <v>375.62114167768499</v>
      </c>
      <c r="S156" s="194">
        <f t="shared" si="43"/>
        <v>128474.53000000001</v>
      </c>
      <c r="T156" s="197">
        <v>0.28683333333333333</v>
      </c>
      <c r="U156" s="195">
        <f t="shared" si="44"/>
        <v>33076.767648399436</v>
      </c>
      <c r="V156" s="195">
        <f t="shared" si="45"/>
        <v>17645.577817801048</v>
      </c>
      <c r="W156" s="195">
        <f t="shared" si="46"/>
        <v>2846.2558561447713</v>
      </c>
      <c r="X156" s="195">
        <f t="shared" si="47"/>
        <v>1921.4973517534338</v>
      </c>
      <c r="Y156" s="195">
        <f t="shared" si="48"/>
        <v>55490.098674098685</v>
      </c>
      <c r="Z156" s="198">
        <f t="shared" si="49"/>
        <v>0.43191517162272303</v>
      </c>
      <c r="AA156" s="199">
        <f t="shared" si="50"/>
        <v>55630.162256879128</v>
      </c>
      <c r="AB156" s="195"/>
      <c r="AC156" s="199">
        <v>59565.145841989812</v>
      </c>
      <c r="AD156" s="194">
        <f t="shared" si="51"/>
        <v>-3934.9835851106836</v>
      </c>
      <c r="AE156" s="194">
        <v>-3942.8494247109193</v>
      </c>
      <c r="AF156" s="194">
        <f t="shared" si="52"/>
        <v>7.8658396002356312</v>
      </c>
    </row>
    <row r="157" spans="2:32" s="200" customFormat="1" x14ac:dyDescent="0.25">
      <c r="B157" s="201">
        <v>437</v>
      </c>
      <c r="C157" s="201">
        <v>7</v>
      </c>
      <c r="D157" s="202" t="s">
        <v>193</v>
      </c>
      <c r="E157" s="193">
        <v>349.75027864505995</v>
      </c>
      <c r="F157" s="193">
        <f>INDEX('Revised 2017 Lockdown'!H$5:H$249,MATCH(B157,'Revised 2017 Lockdown'!B$5:B$249,0))</f>
        <v>349.75027864505995</v>
      </c>
      <c r="G157" s="193">
        <f t="shared" si="38"/>
        <v>0</v>
      </c>
      <c r="H157" s="194">
        <v>225876.05</v>
      </c>
      <c r="I157" s="194">
        <f>INDEX('Revised 2017 Lockdown'!E$5:E$249,MATCH(B157,'Revised 2017 Lockdown'!B$5:B$249,0))</f>
        <v>225876.05</v>
      </c>
      <c r="J157" s="194">
        <f t="shared" si="39"/>
        <v>0</v>
      </c>
      <c r="K157" s="194">
        <v>0</v>
      </c>
      <c r="L157" s="194">
        <f>INDEX('Revised 2017 Lockdown'!F$5:F$249,MATCH(B157,'Revised 2017 Lockdown'!B$5:B$249,0))</f>
        <v>0</v>
      </c>
      <c r="M157" s="194">
        <f t="shared" si="40"/>
        <v>0</v>
      </c>
      <c r="N157" s="194">
        <f t="shared" si="36"/>
        <v>225876.05</v>
      </c>
      <c r="O157" s="195">
        <f t="shared" si="36"/>
        <v>225876.05</v>
      </c>
      <c r="P157" s="195">
        <f t="shared" si="41"/>
        <v>0</v>
      </c>
      <c r="Q157" s="95">
        <f t="shared" si="42"/>
        <v>645.82092936437004</v>
      </c>
      <c r="R157" s="196">
        <f t="shared" si="37"/>
        <v>603.86505352200527</v>
      </c>
      <c r="S157" s="194">
        <f t="shared" si="43"/>
        <v>211201.97073333539</v>
      </c>
      <c r="T157" s="197">
        <v>0.29862500000000003</v>
      </c>
      <c r="U157" s="195">
        <f t="shared" si="44"/>
        <v>54375.59112168452</v>
      </c>
      <c r="V157" s="195">
        <f t="shared" si="45"/>
        <v>18043.755939580409</v>
      </c>
      <c r="W157" s="195">
        <f t="shared" si="46"/>
        <v>4871.3732696139123</v>
      </c>
      <c r="X157" s="195">
        <f t="shared" si="47"/>
        <v>3158.7897418205007</v>
      </c>
      <c r="Y157" s="195">
        <f t="shared" si="48"/>
        <v>80449.510072699326</v>
      </c>
      <c r="Z157" s="198">
        <f t="shared" si="49"/>
        <v>0.38091268653110844</v>
      </c>
      <c r="AA157" s="199">
        <f t="shared" si="50"/>
        <v>80652.574166708102</v>
      </c>
      <c r="AB157" s="195"/>
      <c r="AC157" s="199">
        <v>79530.380355377929</v>
      </c>
      <c r="AD157" s="194">
        <f t="shared" si="51"/>
        <v>1122.193811330173</v>
      </c>
      <c r="AE157" s="194">
        <v>1131.8575986462529</v>
      </c>
      <c r="AF157" s="194">
        <f t="shared" si="52"/>
        <v>-9.6637873160798335</v>
      </c>
    </row>
    <row r="158" spans="2:32" s="200" customFormat="1" x14ac:dyDescent="0.25">
      <c r="B158" s="201">
        <v>502</v>
      </c>
      <c r="C158" s="201">
        <v>7</v>
      </c>
      <c r="D158" s="202" t="s">
        <v>194</v>
      </c>
      <c r="E158" s="193">
        <v>616.38916703369796</v>
      </c>
      <c r="F158" s="193">
        <f>INDEX('Revised 2017 Lockdown'!H$5:H$249,MATCH(B158,'Revised 2017 Lockdown'!B$5:B$249,0))</f>
        <v>616.38916703369796</v>
      </c>
      <c r="G158" s="193">
        <f t="shared" si="38"/>
        <v>0</v>
      </c>
      <c r="H158" s="194">
        <v>297076.51</v>
      </c>
      <c r="I158" s="194">
        <f>INDEX('Revised 2017 Lockdown'!E$5:E$249,MATCH(B158,'Revised 2017 Lockdown'!B$5:B$249,0))</f>
        <v>297076.51</v>
      </c>
      <c r="J158" s="194">
        <f t="shared" si="39"/>
        <v>0</v>
      </c>
      <c r="K158" s="194">
        <v>0</v>
      </c>
      <c r="L158" s="194">
        <f>INDEX('Revised 2017 Lockdown'!F$5:F$249,MATCH(B158,'Revised 2017 Lockdown'!B$5:B$249,0))</f>
        <v>0</v>
      </c>
      <c r="M158" s="194">
        <f t="shared" si="40"/>
        <v>0</v>
      </c>
      <c r="N158" s="194">
        <f t="shared" si="36"/>
        <v>297076.51</v>
      </c>
      <c r="O158" s="195">
        <f t="shared" si="36"/>
        <v>297076.51</v>
      </c>
      <c r="P158" s="195">
        <f t="shared" si="41"/>
        <v>0</v>
      </c>
      <c r="Q158" s="95">
        <f t="shared" si="42"/>
        <v>481.96257476367822</v>
      </c>
      <c r="R158" s="196">
        <f t="shared" si="37"/>
        <v>481.96257476367822</v>
      </c>
      <c r="S158" s="194">
        <f t="shared" si="43"/>
        <v>297076.51</v>
      </c>
      <c r="T158" s="197">
        <v>0.25491666666666668</v>
      </c>
      <c r="U158" s="195">
        <f t="shared" si="44"/>
        <v>76484.659605817666</v>
      </c>
      <c r="V158" s="195">
        <f t="shared" si="45"/>
        <v>31799.76220989467</v>
      </c>
      <c r="W158" s="195">
        <f t="shared" si="46"/>
        <v>5849.1643433549061</v>
      </c>
      <c r="X158" s="195">
        <f t="shared" si="47"/>
        <v>4443.1509283058085</v>
      </c>
      <c r="Y158" s="195">
        <f t="shared" si="48"/>
        <v>118576.73708737305</v>
      </c>
      <c r="Z158" s="198">
        <f t="shared" si="49"/>
        <v>0.39914544939070762</v>
      </c>
      <c r="AA158" s="199">
        <f t="shared" si="50"/>
        <v>118876.03881917236</v>
      </c>
      <c r="AB158" s="195"/>
      <c r="AC158" s="199">
        <v>117343.34507697365</v>
      </c>
      <c r="AD158" s="194">
        <f t="shared" si="51"/>
        <v>1532.6937421987095</v>
      </c>
      <c r="AE158" s="194">
        <v>1516.6723133231571</v>
      </c>
      <c r="AF158" s="194">
        <f t="shared" si="52"/>
        <v>16.021428875552374</v>
      </c>
    </row>
    <row r="159" spans="2:32" s="200" customFormat="1" x14ac:dyDescent="0.25">
      <c r="B159" s="201">
        <v>503</v>
      </c>
      <c r="C159" s="201">
        <v>7</v>
      </c>
      <c r="D159" s="202" t="s">
        <v>195</v>
      </c>
      <c r="E159" s="193">
        <v>360.0499999999999</v>
      </c>
      <c r="F159" s="193">
        <f>INDEX('Revised 2017 Lockdown'!H$5:H$249,MATCH(B159,'Revised 2017 Lockdown'!B$5:B$249,0))</f>
        <v>360.0499999999999</v>
      </c>
      <c r="G159" s="193">
        <f t="shared" si="38"/>
        <v>0</v>
      </c>
      <c r="H159" s="194">
        <v>196540.79</v>
      </c>
      <c r="I159" s="194">
        <f>INDEX('Revised 2017 Lockdown'!E$5:E$249,MATCH(B159,'Revised 2017 Lockdown'!B$5:B$249,0))</f>
        <v>197273.02</v>
      </c>
      <c r="J159" s="194">
        <f t="shared" si="39"/>
        <v>732.22999999998137</v>
      </c>
      <c r="K159" s="194">
        <v>62642.149999999994</v>
      </c>
      <c r="L159" s="194">
        <f>INDEX('Revised 2017 Lockdown'!F$5:F$249,MATCH(B159,'Revised 2017 Lockdown'!B$5:B$249,0))</f>
        <v>62642.149999999994</v>
      </c>
      <c r="M159" s="194">
        <f t="shared" si="40"/>
        <v>0</v>
      </c>
      <c r="N159" s="194">
        <f t="shared" si="36"/>
        <v>133898.64000000001</v>
      </c>
      <c r="O159" s="195">
        <f t="shared" si="36"/>
        <v>134630.87</v>
      </c>
      <c r="P159" s="195">
        <f t="shared" si="41"/>
        <v>732.22999999998137</v>
      </c>
      <c r="Q159" s="95">
        <f t="shared" si="42"/>
        <v>373.92270517983621</v>
      </c>
      <c r="R159" s="196">
        <f t="shared" si="37"/>
        <v>373.92270517983621</v>
      </c>
      <c r="S159" s="194">
        <f t="shared" si="43"/>
        <v>134630.87</v>
      </c>
      <c r="T159" s="197">
        <v>0.75550000000000006</v>
      </c>
      <c r="U159" s="195">
        <f t="shared" si="44"/>
        <v>34661.765295361423</v>
      </c>
      <c r="V159" s="195">
        <f t="shared" si="45"/>
        <v>18575.122659556131</v>
      </c>
      <c r="W159" s="195">
        <f t="shared" si="46"/>
        <v>7856.0891041936666</v>
      </c>
      <c r="X159" s="195">
        <f t="shared" si="47"/>
        <v>2013.5731196624017</v>
      </c>
      <c r="Y159" s="195">
        <f t="shared" si="48"/>
        <v>63106.550178773621</v>
      </c>
      <c r="Z159" s="198">
        <f t="shared" si="49"/>
        <v>0.46873759471935095</v>
      </c>
      <c r="AA159" s="199">
        <f t="shared" si="50"/>
        <v>63265.838587447484</v>
      </c>
      <c r="AB159" s="195"/>
      <c r="AC159" s="199">
        <v>62206.799441492178</v>
      </c>
      <c r="AD159" s="194">
        <f t="shared" si="51"/>
        <v>1059.0391459553066</v>
      </c>
      <c r="AE159" s="194">
        <v>1050.2445916725264</v>
      </c>
      <c r="AF159" s="194">
        <f t="shared" si="52"/>
        <v>8.7945542827801546</v>
      </c>
    </row>
    <row r="160" spans="2:32" s="200" customFormat="1" x14ac:dyDescent="0.25">
      <c r="B160" s="201">
        <v>510</v>
      </c>
      <c r="C160" s="201">
        <v>7</v>
      </c>
      <c r="D160" s="202" t="s">
        <v>196</v>
      </c>
      <c r="E160" s="193">
        <v>476.19514109778987</v>
      </c>
      <c r="F160" s="193">
        <f>INDEX('Revised 2017 Lockdown'!H$5:H$249,MATCH(B160,'Revised 2017 Lockdown'!B$5:B$249,0))</f>
        <v>476.19514109778987</v>
      </c>
      <c r="G160" s="193">
        <f t="shared" si="38"/>
        <v>0</v>
      </c>
      <c r="H160" s="194">
        <v>221305.23</v>
      </c>
      <c r="I160" s="194">
        <f>INDEX('Revised 2017 Lockdown'!E$5:E$249,MATCH(B160,'Revised 2017 Lockdown'!B$5:B$249,0))</f>
        <v>221305.23</v>
      </c>
      <c r="J160" s="194">
        <f t="shared" si="39"/>
        <v>0</v>
      </c>
      <c r="K160" s="194">
        <v>819</v>
      </c>
      <c r="L160" s="194">
        <f>INDEX('Revised 2017 Lockdown'!F$5:F$249,MATCH(B160,'Revised 2017 Lockdown'!B$5:B$249,0))</f>
        <v>819</v>
      </c>
      <c r="M160" s="194">
        <f t="shared" si="40"/>
        <v>0</v>
      </c>
      <c r="N160" s="194">
        <f t="shared" si="36"/>
        <v>220486.23</v>
      </c>
      <c r="O160" s="195">
        <f t="shared" si="36"/>
        <v>220486.23</v>
      </c>
      <c r="P160" s="195">
        <f t="shared" si="41"/>
        <v>0</v>
      </c>
      <c r="Q160" s="95">
        <f t="shared" si="42"/>
        <v>463.01654714851799</v>
      </c>
      <c r="R160" s="196">
        <f t="shared" si="37"/>
        <v>463.01654714851799</v>
      </c>
      <c r="S160" s="194">
        <f t="shared" si="43"/>
        <v>220486.23</v>
      </c>
      <c r="T160" s="197">
        <v>0.35433333333333339</v>
      </c>
      <c r="U160" s="195">
        <f t="shared" si="44"/>
        <v>56765.895928022124</v>
      </c>
      <c r="V160" s="195">
        <f t="shared" si="45"/>
        <v>24567.096669285067</v>
      </c>
      <c r="W160" s="195">
        <f t="shared" si="46"/>
        <v>6034.2147371487536</v>
      </c>
      <c r="X160" s="195">
        <f t="shared" si="47"/>
        <v>3297.6474562164071</v>
      </c>
      <c r="Y160" s="195">
        <f t="shared" si="48"/>
        <v>90664.854790672354</v>
      </c>
      <c r="Z160" s="198">
        <f t="shared" si="49"/>
        <v>0.41120415905642882</v>
      </c>
      <c r="AA160" s="199">
        <f t="shared" si="50"/>
        <v>90893.703624927133</v>
      </c>
      <c r="AB160" s="195"/>
      <c r="AC160" s="199">
        <v>89727.174150270512</v>
      </c>
      <c r="AD160" s="194">
        <f t="shared" si="51"/>
        <v>1166.5294746566215</v>
      </c>
      <c r="AE160" s="194">
        <v>1154.2297731570288</v>
      </c>
      <c r="AF160" s="194">
        <f t="shared" si="52"/>
        <v>12.299701499592629</v>
      </c>
    </row>
    <row r="161" spans="2:32" s="200" customFormat="1" x14ac:dyDescent="0.25">
      <c r="B161" s="201">
        <v>531</v>
      </c>
      <c r="C161" s="201">
        <v>7</v>
      </c>
      <c r="D161" s="202" t="s">
        <v>197</v>
      </c>
      <c r="E161" s="193">
        <v>2067.38</v>
      </c>
      <c r="F161" s="193">
        <f>INDEX('Revised 2017 Lockdown'!H$5:H$249,MATCH(B161,'Revised 2017 Lockdown'!B$5:B$249,0))</f>
        <v>2029.4400000000003</v>
      </c>
      <c r="G161" s="193">
        <f t="shared" si="38"/>
        <v>-37.939999999999827</v>
      </c>
      <c r="H161" s="194">
        <v>856530.48</v>
      </c>
      <c r="I161" s="194">
        <f>INDEX('Revised 2017 Lockdown'!E$5:E$249,MATCH(B161,'Revised 2017 Lockdown'!B$5:B$249,0))</f>
        <v>856693.39</v>
      </c>
      <c r="J161" s="194">
        <f t="shared" si="39"/>
        <v>162.9100000000326</v>
      </c>
      <c r="K161" s="194">
        <v>6929.0499999999993</v>
      </c>
      <c r="L161" s="194">
        <f>INDEX('Revised 2017 Lockdown'!F$5:F$249,MATCH(B161,'Revised 2017 Lockdown'!B$5:B$249,0))</f>
        <v>7890.9400000000005</v>
      </c>
      <c r="M161" s="194">
        <f t="shared" si="40"/>
        <v>961.89000000000124</v>
      </c>
      <c r="N161" s="194">
        <f t="shared" si="36"/>
        <v>849601.42999999993</v>
      </c>
      <c r="O161" s="195">
        <f t="shared" si="36"/>
        <v>848802.45000000007</v>
      </c>
      <c r="P161" s="195">
        <f t="shared" si="41"/>
        <v>-798.97999999986496</v>
      </c>
      <c r="Q161" s="95">
        <f t="shared" si="42"/>
        <v>418.24466355250706</v>
      </c>
      <c r="R161" s="196">
        <f t="shared" si="37"/>
        <v>418.24466355250706</v>
      </c>
      <c r="S161" s="194">
        <f t="shared" si="43"/>
        <v>848802.45000000007</v>
      </c>
      <c r="T161" s="197">
        <v>0.82862500000000006</v>
      </c>
      <c r="U161" s="195">
        <f t="shared" si="44"/>
        <v>218530.7968672248</v>
      </c>
      <c r="V161" s="195">
        <f t="shared" si="45"/>
        <v>104699.61652606474</v>
      </c>
      <c r="W161" s="195">
        <f t="shared" si="46"/>
        <v>54324.024466231247</v>
      </c>
      <c r="X161" s="195">
        <f t="shared" si="47"/>
        <v>12694.902716023375</v>
      </c>
      <c r="Y161" s="195">
        <f t="shared" si="48"/>
        <v>390249.34057554416</v>
      </c>
      <c r="Z161" s="198">
        <f t="shared" si="49"/>
        <v>0.45976462553276576</v>
      </c>
      <c r="AA161" s="199">
        <f t="shared" si="50"/>
        <v>391234.37614269537</v>
      </c>
      <c r="AB161" s="195"/>
      <c r="AC161" s="199">
        <v>388197.58518183575</v>
      </c>
      <c r="AD161" s="194">
        <f t="shared" si="51"/>
        <v>3036.7909608596237</v>
      </c>
      <c r="AE161" s="194">
        <v>2983.6976017994457</v>
      </c>
      <c r="AF161" s="194">
        <f t="shared" si="52"/>
        <v>53.093359060178045</v>
      </c>
    </row>
    <row r="162" spans="2:32" s="200" customFormat="1" x14ac:dyDescent="0.25">
      <c r="B162" s="201">
        <v>550</v>
      </c>
      <c r="C162" s="201">
        <v>7</v>
      </c>
      <c r="D162" s="202" t="s">
        <v>198</v>
      </c>
      <c r="E162" s="193">
        <v>277.95981427587719</v>
      </c>
      <c r="F162" s="193">
        <f>INDEX('Revised 2017 Lockdown'!H$5:H$249,MATCH(B162,'Revised 2017 Lockdown'!B$5:B$249,0))</f>
        <v>277.95981427587719</v>
      </c>
      <c r="G162" s="193">
        <f t="shared" si="38"/>
        <v>0</v>
      </c>
      <c r="H162" s="194">
        <v>135191.09</v>
      </c>
      <c r="I162" s="194">
        <f>INDEX('Revised 2017 Lockdown'!E$5:E$249,MATCH(B162,'Revised 2017 Lockdown'!B$5:B$249,0))</f>
        <v>135191.09</v>
      </c>
      <c r="J162" s="194">
        <f t="shared" si="39"/>
        <v>0</v>
      </c>
      <c r="K162" s="194">
        <v>0</v>
      </c>
      <c r="L162" s="194">
        <f>INDEX('Revised 2017 Lockdown'!F$5:F$249,MATCH(B162,'Revised 2017 Lockdown'!B$5:B$249,0))</f>
        <v>0</v>
      </c>
      <c r="M162" s="194">
        <f t="shared" si="40"/>
        <v>0</v>
      </c>
      <c r="N162" s="194">
        <f t="shared" si="36"/>
        <v>135191.09</v>
      </c>
      <c r="O162" s="195">
        <f t="shared" si="36"/>
        <v>135191.09</v>
      </c>
      <c r="P162" s="195">
        <f t="shared" si="41"/>
        <v>0</v>
      </c>
      <c r="Q162" s="95">
        <f t="shared" si="42"/>
        <v>486.3691910004726</v>
      </c>
      <c r="R162" s="196">
        <f t="shared" si="37"/>
        <v>486.3691910004726</v>
      </c>
      <c r="S162" s="194">
        <f t="shared" si="43"/>
        <v>135191.09</v>
      </c>
      <c r="T162" s="197">
        <v>0.65881166666666668</v>
      </c>
      <c r="U162" s="195">
        <f t="shared" si="44"/>
        <v>34805.998294477948</v>
      </c>
      <c r="V162" s="195">
        <f t="shared" si="45"/>
        <v>14340.057338152652</v>
      </c>
      <c r="W162" s="195">
        <f t="shared" si="46"/>
        <v>6879.1793239146527</v>
      </c>
      <c r="X162" s="195">
        <f t="shared" si="47"/>
        <v>2021.951910745734</v>
      </c>
      <c r="Y162" s="195">
        <f t="shared" si="48"/>
        <v>58047.186867290977</v>
      </c>
      <c r="Z162" s="198">
        <f t="shared" si="49"/>
        <v>0.42937139472202629</v>
      </c>
      <c r="AA162" s="199">
        <f t="shared" si="50"/>
        <v>58193.704843600754</v>
      </c>
      <c r="AB162" s="195"/>
      <c r="AC162" s="199">
        <v>57407.757921978111</v>
      </c>
      <c r="AD162" s="194">
        <f t="shared" si="51"/>
        <v>785.94692162264255</v>
      </c>
      <c r="AE162" s="194">
        <v>778.22575666690682</v>
      </c>
      <c r="AF162" s="194">
        <f t="shared" si="52"/>
        <v>7.7211649557357305</v>
      </c>
    </row>
    <row r="163" spans="2:32" s="200" customFormat="1" x14ac:dyDescent="0.25">
      <c r="B163" s="201">
        <v>551</v>
      </c>
      <c r="C163" s="201">
        <v>7</v>
      </c>
      <c r="D163" s="202" t="s">
        <v>199</v>
      </c>
      <c r="E163" s="193">
        <v>165.07</v>
      </c>
      <c r="F163" s="193">
        <f>INDEX('Revised 2017 Lockdown'!H$5:H$249,MATCH(B163,'Revised 2017 Lockdown'!B$5:B$249,0))</f>
        <v>165.07</v>
      </c>
      <c r="G163" s="193">
        <f t="shared" si="38"/>
        <v>0</v>
      </c>
      <c r="H163" s="194">
        <v>86625.43</v>
      </c>
      <c r="I163" s="194">
        <f>INDEX('Revised 2017 Lockdown'!E$5:E$249,MATCH(B163,'Revised 2017 Lockdown'!B$5:B$249,0))</f>
        <v>86625.43</v>
      </c>
      <c r="J163" s="194">
        <f t="shared" si="39"/>
        <v>0</v>
      </c>
      <c r="K163" s="194">
        <v>246</v>
      </c>
      <c r="L163" s="194">
        <f>INDEX('Revised 2017 Lockdown'!F$5:F$249,MATCH(B163,'Revised 2017 Lockdown'!B$5:B$249,0))</f>
        <v>246</v>
      </c>
      <c r="M163" s="194">
        <f t="shared" si="40"/>
        <v>0</v>
      </c>
      <c r="N163" s="194">
        <f t="shared" si="36"/>
        <v>86379.43</v>
      </c>
      <c r="O163" s="195">
        <f t="shared" si="36"/>
        <v>86379.43</v>
      </c>
      <c r="P163" s="195">
        <f t="shared" si="41"/>
        <v>0</v>
      </c>
      <c r="Q163" s="95">
        <f t="shared" si="42"/>
        <v>523.28969528078994</v>
      </c>
      <c r="R163" s="196">
        <f t="shared" si="37"/>
        <v>523.28969528078994</v>
      </c>
      <c r="S163" s="194">
        <f t="shared" si="43"/>
        <v>86379.43</v>
      </c>
      <c r="T163" s="197">
        <v>0.48025000000000007</v>
      </c>
      <c r="U163" s="195">
        <f t="shared" si="44"/>
        <v>22239.056532926668</v>
      </c>
      <c r="V163" s="195">
        <f t="shared" si="45"/>
        <v>8516.026933517378</v>
      </c>
      <c r="W163" s="195">
        <f t="shared" si="46"/>
        <v>3204.0920699814101</v>
      </c>
      <c r="X163" s="195">
        <f t="shared" si="47"/>
        <v>1291.9124591541304</v>
      </c>
      <c r="Y163" s="195">
        <f t="shared" si="48"/>
        <v>35251.08799557959</v>
      </c>
      <c r="Z163" s="198">
        <f t="shared" si="49"/>
        <v>0.408095862586493</v>
      </c>
      <c r="AA163" s="199">
        <f t="shared" si="50"/>
        <v>35340.065917759326</v>
      </c>
      <c r="AB163" s="195"/>
      <c r="AC163" s="199">
        <v>34863.002653951437</v>
      </c>
      <c r="AD163" s="194">
        <f t="shared" si="51"/>
        <v>477.0632638078896</v>
      </c>
      <c r="AE163" s="194">
        <v>472.40986766060814</v>
      </c>
      <c r="AF163" s="194">
        <f t="shared" si="52"/>
        <v>4.6533961472814553</v>
      </c>
    </row>
    <row r="164" spans="2:32" s="200" customFormat="1" x14ac:dyDescent="0.25">
      <c r="B164" s="201">
        <v>555</v>
      </c>
      <c r="C164" s="201">
        <v>7</v>
      </c>
      <c r="D164" s="202" t="s">
        <v>200</v>
      </c>
      <c r="E164" s="193">
        <v>705.82</v>
      </c>
      <c r="F164" s="193">
        <f>INDEX('Revised 2017 Lockdown'!H$5:H$249,MATCH(B164,'Revised 2017 Lockdown'!B$5:B$249,0))</f>
        <v>705.82</v>
      </c>
      <c r="G164" s="193">
        <f t="shared" si="38"/>
        <v>0</v>
      </c>
      <c r="H164" s="194">
        <v>467594.79</v>
      </c>
      <c r="I164" s="194">
        <f>INDEX('Revised 2017 Lockdown'!E$5:E$249,MATCH(B164,'Revised 2017 Lockdown'!B$5:B$249,0))</f>
        <v>467594.79</v>
      </c>
      <c r="J164" s="194">
        <f t="shared" si="39"/>
        <v>0</v>
      </c>
      <c r="K164" s="194">
        <v>774.21</v>
      </c>
      <c r="L164" s="194">
        <f>INDEX('Revised 2017 Lockdown'!F$5:F$249,MATCH(B164,'Revised 2017 Lockdown'!B$5:B$249,0))</f>
        <v>774.21</v>
      </c>
      <c r="M164" s="194">
        <f t="shared" si="40"/>
        <v>0</v>
      </c>
      <c r="N164" s="194">
        <f t="shared" si="36"/>
        <v>466820.57999999996</v>
      </c>
      <c r="O164" s="195">
        <f t="shared" si="36"/>
        <v>466820.57999999996</v>
      </c>
      <c r="P164" s="195">
        <f t="shared" si="41"/>
        <v>0</v>
      </c>
      <c r="Q164" s="95">
        <f t="shared" si="42"/>
        <v>661.38757756935183</v>
      </c>
      <c r="R164" s="196">
        <f t="shared" si="37"/>
        <v>603.86505352200527</v>
      </c>
      <c r="S164" s="194">
        <f t="shared" si="43"/>
        <v>426220.03207690181</v>
      </c>
      <c r="T164" s="197">
        <v>0.60258333333333336</v>
      </c>
      <c r="U164" s="195">
        <f t="shared" si="44"/>
        <v>109733.66447109038</v>
      </c>
      <c r="V164" s="195">
        <f t="shared" si="45"/>
        <v>36413.534441238473</v>
      </c>
      <c r="W164" s="195">
        <f t="shared" si="46"/>
        <v>19837.103194761363</v>
      </c>
      <c r="X164" s="195">
        <f t="shared" si="47"/>
        <v>6374.653893655267</v>
      </c>
      <c r="Y164" s="195">
        <f t="shared" si="48"/>
        <v>172358.95600074547</v>
      </c>
      <c r="Z164" s="198">
        <f t="shared" si="49"/>
        <v>0.40438961810609403</v>
      </c>
      <c r="AA164" s="199">
        <f t="shared" si="50"/>
        <v>172794.01042448235</v>
      </c>
      <c r="AB164" s="195"/>
      <c r="AC164" s="199">
        <v>170288.67048300852</v>
      </c>
      <c r="AD164" s="194">
        <f t="shared" si="51"/>
        <v>2505.3399414738233</v>
      </c>
      <c r="AE164" s="194">
        <v>2526.9678180782357</v>
      </c>
      <c r="AF164" s="194">
        <f t="shared" si="52"/>
        <v>-21.62787660441245</v>
      </c>
    </row>
    <row r="165" spans="2:32" s="200" customFormat="1" x14ac:dyDescent="0.25">
      <c r="B165" s="201">
        <v>556</v>
      </c>
      <c r="C165" s="201">
        <v>7</v>
      </c>
      <c r="D165" s="202" t="s">
        <v>201</v>
      </c>
      <c r="E165" s="193">
        <v>399.46326028334249</v>
      </c>
      <c r="F165" s="193">
        <f>INDEX('Revised 2017 Lockdown'!H$5:H$249,MATCH(B165,'Revised 2017 Lockdown'!B$5:B$249,0))</f>
        <v>399.46326028334249</v>
      </c>
      <c r="G165" s="193">
        <f t="shared" si="38"/>
        <v>0</v>
      </c>
      <c r="H165" s="194">
        <v>156309.14000000001</v>
      </c>
      <c r="I165" s="194">
        <f>INDEX('Revised 2017 Lockdown'!E$5:E$249,MATCH(B165,'Revised 2017 Lockdown'!B$5:B$249,0))</f>
        <v>156309.14000000001</v>
      </c>
      <c r="J165" s="194">
        <f t="shared" si="39"/>
        <v>0</v>
      </c>
      <c r="K165" s="194">
        <v>427</v>
      </c>
      <c r="L165" s="194">
        <f>INDEX('Revised 2017 Lockdown'!F$5:F$249,MATCH(B165,'Revised 2017 Lockdown'!B$5:B$249,0))</f>
        <v>427</v>
      </c>
      <c r="M165" s="194">
        <f t="shared" si="40"/>
        <v>0</v>
      </c>
      <c r="N165" s="194">
        <f t="shared" si="36"/>
        <v>155882.14000000001</v>
      </c>
      <c r="O165" s="195">
        <f t="shared" si="36"/>
        <v>155882.14000000001</v>
      </c>
      <c r="P165" s="195">
        <f t="shared" si="41"/>
        <v>0</v>
      </c>
      <c r="Q165" s="95">
        <f t="shared" si="42"/>
        <v>390.22897847835009</v>
      </c>
      <c r="R165" s="196">
        <f t="shared" si="37"/>
        <v>390.22897847835009</v>
      </c>
      <c r="S165" s="194">
        <f t="shared" si="43"/>
        <v>155882.14000000001</v>
      </c>
      <c r="T165" s="197">
        <v>0.74075000000000002</v>
      </c>
      <c r="U165" s="195">
        <f t="shared" si="44"/>
        <v>40133.070152623026</v>
      </c>
      <c r="V165" s="195">
        <f t="shared" si="45"/>
        <v>20608.468428688477</v>
      </c>
      <c r="W165" s="195">
        <f t="shared" si="46"/>
        <v>8918.5715146666516</v>
      </c>
      <c r="X165" s="195">
        <f t="shared" si="47"/>
        <v>2331.4124534696334</v>
      </c>
      <c r="Y165" s="195">
        <f t="shared" si="48"/>
        <v>71991.522549447778</v>
      </c>
      <c r="Z165" s="198">
        <f t="shared" si="49"/>
        <v>0.46183303968913803</v>
      </c>
      <c r="AA165" s="199">
        <f t="shared" si="50"/>
        <v>72173.237680958293</v>
      </c>
      <c r="AB165" s="195"/>
      <c r="AC165" s="199">
        <v>71237.238262187631</v>
      </c>
      <c r="AD165" s="194">
        <f t="shared" si="51"/>
        <v>935.99941877066158</v>
      </c>
      <c r="AE165" s="194">
        <v>926.04439767722215</v>
      </c>
      <c r="AF165" s="194">
        <f t="shared" si="52"/>
        <v>9.9550210934394272</v>
      </c>
    </row>
    <row r="166" spans="2:32" s="200" customFormat="1" x14ac:dyDescent="0.25">
      <c r="B166" s="201">
        <v>558</v>
      </c>
      <c r="C166" s="201">
        <v>7</v>
      </c>
      <c r="D166" s="202" t="s">
        <v>202</v>
      </c>
      <c r="E166" s="193">
        <v>305.78979646739623</v>
      </c>
      <c r="F166" s="193">
        <f>INDEX('Revised 2017 Lockdown'!H$5:H$249,MATCH(B166,'Revised 2017 Lockdown'!B$5:B$249,0))</f>
        <v>305.78979646739623</v>
      </c>
      <c r="G166" s="193">
        <f t="shared" si="38"/>
        <v>0</v>
      </c>
      <c r="H166" s="194">
        <v>165288.29</v>
      </c>
      <c r="I166" s="194">
        <f>INDEX('Revised 2017 Lockdown'!E$5:E$249,MATCH(B166,'Revised 2017 Lockdown'!B$5:B$249,0))</f>
        <v>165308.60999999999</v>
      </c>
      <c r="J166" s="194">
        <f t="shared" si="39"/>
        <v>20.319999999977881</v>
      </c>
      <c r="K166" s="194">
        <v>22408.99</v>
      </c>
      <c r="L166" s="194">
        <f>INDEX('Revised 2017 Lockdown'!F$5:F$249,MATCH(B166,'Revised 2017 Lockdown'!B$5:B$249,0))</f>
        <v>22409</v>
      </c>
      <c r="M166" s="194">
        <f t="shared" si="40"/>
        <v>9.9999999983992893E-3</v>
      </c>
      <c r="N166" s="194">
        <f t="shared" si="36"/>
        <v>142879.30000000002</v>
      </c>
      <c r="O166" s="195">
        <f t="shared" si="36"/>
        <v>142899.60999999999</v>
      </c>
      <c r="P166" s="195">
        <f t="shared" si="41"/>
        <v>20.309999999968568</v>
      </c>
      <c r="Q166" s="95">
        <f t="shared" si="42"/>
        <v>467.31320551186593</v>
      </c>
      <c r="R166" s="196">
        <f t="shared" si="37"/>
        <v>467.31320551186593</v>
      </c>
      <c r="S166" s="194">
        <f t="shared" si="43"/>
        <v>142899.60999999999</v>
      </c>
      <c r="T166" s="197">
        <v>0.4160416666666667</v>
      </c>
      <c r="U166" s="195">
        <f t="shared" si="44"/>
        <v>36790.616762847043</v>
      </c>
      <c r="V166" s="195">
        <f t="shared" si="45"/>
        <v>15775.817184898184</v>
      </c>
      <c r="W166" s="195">
        <f t="shared" si="46"/>
        <v>4591.9288547128472</v>
      </c>
      <c r="X166" s="195">
        <f t="shared" si="47"/>
        <v>2137.2424727422508</v>
      </c>
      <c r="Y166" s="195">
        <f t="shared" si="48"/>
        <v>59295.605275200323</v>
      </c>
      <c r="Z166" s="198">
        <f t="shared" si="49"/>
        <v>0.41494588596288212</v>
      </c>
      <c r="AA166" s="199">
        <f t="shared" si="50"/>
        <v>59445.27440746763</v>
      </c>
      <c r="AB166" s="195"/>
      <c r="AC166" s="199">
        <v>58667.148516835019</v>
      </c>
      <c r="AD166" s="194">
        <f t="shared" si="51"/>
        <v>778.12589063261112</v>
      </c>
      <c r="AE166" s="194">
        <v>770.1138588184549</v>
      </c>
      <c r="AF166" s="194">
        <f t="shared" si="52"/>
        <v>8.0120318141562166</v>
      </c>
    </row>
    <row r="167" spans="2:32" s="200" customFormat="1" x14ac:dyDescent="0.25">
      <c r="B167" s="201">
        <v>600</v>
      </c>
      <c r="C167" s="201">
        <v>7</v>
      </c>
      <c r="D167" s="202" t="s">
        <v>203</v>
      </c>
      <c r="E167" s="193">
        <v>741.18</v>
      </c>
      <c r="F167" s="193">
        <f>INDEX('Revised 2017 Lockdown'!H$5:H$249,MATCH(B167,'Revised 2017 Lockdown'!B$5:B$249,0))</f>
        <v>741.18</v>
      </c>
      <c r="G167" s="193">
        <f t="shared" si="38"/>
        <v>0</v>
      </c>
      <c r="H167" s="194">
        <v>238860.15</v>
      </c>
      <c r="I167" s="194">
        <f>INDEX('Revised 2017 Lockdown'!E$5:E$249,MATCH(B167,'Revised 2017 Lockdown'!B$5:B$249,0))</f>
        <v>238860.15</v>
      </c>
      <c r="J167" s="194">
        <f t="shared" si="39"/>
        <v>0</v>
      </c>
      <c r="K167" s="194">
        <v>10</v>
      </c>
      <c r="L167" s="194">
        <f>INDEX('Revised 2017 Lockdown'!F$5:F$249,MATCH(B167,'Revised 2017 Lockdown'!B$5:B$249,0))</f>
        <v>10</v>
      </c>
      <c r="M167" s="194">
        <f t="shared" si="40"/>
        <v>0</v>
      </c>
      <c r="N167" s="194">
        <f t="shared" si="36"/>
        <v>238850.15</v>
      </c>
      <c r="O167" s="195">
        <f t="shared" si="36"/>
        <v>238850.15</v>
      </c>
      <c r="P167" s="195">
        <f t="shared" si="41"/>
        <v>0</v>
      </c>
      <c r="Q167" s="95">
        <f t="shared" si="42"/>
        <v>322.25660433363015</v>
      </c>
      <c r="R167" s="196">
        <f t="shared" si="37"/>
        <v>322.25660433363015</v>
      </c>
      <c r="S167" s="194">
        <f t="shared" si="43"/>
        <v>238850.14999999997</v>
      </c>
      <c r="T167" s="197">
        <v>0.86433333333333329</v>
      </c>
      <c r="U167" s="195">
        <f t="shared" si="44"/>
        <v>61493.830055928993</v>
      </c>
      <c r="V167" s="195">
        <f t="shared" si="45"/>
        <v>38237.770900735501</v>
      </c>
      <c r="W167" s="195">
        <f t="shared" si="46"/>
        <v>15945.350133502387</v>
      </c>
      <c r="X167" s="195">
        <f t="shared" si="47"/>
        <v>3572.3028579354241</v>
      </c>
      <c r="Y167" s="195">
        <f t="shared" si="48"/>
        <v>119249.25394810231</v>
      </c>
      <c r="Z167" s="198">
        <f t="shared" si="49"/>
        <v>0.49926388552865608</v>
      </c>
      <c r="AA167" s="199">
        <f t="shared" si="50"/>
        <v>119550.25319212893</v>
      </c>
      <c r="AB167" s="195"/>
      <c r="AC167" s="199">
        <v>118053.44289425273</v>
      </c>
      <c r="AD167" s="194">
        <f t="shared" si="51"/>
        <v>1496.8102978762035</v>
      </c>
      <c r="AE167" s="194">
        <v>1479.7636466082768</v>
      </c>
      <c r="AF167" s="194">
        <f t="shared" si="52"/>
        <v>17.046651267926791</v>
      </c>
    </row>
    <row r="168" spans="2:32" s="200" customFormat="1" x14ac:dyDescent="0.25">
      <c r="B168" s="201">
        <v>604</v>
      </c>
      <c r="C168" s="201">
        <v>7</v>
      </c>
      <c r="D168" s="202" t="s">
        <v>204</v>
      </c>
      <c r="E168" s="193">
        <v>663.01441323913355</v>
      </c>
      <c r="F168" s="193">
        <f>INDEX('Revised 2017 Lockdown'!H$5:H$249,MATCH(B168,'Revised 2017 Lockdown'!B$5:B$249,0))</f>
        <v>663.01441323913355</v>
      </c>
      <c r="G168" s="193">
        <f t="shared" si="38"/>
        <v>0</v>
      </c>
      <c r="H168" s="194">
        <v>218649.53</v>
      </c>
      <c r="I168" s="194">
        <f>INDEX('Revised 2017 Lockdown'!E$5:E$249,MATCH(B168,'Revised 2017 Lockdown'!B$5:B$249,0))</f>
        <v>218649.53</v>
      </c>
      <c r="J168" s="194">
        <f t="shared" si="39"/>
        <v>0</v>
      </c>
      <c r="K168" s="194">
        <v>40098.400000000001</v>
      </c>
      <c r="L168" s="194">
        <f>INDEX('Revised 2017 Lockdown'!F$5:F$249,MATCH(B168,'Revised 2017 Lockdown'!B$5:B$249,0))</f>
        <v>40098.400000000001</v>
      </c>
      <c r="M168" s="194">
        <f t="shared" si="40"/>
        <v>0</v>
      </c>
      <c r="N168" s="194">
        <f t="shared" si="36"/>
        <v>178551.13</v>
      </c>
      <c r="O168" s="195">
        <f t="shared" si="36"/>
        <v>178551.13</v>
      </c>
      <c r="P168" s="195">
        <f t="shared" si="41"/>
        <v>0</v>
      </c>
      <c r="Q168" s="95">
        <f t="shared" si="42"/>
        <v>269.30203391460941</v>
      </c>
      <c r="R168" s="196">
        <f t="shared" si="37"/>
        <v>269.30203391460941</v>
      </c>
      <c r="S168" s="194">
        <f t="shared" si="43"/>
        <v>178551.13</v>
      </c>
      <c r="T168" s="197">
        <v>0.63758333333333339</v>
      </c>
      <c r="U168" s="195">
        <f t="shared" si="44"/>
        <v>45969.378057807728</v>
      </c>
      <c r="V168" s="195">
        <f t="shared" si="45"/>
        <v>34205.177200307029</v>
      </c>
      <c r="W168" s="195">
        <f t="shared" si="46"/>
        <v>8792.7927880071729</v>
      </c>
      <c r="X168" s="195">
        <f t="shared" si="47"/>
        <v>2670.4555638194051</v>
      </c>
      <c r="Y168" s="195">
        <f t="shared" si="48"/>
        <v>91637.803609941344</v>
      </c>
      <c r="Z168" s="198">
        <f t="shared" si="49"/>
        <v>0.51323004010078987</v>
      </c>
      <c r="AA168" s="199">
        <f t="shared" si="50"/>
        <v>91869.108282277972</v>
      </c>
      <c r="AB168" s="195"/>
      <c r="AC168" s="199">
        <v>90831.188720729144</v>
      </c>
      <c r="AD168" s="194">
        <f t="shared" si="51"/>
        <v>1037.9195615488279</v>
      </c>
      <c r="AE168" s="194">
        <v>1024.2149765875656</v>
      </c>
      <c r="AF168" s="194">
        <f t="shared" si="52"/>
        <v>13.704584961262299</v>
      </c>
    </row>
    <row r="169" spans="2:32" s="200" customFormat="1" x14ac:dyDescent="0.25">
      <c r="B169" s="201">
        <v>612</v>
      </c>
      <c r="C169" s="201">
        <v>7</v>
      </c>
      <c r="D169" s="202" t="s">
        <v>205</v>
      </c>
      <c r="E169" s="193">
        <v>535.02449710035819</v>
      </c>
      <c r="F169" s="193">
        <f>INDEX('Revised 2017 Lockdown'!H$5:H$249,MATCH(B169,'Revised 2017 Lockdown'!B$5:B$249,0))</f>
        <v>520.57952624249731</v>
      </c>
      <c r="G169" s="193">
        <f t="shared" si="38"/>
        <v>-14.444970857860881</v>
      </c>
      <c r="H169" s="194">
        <v>201310.45</v>
      </c>
      <c r="I169" s="194">
        <f>INDEX('Revised 2017 Lockdown'!E$5:E$249,MATCH(B169,'Revised 2017 Lockdown'!B$5:B$249,0))</f>
        <v>194053.99</v>
      </c>
      <c r="J169" s="194">
        <f t="shared" si="39"/>
        <v>-7256.460000000021</v>
      </c>
      <c r="K169" s="194">
        <v>1285.3399999999999</v>
      </c>
      <c r="L169" s="194">
        <f>INDEX('Revised 2017 Lockdown'!F$5:F$249,MATCH(B169,'Revised 2017 Lockdown'!B$5:B$249,0))</f>
        <v>1285.3399999999999</v>
      </c>
      <c r="M169" s="194">
        <f t="shared" si="40"/>
        <v>0</v>
      </c>
      <c r="N169" s="194">
        <f t="shared" si="36"/>
        <v>200025.11000000002</v>
      </c>
      <c r="O169" s="195">
        <f t="shared" si="36"/>
        <v>192768.65</v>
      </c>
      <c r="P169" s="195">
        <f t="shared" si="41"/>
        <v>-7256.460000000021</v>
      </c>
      <c r="Q169" s="95">
        <f t="shared" si="42"/>
        <v>370.29625692617839</v>
      </c>
      <c r="R169" s="196">
        <f t="shared" si="37"/>
        <v>370.29625692617839</v>
      </c>
      <c r="S169" s="194">
        <f t="shared" si="43"/>
        <v>192768.65</v>
      </c>
      <c r="T169" s="197">
        <v>0.86191666666666666</v>
      </c>
      <c r="U169" s="195">
        <f t="shared" si="44"/>
        <v>49629.789234843927</v>
      </c>
      <c r="V169" s="195">
        <f t="shared" si="45"/>
        <v>26856.904746585224</v>
      </c>
      <c r="W169" s="195">
        <f t="shared" si="46"/>
        <v>12833.022751399767</v>
      </c>
      <c r="X169" s="195">
        <f t="shared" si="47"/>
        <v>2883.0963652957871</v>
      </c>
      <c r="Y169" s="195">
        <f t="shared" si="48"/>
        <v>92202.813098124709</v>
      </c>
      <c r="Z169" s="198">
        <f t="shared" si="49"/>
        <v>0.47830813308141501</v>
      </c>
      <c r="AA169" s="199">
        <f t="shared" si="50"/>
        <v>92435.543921344302</v>
      </c>
      <c r="AB169" s="195"/>
      <c r="AC169" s="199">
        <v>94401.168097498885</v>
      </c>
      <c r="AD169" s="194">
        <f t="shared" si="51"/>
        <v>-1965.6241761545825</v>
      </c>
      <c r="AE169" s="194">
        <v>-1978.4499403457012</v>
      </c>
      <c r="AF169" s="194">
        <f t="shared" si="52"/>
        <v>12.825764191118651</v>
      </c>
    </row>
    <row r="170" spans="2:32" s="200" customFormat="1" x14ac:dyDescent="0.25">
      <c r="B170" s="201">
        <v>711</v>
      </c>
      <c r="C170" s="201">
        <v>7</v>
      </c>
      <c r="D170" s="202" t="s">
        <v>206</v>
      </c>
      <c r="E170" s="193">
        <v>383.03000000000003</v>
      </c>
      <c r="F170" s="193">
        <f>INDEX('Revised 2017 Lockdown'!H$5:H$249,MATCH(B170,'Revised 2017 Lockdown'!B$5:B$249,0))</f>
        <v>383.03000000000003</v>
      </c>
      <c r="G170" s="193">
        <f t="shared" si="38"/>
        <v>0</v>
      </c>
      <c r="H170" s="194">
        <v>204866.78</v>
      </c>
      <c r="I170" s="194">
        <f>INDEX('Revised 2017 Lockdown'!E$5:E$249,MATCH(B170,'Revised 2017 Lockdown'!B$5:B$249,0))</f>
        <v>210277.86</v>
      </c>
      <c r="J170" s="194">
        <f t="shared" si="39"/>
        <v>5411.0799999999872</v>
      </c>
      <c r="K170" s="194">
        <v>25071.68</v>
      </c>
      <c r="L170" s="194">
        <f>INDEX('Revised 2017 Lockdown'!F$5:F$249,MATCH(B170,'Revised 2017 Lockdown'!B$5:B$249,0))</f>
        <v>25071.68</v>
      </c>
      <c r="M170" s="194">
        <f t="shared" si="40"/>
        <v>0</v>
      </c>
      <c r="N170" s="194">
        <f t="shared" si="36"/>
        <v>179795.1</v>
      </c>
      <c r="O170" s="195">
        <f t="shared" si="36"/>
        <v>185206.18</v>
      </c>
      <c r="P170" s="195">
        <f t="shared" si="41"/>
        <v>5411.0799999999872</v>
      </c>
      <c r="Q170" s="95">
        <f t="shared" si="42"/>
        <v>483.52917526042341</v>
      </c>
      <c r="R170" s="196">
        <f t="shared" si="37"/>
        <v>483.52917526042341</v>
      </c>
      <c r="S170" s="194">
        <f t="shared" si="43"/>
        <v>185206.18</v>
      </c>
      <c r="T170" s="197">
        <v>0.71533333333333338</v>
      </c>
      <c r="U170" s="195">
        <f t="shared" si="44"/>
        <v>47682.772475662226</v>
      </c>
      <c r="V170" s="195">
        <f t="shared" si="45"/>
        <v>19760.669996638768</v>
      </c>
      <c r="W170" s="195">
        <f t="shared" si="46"/>
        <v>10232.722973277116</v>
      </c>
      <c r="X170" s="195">
        <f t="shared" si="47"/>
        <v>2769.9901637964331</v>
      </c>
      <c r="Y170" s="195">
        <f t="shared" si="48"/>
        <v>80446.155609374546</v>
      </c>
      <c r="Z170" s="198">
        <f t="shared" si="49"/>
        <v>0.43435999602915276</v>
      </c>
      <c r="AA170" s="199">
        <f t="shared" si="50"/>
        <v>80649.211236320509</v>
      </c>
      <c r="AB170" s="195"/>
      <c r="AC170" s="199">
        <v>77832.85647501795</v>
      </c>
      <c r="AD170" s="194">
        <f t="shared" si="51"/>
        <v>2816.3547613025585</v>
      </c>
      <c r="AE170" s="194">
        <v>2805.6620210967812</v>
      </c>
      <c r="AF170" s="194">
        <f t="shared" si="52"/>
        <v>10.692740205777227</v>
      </c>
    </row>
    <row r="171" spans="2:32" s="200" customFormat="1" x14ac:dyDescent="0.25">
      <c r="B171" s="201">
        <v>712</v>
      </c>
      <c r="C171" s="201">
        <v>7</v>
      </c>
      <c r="D171" s="202" t="s">
        <v>207</v>
      </c>
      <c r="E171" s="193">
        <v>577.44136596925159</v>
      </c>
      <c r="F171" s="193">
        <f>INDEX('Revised 2017 Lockdown'!H$5:H$249,MATCH(B171,'Revised 2017 Lockdown'!B$5:B$249,0))</f>
        <v>577.44136596925159</v>
      </c>
      <c r="G171" s="193">
        <f t="shared" si="38"/>
        <v>0</v>
      </c>
      <c r="H171" s="194">
        <v>276945.74</v>
      </c>
      <c r="I171" s="194">
        <f>INDEX('Revised 2017 Lockdown'!E$5:E$249,MATCH(B171,'Revised 2017 Lockdown'!B$5:B$249,0))</f>
        <v>276945.74</v>
      </c>
      <c r="J171" s="194">
        <f t="shared" si="39"/>
        <v>0</v>
      </c>
      <c r="K171" s="194">
        <v>0</v>
      </c>
      <c r="L171" s="194">
        <f>INDEX('Revised 2017 Lockdown'!F$5:F$249,MATCH(B171,'Revised 2017 Lockdown'!B$5:B$249,0))</f>
        <v>0</v>
      </c>
      <c r="M171" s="194">
        <f t="shared" si="40"/>
        <v>0</v>
      </c>
      <c r="N171" s="194">
        <f t="shared" si="36"/>
        <v>276945.74</v>
      </c>
      <c r="O171" s="195">
        <f t="shared" si="36"/>
        <v>276945.74</v>
      </c>
      <c r="P171" s="195">
        <f t="shared" si="41"/>
        <v>0</v>
      </c>
      <c r="Q171" s="95">
        <f t="shared" si="42"/>
        <v>479.60841796489376</v>
      </c>
      <c r="R171" s="196">
        <f t="shared" si="37"/>
        <v>479.60841796489376</v>
      </c>
      <c r="S171" s="194">
        <f t="shared" si="43"/>
        <v>276945.74</v>
      </c>
      <c r="T171" s="197">
        <v>0.77087499999999998</v>
      </c>
      <c r="U171" s="195">
        <f t="shared" si="44"/>
        <v>71301.836194256088</v>
      </c>
      <c r="V171" s="195">
        <f t="shared" si="45"/>
        <v>29790.429666936518</v>
      </c>
      <c r="W171" s="195">
        <f t="shared" si="46"/>
        <v>16489.440892874147</v>
      </c>
      <c r="X171" s="195">
        <f t="shared" si="47"/>
        <v>4142.0700740403172</v>
      </c>
      <c r="Y171" s="195">
        <f t="shared" si="48"/>
        <v>121723.77682810706</v>
      </c>
      <c r="Z171" s="198">
        <f t="shared" si="49"/>
        <v>0.4395221129890175</v>
      </c>
      <c r="AA171" s="199">
        <f t="shared" si="50"/>
        <v>122031.0220610313</v>
      </c>
      <c r="AB171" s="195"/>
      <c r="AC171" s="199">
        <v>120386.10826977452</v>
      </c>
      <c r="AD171" s="194">
        <f t="shared" si="51"/>
        <v>1644.9137912567821</v>
      </c>
      <c r="AE171" s="194">
        <v>1628.7387654177001</v>
      </c>
      <c r="AF171" s="194">
        <f t="shared" si="52"/>
        <v>16.175025839082082</v>
      </c>
    </row>
    <row r="172" spans="2:32" s="200" customFormat="1" x14ac:dyDescent="0.25">
      <c r="B172" s="201">
        <v>718</v>
      </c>
      <c r="C172" s="201">
        <v>7</v>
      </c>
      <c r="D172" s="202" t="s">
        <v>208</v>
      </c>
      <c r="E172" s="193">
        <v>41.596316531073334</v>
      </c>
      <c r="F172" s="193">
        <f>INDEX('Revised 2017 Lockdown'!H$5:H$249,MATCH(B172,'Revised 2017 Lockdown'!B$5:B$249,0))</f>
        <v>41.596316531073334</v>
      </c>
      <c r="G172" s="193">
        <f t="shared" si="38"/>
        <v>0</v>
      </c>
      <c r="H172" s="194">
        <v>21138.42</v>
      </c>
      <c r="I172" s="194">
        <f>INDEX('Revised 2017 Lockdown'!E$5:E$249,MATCH(B172,'Revised 2017 Lockdown'!B$5:B$249,0))</f>
        <v>21138.42</v>
      </c>
      <c r="J172" s="194">
        <f t="shared" si="39"/>
        <v>0</v>
      </c>
      <c r="K172" s="194">
        <v>0</v>
      </c>
      <c r="L172" s="194">
        <f>INDEX('Revised 2017 Lockdown'!F$5:F$249,MATCH(B172,'Revised 2017 Lockdown'!B$5:B$249,0))</f>
        <v>0</v>
      </c>
      <c r="M172" s="194">
        <f t="shared" si="40"/>
        <v>0</v>
      </c>
      <c r="N172" s="194">
        <f t="shared" si="36"/>
        <v>21138.42</v>
      </c>
      <c r="O172" s="195">
        <f t="shared" si="36"/>
        <v>21138.42</v>
      </c>
      <c r="P172" s="195">
        <f t="shared" si="41"/>
        <v>0</v>
      </c>
      <c r="Q172" s="95">
        <f t="shared" si="42"/>
        <v>508.18009292263048</v>
      </c>
      <c r="R172" s="196">
        <f t="shared" si="37"/>
        <v>508.18009292263048</v>
      </c>
      <c r="S172" s="194">
        <f t="shared" si="43"/>
        <v>21138.42</v>
      </c>
      <c r="T172" s="197">
        <v>9.8250000000000004E-2</v>
      </c>
      <c r="U172" s="195">
        <f t="shared" si="44"/>
        <v>5442.2507464653063</v>
      </c>
      <c r="V172" s="195">
        <f t="shared" si="45"/>
        <v>2145.9705089582276</v>
      </c>
      <c r="W172" s="195">
        <f t="shared" si="46"/>
        <v>160.41034075206491</v>
      </c>
      <c r="X172" s="195">
        <f t="shared" si="47"/>
        <v>316.15152085204602</v>
      </c>
      <c r="Y172" s="195">
        <f t="shared" si="48"/>
        <v>8064.7831170276449</v>
      </c>
      <c r="Z172" s="198">
        <f t="shared" si="49"/>
        <v>0.38152251289489214</v>
      </c>
      <c r="AA172" s="199">
        <f t="shared" si="50"/>
        <v>8085.1395850229956</v>
      </c>
      <c r="AB172" s="195"/>
      <c r="AC172" s="199">
        <v>7983.2708310934668</v>
      </c>
      <c r="AD172" s="194">
        <f t="shared" si="51"/>
        <v>101.86875392952879</v>
      </c>
      <c r="AE172" s="194">
        <v>100.78375361433427</v>
      </c>
      <c r="AF172" s="194">
        <f t="shared" si="52"/>
        <v>1.0850003151945202</v>
      </c>
    </row>
    <row r="173" spans="2:32" s="200" customFormat="1" x14ac:dyDescent="0.25">
      <c r="B173" s="201">
        <v>736</v>
      </c>
      <c r="C173" s="201">
        <v>7</v>
      </c>
      <c r="D173" s="202" t="s">
        <v>209</v>
      </c>
      <c r="E173" s="193">
        <v>139.26018147577855</v>
      </c>
      <c r="F173" s="193">
        <f>INDEX('Revised 2017 Lockdown'!H$5:H$249,MATCH(B173,'Revised 2017 Lockdown'!B$5:B$249,0))</f>
        <v>139.26018147577855</v>
      </c>
      <c r="G173" s="193">
        <f t="shared" si="38"/>
        <v>0</v>
      </c>
      <c r="H173" s="194">
        <v>50940.17</v>
      </c>
      <c r="I173" s="194">
        <f>INDEX('Revised 2017 Lockdown'!E$5:E$249,MATCH(B173,'Revised 2017 Lockdown'!B$5:B$249,0))</f>
        <v>50940.17</v>
      </c>
      <c r="J173" s="194">
        <f t="shared" si="39"/>
        <v>0</v>
      </c>
      <c r="K173" s="194">
        <v>0</v>
      </c>
      <c r="L173" s="194">
        <f>INDEX('Revised 2017 Lockdown'!F$5:F$249,MATCH(B173,'Revised 2017 Lockdown'!B$5:B$249,0))</f>
        <v>0</v>
      </c>
      <c r="M173" s="194">
        <f t="shared" si="40"/>
        <v>0</v>
      </c>
      <c r="N173" s="194">
        <f t="shared" si="36"/>
        <v>50940.17</v>
      </c>
      <c r="O173" s="195">
        <f t="shared" si="36"/>
        <v>50940.17</v>
      </c>
      <c r="P173" s="195">
        <f t="shared" si="41"/>
        <v>0</v>
      </c>
      <c r="Q173" s="95">
        <f t="shared" si="42"/>
        <v>365.79135155629535</v>
      </c>
      <c r="R173" s="196">
        <f t="shared" si="37"/>
        <v>365.79135155629535</v>
      </c>
      <c r="S173" s="194">
        <f t="shared" si="43"/>
        <v>50940.170000000006</v>
      </c>
      <c r="T173" s="197">
        <v>0.48025000000000007</v>
      </c>
      <c r="U173" s="195">
        <f t="shared" si="44"/>
        <v>13114.943226956872</v>
      </c>
      <c r="V173" s="195">
        <f t="shared" si="45"/>
        <v>7184.4881336054277</v>
      </c>
      <c r="W173" s="195">
        <f t="shared" si="46"/>
        <v>1889.5354454238116</v>
      </c>
      <c r="X173" s="195">
        <f t="shared" si="47"/>
        <v>761.87398197035407</v>
      </c>
      <c r="Y173" s="195">
        <f t="shared" si="48"/>
        <v>22950.840787956466</v>
      </c>
      <c r="Z173" s="198">
        <f t="shared" si="49"/>
        <v>0.45054503720652017</v>
      </c>
      <c r="AA173" s="199">
        <f t="shared" si="50"/>
        <v>23008.771429014872</v>
      </c>
      <c r="AB173" s="195"/>
      <c r="AC173" s="199">
        <v>22725.594624891048</v>
      </c>
      <c r="AD173" s="194">
        <f t="shared" si="51"/>
        <v>283.1768041238247</v>
      </c>
      <c r="AE173" s="194">
        <v>279.93128865803737</v>
      </c>
      <c r="AF173" s="194">
        <f t="shared" si="52"/>
        <v>3.2455154657873209</v>
      </c>
    </row>
    <row r="174" spans="2:32" s="200" customFormat="1" x14ac:dyDescent="0.25">
      <c r="B174" s="201">
        <v>757</v>
      </c>
      <c r="C174" s="201">
        <v>7</v>
      </c>
      <c r="D174" s="202" t="s">
        <v>210</v>
      </c>
      <c r="E174" s="193">
        <v>451.19999999999993</v>
      </c>
      <c r="F174" s="193">
        <f>INDEX('Revised 2017 Lockdown'!H$5:H$249,MATCH(B174,'Revised 2017 Lockdown'!B$5:B$249,0))</f>
        <v>451.19999999999993</v>
      </c>
      <c r="G174" s="193">
        <f t="shared" si="38"/>
        <v>0</v>
      </c>
      <c r="H174" s="194">
        <v>297694.98</v>
      </c>
      <c r="I174" s="194">
        <f>INDEX('Revised 2017 Lockdown'!E$5:E$249,MATCH(B174,'Revised 2017 Lockdown'!B$5:B$249,0))</f>
        <v>297694.98</v>
      </c>
      <c r="J174" s="194">
        <f t="shared" si="39"/>
        <v>0</v>
      </c>
      <c r="K174" s="194">
        <v>55134</v>
      </c>
      <c r="L174" s="194">
        <f>INDEX('Revised 2017 Lockdown'!F$5:F$249,MATCH(B174,'Revised 2017 Lockdown'!B$5:B$249,0))</f>
        <v>55134</v>
      </c>
      <c r="M174" s="194">
        <f t="shared" si="40"/>
        <v>0</v>
      </c>
      <c r="N174" s="194">
        <f t="shared" si="36"/>
        <v>242560.97999999998</v>
      </c>
      <c r="O174" s="195">
        <f t="shared" si="36"/>
        <v>242560.97999999998</v>
      </c>
      <c r="P174" s="195">
        <f t="shared" si="41"/>
        <v>0</v>
      </c>
      <c r="Q174" s="95">
        <f t="shared" si="42"/>
        <v>537.5908244680852</v>
      </c>
      <c r="R174" s="196">
        <f t="shared" si="37"/>
        <v>537.5908244680852</v>
      </c>
      <c r="S174" s="194">
        <f t="shared" si="43"/>
        <v>242560.98</v>
      </c>
      <c r="T174" s="197">
        <v>0.79725000000000001</v>
      </c>
      <c r="U174" s="195">
        <f t="shared" si="44"/>
        <v>62449.212120317257</v>
      </c>
      <c r="V174" s="195">
        <f t="shared" si="45"/>
        <v>23277.587401726782</v>
      </c>
      <c r="W174" s="195">
        <f t="shared" si="46"/>
        <v>14936.29030887688</v>
      </c>
      <c r="X174" s="195">
        <f t="shared" si="47"/>
        <v>3627.8029638148328</v>
      </c>
      <c r="Y174" s="195">
        <f t="shared" si="48"/>
        <v>104290.89279473574</v>
      </c>
      <c r="Z174" s="198">
        <f t="shared" si="49"/>
        <v>0.4299574185210488</v>
      </c>
      <c r="AA174" s="199">
        <f t="shared" si="50"/>
        <v>104554.13536314409</v>
      </c>
      <c r="AB174" s="195"/>
      <c r="AC174" s="199">
        <v>103068.85832053423</v>
      </c>
      <c r="AD174" s="194">
        <f t="shared" si="51"/>
        <v>1485.2770426098577</v>
      </c>
      <c r="AE174" s="194">
        <v>1471.7086734162003</v>
      </c>
      <c r="AF174" s="194">
        <f t="shared" si="52"/>
        <v>13.568369193657418</v>
      </c>
    </row>
    <row r="175" spans="2:32" s="200" customFormat="1" x14ac:dyDescent="0.25">
      <c r="B175" s="201">
        <v>786</v>
      </c>
      <c r="C175" s="201">
        <v>7</v>
      </c>
      <c r="D175" s="202" t="s">
        <v>211</v>
      </c>
      <c r="E175" s="193">
        <v>3074.88</v>
      </c>
      <c r="F175" s="193">
        <f>INDEX('Revised 2017 Lockdown'!H$5:H$249,MATCH(B175,'Revised 2017 Lockdown'!B$5:B$249,0))</f>
        <v>3074.88</v>
      </c>
      <c r="G175" s="193">
        <f t="shared" si="38"/>
        <v>0</v>
      </c>
      <c r="H175" s="194">
        <v>1542106.66</v>
      </c>
      <c r="I175" s="194">
        <f>INDEX('Revised 2017 Lockdown'!E$5:E$249,MATCH(B175,'Revised 2017 Lockdown'!B$5:B$249,0))</f>
        <v>1542106.66</v>
      </c>
      <c r="J175" s="194">
        <f t="shared" si="39"/>
        <v>0</v>
      </c>
      <c r="K175" s="194">
        <v>369767.38</v>
      </c>
      <c r="L175" s="194">
        <f>INDEX('Revised 2017 Lockdown'!F$5:F$249,MATCH(B175,'Revised 2017 Lockdown'!B$5:B$249,0))</f>
        <v>369767.38</v>
      </c>
      <c r="M175" s="194">
        <f t="shared" si="40"/>
        <v>0</v>
      </c>
      <c r="N175" s="194">
        <f t="shared" si="36"/>
        <v>1172339.2799999998</v>
      </c>
      <c r="O175" s="195">
        <f t="shared" si="36"/>
        <v>1172339.2799999998</v>
      </c>
      <c r="P175" s="195">
        <f t="shared" si="41"/>
        <v>0</v>
      </c>
      <c r="Q175" s="95">
        <f t="shared" si="42"/>
        <v>381.26342491414289</v>
      </c>
      <c r="R175" s="196">
        <f t="shared" si="37"/>
        <v>381.26342491414289</v>
      </c>
      <c r="S175" s="194">
        <f t="shared" si="43"/>
        <v>1172339.2799999998</v>
      </c>
      <c r="T175" s="197">
        <v>0.83899999999999997</v>
      </c>
      <c r="U175" s="195">
        <f t="shared" si="44"/>
        <v>301827.87179413601</v>
      </c>
      <c r="V175" s="195">
        <f t="shared" si="45"/>
        <v>158634.28180368277</v>
      </c>
      <c r="W175" s="195">
        <f t="shared" si="46"/>
        <v>75970.075330584019</v>
      </c>
      <c r="X175" s="195">
        <f t="shared" si="47"/>
        <v>17533.800838785144</v>
      </c>
      <c r="Y175" s="195">
        <f t="shared" si="48"/>
        <v>553966.02976718789</v>
      </c>
      <c r="Z175" s="198">
        <f t="shared" si="49"/>
        <v>0.472530468967301</v>
      </c>
      <c r="AA175" s="199">
        <f t="shared" si="50"/>
        <v>555364.30565282924</v>
      </c>
      <c r="AB175" s="195"/>
      <c r="AC175" s="199">
        <v>548071.62258956558</v>
      </c>
      <c r="AD175" s="194">
        <f t="shared" si="51"/>
        <v>7292.6830632636556</v>
      </c>
      <c r="AE175" s="194">
        <v>7215.9979036534205</v>
      </c>
      <c r="AF175" s="194">
        <f t="shared" si="52"/>
        <v>76.685159610235132</v>
      </c>
    </row>
    <row r="176" spans="2:32" s="200" customFormat="1" x14ac:dyDescent="0.25">
      <c r="B176" s="201">
        <v>854</v>
      </c>
      <c r="C176" s="201">
        <v>7</v>
      </c>
      <c r="D176" s="202" t="s">
        <v>212</v>
      </c>
      <c r="E176" s="193">
        <v>831.67</v>
      </c>
      <c r="F176" s="193">
        <f>INDEX('Revised 2017 Lockdown'!H$5:H$249,MATCH(B176,'Revised 2017 Lockdown'!B$5:B$249,0))</f>
        <v>831.67</v>
      </c>
      <c r="G176" s="193">
        <f t="shared" si="38"/>
        <v>0</v>
      </c>
      <c r="H176" s="194">
        <v>485829.07</v>
      </c>
      <c r="I176" s="194">
        <f>INDEX('Revised 2017 Lockdown'!E$5:E$249,MATCH(B176,'Revised 2017 Lockdown'!B$5:B$249,0))</f>
        <v>485829.07</v>
      </c>
      <c r="J176" s="194">
        <f t="shared" si="39"/>
        <v>0</v>
      </c>
      <c r="K176" s="194">
        <v>31273.13</v>
      </c>
      <c r="L176" s="194">
        <f>INDEX('Revised 2017 Lockdown'!F$5:F$249,MATCH(B176,'Revised 2017 Lockdown'!B$5:B$249,0))</f>
        <v>31273.13</v>
      </c>
      <c r="M176" s="194">
        <f t="shared" si="40"/>
        <v>0</v>
      </c>
      <c r="N176" s="194">
        <f t="shared" si="36"/>
        <v>454555.94</v>
      </c>
      <c r="O176" s="195">
        <f t="shared" si="36"/>
        <v>454555.94</v>
      </c>
      <c r="P176" s="195">
        <f t="shared" si="41"/>
        <v>0</v>
      </c>
      <c r="Q176" s="95">
        <f t="shared" si="42"/>
        <v>546.55805788353553</v>
      </c>
      <c r="R176" s="196">
        <f t="shared" si="37"/>
        <v>546.55805788353553</v>
      </c>
      <c r="S176" s="194">
        <f t="shared" si="43"/>
        <v>454555.93999999994</v>
      </c>
      <c r="T176" s="197">
        <v>0.79725000000000001</v>
      </c>
      <c r="U176" s="195">
        <f t="shared" si="44"/>
        <v>117028.96450043282</v>
      </c>
      <c r="V176" s="195">
        <f t="shared" si="45"/>
        <v>42906.185980483409</v>
      </c>
      <c r="W176" s="195">
        <f t="shared" si="46"/>
        <v>27990.40258439102</v>
      </c>
      <c r="X176" s="195">
        <f t="shared" si="47"/>
        <v>6798.4528523575264</v>
      </c>
      <c r="Y176" s="195">
        <f t="shared" si="48"/>
        <v>194724.00591766479</v>
      </c>
      <c r="Z176" s="198">
        <f t="shared" si="49"/>
        <v>0.4283829310814084</v>
      </c>
      <c r="AA176" s="199">
        <f t="shared" si="50"/>
        <v>195215.51237690487</v>
      </c>
      <c r="AB176" s="195"/>
      <c r="AC176" s="199">
        <v>192432.73273719815</v>
      </c>
      <c r="AD176" s="194">
        <f t="shared" si="51"/>
        <v>2782.7796397067141</v>
      </c>
      <c r="AE176" s="194">
        <v>2757.5186169753433</v>
      </c>
      <c r="AF176" s="194">
        <f t="shared" si="52"/>
        <v>25.261022731370758</v>
      </c>
    </row>
    <row r="177" spans="2:32" s="200" customFormat="1" x14ac:dyDescent="0.25">
      <c r="B177" s="201">
        <v>855</v>
      </c>
      <c r="C177" s="201">
        <v>7</v>
      </c>
      <c r="D177" s="202" t="s">
        <v>213</v>
      </c>
      <c r="E177" s="193">
        <v>235.38</v>
      </c>
      <c r="F177" s="193">
        <f>INDEX('Revised 2017 Lockdown'!H$5:H$249,MATCH(B177,'Revised 2017 Lockdown'!B$5:B$249,0))</f>
        <v>235.38</v>
      </c>
      <c r="G177" s="193">
        <f t="shared" si="38"/>
        <v>0</v>
      </c>
      <c r="H177" s="194">
        <v>130165.58</v>
      </c>
      <c r="I177" s="194">
        <f>INDEX('Revised 2017 Lockdown'!E$5:E$249,MATCH(B177,'Revised 2017 Lockdown'!B$5:B$249,0))</f>
        <v>130165.58</v>
      </c>
      <c r="J177" s="194">
        <f t="shared" si="39"/>
        <v>0</v>
      </c>
      <c r="K177" s="194">
        <v>8084</v>
      </c>
      <c r="L177" s="194">
        <f>INDEX('Revised 2017 Lockdown'!F$5:F$249,MATCH(B177,'Revised 2017 Lockdown'!B$5:B$249,0))</f>
        <v>8084</v>
      </c>
      <c r="M177" s="194">
        <f t="shared" si="40"/>
        <v>0</v>
      </c>
      <c r="N177" s="194">
        <f t="shared" si="36"/>
        <v>122081.58</v>
      </c>
      <c r="O177" s="195">
        <f t="shared" si="36"/>
        <v>122081.58</v>
      </c>
      <c r="P177" s="195">
        <f t="shared" si="41"/>
        <v>0</v>
      </c>
      <c r="Q177" s="95">
        <f t="shared" si="42"/>
        <v>518.65740504715779</v>
      </c>
      <c r="R177" s="196">
        <f t="shared" si="37"/>
        <v>518.65740504715779</v>
      </c>
      <c r="S177" s="194">
        <f t="shared" si="43"/>
        <v>122081.58</v>
      </c>
      <c r="T177" s="197">
        <v>0.62937500000000002</v>
      </c>
      <c r="U177" s="195">
        <f t="shared" si="44"/>
        <v>31430.852915433803</v>
      </c>
      <c r="V177" s="195">
        <f t="shared" si="45"/>
        <v>12143.347789491247</v>
      </c>
      <c r="W177" s="195">
        <f t="shared" si="46"/>
        <v>5934.5379160953453</v>
      </c>
      <c r="X177" s="195">
        <f t="shared" si="47"/>
        <v>1825.8827852328004</v>
      </c>
      <c r="Y177" s="195">
        <f t="shared" si="48"/>
        <v>51334.621406253202</v>
      </c>
      <c r="Z177" s="198">
        <f t="shared" si="49"/>
        <v>0.42049440551353612</v>
      </c>
      <c r="AA177" s="199">
        <f t="shared" si="50"/>
        <v>51464.196072124068</v>
      </c>
      <c r="AB177" s="195"/>
      <c r="AC177" s="199">
        <v>50744.979447475882</v>
      </c>
      <c r="AD177" s="194">
        <f t="shared" si="51"/>
        <v>719.21662464818655</v>
      </c>
      <c r="AE177" s="194">
        <v>712.4613859637393</v>
      </c>
      <c r="AF177" s="194">
        <f t="shared" si="52"/>
        <v>6.7552386844472494</v>
      </c>
    </row>
    <row r="178" spans="2:32" s="200" customFormat="1" x14ac:dyDescent="0.25">
      <c r="B178" s="201">
        <v>862</v>
      </c>
      <c r="C178" s="201">
        <v>7</v>
      </c>
      <c r="D178" s="202" t="s">
        <v>214</v>
      </c>
      <c r="E178" s="193">
        <v>13.661113692780718</v>
      </c>
      <c r="F178" s="193">
        <f>INDEX('Revised 2017 Lockdown'!H$5:H$249,MATCH(B178,'Revised 2017 Lockdown'!B$5:B$249,0))</f>
        <v>13.661113692780718</v>
      </c>
      <c r="G178" s="193">
        <f t="shared" si="38"/>
        <v>0</v>
      </c>
      <c r="H178" s="194">
        <v>10279.34</v>
      </c>
      <c r="I178" s="194">
        <f>INDEX('Revised 2017 Lockdown'!E$5:E$249,MATCH(B178,'Revised 2017 Lockdown'!B$5:B$249,0))</f>
        <v>10279.34</v>
      </c>
      <c r="J178" s="194">
        <f t="shared" si="39"/>
        <v>0</v>
      </c>
      <c r="K178" s="194">
        <v>7583.34</v>
      </c>
      <c r="L178" s="194">
        <f>INDEX('Revised 2017 Lockdown'!F$5:F$249,MATCH(B178,'Revised 2017 Lockdown'!B$5:B$249,0))</f>
        <v>7583.34</v>
      </c>
      <c r="M178" s="194">
        <f t="shared" si="40"/>
        <v>0</v>
      </c>
      <c r="N178" s="194">
        <f t="shared" si="36"/>
        <v>2696</v>
      </c>
      <c r="O178" s="195">
        <f t="shared" si="36"/>
        <v>2696</v>
      </c>
      <c r="P178" s="195">
        <f t="shared" si="41"/>
        <v>0</v>
      </c>
      <c r="Q178" s="95">
        <f t="shared" si="42"/>
        <v>197.3484783619592</v>
      </c>
      <c r="R178" s="196">
        <f t="shared" si="37"/>
        <v>197.3484783619592</v>
      </c>
      <c r="S178" s="194">
        <f t="shared" si="43"/>
        <v>2696</v>
      </c>
      <c r="T178" s="197">
        <v>0.30783333333333335</v>
      </c>
      <c r="U178" s="195">
        <f t="shared" si="44"/>
        <v>694.10618260354693</v>
      </c>
      <c r="V178" s="195">
        <f t="shared" si="45"/>
        <v>704.78228720884249</v>
      </c>
      <c r="W178" s="195">
        <f t="shared" si="46"/>
        <v>64.100705963437562</v>
      </c>
      <c r="X178" s="195">
        <f t="shared" si="47"/>
        <v>40.322053408774934</v>
      </c>
      <c r="Y178" s="195">
        <f t="shared" si="48"/>
        <v>1503.3112291846019</v>
      </c>
      <c r="Z178" s="198">
        <f t="shared" si="49"/>
        <v>0.55760802269458531</v>
      </c>
      <c r="AA178" s="199">
        <f t="shared" si="50"/>
        <v>1507.1057648193341</v>
      </c>
      <c r="AB178" s="195"/>
      <c r="AC178" s="199">
        <v>1492.7122168295646</v>
      </c>
      <c r="AD178" s="194">
        <f t="shared" si="51"/>
        <v>14.393547989769559</v>
      </c>
      <c r="AE178" s="194">
        <v>14.150464151534607</v>
      </c>
      <c r="AF178" s="194">
        <f t="shared" si="52"/>
        <v>0.24308383823495205</v>
      </c>
    </row>
    <row r="179" spans="2:32" s="200" customFormat="1" x14ac:dyDescent="0.25">
      <c r="B179" s="201">
        <v>958</v>
      </c>
      <c r="C179" s="201">
        <v>7</v>
      </c>
      <c r="D179" s="202" t="s">
        <v>215</v>
      </c>
      <c r="E179" s="193">
        <v>546.78810980277444</v>
      </c>
      <c r="F179" s="193">
        <f>INDEX('Revised 2017 Lockdown'!H$5:H$249,MATCH(B179,'Revised 2017 Lockdown'!B$5:B$249,0))</f>
        <v>546.78810980277444</v>
      </c>
      <c r="G179" s="193">
        <f t="shared" si="38"/>
        <v>0</v>
      </c>
      <c r="H179" s="194">
        <v>140218.67000000001</v>
      </c>
      <c r="I179" s="194">
        <f>INDEX('Revised 2017 Lockdown'!E$5:E$249,MATCH(B179,'Revised 2017 Lockdown'!B$5:B$249,0))</f>
        <v>140218.67000000001</v>
      </c>
      <c r="J179" s="194">
        <f t="shared" si="39"/>
        <v>0</v>
      </c>
      <c r="K179" s="194">
        <v>354.28</v>
      </c>
      <c r="L179" s="194">
        <f>INDEX('Revised 2017 Lockdown'!F$5:F$249,MATCH(B179,'Revised 2017 Lockdown'!B$5:B$249,0))</f>
        <v>354.28</v>
      </c>
      <c r="M179" s="194">
        <f t="shared" si="40"/>
        <v>0</v>
      </c>
      <c r="N179" s="194">
        <f t="shared" si="36"/>
        <v>139864.39000000001</v>
      </c>
      <c r="O179" s="195">
        <f t="shared" si="36"/>
        <v>139864.39000000001</v>
      </c>
      <c r="P179" s="195">
        <f t="shared" si="41"/>
        <v>0</v>
      </c>
      <c r="Q179" s="95">
        <f t="shared" si="42"/>
        <v>255.7926690294141</v>
      </c>
      <c r="R179" s="196">
        <f t="shared" si="37"/>
        <v>255.7926690294141</v>
      </c>
      <c r="S179" s="194">
        <f t="shared" si="43"/>
        <v>139864.39000000001</v>
      </c>
      <c r="T179" s="197">
        <v>0.89570833333333344</v>
      </c>
      <c r="U179" s="195">
        <f t="shared" si="44"/>
        <v>36009.175751140101</v>
      </c>
      <c r="V179" s="195">
        <f t="shared" si="45"/>
        <v>28209.015993260338</v>
      </c>
      <c r="W179" s="195">
        <f t="shared" si="46"/>
        <v>9676.1156390282358</v>
      </c>
      <c r="X179" s="195">
        <f t="shared" si="47"/>
        <v>2091.8469597795724</v>
      </c>
      <c r="Y179" s="195">
        <f t="shared" si="48"/>
        <v>75986.154343208254</v>
      </c>
      <c r="Z179" s="198">
        <f t="shared" si="49"/>
        <v>0.54328449395309442</v>
      </c>
      <c r="AA179" s="199">
        <f t="shared" si="50"/>
        <v>76177.952398596928</v>
      </c>
      <c r="AB179" s="195"/>
      <c r="AC179" s="199">
        <v>75289.136210790777</v>
      </c>
      <c r="AD179" s="194">
        <f t="shared" si="51"/>
        <v>888.81618780615099</v>
      </c>
      <c r="AE179" s="194">
        <v>877.44834832982451</v>
      </c>
      <c r="AF179" s="194">
        <f t="shared" si="52"/>
        <v>11.367839476326481</v>
      </c>
    </row>
    <row r="180" spans="2:32" s="200" customFormat="1" x14ac:dyDescent="0.25">
      <c r="B180" s="201">
        <v>967</v>
      </c>
      <c r="C180" s="201">
        <v>7</v>
      </c>
      <c r="D180" s="202" t="s">
        <v>216</v>
      </c>
      <c r="E180" s="193">
        <v>164.34925526629246</v>
      </c>
      <c r="F180" s="193">
        <f>INDEX('Revised 2017 Lockdown'!H$5:H$249,MATCH(B180,'Revised 2017 Lockdown'!B$5:B$249,0))</f>
        <v>164.34925526629246</v>
      </c>
      <c r="G180" s="193">
        <f t="shared" si="38"/>
        <v>0</v>
      </c>
      <c r="H180" s="194">
        <v>78031.91</v>
      </c>
      <c r="I180" s="194">
        <f>INDEX('Revised 2017 Lockdown'!E$5:E$249,MATCH(B180,'Revised 2017 Lockdown'!B$5:B$249,0))</f>
        <v>78031.91</v>
      </c>
      <c r="J180" s="194">
        <f t="shared" si="39"/>
        <v>0</v>
      </c>
      <c r="K180" s="194">
        <v>0</v>
      </c>
      <c r="L180" s="194">
        <f>INDEX('Revised 2017 Lockdown'!F$5:F$249,MATCH(B180,'Revised 2017 Lockdown'!B$5:B$249,0))</f>
        <v>0</v>
      </c>
      <c r="M180" s="194">
        <f t="shared" si="40"/>
        <v>0</v>
      </c>
      <c r="N180" s="194">
        <f t="shared" si="36"/>
        <v>78031.91</v>
      </c>
      <c r="O180" s="195">
        <f t="shared" si="36"/>
        <v>78031.91</v>
      </c>
      <c r="P180" s="195">
        <f t="shared" si="41"/>
        <v>0</v>
      </c>
      <c r="Q180" s="95">
        <f t="shared" si="42"/>
        <v>474.79320714636737</v>
      </c>
      <c r="R180" s="196">
        <f t="shared" si="37"/>
        <v>474.79320714636737</v>
      </c>
      <c r="S180" s="194">
        <f t="shared" si="43"/>
        <v>78031.91</v>
      </c>
      <c r="T180" s="197">
        <v>0.30675000000000002</v>
      </c>
      <c r="U180" s="195">
        <f t="shared" si="44"/>
        <v>20089.922541306951</v>
      </c>
      <c r="V180" s="195">
        <f t="shared" si="45"/>
        <v>8478.8434261299408</v>
      </c>
      <c r="W180" s="195">
        <f t="shared" si="46"/>
        <v>1848.7751218637723</v>
      </c>
      <c r="X180" s="195">
        <f t="shared" si="47"/>
        <v>1167.064852599673</v>
      </c>
      <c r="Y180" s="195">
        <f t="shared" si="48"/>
        <v>31584.605941900336</v>
      </c>
      <c r="Z180" s="198">
        <f t="shared" si="49"/>
        <v>0.40476525490533727</v>
      </c>
      <c r="AA180" s="199">
        <f t="shared" si="50"/>
        <v>31664.329229020674</v>
      </c>
      <c r="AB180" s="195"/>
      <c r="AC180" s="199">
        <v>31264.418905732637</v>
      </c>
      <c r="AD180" s="194">
        <f t="shared" si="51"/>
        <v>399.91032328803703</v>
      </c>
      <c r="AE180" s="194">
        <v>395.63867605824998</v>
      </c>
      <c r="AF180" s="194">
        <f t="shared" si="52"/>
        <v>4.2716472297870496</v>
      </c>
    </row>
    <row r="181" spans="2:32" s="200" customFormat="1" x14ac:dyDescent="0.25">
      <c r="B181" s="201">
        <v>971</v>
      </c>
      <c r="C181" s="201">
        <v>7</v>
      </c>
      <c r="D181" s="202" t="s">
        <v>217</v>
      </c>
      <c r="E181" s="193">
        <v>998.46</v>
      </c>
      <c r="F181" s="193">
        <f>INDEX('Revised 2017 Lockdown'!H$5:H$249,MATCH(B181,'Revised 2017 Lockdown'!B$5:B$249,0))</f>
        <v>998.46</v>
      </c>
      <c r="G181" s="193">
        <f t="shared" si="38"/>
        <v>0</v>
      </c>
      <c r="H181" s="194">
        <v>514125.27</v>
      </c>
      <c r="I181" s="194">
        <f>INDEX('Revised 2017 Lockdown'!E$5:E$249,MATCH(B181,'Revised 2017 Lockdown'!B$5:B$249,0))</f>
        <v>514125.27</v>
      </c>
      <c r="J181" s="194">
        <f t="shared" si="39"/>
        <v>0</v>
      </c>
      <c r="K181" s="194">
        <v>183938.21</v>
      </c>
      <c r="L181" s="194">
        <f>INDEX('Revised 2017 Lockdown'!F$5:F$249,MATCH(B181,'Revised 2017 Lockdown'!B$5:B$249,0))</f>
        <v>183938.21</v>
      </c>
      <c r="M181" s="194">
        <f t="shared" si="40"/>
        <v>0</v>
      </c>
      <c r="N181" s="194">
        <f t="shared" si="36"/>
        <v>330187.06000000006</v>
      </c>
      <c r="O181" s="195">
        <f t="shared" si="36"/>
        <v>330187.06000000006</v>
      </c>
      <c r="P181" s="195">
        <f t="shared" si="41"/>
        <v>0</v>
      </c>
      <c r="Q181" s="95">
        <f t="shared" si="42"/>
        <v>330.69633235182187</v>
      </c>
      <c r="R181" s="196">
        <f t="shared" si="37"/>
        <v>330.69633235182187</v>
      </c>
      <c r="S181" s="194">
        <f t="shared" si="43"/>
        <v>330187.06000000006</v>
      </c>
      <c r="T181" s="197">
        <v>0.77008333333333334</v>
      </c>
      <c r="U181" s="195">
        <f t="shared" si="44"/>
        <v>85009.228398252351</v>
      </c>
      <c r="V181" s="195">
        <f t="shared" si="45"/>
        <v>51510.948397890359</v>
      </c>
      <c r="W181" s="195">
        <f t="shared" si="46"/>
        <v>19639.25699070625</v>
      </c>
      <c r="X181" s="195">
        <f t="shared" si="47"/>
        <v>4938.3606336077055</v>
      </c>
      <c r="Y181" s="195">
        <f t="shared" si="48"/>
        <v>161097.79442045666</v>
      </c>
      <c r="Z181" s="198">
        <f t="shared" si="49"/>
        <v>0.48789857004225612</v>
      </c>
      <c r="AA181" s="199">
        <f t="shared" si="50"/>
        <v>161504.42433829259</v>
      </c>
      <c r="AB181" s="195"/>
      <c r="AC181" s="199">
        <v>159462.71756717461</v>
      </c>
      <c r="AD181" s="194">
        <f t="shared" si="51"/>
        <v>2041.7067711179843</v>
      </c>
      <c r="AE181" s="194">
        <v>2018.7167242909491</v>
      </c>
      <c r="AF181" s="194">
        <f t="shared" si="52"/>
        <v>22.990046827035258</v>
      </c>
    </row>
    <row r="182" spans="2:32" s="200" customFormat="1" x14ac:dyDescent="0.25">
      <c r="B182" s="201">
        <v>975</v>
      </c>
      <c r="C182" s="201">
        <v>7</v>
      </c>
      <c r="D182" s="202" t="s">
        <v>218</v>
      </c>
      <c r="E182" s="193">
        <v>44.57792750117175</v>
      </c>
      <c r="F182" s="193">
        <f>INDEX('Revised 2017 Lockdown'!H$5:H$249,MATCH(B182,'Revised 2017 Lockdown'!B$5:B$249,0))</f>
        <v>44.57792750117175</v>
      </c>
      <c r="G182" s="193">
        <f t="shared" si="38"/>
        <v>0</v>
      </c>
      <c r="H182" s="194">
        <v>28116.78</v>
      </c>
      <c r="I182" s="194">
        <f>INDEX('Revised 2017 Lockdown'!E$5:E$249,MATCH(B182,'Revised 2017 Lockdown'!B$5:B$249,0))</f>
        <v>28116.78</v>
      </c>
      <c r="J182" s="194">
        <f t="shared" si="39"/>
        <v>0</v>
      </c>
      <c r="K182" s="194">
        <v>0</v>
      </c>
      <c r="L182" s="194">
        <f>INDEX('Revised 2017 Lockdown'!F$5:F$249,MATCH(B182,'Revised 2017 Lockdown'!B$5:B$249,0))</f>
        <v>0</v>
      </c>
      <c r="M182" s="194">
        <f t="shared" si="40"/>
        <v>0</v>
      </c>
      <c r="N182" s="194">
        <f t="shared" si="36"/>
        <v>28116.78</v>
      </c>
      <c r="O182" s="195">
        <f t="shared" si="36"/>
        <v>28116.78</v>
      </c>
      <c r="P182" s="195">
        <f t="shared" si="41"/>
        <v>0</v>
      </c>
      <c r="Q182" s="95">
        <f t="shared" si="42"/>
        <v>630.73322552424486</v>
      </c>
      <c r="R182" s="196">
        <f t="shared" si="37"/>
        <v>603.86505352200527</v>
      </c>
      <c r="S182" s="194">
        <f t="shared" si="43"/>
        <v>26919.052576395148</v>
      </c>
      <c r="T182" s="197">
        <v>0.28000000000000003</v>
      </c>
      <c r="U182" s="195">
        <f t="shared" si="44"/>
        <v>6930.5195931401377</v>
      </c>
      <c r="V182" s="195">
        <f t="shared" si="45"/>
        <v>2299.7930044245691</v>
      </c>
      <c r="W182" s="195">
        <f t="shared" si="46"/>
        <v>582.16364582377162</v>
      </c>
      <c r="X182" s="195">
        <f t="shared" si="47"/>
        <v>402.60811413168608</v>
      </c>
      <c r="Y182" s="195">
        <f t="shared" si="48"/>
        <v>10215.084357520165</v>
      </c>
      <c r="Z182" s="198">
        <f t="shared" si="49"/>
        <v>0.37947414116935141</v>
      </c>
      <c r="AA182" s="199">
        <f t="shared" si="50"/>
        <v>10240.868440585538</v>
      </c>
      <c r="AB182" s="195"/>
      <c r="AC182" s="199">
        <v>10101.121041836193</v>
      </c>
      <c r="AD182" s="194">
        <f t="shared" si="51"/>
        <v>139.74739874934494</v>
      </c>
      <c r="AE182" s="194">
        <v>140.97088435944534</v>
      </c>
      <c r="AF182" s="194">
        <f t="shared" si="52"/>
        <v>-1.223485610100397</v>
      </c>
    </row>
    <row r="183" spans="2:32" s="200" customFormat="1" x14ac:dyDescent="0.25">
      <c r="B183" s="201">
        <v>976</v>
      </c>
      <c r="C183" s="201">
        <v>7</v>
      </c>
      <c r="D183" s="35" t="s">
        <v>219</v>
      </c>
      <c r="E183" s="193">
        <v>26.241426249095088</v>
      </c>
      <c r="F183" s="193">
        <f>INDEX('Revised 2017 Lockdown'!H$5:H$249,MATCH(B183,'Revised 2017 Lockdown'!B$5:B$249,0))</f>
        <v>26.241426249095088</v>
      </c>
      <c r="G183" s="193">
        <f t="shared" si="38"/>
        <v>0</v>
      </c>
      <c r="H183" s="194">
        <v>18946.21</v>
      </c>
      <c r="I183" s="194">
        <f>INDEX('Revised 2017 Lockdown'!E$5:E$249,MATCH(B183,'Revised 2017 Lockdown'!B$5:B$249,0))</f>
        <v>18946.21</v>
      </c>
      <c r="J183" s="194">
        <f t="shared" si="39"/>
        <v>0</v>
      </c>
      <c r="K183" s="194">
        <v>0</v>
      </c>
      <c r="L183" s="194">
        <f>INDEX('Revised 2017 Lockdown'!F$5:F$249,MATCH(B183,'Revised 2017 Lockdown'!B$5:B$249,0))</f>
        <v>0</v>
      </c>
      <c r="M183" s="194">
        <f t="shared" si="40"/>
        <v>0</v>
      </c>
      <c r="N183" s="194">
        <f t="shared" si="36"/>
        <v>18946.21</v>
      </c>
      <c r="O183" s="195">
        <f t="shared" si="36"/>
        <v>18946.21</v>
      </c>
      <c r="P183" s="195">
        <f t="shared" si="41"/>
        <v>0</v>
      </c>
      <c r="Q183" s="95">
        <f t="shared" si="42"/>
        <v>721.99619868807019</v>
      </c>
      <c r="R183" s="196">
        <f t="shared" si="37"/>
        <v>603.86505352200527</v>
      </c>
      <c r="S183" s="194">
        <f t="shared" si="43"/>
        <v>15846.280266403559</v>
      </c>
      <c r="T183" s="197">
        <v>0.40166666666666667</v>
      </c>
      <c r="U183" s="195">
        <f t="shared" si="44"/>
        <v>4079.748184042764</v>
      </c>
      <c r="V183" s="195">
        <f t="shared" si="45"/>
        <v>1353.805614049819</v>
      </c>
      <c r="W183" s="195">
        <f t="shared" si="46"/>
        <v>491.60965617715311</v>
      </c>
      <c r="X183" s="195">
        <f t="shared" si="47"/>
        <v>237.00094927015601</v>
      </c>
      <c r="Y183" s="195">
        <f t="shared" si="48"/>
        <v>6162.1644035398913</v>
      </c>
      <c r="Z183" s="198">
        <f t="shared" si="49"/>
        <v>0.38887135024391717</v>
      </c>
      <c r="AA183" s="199">
        <f t="shared" si="50"/>
        <v>6177.7184365055018</v>
      </c>
      <c r="AB183" s="195"/>
      <c r="AC183" s="199">
        <v>6091.2148293875352</v>
      </c>
      <c r="AD183" s="194">
        <f t="shared" si="51"/>
        <v>86.503607117966567</v>
      </c>
      <c r="AE183" s="194">
        <v>87.255462998172334</v>
      </c>
      <c r="AF183" s="194">
        <f t="shared" si="52"/>
        <v>-0.75185588020576688</v>
      </c>
    </row>
    <row r="184" spans="2:32" s="200" customFormat="1" x14ac:dyDescent="0.25">
      <c r="B184" s="201">
        <v>977</v>
      </c>
      <c r="C184" s="201">
        <v>7</v>
      </c>
      <c r="D184" s="202" t="s">
        <v>220</v>
      </c>
      <c r="E184" s="193">
        <v>38.56595987754006</v>
      </c>
      <c r="F184" s="193">
        <f>INDEX('Revised 2017 Lockdown'!H$5:H$249,MATCH(B184,'Revised 2017 Lockdown'!B$5:B$249,0))</f>
        <v>38.56595987754006</v>
      </c>
      <c r="G184" s="193">
        <f t="shared" si="38"/>
        <v>0</v>
      </c>
      <c r="H184" s="194">
        <v>31092.49</v>
      </c>
      <c r="I184" s="194">
        <f>INDEX('Revised 2017 Lockdown'!E$5:E$249,MATCH(B184,'Revised 2017 Lockdown'!B$5:B$249,0))</f>
        <v>31092.49</v>
      </c>
      <c r="J184" s="194">
        <f t="shared" si="39"/>
        <v>0</v>
      </c>
      <c r="K184" s="194">
        <v>0</v>
      </c>
      <c r="L184" s="194">
        <f>INDEX('Revised 2017 Lockdown'!F$5:F$249,MATCH(B184,'Revised 2017 Lockdown'!B$5:B$249,0))</f>
        <v>0</v>
      </c>
      <c r="M184" s="194">
        <f t="shared" si="40"/>
        <v>0</v>
      </c>
      <c r="N184" s="194">
        <f t="shared" si="36"/>
        <v>31092.49</v>
      </c>
      <c r="O184" s="195">
        <f t="shared" si="36"/>
        <v>31092.49</v>
      </c>
      <c r="P184" s="195">
        <f t="shared" si="41"/>
        <v>0</v>
      </c>
      <c r="Q184" s="95">
        <f t="shared" si="42"/>
        <v>806.21589865075714</v>
      </c>
      <c r="R184" s="196">
        <f t="shared" si="37"/>
        <v>603.86505352200527</v>
      </c>
      <c r="S184" s="194">
        <f t="shared" si="43"/>
        <v>23288.635425578235</v>
      </c>
      <c r="T184" s="197">
        <v>0.36266666666666669</v>
      </c>
      <c r="U184" s="195">
        <f t="shared" si="44"/>
        <v>5995.8404426164088</v>
      </c>
      <c r="V184" s="195">
        <f t="shared" si="45"/>
        <v>1989.6332043017003</v>
      </c>
      <c r="W184" s="195">
        <f t="shared" si="46"/>
        <v>652.34744015666524</v>
      </c>
      <c r="X184" s="195">
        <f t="shared" si="47"/>
        <v>348.31068302954503</v>
      </c>
      <c r="Y184" s="195">
        <f t="shared" si="48"/>
        <v>8986.131770104319</v>
      </c>
      <c r="Z184" s="198">
        <f t="shared" si="49"/>
        <v>0.38585909418439879</v>
      </c>
      <c r="AA184" s="199">
        <f t="shared" si="50"/>
        <v>9008.8138312491392</v>
      </c>
      <c r="AB184" s="195"/>
      <c r="AC184" s="199">
        <v>8886.4205590466372</v>
      </c>
      <c r="AD184" s="194">
        <f t="shared" si="51"/>
        <v>122.39327220250198</v>
      </c>
      <c r="AE184" s="194">
        <v>123.4833417269474</v>
      </c>
      <c r="AF184" s="194">
        <f t="shared" si="52"/>
        <v>-1.0900695244454255</v>
      </c>
    </row>
    <row r="185" spans="2:32" s="200" customFormat="1" x14ac:dyDescent="0.25">
      <c r="B185" s="39">
        <v>981</v>
      </c>
      <c r="C185" s="39">
        <v>7</v>
      </c>
      <c r="D185" s="203" t="s">
        <v>221</v>
      </c>
      <c r="E185" s="193">
        <v>106.73027607099695</v>
      </c>
      <c r="F185" s="193">
        <f>INDEX('Revised 2017 Lockdown'!H$5:H$249,MATCH(B185,'Revised 2017 Lockdown'!B$5:B$249,0))</f>
        <v>106.73027607099695</v>
      </c>
      <c r="G185" s="193">
        <f t="shared" si="38"/>
        <v>0</v>
      </c>
      <c r="H185" s="194">
        <v>175857.35</v>
      </c>
      <c r="I185" s="194">
        <f>INDEX('Revised 2017 Lockdown'!E$5:E$249,MATCH(B185,'Revised 2017 Lockdown'!B$5:B$249,0))</f>
        <v>175857.35</v>
      </c>
      <c r="J185" s="194">
        <f t="shared" si="39"/>
        <v>0</v>
      </c>
      <c r="K185" s="194">
        <v>0</v>
      </c>
      <c r="L185" s="194">
        <f>INDEX('Revised 2017 Lockdown'!F$5:F$249,MATCH(B185,'Revised 2017 Lockdown'!B$5:B$249,0))</f>
        <v>0</v>
      </c>
      <c r="M185" s="194">
        <f t="shared" si="40"/>
        <v>0</v>
      </c>
      <c r="N185" s="194">
        <f t="shared" si="36"/>
        <v>175857.35</v>
      </c>
      <c r="O185" s="195">
        <f t="shared" si="36"/>
        <v>175857.35</v>
      </c>
      <c r="P185" s="195">
        <f t="shared" si="41"/>
        <v>0</v>
      </c>
      <c r="Q185" s="95">
        <f t="shared" si="42"/>
        <v>1647.68008173257</v>
      </c>
      <c r="R185" s="196">
        <f t="shared" si="37"/>
        <v>603.86505352200527</v>
      </c>
      <c r="S185" s="194">
        <f t="shared" si="43"/>
        <v>64450.683872030975</v>
      </c>
      <c r="T185" s="197">
        <v>0.29383333333333334</v>
      </c>
      <c r="U185" s="195">
        <f t="shared" si="44"/>
        <v>16593.33017381432</v>
      </c>
      <c r="V185" s="195">
        <f t="shared" si="45"/>
        <v>5506.2573795502221</v>
      </c>
      <c r="W185" s="195">
        <f t="shared" si="46"/>
        <v>1462.7020548217324</v>
      </c>
      <c r="X185" s="195">
        <f t="shared" si="47"/>
        <v>963.94062215137319</v>
      </c>
      <c r="Y185" s="195">
        <f t="shared" si="48"/>
        <v>24526.230230337649</v>
      </c>
      <c r="Z185" s="198">
        <f t="shared" si="49"/>
        <v>0.38054259096824034</v>
      </c>
      <c r="AA185" s="199">
        <f t="shared" si="50"/>
        <v>24588.137340979763</v>
      </c>
      <c r="AB185" s="195"/>
      <c r="AC185" s="199">
        <v>24252.58266957281</v>
      </c>
      <c r="AD185" s="194">
        <f t="shared" si="51"/>
        <v>335.55467140695328</v>
      </c>
      <c r="AE185" s="194">
        <v>338.49861885217979</v>
      </c>
      <c r="AF185" s="194">
        <f t="shared" si="52"/>
        <v>-2.9439474452265131</v>
      </c>
    </row>
    <row r="186" spans="2:32" s="200" customFormat="1" x14ac:dyDescent="0.25">
      <c r="B186" s="39">
        <v>983</v>
      </c>
      <c r="C186" s="39">
        <v>7</v>
      </c>
      <c r="D186" s="203" t="s">
        <v>222</v>
      </c>
      <c r="E186" s="193">
        <v>130.98756795566317</v>
      </c>
      <c r="F186" s="193">
        <f>INDEX('Revised 2017 Lockdown'!H$5:H$249,MATCH(B186,'Revised 2017 Lockdown'!B$5:B$249,0))</f>
        <v>130.98756795566317</v>
      </c>
      <c r="G186" s="193">
        <f t="shared" si="38"/>
        <v>0</v>
      </c>
      <c r="H186" s="194">
        <v>30365.53</v>
      </c>
      <c r="I186" s="194">
        <f>INDEX('Revised 2017 Lockdown'!E$5:E$249,MATCH(B186,'Revised 2017 Lockdown'!B$5:B$249,0))</f>
        <v>30365.53</v>
      </c>
      <c r="J186" s="194">
        <f t="shared" si="39"/>
        <v>0</v>
      </c>
      <c r="K186" s="194">
        <v>300</v>
      </c>
      <c r="L186" s="194">
        <f>INDEX('Revised 2017 Lockdown'!F$5:F$249,MATCH(B186,'Revised 2017 Lockdown'!B$5:B$249,0))</f>
        <v>300</v>
      </c>
      <c r="M186" s="194">
        <f t="shared" si="40"/>
        <v>0</v>
      </c>
      <c r="N186" s="194">
        <f t="shared" si="36"/>
        <v>30065.53</v>
      </c>
      <c r="O186" s="195">
        <f t="shared" si="36"/>
        <v>30065.53</v>
      </c>
      <c r="P186" s="195">
        <f t="shared" si="41"/>
        <v>0</v>
      </c>
      <c r="Q186" s="95">
        <f t="shared" si="42"/>
        <v>229.52964521164799</v>
      </c>
      <c r="R186" s="196">
        <f t="shared" si="37"/>
        <v>229.52964521164799</v>
      </c>
      <c r="S186" s="194">
        <f t="shared" si="43"/>
        <v>30065.53</v>
      </c>
      <c r="T186" s="197">
        <v>0.41833333333333333</v>
      </c>
      <c r="U186" s="195">
        <f t="shared" si="44"/>
        <v>7740.6046944556438</v>
      </c>
      <c r="V186" s="195">
        <f t="shared" si="45"/>
        <v>6757.7007128270752</v>
      </c>
      <c r="W186" s="195">
        <f t="shared" si="46"/>
        <v>971.44588915418342</v>
      </c>
      <c r="X186" s="195">
        <f t="shared" si="47"/>
        <v>449.66762107682672</v>
      </c>
      <c r="Y186" s="195">
        <f t="shared" si="48"/>
        <v>15919.418917513729</v>
      </c>
      <c r="Z186" s="198">
        <f t="shared" si="49"/>
        <v>0.52949071303628203</v>
      </c>
      <c r="AA186" s="199">
        <f t="shared" si="50"/>
        <v>15959.601416782027</v>
      </c>
      <c r="AB186" s="195"/>
      <c r="AC186" s="199">
        <v>15796.8468932168</v>
      </c>
      <c r="AD186" s="194">
        <f t="shared" si="51"/>
        <v>162.75452356522692</v>
      </c>
      <c r="AE186" s="194">
        <v>160.27110898913816</v>
      </c>
      <c r="AF186" s="194">
        <f t="shared" si="52"/>
        <v>2.4834145760887623</v>
      </c>
    </row>
    <row r="187" spans="2:32" s="200" customFormat="1" x14ac:dyDescent="0.25">
      <c r="B187" s="39">
        <v>188</v>
      </c>
      <c r="C187" s="39">
        <v>8</v>
      </c>
      <c r="D187" s="203" t="s">
        <v>223</v>
      </c>
      <c r="E187" s="193">
        <v>291.43</v>
      </c>
      <c r="F187" s="193">
        <f>INDEX('Revised 2017 Lockdown'!H$5:H$249,MATCH(B187,'Revised 2017 Lockdown'!B$5:B$249,0))</f>
        <v>291.43</v>
      </c>
      <c r="G187" s="193">
        <f t="shared" si="38"/>
        <v>0</v>
      </c>
      <c r="H187" s="194">
        <v>224188.27</v>
      </c>
      <c r="I187" s="194">
        <f>INDEX('Revised 2017 Lockdown'!E$5:E$249,MATCH(B187,'Revised 2017 Lockdown'!B$5:B$249,0))</f>
        <v>224188.27</v>
      </c>
      <c r="J187" s="194">
        <f t="shared" si="39"/>
        <v>0</v>
      </c>
      <c r="K187" s="194">
        <v>33999</v>
      </c>
      <c r="L187" s="194">
        <f>INDEX('Revised 2017 Lockdown'!F$5:F$249,MATCH(B187,'Revised 2017 Lockdown'!B$5:B$249,0))</f>
        <v>33999</v>
      </c>
      <c r="M187" s="194">
        <f t="shared" si="40"/>
        <v>0</v>
      </c>
      <c r="N187" s="194">
        <f t="shared" si="36"/>
        <v>190189.27</v>
      </c>
      <c r="O187" s="195">
        <f t="shared" si="36"/>
        <v>190189.27</v>
      </c>
      <c r="P187" s="195">
        <f t="shared" si="41"/>
        <v>0</v>
      </c>
      <c r="Q187" s="95">
        <f t="shared" si="42"/>
        <v>652.60704114195516</v>
      </c>
      <c r="R187" s="196">
        <f t="shared" si="37"/>
        <v>652.60704114195516</v>
      </c>
      <c r="S187" s="194">
        <f t="shared" si="43"/>
        <v>190189.27</v>
      </c>
      <c r="T187" s="197">
        <v>0.73991666666666667</v>
      </c>
      <c r="U187" s="195">
        <f t="shared" si="44"/>
        <v>48965.707778878073</v>
      </c>
      <c r="V187" s="195">
        <f t="shared" si="45"/>
        <v>15034.989575543521</v>
      </c>
      <c r="W187" s="195">
        <f t="shared" si="46"/>
        <v>10869.16298421646</v>
      </c>
      <c r="X187" s="195">
        <f t="shared" si="47"/>
        <v>2844.5185099094642</v>
      </c>
      <c r="Y187" s="195">
        <f t="shared" si="48"/>
        <v>77714.378848547523</v>
      </c>
      <c r="Z187" s="198">
        <f t="shared" si="49"/>
        <v>0.40861600051647251</v>
      </c>
      <c r="AA187" s="199">
        <f t="shared" si="50"/>
        <v>77910.539147324671</v>
      </c>
      <c r="AB187" s="195"/>
      <c r="AC187" s="199">
        <v>76789.417335969207</v>
      </c>
      <c r="AD187" s="194">
        <f t="shared" si="51"/>
        <v>1121.1218113554642</v>
      </c>
      <c r="AE187" s="194">
        <v>1111.3207102300512</v>
      </c>
      <c r="AF187" s="194">
        <f t="shared" si="52"/>
        <v>9.8011011254129699</v>
      </c>
    </row>
    <row r="188" spans="2:32" s="200" customFormat="1" x14ac:dyDescent="0.25">
      <c r="B188" s="201">
        <v>232</v>
      </c>
      <c r="C188" s="201">
        <v>8</v>
      </c>
      <c r="D188" s="202" t="s">
        <v>224</v>
      </c>
      <c r="E188" s="193">
        <v>100.04889750119882</v>
      </c>
      <c r="F188" s="193">
        <f>INDEX('Revised 2017 Lockdown'!H$5:H$249,MATCH(B188,'Revised 2017 Lockdown'!B$5:B$249,0))</f>
        <v>100.04889750119882</v>
      </c>
      <c r="G188" s="193">
        <f t="shared" si="38"/>
        <v>0</v>
      </c>
      <c r="H188" s="194">
        <v>85300.54</v>
      </c>
      <c r="I188" s="194">
        <f>INDEX('Revised 2017 Lockdown'!E$5:E$249,MATCH(B188,'Revised 2017 Lockdown'!B$5:B$249,0))</f>
        <v>85300.54</v>
      </c>
      <c r="J188" s="194">
        <f t="shared" si="39"/>
        <v>0</v>
      </c>
      <c r="K188" s="194">
        <v>0</v>
      </c>
      <c r="L188" s="194">
        <f>INDEX('Revised 2017 Lockdown'!F$5:F$249,MATCH(B188,'Revised 2017 Lockdown'!B$5:B$249,0))</f>
        <v>0</v>
      </c>
      <c r="M188" s="194">
        <f t="shared" si="40"/>
        <v>0</v>
      </c>
      <c r="N188" s="194">
        <f t="shared" si="36"/>
        <v>85300.54</v>
      </c>
      <c r="O188" s="195">
        <f t="shared" si="36"/>
        <v>85300.54</v>
      </c>
      <c r="P188" s="195">
        <f t="shared" si="41"/>
        <v>0</v>
      </c>
      <c r="Q188" s="95">
        <f t="shared" si="42"/>
        <v>852.58850552528963</v>
      </c>
      <c r="R188" s="196">
        <f t="shared" si="37"/>
        <v>852.58850552528963</v>
      </c>
      <c r="S188" s="194">
        <f t="shared" si="43"/>
        <v>85300.54</v>
      </c>
      <c r="T188" s="197">
        <v>0.28000000000000003</v>
      </c>
      <c r="U188" s="195">
        <f t="shared" si="44"/>
        <v>21961.287905571644</v>
      </c>
      <c r="V188" s="195">
        <f t="shared" si="45"/>
        <v>5161.5624025500001</v>
      </c>
      <c r="W188" s="195">
        <f t="shared" si="46"/>
        <v>1844.7481840680182</v>
      </c>
      <c r="X188" s="195">
        <f t="shared" si="47"/>
        <v>1275.7763092275009</v>
      </c>
      <c r="Y188" s="195">
        <f t="shared" si="48"/>
        <v>30243.374801417165</v>
      </c>
      <c r="Z188" s="198">
        <f t="shared" si="49"/>
        <v>0.35455080121904464</v>
      </c>
      <c r="AA188" s="199">
        <f t="shared" si="50"/>
        <v>30319.712662247741</v>
      </c>
      <c r="AB188" s="195"/>
      <c r="AC188" s="199">
        <v>29882.520309397867</v>
      </c>
      <c r="AD188" s="194">
        <f t="shared" si="51"/>
        <v>437.19235284987371</v>
      </c>
      <c r="AE188" s="194">
        <v>433.49417305750467</v>
      </c>
      <c r="AF188" s="194">
        <f t="shared" si="52"/>
        <v>3.6981797923690465</v>
      </c>
    </row>
    <row r="189" spans="2:32" s="200" customFormat="1" x14ac:dyDescent="0.25">
      <c r="B189" s="201">
        <v>245</v>
      </c>
      <c r="C189" s="201">
        <v>8</v>
      </c>
      <c r="D189" s="202" t="s">
        <v>225</v>
      </c>
      <c r="E189" s="193">
        <v>192.11449692779453</v>
      </c>
      <c r="F189" s="193">
        <f>INDEX('Revised 2017 Lockdown'!H$5:H$249,MATCH(B189,'Revised 2017 Lockdown'!B$5:B$249,0))</f>
        <v>192.11449692779453</v>
      </c>
      <c r="G189" s="193">
        <f t="shared" si="38"/>
        <v>0</v>
      </c>
      <c r="H189" s="194">
        <v>634489.53</v>
      </c>
      <c r="I189" s="194">
        <f>INDEX('Revised 2017 Lockdown'!E$5:E$249,MATCH(B189,'Revised 2017 Lockdown'!B$5:B$249,0))</f>
        <v>634489.53</v>
      </c>
      <c r="J189" s="194">
        <f t="shared" si="39"/>
        <v>0</v>
      </c>
      <c r="K189" s="194">
        <v>0</v>
      </c>
      <c r="L189" s="194">
        <f>INDEX('Revised 2017 Lockdown'!F$5:F$249,MATCH(B189,'Revised 2017 Lockdown'!B$5:B$249,0))</f>
        <v>0</v>
      </c>
      <c r="M189" s="194">
        <f t="shared" si="40"/>
        <v>0</v>
      </c>
      <c r="N189" s="194">
        <f t="shared" si="36"/>
        <v>634489.53</v>
      </c>
      <c r="O189" s="195">
        <f t="shared" si="36"/>
        <v>634489.53</v>
      </c>
      <c r="P189" s="195">
        <f t="shared" si="41"/>
        <v>0</v>
      </c>
      <c r="Q189" s="95">
        <f t="shared" si="42"/>
        <v>3302.6634644780106</v>
      </c>
      <c r="R189" s="196">
        <f t="shared" si="37"/>
        <v>1749.9268177827719</v>
      </c>
      <c r="S189" s="194">
        <f t="shared" si="43"/>
        <v>336186.31025879359</v>
      </c>
      <c r="T189" s="197">
        <v>0.56383333333333341</v>
      </c>
      <c r="U189" s="195">
        <f t="shared" si="44"/>
        <v>86553.782068732515</v>
      </c>
      <c r="V189" s="195">
        <f t="shared" si="45"/>
        <v>9911.2632831904011</v>
      </c>
      <c r="W189" s="195">
        <f t="shared" si="46"/>
        <v>14640.572236926109</v>
      </c>
      <c r="X189" s="195">
        <f t="shared" si="47"/>
        <v>5028.0869278761338</v>
      </c>
      <c r="Y189" s="195">
        <f t="shared" si="48"/>
        <v>116133.70451672516</v>
      </c>
      <c r="Z189" s="198">
        <f t="shared" si="49"/>
        <v>0.34544447817439783</v>
      </c>
      <c r="AA189" s="199">
        <f t="shared" si="50"/>
        <v>116426.83974489823</v>
      </c>
      <c r="AB189" s="195"/>
      <c r="AC189" s="199">
        <v>114605.06396299748</v>
      </c>
      <c r="AD189" s="194">
        <f t="shared" si="51"/>
        <v>1821.7757819007529</v>
      </c>
      <c r="AE189" s="194">
        <v>1631.4950006836734</v>
      </c>
      <c r="AF189" s="194">
        <f t="shared" si="52"/>
        <v>190.28078121707949</v>
      </c>
    </row>
    <row r="190" spans="2:32" s="200" customFormat="1" x14ac:dyDescent="0.25">
      <c r="B190" s="201">
        <v>372</v>
      </c>
      <c r="C190" s="201">
        <v>8</v>
      </c>
      <c r="D190" s="202" t="s">
        <v>226</v>
      </c>
      <c r="E190" s="193">
        <v>125.81000000000002</v>
      </c>
      <c r="F190" s="193">
        <f>INDEX('Revised 2017 Lockdown'!H$5:H$249,MATCH(B190,'Revised 2017 Lockdown'!B$5:B$249,0))</f>
        <v>125.81000000000002</v>
      </c>
      <c r="G190" s="193">
        <f t="shared" si="38"/>
        <v>0</v>
      </c>
      <c r="H190" s="194">
        <v>75377.2</v>
      </c>
      <c r="I190" s="194">
        <f>INDEX('Revised 2017 Lockdown'!E$5:E$249,MATCH(B190,'Revised 2017 Lockdown'!B$5:B$249,0))</f>
        <v>75377.2</v>
      </c>
      <c r="J190" s="194">
        <f t="shared" si="39"/>
        <v>0</v>
      </c>
      <c r="K190" s="194">
        <v>0</v>
      </c>
      <c r="L190" s="194">
        <f>INDEX('Revised 2017 Lockdown'!F$5:F$249,MATCH(B190,'Revised 2017 Lockdown'!B$5:B$249,0))</f>
        <v>0</v>
      </c>
      <c r="M190" s="194">
        <f t="shared" si="40"/>
        <v>0</v>
      </c>
      <c r="N190" s="194">
        <f t="shared" si="36"/>
        <v>75377.2</v>
      </c>
      <c r="O190" s="195">
        <f t="shared" si="36"/>
        <v>75377.2</v>
      </c>
      <c r="P190" s="195">
        <f t="shared" si="41"/>
        <v>0</v>
      </c>
      <c r="Q190" s="95">
        <f t="shared" si="42"/>
        <v>599.1352038788649</v>
      </c>
      <c r="R190" s="196">
        <f t="shared" si="37"/>
        <v>599.1352038788649</v>
      </c>
      <c r="S190" s="194">
        <f t="shared" si="43"/>
        <v>75377.2</v>
      </c>
      <c r="T190" s="197">
        <v>0.57200000000000006</v>
      </c>
      <c r="U190" s="195">
        <f t="shared" si="44"/>
        <v>19406.446790557889</v>
      </c>
      <c r="V190" s="195">
        <f t="shared" si="45"/>
        <v>6490.5879233405303</v>
      </c>
      <c r="W190" s="195">
        <f t="shared" si="46"/>
        <v>3330.1462692597343</v>
      </c>
      <c r="X190" s="195">
        <f t="shared" si="47"/>
        <v>1127.3603428056044</v>
      </c>
      <c r="Y190" s="195">
        <f t="shared" si="48"/>
        <v>30354.541325963761</v>
      </c>
      <c r="Z190" s="198">
        <f t="shared" si="49"/>
        <v>0.40270189561251629</v>
      </c>
      <c r="AA190" s="199">
        <f t="shared" si="50"/>
        <v>30431.159784271822</v>
      </c>
      <c r="AB190" s="195"/>
      <c r="AC190" s="199">
        <v>30010.96932020635</v>
      </c>
      <c r="AD190" s="194">
        <f t="shared" si="51"/>
        <v>420.19046406547204</v>
      </c>
      <c r="AE190" s="194">
        <v>416.28951614175821</v>
      </c>
      <c r="AF190" s="194">
        <f t="shared" si="52"/>
        <v>3.9009479237138294</v>
      </c>
    </row>
    <row r="191" spans="2:32" s="200" customFormat="1" x14ac:dyDescent="0.25">
      <c r="B191" s="201">
        <v>375</v>
      </c>
      <c r="C191" s="201">
        <v>8</v>
      </c>
      <c r="D191" s="202" t="s">
        <v>227</v>
      </c>
      <c r="E191" s="193">
        <v>176.49</v>
      </c>
      <c r="F191" s="193">
        <f>INDEX('Revised 2017 Lockdown'!H$5:H$249,MATCH(B191,'Revised 2017 Lockdown'!B$5:B$249,0))</f>
        <v>176.49</v>
      </c>
      <c r="G191" s="193">
        <f t="shared" si="38"/>
        <v>0</v>
      </c>
      <c r="H191" s="194">
        <v>216301.79</v>
      </c>
      <c r="I191" s="194">
        <f>INDEX('Revised 2017 Lockdown'!E$5:E$249,MATCH(B191,'Revised 2017 Lockdown'!B$5:B$249,0))</f>
        <v>216301.79</v>
      </c>
      <c r="J191" s="194">
        <f t="shared" si="39"/>
        <v>0</v>
      </c>
      <c r="K191" s="194">
        <v>0</v>
      </c>
      <c r="L191" s="194">
        <f>INDEX('Revised 2017 Lockdown'!F$5:F$249,MATCH(B191,'Revised 2017 Lockdown'!B$5:B$249,0))</f>
        <v>0</v>
      </c>
      <c r="M191" s="194">
        <f t="shared" si="40"/>
        <v>0</v>
      </c>
      <c r="N191" s="194">
        <f t="shared" si="36"/>
        <v>216301.79</v>
      </c>
      <c r="O191" s="195">
        <f t="shared" si="36"/>
        <v>216301.79</v>
      </c>
      <c r="P191" s="195">
        <f t="shared" si="41"/>
        <v>0</v>
      </c>
      <c r="Q191" s="95">
        <f t="shared" si="42"/>
        <v>1225.575330047028</v>
      </c>
      <c r="R191" s="196">
        <f t="shared" si="37"/>
        <v>1225.575330047028</v>
      </c>
      <c r="S191" s="194">
        <f t="shared" si="43"/>
        <v>216301.78999999998</v>
      </c>
      <c r="T191" s="197">
        <v>0.14000000000000001</v>
      </c>
      <c r="U191" s="195">
        <f t="shared" si="44"/>
        <v>55688.579283091269</v>
      </c>
      <c r="V191" s="195">
        <f t="shared" si="45"/>
        <v>9105.189274225977</v>
      </c>
      <c r="W191" s="195">
        <f t="shared" si="46"/>
        <v>2338.9203298898333</v>
      </c>
      <c r="X191" s="195">
        <f t="shared" si="47"/>
        <v>3235.0639201756749</v>
      </c>
      <c r="Y191" s="195">
        <f t="shared" si="48"/>
        <v>70367.752807382756</v>
      </c>
      <c r="Z191" s="198">
        <f t="shared" si="49"/>
        <v>0.32532210115960097</v>
      </c>
      <c r="AA191" s="199">
        <f t="shared" si="50"/>
        <v>70545.369351701709</v>
      </c>
      <c r="AB191" s="195"/>
      <c r="AC191" s="199">
        <v>69500.117862599873</v>
      </c>
      <c r="AD191" s="194">
        <f t="shared" si="51"/>
        <v>1045.2514891018363</v>
      </c>
      <c r="AE191" s="194">
        <v>1037.05269031637</v>
      </c>
      <c r="AF191" s="194">
        <f t="shared" si="52"/>
        <v>8.1987987854663515</v>
      </c>
    </row>
    <row r="192" spans="2:32" s="200" customFormat="1" x14ac:dyDescent="0.25">
      <c r="B192" s="201">
        <v>404</v>
      </c>
      <c r="C192" s="201">
        <v>8</v>
      </c>
      <c r="D192" s="202" t="s">
        <v>228</v>
      </c>
      <c r="E192" s="193">
        <v>464.38745447782185</v>
      </c>
      <c r="F192" s="193">
        <f>INDEX('Revised 2017 Lockdown'!H$5:H$249,MATCH(B192,'Revised 2017 Lockdown'!B$5:B$249,0))</f>
        <v>464.38745447782185</v>
      </c>
      <c r="G192" s="193">
        <f t="shared" si="38"/>
        <v>0</v>
      </c>
      <c r="H192" s="194">
        <v>227998.07999999999</v>
      </c>
      <c r="I192" s="194">
        <f>INDEX('Revised 2017 Lockdown'!E$5:E$249,MATCH(B192,'Revised 2017 Lockdown'!B$5:B$249,0))</f>
        <v>227998.07999999999</v>
      </c>
      <c r="J192" s="194">
        <f t="shared" si="39"/>
        <v>0</v>
      </c>
      <c r="K192" s="194">
        <v>8.66</v>
      </c>
      <c r="L192" s="194">
        <f>INDEX('Revised 2017 Lockdown'!F$5:F$249,MATCH(B192,'Revised 2017 Lockdown'!B$5:B$249,0))</f>
        <v>8.66</v>
      </c>
      <c r="M192" s="194">
        <f t="shared" si="40"/>
        <v>0</v>
      </c>
      <c r="N192" s="194">
        <f t="shared" si="36"/>
        <v>227989.41999999998</v>
      </c>
      <c r="O192" s="195">
        <f t="shared" si="36"/>
        <v>227989.41999999998</v>
      </c>
      <c r="P192" s="195">
        <f t="shared" si="41"/>
        <v>0</v>
      </c>
      <c r="Q192" s="95">
        <f t="shared" si="42"/>
        <v>490.94655293037908</v>
      </c>
      <c r="R192" s="196">
        <f t="shared" si="37"/>
        <v>490.94655293037908</v>
      </c>
      <c r="S192" s="194">
        <f t="shared" si="43"/>
        <v>227989.41999999998</v>
      </c>
      <c r="T192" s="197">
        <v>0.50625000000000009</v>
      </c>
      <c r="U192" s="195">
        <f t="shared" si="44"/>
        <v>58697.65058983559</v>
      </c>
      <c r="V192" s="195">
        <f t="shared" si="45"/>
        <v>23957.933421704161</v>
      </c>
      <c r="W192" s="195">
        <f t="shared" si="46"/>
        <v>8914.7056833312818</v>
      </c>
      <c r="X192" s="195">
        <f t="shared" si="47"/>
        <v>3409.8670511408081</v>
      </c>
      <c r="Y192" s="195">
        <f t="shared" si="48"/>
        <v>94980.156746011853</v>
      </c>
      <c r="Z192" s="198">
        <f t="shared" si="49"/>
        <v>0.41659896650472578</v>
      </c>
      <c r="AA192" s="199">
        <f t="shared" si="50"/>
        <v>95219.897913621346</v>
      </c>
      <c r="AB192" s="195"/>
      <c r="AC192" s="199">
        <v>93942.005468687566</v>
      </c>
      <c r="AD192" s="194">
        <f t="shared" si="51"/>
        <v>1277.8924449337792</v>
      </c>
      <c r="AE192" s="194">
        <v>1265.2170066140243</v>
      </c>
      <c r="AF192" s="194">
        <f t="shared" si="52"/>
        <v>12.675438319754903</v>
      </c>
    </row>
    <row r="193" spans="2:32" s="200" customFormat="1" x14ac:dyDescent="0.25">
      <c r="B193" s="201">
        <v>413</v>
      </c>
      <c r="C193" s="201">
        <v>8</v>
      </c>
      <c r="D193" s="202" t="s">
        <v>229</v>
      </c>
      <c r="E193" s="193">
        <v>86.789999999999992</v>
      </c>
      <c r="F193" s="193">
        <f>INDEX('Revised 2017 Lockdown'!H$5:H$249,MATCH(B193,'Revised 2017 Lockdown'!B$5:B$249,0))</f>
        <v>86.789999999999992</v>
      </c>
      <c r="G193" s="193">
        <f t="shared" si="38"/>
        <v>0</v>
      </c>
      <c r="H193" s="194">
        <v>54520.28</v>
      </c>
      <c r="I193" s="194">
        <f>INDEX('Revised 2017 Lockdown'!E$5:E$249,MATCH(B193,'Revised 2017 Lockdown'!B$5:B$249,0))</f>
        <v>54520.28</v>
      </c>
      <c r="J193" s="194">
        <f t="shared" si="39"/>
        <v>0</v>
      </c>
      <c r="K193" s="194">
        <v>115</v>
      </c>
      <c r="L193" s="194">
        <f>INDEX('Revised 2017 Lockdown'!F$5:F$249,MATCH(B193,'Revised 2017 Lockdown'!B$5:B$249,0))</f>
        <v>115</v>
      </c>
      <c r="M193" s="194">
        <f t="shared" si="40"/>
        <v>0</v>
      </c>
      <c r="N193" s="194">
        <f t="shared" si="36"/>
        <v>54405.279999999999</v>
      </c>
      <c r="O193" s="195">
        <f t="shared" si="36"/>
        <v>54405.279999999999</v>
      </c>
      <c r="P193" s="195">
        <f t="shared" si="41"/>
        <v>0</v>
      </c>
      <c r="Q193" s="95">
        <f t="shared" si="42"/>
        <v>626.86115911971433</v>
      </c>
      <c r="R193" s="196">
        <f t="shared" si="37"/>
        <v>626.86115911971433</v>
      </c>
      <c r="S193" s="194">
        <f t="shared" si="43"/>
        <v>54405.279999999999</v>
      </c>
      <c r="T193" s="197">
        <v>0.33975</v>
      </c>
      <c r="U193" s="195">
        <f t="shared" si="44"/>
        <v>14007.062764939576</v>
      </c>
      <c r="V193" s="195">
        <f t="shared" si="45"/>
        <v>4477.530608590132</v>
      </c>
      <c r="W193" s="195">
        <f t="shared" si="46"/>
        <v>1427.6698723164664</v>
      </c>
      <c r="X193" s="195">
        <f t="shared" si="47"/>
        <v>813.69903778907803</v>
      </c>
      <c r="Y193" s="195">
        <f t="shared" si="48"/>
        <v>20725.962283635254</v>
      </c>
      <c r="Z193" s="198">
        <f t="shared" si="49"/>
        <v>0.38095497870124467</v>
      </c>
      <c r="AA193" s="199">
        <f t="shared" si="50"/>
        <v>20778.277067774812</v>
      </c>
      <c r="AB193" s="195"/>
      <c r="AC193" s="199">
        <v>20495.748702374331</v>
      </c>
      <c r="AD193" s="194">
        <f t="shared" si="51"/>
        <v>282.52836540048156</v>
      </c>
      <c r="AE193" s="194">
        <v>279.86740021001606</v>
      </c>
      <c r="AF193" s="194">
        <f t="shared" si="52"/>
        <v>2.6609651904655038</v>
      </c>
    </row>
    <row r="194" spans="2:32" s="200" customFormat="1" x14ac:dyDescent="0.25">
      <c r="B194" s="201">
        <v>537</v>
      </c>
      <c r="C194" s="201">
        <v>8</v>
      </c>
      <c r="D194" s="202" t="s">
        <v>230</v>
      </c>
      <c r="E194" s="193">
        <v>19.904487402564385</v>
      </c>
      <c r="F194" s="193">
        <f>INDEX('Revised 2017 Lockdown'!H$5:H$249,MATCH(B194,'Revised 2017 Lockdown'!B$5:B$249,0))</f>
        <v>19.904487402564385</v>
      </c>
      <c r="G194" s="193">
        <f t="shared" si="38"/>
        <v>0</v>
      </c>
      <c r="H194" s="194">
        <v>11142.79</v>
      </c>
      <c r="I194" s="194">
        <f>INDEX('Revised 2017 Lockdown'!E$5:E$249,MATCH(B194,'Revised 2017 Lockdown'!B$5:B$249,0))</f>
        <v>11142.79</v>
      </c>
      <c r="J194" s="194">
        <f t="shared" si="39"/>
        <v>0</v>
      </c>
      <c r="K194" s="194">
        <v>0</v>
      </c>
      <c r="L194" s="194">
        <f>INDEX('Revised 2017 Lockdown'!F$5:F$249,MATCH(B194,'Revised 2017 Lockdown'!B$5:B$249,0))</f>
        <v>0</v>
      </c>
      <c r="M194" s="194">
        <f t="shared" si="40"/>
        <v>0</v>
      </c>
      <c r="N194" s="194">
        <f t="shared" si="36"/>
        <v>11142.79</v>
      </c>
      <c r="O194" s="195">
        <f t="shared" si="36"/>
        <v>11142.79</v>
      </c>
      <c r="P194" s="195">
        <f t="shared" si="41"/>
        <v>0</v>
      </c>
      <c r="Q194" s="95">
        <f t="shared" si="42"/>
        <v>559.81295949195987</v>
      </c>
      <c r="R194" s="196">
        <f t="shared" si="37"/>
        <v>559.81295949195987</v>
      </c>
      <c r="S194" s="194">
        <f t="shared" si="43"/>
        <v>11142.79</v>
      </c>
      <c r="T194" s="197">
        <v>0.19466666666666665</v>
      </c>
      <c r="U194" s="195">
        <f t="shared" si="44"/>
        <v>2868.7980083282555</v>
      </c>
      <c r="V194" s="195">
        <f t="shared" si="45"/>
        <v>1026.8804193257142</v>
      </c>
      <c r="W194" s="195">
        <f t="shared" si="46"/>
        <v>167.5378036863701</v>
      </c>
      <c r="X194" s="195">
        <f t="shared" si="47"/>
        <v>166.65436702624748</v>
      </c>
      <c r="Y194" s="195">
        <f t="shared" si="48"/>
        <v>4229.8705983665868</v>
      </c>
      <c r="Z194" s="198">
        <f t="shared" si="49"/>
        <v>0.37960605901812622</v>
      </c>
      <c r="AA194" s="199">
        <f t="shared" si="50"/>
        <v>4240.5472928555337</v>
      </c>
      <c r="AB194" s="195"/>
      <c r="AC194" s="199">
        <v>4186.140990301431</v>
      </c>
      <c r="AD194" s="194">
        <f t="shared" si="51"/>
        <v>54.406302554102695</v>
      </c>
      <c r="AE194" s="194">
        <v>53.849484879471675</v>
      </c>
      <c r="AF194" s="194">
        <f t="shared" si="52"/>
        <v>0.55681767463102005</v>
      </c>
    </row>
    <row r="195" spans="2:32" s="200" customFormat="1" x14ac:dyDescent="0.25">
      <c r="B195" s="201">
        <v>545</v>
      </c>
      <c r="C195" s="201">
        <v>8</v>
      </c>
      <c r="D195" s="202" t="s">
        <v>231</v>
      </c>
      <c r="E195" s="193">
        <v>16.281058267240422</v>
      </c>
      <c r="F195" s="193">
        <f>INDEX('Revised 2017 Lockdown'!H$5:H$249,MATCH(B195,'Revised 2017 Lockdown'!B$5:B$249,0))</f>
        <v>16.281058267240422</v>
      </c>
      <c r="G195" s="193">
        <f t="shared" si="38"/>
        <v>0</v>
      </c>
      <c r="H195" s="194">
        <v>6076.64</v>
      </c>
      <c r="I195" s="194">
        <f>INDEX('Revised 2017 Lockdown'!E$5:E$249,MATCH(B195,'Revised 2017 Lockdown'!B$5:B$249,0))</f>
        <v>6076.64</v>
      </c>
      <c r="J195" s="194">
        <f t="shared" si="39"/>
        <v>0</v>
      </c>
      <c r="K195" s="194">
        <v>0</v>
      </c>
      <c r="L195" s="194">
        <f>INDEX('Revised 2017 Lockdown'!F$5:F$249,MATCH(B195,'Revised 2017 Lockdown'!B$5:B$249,0))</f>
        <v>0</v>
      </c>
      <c r="M195" s="194">
        <f t="shared" si="40"/>
        <v>0</v>
      </c>
      <c r="N195" s="194">
        <f t="shared" si="36"/>
        <v>6076.64</v>
      </c>
      <c r="O195" s="195">
        <f t="shared" si="36"/>
        <v>6076.64</v>
      </c>
      <c r="P195" s="195">
        <f t="shared" si="41"/>
        <v>0</v>
      </c>
      <c r="Q195" s="95">
        <f t="shared" si="42"/>
        <v>373.23372352440873</v>
      </c>
      <c r="R195" s="196">
        <f t="shared" si="37"/>
        <v>373.23372352440873</v>
      </c>
      <c r="S195" s="194">
        <f t="shared" si="43"/>
        <v>6076.64</v>
      </c>
      <c r="T195" s="197">
        <v>0.50516666666666665</v>
      </c>
      <c r="U195" s="195">
        <f t="shared" si="44"/>
        <v>1564.4782616676623</v>
      </c>
      <c r="V195" s="195">
        <f t="shared" si="45"/>
        <v>839.9462695219313</v>
      </c>
      <c r="W195" s="195">
        <f t="shared" si="46"/>
        <v>237.09668055573425</v>
      </c>
      <c r="X195" s="195">
        <f t="shared" si="47"/>
        <v>90.883754683196642</v>
      </c>
      <c r="Y195" s="195">
        <f t="shared" si="48"/>
        <v>2732.4049664285244</v>
      </c>
      <c r="Z195" s="198">
        <f t="shared" si="49"/>
        <v>0.44965720635557221</v>
      </c>
      <c r="AA195" s="199">
        <f t="shared" si="50"/>
        <v>2739.3018802626984</v>
      </c>
      <c r="AB195" s="195"/>
      <c r="AC195" s="199">
        <v>2704.5105217598634</v>
      </c>
      <c r="AD195" s="194">
        <f t="shared" si="51"/>
        <v>34.79135850283501</v>
      </c>
      <c r="AE195" s="194">
        <v>34.406886157047211</v>
      </c>
      <c r="AF195" s="194">
        <f t="shared" si="52"/>
        <v>0.38447234578779899</v>
      </c>
    </row>
    <row r="196" spans="2:32" s="200" customFormat="1" x14ac:dyDescent="0.25">
      <c r="B196" s="201">
        <v>602</v>
      </c>
      <c r="C196" s="201">
        <v>8</v>
      </c>
      <c r="D196" s="202" t="s">
        <v>232</v>
      </c>
      <c r="E196" s="193">
        <v>15.915465641479035</v>
      </c>
      <c r="F196" s="193">
        <f>INDEX('Revised 2017 Lockdown'!H$5:H$249,MATCH(B196,'Revised 2017 Lockdown'!B$5:B$249,0))</f>
        <v>10.602186147080214</v>
      </c>
      <c r="G196" s="193">
        <f t="shared" si="38"/>
        <v>-5.3132794943988202</v>
      </c>
      <c r="H196" s="194">
        <v>18009.349999999999</v>
      </c>
      <c r="I196" s="194">
        <f>INDEX('Revised 2017 Lockdown'!E$5:E$249,MATCH(B196,'Revised 2017 Lockdown'!B$5:B$249,0))</f>
        <v>12099.67</v>
      </c>
      <c r="J196" s="194">
        <f t="shared" si="39"/>
        <v>-5909.6799999999985</v>
      </c>
      <c r="K196" s="194">
        <v>0</v>
      </c>
      <c r="L196" s="194">
        <f>INDEX('Revised 2017 Lockdown'!F$5:F$249,MATCH(B196,'Revised 2017 Lockdown'!B$5:B$249,0))</f>
        <v>0</v>
      </c>
      <c r="M196" s="194">
        <f t="shared" si="40"/>
        <v>0</v>
      </c>
      <c r="N196" s="194">
        <f t="shared" si="36"/>
        <v>18009.349999999999</v>
      </c>
      <c r="O196" s="195">
        <f t="shared" si="36"/>
        <v>12099.67</v>
      </c>
      <c r="P196" s="195">
        <f t="shared" si="41"/>
        <v>-5909.6799999999985</v>
      </c>
      <c r="Q196" s="95">
        <f t="shared" si="42"/>
        <v>1141.2429316129471</v>
      </c>
      <c r="R196" s="196">
        <f t="shared" si="37"/>
        <v>1141.2429316129471</v>
      </c>
      <c r="S196" s="194">
        <f t="shared" si="43"/>
        <v>12099.67</v>
      </c>
      <c r="T196" s="197">
        <v>0.41183333333333333</v>
      </c>
      <c r="U196" s="195">
        <f t="shared" si="44"/>
        <v>3115.1542115959414</v>
      </c>
      <c r="V196" s="195">
        <f t="shared" si="45"/>
        <v>546.97099886532942</v>
      </c>
      <c r="W196" s="195">
        <f t="shared" si="46"/>
        <v>384.8773028426786</v>
      </c>
      <c r="X196" s="195">
        <f t="shared" si="47"/>
        <v>180.9657047361097</v>
      </c>
      <c r="Y196" s="195">
        <f t="shared" si="48"/>
        <v>4227.9682180400587</v>
      </c>
      <c r="Z196" s="198">
        <f t="shared" si="49"/>
        <v>0.34942839086025146</v>
      </c>
      <c r="AA196" s="199">
        <f t="shared" si="50"/>
        <v>4238.6401106956928</v>
      </c>
      <c r="AB196" s="195"/>
      <c r="AC196" s="199">
        <v>6217.4820203145255</v>
      </c>
      <c r="AD196" s="194">
        <f t="shared" si="51"/>
        <v>-1978.8419096188327</v>
      </c>
      <c r="AE196" s="194">
        <v>-1979.3370147641836</v>
      </c>
      <c r="AF196" s="194">
        <f t="shared" si="52"/>
        <v>0.49510514535086259</v>
      </c>
    </row>
    <row r="197" spans="2:32" s="200" customFormat="1" x14ac:dyDescent="0.25">
      <c r="B197" s="201">
        <v>605</v>
      </c>
      <c r="C197" s="201">
        <v>8</v>
      </c>
      <c r="D197" s="202" t="s">
        <v>233</v>
      </c>
      <c r="E197" s="193">
        <v>17.987157187460227</v>
      </c>
      <c r="F197" s="193">
        <f>INDEX('Revised 2017 Lockdown'!H$5:H$249,MATCH(B197,'Revised 2017 Lockdown'!B$5:B$249,0))</f>
        <v>17.987157187460227</v>
      </c>
      <c r="G197" s="193">
        <f t="shared" si="38"/>
        <v>0</v>
      </c>
      <c r="H197" s="194">
        <v>9953.11</v>
      </c>
      <c r="I197" s="194">
        <f>INDEX('Revised 2017 Lockdown'!E$5:E$249,MATCH(B197,'Revised 2017 Lockdown'!B$5:B$249,0))</f>
        <v>9953.11</v>
      </c>
      <c r="J197" s="194">
        <f t="shared" si="39"/>
        <v>0</v>
      </c>
      <c r="K197" s="194">
        <v>0</v>
      </c>
      <c r="L197" s="194">
        <f>INDEX('Revised 2017 Lockdown'!F$5:F$249,MATCH(B197,'Revised 2017 Lockdown'!B$5:B$249,0))</f>
        <v>0</v>
      </c>
      <c r="M197" s="194">
        <f t="shared" si="40"/>
        <v>0</v>
      </c>
      <c r="N197" s="194">
        <f t="shared" si="36"/>
        <v>9953.11</v>
      </c>
      <c r="O197" s="195">
        <f t="shared" si="36"/>
        <v>9953.11</v>
      </c>
      <c r="P197" s="195">
        <f t="shared" si="41"/>
        <v>0</v>
      </c>
      <c r="Q197" s="95">
        <f t="shared" si="42"/>
        <v>553.34536170834303</v>
      </c>
      <c r="R197" s="196">
        <f t="shared" si="37"/>
        <v>553.34536170834303</v>
      </c>
      <c r="S197" s="194">
        <f t="shared" si="43"/>
        <v>9953.11</v>
      </c>
      <c r="T197" s="197">
        <v>0.19466666666666665</v>
      </c>
      <c r="U197" s="195">
        <f t="shared" si="44"/>
        <v>2562.5056332096401</v>
      </c>
      <c r="V197" s="195">
        <f t="shared" si="45"/>
        <v>927.96459117842096</v>
      </c>
      <c r="W197" s="195">
        <f t="shared" si="46"/>
        <v>149.65032897944297</v>
      </c>
      <c r="X197" s="195">
        <f t="shared" si="47"/>
        <v>148.86121402203705</v>
      </c>
      <c r="Y197" s="195">
        <f t="shared" si="48"/>
        <v>3788.9817673895409</v>
      </c>
      <c r="Z197" s="198">
        <f t="shared" si="49"/>
        <v>0.38068320026499664</v>
      </c>
      <c r="AA197" s="199">
        <f t="shared" si="50"/>
        <v>3798.5456062384719</v>
      </c>
      <c r="AB197" s="195"/>
      <c r="AC197" s="199">
        <v>3749.9389660678789</v>
      </c>
      <c r="AD197" s="194">
        <f t="shared" si="51"/>
        <v>48.606640170592982</v>
      </c>
      <c r="AE197" s="194">
        <v>48.106786775930686</v>
      </c>
      <c r="AF197" s="194">
        <f t="shared" si="52"/>
        <v>0.49985339466229561</v>
      </c>
    </row>
    <row r="198" spans="2:32" s="200" customFormat="1" x14ac:dyDescent="0.25">
      <c r="B198" s="201">
        <v>607</v>
      </c>
      <c r="C198" s="201">
        <v>8</v>
      </c>
      <c r="D198" s="202" t="s">
        <v>234</v>
      </c>
      <c r="E198" s="193">
        <v>26.988860061762811</v>
      </c>
      <c r="F198" s="193">
        <f>INDEX('Revised 2017 Lockdown'!H$5:H$249,MATCH(B198,'Revised 2017 Lockdown'!B$5:B$249,0))</f>
        <v>26.988860061762811</v>
      </c>
      <c r="G198" s="193">
        <f t="shared" si="38"/>
        <v>0</v>
      </c>
      <c r="H198" s="194">
        <v>15112.39</v>
      </c>
      <c r="I198" s="194">
        <f>INDEX('Revised 2017 Lockdown'!E$5:E$249,MATCH(B198,'Revised 2017 Lockdown'!B$5:B$249,0))</f>
        <v>15112.39</v>
      </c>
      <c r="J198" s="194">
        <f t="shared" si="39"/>
        <v>0</v>
      </c>
      <c r="K198" s="194">
        <v>0</v>
      </c>
      <c r="L198" s="194">
        <f>INDEX('Revised 2017 Lockdown'!F$5:F$249,MATCH(B198,'Revised 2017 Lockdown'!B$5:B$249,0))</f>
        <v>0</v>
      </c>
      <c r="M198" s="194">
        <f t="shared" si="40"/>
        <v>0</v>
      </c>
      <c r="N198" s="194">
        <f t="shared" si="36"/>
        <v>15112.39</v>
      </c>
      <c r="O198" s="195">
        <f t="shared" si="36"/>
        <v>15112.39</v>
      </c>
      <c r="P198" s="195">
        <f t="shared" si="41"/>
        <v>0</v>
      </c>
      <c r="Q198" s="95">
        <f t="shared" si="42"/>
        <v>559.949177750226</v>
      </c>
      <c r="R198" s="196">
        <f t="shared" si="37"/>
        <v>559.949177750226</v>
      </c>
      <c r="S198" s="194">
        <f t="shared" si="43"/>
        <v>15112.39</v>
      </c>
      <c r="T198" s="197">
        <v>0.25116666666666665</v>
      </c>
      <c r="U198" s="195">
        <f t="shared" si="44"/>
        <v>3890.8024231884333</v>
      </c>
      <c r="V198" s="195">
        <f t="shared" si="45"/>
        <v>1392.3660216326623</v>
      </c>
      <c r="W198" s="195">
        <f t="shared" si="46"/>
        <v>293.17196258724846</v>
      </c>
      <c r="X198" s="195">
        <f t="shared" si="47"/>
        <v>226.02470204533984</v>
      </c>
      <c r="Y198" s="195">
        <f t="shared" si="48"/>
        <v>5802.3651094536835</v>
      </c>
      <c r="Z198" s="198">
        <f t="shared" si="49"/>
        <v>0.38394754962343375</v>
      </c>
      <c r="AA198" s="199">
        <f t="shared" si="50"/>
        <v>5817.010966376798</v>
      </c>
      <c r="AB198" s="195"/>
      <c r="AC198" s="199">
        <v>5740.9616269091175</v>
      </c>
      <c r="AD198" s="194">
        <f t="shared" si="51"/>
        <v>76.049339467680511</v>
      </c>
      <c r="AE198" s="194">
        <v>75.287031417829894</v>
      </c>
      <c r="AF198" s="194">
        <f t="shared" si="52"/>
        <v>0.76230804985061695</v>
      </c>
    </row>
    <row r="199" spans="2:32" s="200" customFormat="1" x14ac:dyDescent="0.25">
      <c r="B199" s="201">
        <v>610</v>
      </c>
      <c r="C199" s="201">
        <v>8</v>
      </c>
      <c r="D199" s="202" t="s">
        <v>235</v>
      </c>
      <c r="E199" s="193">
        <v>66.425018068074081</v>
      </c>
      <c r="F199" s="193">
        <f>INDEX('Revised 2017 Lockdown'!H$5:H$249,MATCH(B199,'Revised 2017 Lockdown'!B$5:B$249,0))</f>
        <v>66.425018068074081</v>
      </c>
      <c r="G199" s="193">
        <f t="shared" si="38"/>
        <v>0</v>
      </c>
      <c r="H199" s="194">
        <v>26597.53</v>
      </c>
      <c r="I199" s="194">
        <f>INDEX('Revised 2017 Lockdown'!E$5:E$249,MATCH(B199,'Revised 2017 Lockdown'!B$5:B$249,0))</f>
        <v>26597.53</v>
      </c>
      <c r="J199" s="194">
        <f t="shared" si="39"/>
        <v>0</v>
      </c>
      <c r="K199" s="194">
        <v>0</v>
      </c>
      <c r="L199" s="194">
        <f>INDEX('Revised 2017 Lockdown'!F$5:F$249,MATCH(B199,'Revised 2017 Lockdown'!B$5:B$249,0))</f>
        <v>0</v>
      </c>
      <c r="M199" s="194">
        <f t="shared" si="40"/>
        <v>0</v>
      </c>
      <c r="N199" s="194">
        <f t="shared" si="36"/>
        <v>26597.53</v>
      </c>
      <c r="O199" s="195">
        <f t="shared" si="36"/>
        <v>26597.53</v>
      </c>
      <c r="P199" s="195">
        <f t="shared" si="41"/>
        <v>0</v>
      </c>
      <c r="Q199" s="95">
        <f t="shared" si="42"/>
        <v>400.41434347435421</v>
      </c>
      <c r="R199" s="196">
        <f t="shared" si="37"/>
        <v>400.41434347435421</v>
      </c>
      <c r="S199" s="194">
        <f t="shared" si="43"/>
        <v>26597.53</v>
      </c>
      <c r="T199" s="197">
        <v>0.29383333333333334</v>
      </c>
      <c r="U199" s="195">
        <f t="shared" si="44"/>
        <v>6847.7411034804591</v>
      </c>
      <c r="V199" s="195">
        <f t="shared" si="45"/>
        <v>3426.8930933973302</v>
      </c>
      <c r="W199" s="195">
        <f t="shared" si="46"/>
        <v>603.62837827180249</v>
      </c>
      <c r="X199" s="195">
        <f t="shared" si="47"/>
        <v>397.79934169194865</v>
      </c>
      <c r="Y199" s="195">
        <f t="shared" si="48"/>
        <v>11276.06191684154</v>
      </c>
      <c r="Z199" s="198">
        <f t="shared" si="49"/>
        <v>0.42395146905902692</v>
      </c>
      <c r="AA199" s="199">
        <f t="shared" si="50"/>
        <v>11304.524032957115</v>
      </c>
      <c r="AB199" s="195"/>
      <c r="AC199" s="199">
        <v>11166.262229972494</v>
      </c>
      <c r="AD199" s="194">
        <f t="shared" si="51"/>
        <v>138.26180298462168</v>
      </c>
      <c r="AE199" s="194">
        <v>136.68423863660064</v>
      </c>
      <c r="AF199" s="194">
        <f t="shared" si="52"/>
        <v>1.577564348021042</v>
      </c>
    </row>
    <row r="200" spans="2:32" s="200" customFormat="1" x14ac:dyDescent="0.25">
      <c r="B200" s="201">
        <v>611</v>
      </c>
      <c r="C200" s="201">
        <v>8</v>
      </c>
      <c r="D200" s="202" t="s">
        <v>236</v>
      </c>
      <c r="E200" s="193">
        <v>19.031531650101531</v>
      </c>
      <c r="F200" s="193">
        <f>INDEX('Revised 2017 Lockdown'!H$5:H$249,MATCH(B200,'Revised 2017 Lockdown'!B$5:B$249,0))</f>
        <v>19.031531650101531</v>
      </c>
      <c r="G200" s="193">
        <f t="shared" si="38"/>
        <v>0</v>
      </c>
      <c r="H200" s="194">
        <v>27958.57</v>
      </c>
      <c r="I200" s="194">
        <f>INDEX('Revised 2017 Lockdown'!E$5:E$249,MATCH(B200,'Revised 2017 Lockdown'!B$5:B$249,0))</f>
        <v>27958.57</v>
      </c>
      <c r="J200" s="194">
        <f t="shared" si="39"/>
        <v>0</v>
      </c>
      <c r="K200" s="194">
        <v>0</v>
      </c>
      <c r="L200" s="194">
        <f>INDEX('Revised 2017 Lockdown'!F$5:F$249,MATCH(B200,'Revised 2017 Lockdown'!B$5:B$249,0))</f>
        <v>0</v>
      </c>
      <c r="M200" s="194">
        <f t="shared" si="40"/>
        <v>0</v>
      </c>
      <c r="N200" s="194">
        <f t="shared" si="36"/>
        <v>27958.57</v>
      </c>
      <c r="O200" s="195">
        <f t="shared" si="36"/>
        <v>27958.57</v>
      </c>
      <c r="P200" s="195">
        <f t="shared" si="41"/>
        <v>0</v>
      </c>
      <c r="Q200" s="95">
        <f t="shared" si="42"/>
        <v>1469.0656807882744</v>
      </c>
      <c r="R200" s="196">
        <f t="shared" si="37"/>
        <v>1469.0656807882744</v>
      </c>
      <c r="S200" s="194">
        <f t="shared" si="43"/>
        <v>27958.569999999996</v>
      </c>
      <c r="T200" s="197">
        <v>0.59083333333333332</v>
      </c>
      <c r="U200" s="195">
        <f t="shared" si="44"/>
        <v>7198.1514442707894</v>
      </c>
      <c r="V200" s="195">
        <f t="shared" si="45"/>
        <v>981.84428496003534</v>
      </c>
      <c r="W200" s="195">
        <f t="shared" si="46"/>
        <v>1275.8723434969972</v>
      </c>
      <c r="X200" s="195">
        <f t="shared" si="47"/>
        <v>418.15539791282362</v>
      </c>
      <c r="Y200" s="195">
        <f t="shared" si="48"/>
        <v>9874.0234706406463</v>
      </c>
      <c r="Z200" s="198">
        <f t="shared" si="49"/>
        <v>0.35316625530707213</v>
      </c>
      <c r="AA200" s="199">
        <f t="shared" si="50"/>
        <v>9898.9466756231905</v>
      </c>
      <c r="AB200" s="195"/>
      <c r="AC200" s="199">
        <v>9737.9881886229705</v>
      </c>
      <c r="AD200" s="194">
        <f t="shared" si="51"/>
        <v>160.95848700021998</v>
      </c>
      <c r="AE200" s="194">
        <v>159.83761411531486</v>
      </c>
      <c r="AF200" s="194">
        <f t="shared" si="52"/>
        <v>1.1208728849051113</v>
      </c>
    </row>
    <row r="201" spans="2:32" s="200" customFormat="1" x14ac:dyDescent="0.25">
      <c r="B201" s="201">
        <v>616</v>
      </c>
      <c r="C201" s="201">
        <v>8</v>
      </c>
      <c r="D201" s="202" t="s">
        <v>237</v>
      </c>
      <c r="E201" s="193">
        <v>179.09000000000003</v>
      </c>
      <c r="F201" s="193">
        <f>INDEX('Revised 2017 Lockdown'!H$5:H$249,MATCH(B201,'Revised 2017 Lockdown'!B$5:B$249,0))</f>
        <v>179.09000000000003</v>
      </c>
      <c r="G201" s="193">
        <f t="shared" si="38"/>
        <v>0</v>
      </c>
      <c r="H201" s="194">
        <v>213811.28</v>
      </c>
      <c r="I201" s="194">
        <f>INDEX('Revised 2017 Lockdown'!E$5:E$249,MATCH(B201,'Revised 2017 Lockdown'!B$5:B$249,0))</f>
        <v>213811.28</v>
      </c>
      <c r="J201" s="194">
        <f t="shared" si="39"/>
        <v>0</v>
      </c>
      <c r="K201" s="194">
        <v>0</v>
      </c>
      <c r="L201" s="194">
        <f>INDEX('Revised 2017 Lockdown'!F$5:F$249,MATCH(B201,'Revised 2017 Lockdown'!B$5:B$249,0))</f>
        <v>0</v>
      </c>
      <c r="M201" s="194">
        <f t="shared" si="40"/>
        <v>0</v>
      </c>
      <c r="N201" s="194">
        <f t="shared" si="36"/>
        <v>213811.28</v>
      </c>
      <c r="O201" s="195">
        <f t="shared" si="36"/>
        <v>213811.28</v>
      </c>
      <c r="P201" s="195">
        <f t="shared" si="41"/>
        <v>0</v>
      </c>
      <c r="Q201" s="95">
        <f t="shared" si="42"/>
        <v>1193.8761516555919</v>
      </c>
      <c r="R201" s="196">
        <f t="shared" si="37"/>
        <v>1193.8761516555919</v>
      </c>
      <c r="S201" s="194">
        <f t="shared" si="43"/>
        <v>213811.28</v>
      </c>
      <c r="T201" s="197">
        <v>0.68862500000000004</v>
      </c>
      <c r="U201" s="195">
        <f t="shared" si="44"/>
        <v>55047.37810028861</v>
      </c>
      <c r="V201" s="195">
        <f t="shared" si="45"/>
        <v>9239.324308012523</v>
      </c>
      <c r="W201" s="195">
        <f t="shared" si="46"/>
        <v>11372.100223293373</v>
      </c>
      <c r="X201" s="195">
        <f t="shared" si="47"/>
        <v>3197.8152268392178</v>
      </c>
      <c r="Y201" s="195">
        <f t="shared" si="48"/>
        <v>78856.617858433718</v>
      </c>
      <c r="Z201" s="198">
        <f t="shared" si="49"/>
        <v>0.36881411429010535</v>
      </c>
      <c r="AA201" s="199">
        <f t="shared" si="50"/>
        <v>79055.661303789064</v>
      </c>
      <c r="AB201" s="195"/>
      <c r="AC201" s="199">
        <v>77804.041198760286</v>
      </c>
      <c r="AD201" s="194">
        <f t="shared" si="51"/>
        <v>1251.6201050287782</v>
      </c>
      <c r="AE201" s="194">
        <v>1242.4706795514649</v>
      </c>
      <c r="AF201" s="194">
        <f t="shared" si="52"/>
        <v>9.1494254773133434</v>
      </c>
    </row>
    <row r="202" spans="2:32" s="200" customFormat="1" x14ac:dyDescent="0.25">
      <c r="B202" s="201">
        <v>692</v>
      </c>
      <c r="C202" s="201">
        <v>8</v>
      </c>
      <c r="D202" s="202" t="s">
        <v>238</v>
      </c>
      <c r="E202" s="193">
        <v>324.73850537213622</v>
      </c>
      <c r="F202" s="193">
        <f>INDEX('Revised 2017 Lockdown'!H$5:H$249,MATCH(B202,'Revised 2017 Lockdown'!B$5:B$249,0))</f>
        <v>324.73850537213622</v>
      </c>
      <c r="G202" s="193">
        <f t="shared" si="38"/>
        <v>0</v>
      </c>
      <c r="H202" s="194">
        <v>103835.41</v>
      </c>
      <c r="I202" s="194">
        <f>INDEX('Revised 2017 Lockdown'!E$5:E$249,MATCH(B202,'Revised 2017 Lockdown'!B$5:B$249,0))</f>
        <v>103835.41</v>
      </c>
      <c r="J202" s="194">
        <f t="shared" si="39"/>
        <v>0</v>
      </c>
      <c r="K202" s="194">
        <v>0</v>
      </c>
      <c r="L202" s="194">
        <f>INDEX('Revised 2017 Lockdown'!F$5:F$249,MATCH(B202,'Revised 2017 Lockdown'!B$5:B$249,0))</f>
        <v>0</v>
      </c>
      <c r="M202" s="194">
        <f t="shared" si="40"/>
        <v>0</v>
      </c>
      <c r="N202" s="194">
        <f t="shared" si="36"/>
        <v>103835.41</v>
      </c>
      <c r="O202" s="195">
        <f t="shared" si="36"/>
        <v>103835.41</v>
      </c>
      <c r="P202" s="195">
        <f t="shared" si="41"/>
        <v>0</v>
      </c>
      <c r="Q202" s="95">
        <f t="shared" si="42"/>
        <v>319.75084039082196</v>
      </c>
      <c r="R202" s="196">
        <f t="shared" si="37"/>
        <v>319.75084039082196</v>
      </c>
      <c r="S202" s="194">
        <f t="shared" si="43"/>
        <v>103835.41</v>
      </c>
      <c r="T202" s="197">
        <v>0.2461666666666667</v>
      </c>
      <c r="U202" s="195">
        <f t="shared" si="44"/>
        <v>26733.234441459259</v>
      </c>
      <c r="V202" s="195">
        <f t="shared" si="45"/>
        <v>16753.388611493847</v>
      </c>
      <c r="W202" s="195">
        <f t="shared" si="46"/>
        <v>1974.2493635017665</v>
      </c>
      <c r="X202" s="195">
        <f t="shared" si="47"/>
        <v>1552.9884821001642</v>
      </c>
      <c r="Y202" s="195">
        <f t="shared" si="48"/>
        <v>47013.860898555031</v>
      </c>
      <c r="Z202" s="198">
        <f t="shared" si="49"/>
        <v>0.4527729114620439</v>
      </c>
      <c r="AA202" s="199">
        <f t="shared" si="50"/>
        <v>47132.529453038369</v>
      </c>
      <c r="AB202" s="195"/>
      <c r="AC202" s="199">
        <v>46607.527019452726</v>
      </c>
      <c r="AD202" s="194">
        <f t="shared" si="51"/>
        <v>525.0024335856433</v>
      </c>
      <c r="AE202" s="194">
        <v>518.10306064614269</v>
      </c>
      <c r="AF202" s="194">
        <f t="shared" si="52"/>
        <v>6.8993729395006085</v>
      </c>
    </row>
    <row r="203" spans="2:32" s="200" customFormat="1" x14ac:dyDescent="0.25">
      <c r="B203" s="201">
        <v>706</v>
      </c>
      <c r="C203" s="201">
        <v>8</v>
      </c>
      <c r="D203" s="202" t="s">
        <v>239</v>
      </c>
      <c r="E203" s="193">
        <v>68.365821017379318</v>
      </c>
      <c r="F203" s="193">
        <f>INDEX('Revised 2017 Lockdown'!H$5:H$249,MATCH(B203,'Revised 2017 Lockdown'!B$5:B$249,0))</f>
        <v>68.365821017379318</v>
      </c>
      <c r="G203" s="193">
        <f t="shared" si="38"/>
        <v>0</v>
      </c>
      <c r="H203" s="194">
        <v>62987.97</v>
      </c>
      <c r="I203" s="194">
        <f>INDEX('Revised 2017 Lockdown'!E$5:E$249,MATCH(B203,'Revised 2017 Lockdown'!B$5:B$249,0))</f>
        <v>62987.97</v>
      </c>
      <c r="J203" s="194">
        <f t="shared" si="39"/>
        <v>0</v>
      </c>
      <c r="K203" s="194">
        <v>45530</v>
      </c>
      <c r="L203" s="194">
        <f>INDEX('Revised 2017 Lockdown'!F$5:F$249,MATCH(B203,'Revised 2017 Lockdown'!B$5:B$249,0))</f>
        <v>45530</v>
      </c>
      <c r="M203" s="194">
        <f t="shared" si="40"/>
        <v>0</v>
      </c>
      <c r="N203" s="194">
        <f t="shared" si="36"/>
        <v>17457.97</v>
      </c>
      <c r="O203" s="195">
        <f t="shared" si="36"/>
        <v>17457.97</v>
      </c>
      <c r="P203" s="195">
        <f t="shared" si="41"/>
        <v>0</v>
      </c>
      <c r="Q203" s="95">
        <f t="shared" si="42"/>
        <v>255.36108160775251</v>
      </c>
      <c r="R203" s="196">
        <f t="shared" si="37"/>
        <v>255.36108160775251</v>
      </c>
      <c r="S203" s="194">
        <f t="shared" si="43"/>
        <v>17457.97</v>
      </c>
      <c r="T203" s="197">
        <v>0.48979166666666668</v>
      </c>
      <c r="U203" s="195">
        <f t="shared" si="44"/>
        <v>4494.6902495204913</v>
      </c>
      <c r="V203" s="195">
        <f t="shared" si="45"/>
        <v>3527.0198892350554</v>
      </c>
      <c r="W203" s="195">
        <f t="shared" si="46"/>
        <v>660.43854853891719</v>
      </c>
      <c r="X203" s="195">
        <f t="shared" si="47"/>
        <v>261.10578588604989</v>
      </c>
      <c r="Y203" s="195">
        <f t="shared" si="48"/>
        <v>8943.2544731805137</v>
      </c>
      <c r="Z203" s="198">
        <f t="shared" si="49"/>
        <v>0.51227344720952739</v>
      </c>
      <c r="AA203" s="199">
        <f t="shared" si="50"/>
        <v>8965.8283069483678</v>
      </c>
      <c r="AB203" s="195"/>
      <c r="AC203" s="199">
        <v>8867.2687715673856</v>
      </c>
      <c r="AD203" s="194">
        <f t="shared" si="51"/>
        <v>98.559535380982197</v>
      </c>
      <c r="AE203" s="194">
        <v>97.19899981492199</v>
      </c>
      <c r="AF203" s="194">
        <f t="shared" si="52"/>
        <v>1.3605355660602072</v>
      </c>
    </row>
    <row r="204" spans="2:32" s="200" customFormat="1" x14ac:dyDescent="0.25">
      <c r="B204" s="201">
        <v>709</v>
      </c>
      <c r="C204" s="201">
        <v>8</v>
      </c>
      <c r="D204" s="202" t="s">
        <v>240</v>
      </c>
      <c r="E204" s="193">
        <v>74.174681626699126</v>
      </c>
      <c r="F204" s="193">
        <f>INDEX('Revised 2017 Lockdown'!H$5:H$249,MATCH(B204,'Revised 2017 Lockdown'!B$5:B$249,0))</f>
        <v>74.174681626699126</v>
      </c>
      <c r="G204" s="193">
        <f t="shared" si="38"/>
        <v>0</v>
      </c>
      <c r="H204" s="194">
        <v>48233.84</v>
      </c>
      <c r="I204" s="194">
        <f>INDEX('Revised 2017 Lockdown'!E$5:E$249,MATCH(B204,'Revised 2017 Lockdown'!B$5:B$249,0))</f>
        <v>48233.84</v>
      </c>
      <c r="J204" s="194">
        <f t="shared" si="39"/>
        <v>0</v>
      </c>
      <c r="K204" s="194">
        <v>0</v>
      </c>
      <c r="L204" s="194">
        <f>INDEX('Revised 2017 Lockdown'!F$5:F$249,MATCH(B204,'Revised 2017 Lockdown'!B$5:B$249,0))</f>
        <v>0</v>
      </c>
      <c r="M204" s="194">
        <f t="shared" si="40"/>
        <v>0</v>
      </c>
      <c r="N204" s="194">
        <f t="shared" si="36"/>
        <v>48233.84</v>
      </c>
      <c r="O204" s="195">
        <f t="shared" si="36"/>
        <v>48233.84</v>
      </c>
      <c r="P204" s="195">
        <f t="shared" si="41"/>
        <v>0</v>
      </c>
      <c r="Q204" s="95">
        <f t="shared" si="42"/>
        <v>650.27363707130837</v>
      </c>
      <c r="R204" s="196">
        <f t="shared" si="37"/>
        <v>650.27363707130837</v>
      </c>
      <c r="S204" s="194">
        <f t="shared" si="43"/>
        <v>48233.839999999989</v>
      </c>
      <c r="T204" s="197">
        <v>0.29391666666666666</v>
      </c>
      <c r="U204" s="195">
        <f t="shared" si="44"/>
        <v>12418.177505456328</v>
      </c>
      <c r="V204" s="195">
        <f t="shared" si="45"/>
        <v>3826.7013177321514</v>
      </c>
      <c r="W204" s="195">
        <f t="shared" si="46"/>
        <v>1094.9728015436117</v>
      </c>
      <c r="X204" s="195">
        <f t="shared" si="47"/>
        <v>721.39743048601792</v>
      </c>
      <c r="Y204" s="195">
        <f t="shared" si="48"/>
        <v>18061.249055218108</v>
      </c>
      <c r="Z204" s="198">
        <f t="shared" si="49"/>
        <v>0.37445181754589957</v>
      </c>
      <c r="AA204" s="199">
        <f t="shared" si="50"/>
        <v>18106.83778748945</v>
      </c>
      <c r="AB204" s="195"/>
      <c r="AC204" s="199">
        <v>17857.825081462815</v>
      </c>
      <c r="AD204" s="194">
        <f t="shared" si="51"/>
        <v>249.01270602663499</v>
      </c>
      <c r="AE204" s="194">
        <v>679.53948747087634</v>
      </c>
      <c r="AF204" s="194">
        <f t="shared" si="52"/>
        <v>-430.52678144424135</v>
      </c>
    </row>
    <row r="205" spans="2:32" s="200" customFormat="1" x14ac:dyDescent="0.25">
      <c r="B205" s="201">
        <v>714</v>
      </c>
      <c r="C205" s="201">
        <v>8</v>
      </c>
      <c r="D205" s="202" t="s">
        <v>241</v>
      </c>
      <c r="E205" s="193">
        <v>47.438691956333841</v>
      </c>
      <c r="F205" s="193">
        <f>INDEX('Revised 2017 Lockdown'!H$5:H$249,MATCH(B205,'Revised 2017 Lockdown'!B$5:B$249,0))</f>
        <v>47.438691956333841</v>
      </c>
      <c r="G205" s="193">
        <f t="shared" si="38"/>
        <v>0</v>
      </c>
      <c r="H205" s="194">
        <v>36713.449999999997</v>
      </c>
      <c r="I205" s="194">
        <f>INDEX('Revised 2017 Lockdown'!E$5:E$249,MATCH(B205,'Revised 2017 Lockdown'!B$5:B$249,0))</f>
        <v>36713.449999999997</v>
      </c>
      <c r="J205" s="194">
        <f t="shared" si="39"/>
        <v>0</v>
      </c>
      <c r="K205" s="194">
        <v>0</v>
      </c>
      <c r="L205" s="194">
        <f>INDEX('Revised 2017 Lockdown'!F$5:F$249,MATCH(B205,'Revised 2017 Lockdown'!B$5:B$249,0))</f>
        <v>0</v>
      </c>
      <c r="M205" s="194">
        <f t="shared" si="40"/>
        <v>0</v>
      </c>
      <c r="N205" s="194">
        <f t="shared" si="36"/>
        <v>36713.449999999997</v>
      </c>
      <c r="O205" s="195">
        <f t="shared" si="36"/>
        <v>36713.449999999997</v>
      </c>
      <c r="P205" s="195">
        <f t="shared" si="41"/>
        <v>0</v>
      </c>
      <c r="Q205" s="95">
        <f t="shared" si="42"/>
        <v>773.91362379455643</v>
      </c>
      <c r="R205" s="196">
        <f t="shared" si="37"/>
        <v>773.91362379455643</v>
      </c>
      <c r="S205" s="194">
        <f t="shared" si="43"/>
        <v>36713.449999999997</v>
      </c>
      <c r="T205" s="197">
        <v>0.29391666666666666</v>
      </c>
      <c r="U205" s="195">
        <f t="shared" si="44"/>
        <v>9452.1634383183191</v>
      </c>
      <c r="V205" s="195">
        <f t="shared" si="45"/>
        <v>2447.3809801355374</v>
      </c>
      <c r="W205" s="195">
        <f t="shared" si="46"/>
        <v>833.44451117371773</v>
      </c>
      <c r="X205" s="195">
        <f t="shared" si="47"/>
        <v>549.09558298233969</v>
      </c>
      <c r="Y205" s="195">
        <f t="shared" si="48"/>
        <v>13282.084512609916</v>
      </c>
      <c r="Z205" s="198">
        <f t="shared" si="49"/>
        <v>0.36177707386829394</v>
      </c>
      <c r="AA205" s="199">
        <f t="shared" si="50"/>
        <v>13315.610067404021</v>
      </c>
      <c r="AB205" s="195"/>
      <c r="AC205" s="199">
        <v>13126.468723510434</v>
      </c>
      <c r="AD205" s="194">
        <f t="shared" si="51"/>
        <v>189.14134389358696</v>
      </c>
      <c r="AE205" s="194">
        <v>187.49297785199633</v>
      </c>
      <c r="AF205" s="194">
        <f t="shared" si="52"/>
        <v>1.6483660415906343</v>
      </c>
    </row>
    <row r="206" spans="2:32" s="200" customFormat="1" x14ac:dyDescent="0.25">
      <c r="B206" s="201">
        <v>749</v>
      </c>
      <c r="C206" s="201">
        <v>8</v>
      </c>
      <c r="D206" s="202" t="s">
        <v>242</v>
      </c>
      <c r="E206" s="193">
        <v>19.847617438557059</v>
      </c>
      <c r="F206" s="193">
        <f>INDEX('Revised 2017 Lockdown'!H$5:H$249,MATCH(B206,'Revised 2017 Lockdown'!B$5:B$249,0))</f>
        <v>19.847617438557059</v>
      </c>
      <c r="G206" s="193">
        <f t="shared" si="38"/>
        <v>0</v>
      </c>
      <c r="H206" s="194">
        <v>8284.82</v>
      </c>
      <c r="I206" s="194">
        <f>INDEX('Revised 2017 Lockdown'!E$5:E$249,MATCH(B206,'Revised 2017 Lockdown'!B$5:B$249,0))</f>
        <v>8284.82</v>
      </c>
      <c r="J206" s="194">
        <f t="shared" si="39"/>
        <v>0</v>
      </c>
      <c r="K206" s="194">
        <v>0</v>
      </c>
      <c r="L206" s="194">
        <f>INDEX('Revised 2017 Lockdown'!F$5:F$249,MATCH(B206,'Revised 2017 Lockdown'!B$5:B$249,0))</f>
        <v>0</v>
      </c>
      <c r="M206" s="194">
        <f t="shared" si="40"/>
        <v>0</v>
      </c>
      <c r="N206" s="194">
        <f t="shared" si="36"/>
        <v>8284.82</v>
      </c>
      <c r="O206" s="195">
        <f t="shared" si="36"/>
        <v>8284.82</v>
      </c>
      <c r="P206" s="195">
        <f t="shared" si="41"/>
        <v>0</v>
      </c>
      <c r="Q206" s="95">
        <f t="shared" si="42"/>
        <v>417.42138700766463</v>
      </c>
      <c r="R206" s="196">
        <f t="shared" si="37"/>
        <v>417.42138700766463</v>
      </c>
      <c r="S206" s="194">
        <f t="shared" si="43"/>
        <v>8284.82</v>
      </c>
      <c r="T206" s="197">
        <v>0.29308333333333336</v>
      </c>
      <c r="U206" s="195">
        <f t="shared" si="44"/>
        <v>2132.9913886340942</v>
      </c>
      <c r="V206" s="195">
        <f t="shared" si="45"/>
        <v>1023.9464752704978</v>
      </c>
      <c r="W206" s="195">
        <f t="shared" si="46"/>
        <v>187.54326784565274</v>
      </c>
      <c r="X206" s="195">
        <f t="shared" si="47"/>
        <v>123.90984960018055</v>
      </c>
      <c r="Y206" s="195">
        <f t="shared" si="48"/>
        <v>3468.3909813504251</v>
      </c>
      <c r="Z206" s="198">
        <f t="shared" si="49"/>
        <v>0.41864409623267917</v>
      </c>
      <c r="AA206" s="199">
        <f t="shared" si="50"/>
        <v>3477.1456110760719</v>
      </c>
      <c r="AB206" s="195"/>
      <c r="AC206" s="199">
        <v>3434.5968222770007</v>
      </c>
      <c r="AD206" s="194">
        <f t="shared" si="51"/>
        <v>42.54878879907119</v>
      </c>
      <c r="AE206" s="194">
        <v>157.8850276746025</v>
      </c>
      <c r="AF206" s="194">
        <f t="shared" si="52"/>
        <v>-115.33623887553131</v>
      </c>
    </row>
    <row r="207" spans="2:32" s="200" customFormat="1" x14ac:dyDescent="0.25">
      <c r="B207" s="201">
        <v>764</v>
      </c>
      <c r="C207" s="201">
        <v>8</v>
      </c>
      <c r="D207" s="202" t="s">
        <v>243</v>
      </c>
      <c r="E207" s="193">
        <v>56.099999999999994</v>
      </c>
      <c r="F207" s="193">
        <f>INDEX('Revised 2017 Lockdown'!H$5:H$249,MATCH(B207,'Revised 2017 Lockdown'!B$5:B$249,0))</f>
        <v>56.099999999999994</v>
      </c>
      <c r="G207" s="193">
        <f t="shared" si="38"/>
        <v>0</v>
      </c>
      <c r="H207" s="194">
        <v>15230.64</v>
      </c>
      <c r="I207" s="194">
        <f>INDEX('Revised 2017 Lockdown'!E$5:E$249,MATCH(B207,'Revised 2017 Lockdown'!B$5:B$249,0))</f>
        <v>15230.64</v>
      </c>
      <c r="J207" s="194">
        <f t="shared" si="39"/>
        <v>0</v>
      </c>
      <c r="K207" s="194">
        <v>0</v>
      </c>
      <c r="L207" s="194">
        <f>INDEX('Revised 2017 Lockdown'!F$5:F$249,MATCH(B207,'Revised 2017 Lockdown'!B$5:B$249,0))</f>
        <v>0</v>
      </c>
      <c r="M207" s="194">
        <f t="shared" si="40"/>
        <v>0</v>
      </c>
      <c r="N207" s="194">
        <f t="shared" si="36"/>
        <v>15230.64</v>
      </c>
      <c r="O207" s="195">
        <f t="shared" si="36"/>
        <v>15230.64</v>
      </c>
      <c r="P207" s="195">
        <f t="shared" si="41"/>
        <v>0</v>
      </c>
      <c r="Q207" s="95">
        <f t="shared" si="42"/>
        <v>271.4909090909091</v>
      </c>
      <c r="R207" s="196">
        <f t="shared" si="37"/>
        <v>271.4909090909091</v>
      </c>
      <c r="S207" s="194">
        <f t="shared" si="43"/>
        <v>15230.64</v>
      </c>
      <c r="T207" s="197">
        <v>0.26525000000000004</v>
      </c>
      <c r="U207" s="195">
        <f t="shared" si="44"/>
        <v>3921.2468060121982</v>
      </c>
      <c r="V207" s="195">
        <f t="shared" si="45"/>
        <v>2894.2213059327851</v>
      </c>
      <c r="W207" s="195">
        <f t="shared" si="46"/>
        <v>312.03321458842072</v>
      </c>
      <c r="X207" s="195">
        <f t="shared" si="47"/>
        <v>227.79327875735305</v>
      </c>
      <c r="Y207" s="195">
        <f t="shared" si="48"/>
        <v>7355.2946052907564</v>
      </c>
      <c r="Z207" s="198">
        <f t="shared" si="49"/>
        <v>0.48292748074215902</v>
      </c>
      <c r="AA207" s="199">
        <f t="shared" si="50"/>
        <v>7373.8602402317438</v>
      </c>
      <c r="AB207" s="195"/>
      <c r="AC207" s="199">
        <v>7295.4263419445133</v>
      </c>
      <c r="AD207" s="194">
        <f t="shared" si="51"/>
        <v>78.433898287230477</v>
      </c>
      <c r="AE207" s="194">
        <v>77.318175832318957</v>
      </c>
      <c r="AF207" s="194">
        <f t="shared" si="52"/>
        <v>1.1157224549115199</v>
      </c>
    </row>
    <row r="208" spans="2:32" s="200" customFormat="1" x14ac:dyDescent="0.25">
      <c r="B208" s="201">
        <v>775</v>
      </c>
      <c r="C208" s="201">
        <v>8</v>
      </c>
      <c r="D208" s="202" t="s">
        <v>244</v>
      </c>
      <c r="E208" s="193">
        <v>224.96988220877736</v>
      </c>
      <c r="F208" s="193">
        <f>INDEX('Revised 2017 Lockdown'!H$5:H$249,MATCH(B208,'Revised 2017 Lockdown'!B$5:B$249,0))</f>
        <v>224.96988220877736</v>
      </c>
      <c r="G208" s="193">
        <f t="shared" si="38"/>
        <v>0</v>
      </c>
      <c r="H208" s="194">
        <v>28443.79</v>
      </c>
      <c r="I208" s="194">
        <f>INDEX('Revised 2017 Lockdown'!E$5:E$249,MATCH(B208,'Revised 2017 Lockdown'!B$5:B$249,0))</f>
        <v>28443.79</v>
      </c>
      <c r="J208" s="194">
        <f t="shared" si="39"/>
        <v>0</v>
      </c>
      <c r="K208" s="194">
        <v>0</v>
      </c>
      <c r="L208" s="194">
        <f>INDEX('Revised 2017 Lockdown'!F$5:F$249,MATCH(B208,'Revised 2017 Lockdown'!B$5:B$249,0))</f>
        <v>0</v>
      </c>
      <c r="M208" s="194">
        <f t="shared" si="40"/>
        <v>0</v>
      </c>
      <c r="N208" s="194">
        <f t="shared" si="36"/>
        <v>28443.79</v>
      </c>
      <c r="O208" s="195">
        <f t="shared" si="36"/>
        <v>28443.79</v>
      </c>
      <c r="P208" s="195">
        <f t="shared" si="41"/>
        <v>0</v>
      </c>
      <c r="Q208" s="95">
        <f t="shared" si="42"/>
        <v>126.43376847041014</v>
      </c>
      <c r="R208" s="196">
        <f t="shared" si="37"/>
        <v>126.43376847041014</v>
      </c>
      <c r="S208" s="194">
        <f t="shared" si="43"/>
        <v>28443.79</v>
      </c>
      <c r="T208" s="197">
        <v>0.68566666666666665</v>
      </c>
      <c r="U208" s="195">
        <f t="shared" si="44"/>
        <v>7323.0751096724571</v>
      </c>
      <c r="V208" s="195">
        <f t="shared" si="45"/>
        <v>11606.28567347295</v>
      </c>
      <c r="W208" s="195">
        <f t="shared" si="46"/>
        <v>1506.3565500596242</v>
      </c>
      <c r="X208" s="195">
        <f t="shared" si="47"/>
        <v>425.41247015132728</v>
      </c>
      <c r="Y208" s="195">
        <f t="shared" si="48"/>
        <v>20861.129803356358</v>
      </c>
      <c r="Z208" s="198">
        <f t="shared" si="49"/>
        <v>0.73341596894634498</v>
      </c>
      <c r="AA208" s="199">
        <f t="shared" si="50"/>
        <v>20913.785766328539</v>
      </c>
      <c r="AB208" s="195"/>
      <c r="AC208" s="199">
        <v>20737.45238965004</v>
      </c>
      <c r="AD208" s="194">
        <f t="shared" si="51"/>
        <v>176.33337667849992</v>
      </c>
      <c r="AE208" s="194">
        <v>172.71124721308297</v>
      </c>
      <c r="AF208" s="194">
        <f t="shared" si="52"/>
        <v>3.6221294654169469</v>
      </c>
    </row>
    <row r="209" spans="2:32" s="200" customFormat="1" x14ac:dyDescent="0.25">
      <c r="B209" s="201">
        <v>790</v>
      </c>
      <c r="C209" s="201">
        <v>8</v>
      </c>
      <c r="D209" s="202" t="s">
        <v>245</v>
      </c>
      <c r="E209" s="193">
        <v>19.904487402564385</v>
      </c>
      <c r="F209" s="193">
        <f>INDEX('Revised 2017 Lockdown'!H$5:H$249,MATCH(B209,'Revised 2017 Lockdown'!B$5:B$249,0))</f>
        <v>19.904487402564385</v>
      </c>
      <c r="G209" s="193">
        <f t="shared" si="38"/>
        <v>0</v>
      </c>
      <c r="H209" s="194">
        <v>11267.83</v>
      </c>
      <c r="I209" s="194">
        <f>INDEX('Revised 2017 Lockdown'!E$5:E$249,MATCH(B209,'Revised 2017 Lockdown'!B$5:B$249,0))</f>
        <v>11267.83</v>
      </c>
      <c r="J209" s="194">
        <f t="shared" si="39"/>
        <v>0</v>
      </c>
      <c r="K209" s="194">
        <v>0</v>
      </c>
      <c r="L209" s="194">
        <f>INDEX('Revised 2017 Lockdown'!F$5:F$249,MATCH(B209,'Revised 2017 Lockdown'!B$5:B$249,0))</f>
        <v>0</v>
      </c>
      <c r="M209" s="194">
        <f t="shared" si="40"/>
        <v>0</v>
      </c>
      <c r="N209" s="194">
        <f t="shared" si="36"/>
        <v>11267.83</v>
      </c>
      <c r="O209" s="195">
        <f t="shared" si="36"/>
        <v>11267.83</v>
      </c>
      <c r="P209" s="195">
        <f t="shared" si="41"/>
        <v>0</v>
      </c>
      <c r="Q209" s="95">
        <f t="shared" si="42"/>
        <v>566.09496000124648</v>
      </c>
      <c r="R209" s="196">
        <f t="shared" si="37"/>
        <v>566.09496000124648</v>
      </c>
      <c r="S209" s="194">
        <f t="shared" si="43"/>
        <v>11267.83</v>
      </c>
      <c r="T209" s="197">
        <v>0.23725000000000002</v>
      </c>
      <c r="U209" s="195">
        <f t="shared" si="44"/>
        <v>2900.990529497672</v>
      </c>
      <c r="V209" s="195">
        <f t="shared" si="45"/>
        <v>1026.8804193257142</v>
      </c>
      <c r="W209" s="195">
        <f t="shared" si="46"/>
        <v>206.47800093699681</v>
      </c>
      <c r="X209" s="195">
        <f t="shared" si="47"/>
        <v>168.52449668434585</v>
      </c>
      <c r="Y209" s="195">
        <f t="shared" si="48"/>
        <v>4302.8734464447289</v>
      </c>
      <c r="Z209" s="198">
        <f t="shared" si="49"/>
        <v>0.38187241433751917</v>
      </c>
      <c r="AA209" s="199">
        <f t="shared" si="50"/>
        <v>4313.7344087706297</v>
      </c>
      <c r="AB209" s="195"/>
      <c r="AC209" s="199">
        <v>4257.2811664790725</v>
      </c>
      <c r="AD209" s="194">
        <f t="shared" si="51"/>
        <v>56.453242291557217</v>
      </c>
      <c r="AE209" s="194">
        <v>55.888799539215142</v>
      </c>
      <c r="AF209" s="194">
        <f t="shared" si="52"/>
        <v>0.56444275234207453</v>
      </c>
    </row>
    <row r="210" spans="2:32" s="200" customFormat="1" x14ac:dyDescent="0.25">
      <c r="B210" s="201">
        <v>795</v>
      </c>
      <c r="C210" s="201">
        <v>8</v>
      </c>
      <c r="D210" s="202" t="s">
        <v>364</v>
      </c>
      <c r="E210" s="193">
        <v>54.951852431979624</v>
      </c>
      <c r="F210" s="193">
        <f>INDEX('Revised 2017 Lockdown'!H$5:H$249,MATCH(B210,'Revised 2017 Lockdown'!B$5:B$249,0))</f>
        <v>54.951852431979624</v>
      </c>
      <c r="G210" s="193">
        <f t="shared" si="38"/>
        <v>0</v>
      </c>
      <c r="H210" s="194">
        <v>115302.87</v>
      </c>
      <c r="I210" s="194">
        <f>INDEX('Revised 2017 Lockdown'!E$5:E$249,MATCH(B210,'Revised 2017 Lockdown'!B$5:B$249,0))</f>
        <v>115302.87</v>
      </c>
      <c r="J210" s="194">
        <f t="shared" si="39"/>
        <v>0</v>
      </c>
      <c r="K210" s="194">
        <v>44679.360000000001</v>
      </c>
      <c r="L210" s="194">
        <f>INDEX('Revised 2017 Lockdown'!F$5:F$249,MATCH(B210,'Revised 2017 Lockdown'!B$5:B$249,0))</f>
        <v>44679.360000000001</v>
      </c>
      <c r="M210" s="194">
        <f t="shared" si="40"/>
        <v>0</v>
      </c>
      <c r="N210" s="194">
        <f t="shared" si="36"/>
        <v>70623.509999999995</v>
      </c>
      <c r="O210" s="195">
        <f t="shared" si="36"/>
        <v>70623.509999999995</v>
      </c>
      <c r="P210" s="195">
        <f t="shared" si="41"/>
        <v>0</v>
      </c>
      <c r="Q210" s="95">
        <f t="shared" si="42"/>
        <v>1285.1888858054244</v>
      </c>
      <c r="R210" s="196">
        <f t="shared" si="37"/>
        <v>1285.1888858054244</v>
      </c>
      <c r="S210" s="194">
        <f t="shared" si="43"/>
        <v>70623.509999999995</v>
      </c>
      <c r="T210" s="197">
        <v>0.41816666666666669</v>
      </c>
      <c r="U210" s="195">
        <f t="shared" si="44"/>
        <v>18182.572302731238</v>
      </c>
      <c r="V210" s="195">
        <f t="shared" si="45"/>
        <v>2834.987916383418</v>
      </c>
      <c r="W210" s="195">
        <f t="shared" si="46"/>
        <v>2281.0036953776334</v>
      </c>
      <c r="X210" s="195">
        <f t="shared" si="47"/>
        <v>1056.2629607326223</v>
      </c>
      <c r="Y210" s="195">
        <f t="shared" si="48"/>
        <v>24354.826875224913</v>
      </c>
      <c r="Z210" s="198">
        <f t="shared" si="49"/>
        <v>0.34485438170978638</v>
      </c>
      <c r="AA210" s="199">
        <f t="shared" si="50"/>
        <v>24416.301343493138</v>
      </c>
      <c r="AB210" s="195"/>
      <c r="AC210" s="199">
        <v>24046.001614964069</v>
      </c>
      <c r="AD210" s="194">
        <f t="shared" si="51"/>
        <v>370.2997285290694</v>
      </c>
      <c r="AE210" s="194">
        <v>367.48901428843601</v>
      </c>
      <c r="AF210" s="194">
        <f t="shared" si="52"/>
        <v>2.8107142406333878</v>
      </c>
    </row>
    <row r="211" spans="2:32" s="200" customFormat="1" x14ac:dyDescent="0.25">
      <c r="B211" s="201">
        <v>796</v>
      </c>
      <c r="C211" s="201">
        <v>8</v>
      </c>
      <c r="D211" s="202" t="s">
        <v>246</v>
      </c>
      <c r="E211" s="193">
        <v>19.498273373940624</v>
      </c>
      <c r="F211" s="193">
        <f>INDEX('Revised 2017 Lockdown'!H$5:H$249,MATCH(B211,'Revised 2017 Lockdown'!B$5:B$249,0))</f>
        <v>19.498273373940624</v>
      </c>
      <c r="G211" s="193">
        <f t="shared" si="38"/>
        <v>0</v>
      </c>
      <c r="H211" s="194">
        <v>19373.02</v>
      </c>
      <c r="I211" s="194">
        <f>INDEX('Revised 2017 Lockdown'!E$5:E$249,MATCH(B211,'Revised 2017 Lockdown'!B$5:B$249,0))</f>
        <v>19373.02</v>
      </c>
      <c r="J211" s="194">
        <f t="shared" si="39"/>
        <v>0</v>
      </c>
      <c r="K211" s="194">
        <v>0</v>
      </c>
      <c r="L211" s="194">
        <f>INDEX('Revised 2017 Lockdown'!F$5:F$249,MATCH(B211,'Revised 2017 Lockdown'!B$5:B$249,0))</f>
        <v>0</v>
      </c>
      <c r="M211" s="194">
        <f t="shared" si="40"/>
        <v>0</v>
      </c>
      <c r="N211" s="194">
        <f t="shared" si="36"/>
        <v>19373.02</v>
      </c>
      <c r="O211" s="195">
        <f t="shared" si="36"/>
        <v>19373.02</v>
      </c>
      <c r="P211" s="195">
        <f t="shared" si="41"/>
        <v>0</v>
      </c>
      <c r="Q211" s="95">
        <f t="shared" si="42"/>
        <v>993.57618125777105</v>
      </c>
      <c r="R211" s="196">
        <f t="shared" si="37"/>
        <v>993.57618125777105</v>
      </c>
      <c r="S211" s="194">
        <f t="shared" si="43"/>
        <v>19373.02</v>
      </c>
      <c r="T211" s="197">
        <v>0.27191666666666664</v>
      </c>
      <c r="U211" s="195">
        <f t="shared" si="44"/>
        <v>4987.7347765957593</v>
      </c>
      <c r="V211" s="195">
        <f t="shared" si="45"/>
        <v>1005.9236760741691</v>
      </c>
      <c r="W211" s="195">
        <f t="shared" si="46"/>
        <v>406.87446440079901</v>
      </c>
      <c r="X211" s="195">
        <f t="shared" si="47"/>
        <v>289.74775486990541</v>
      </c>
      <c r="Y211" s="195">
        <f t="shared" si="48"/>
        <v>6690.2806719406326</v>
      </c>
      <c r="Z211" s="198">
        <f t="shared" si="49"/>
        <v>0.34534010040461594</v>
      </c>
      <c r="AA211" s="199">
        <f t="shared" si="50"/>
        <v>6707.1677329318609</v>
      </c>
      <c r="AB211" s="195"/>
      <c r="AC211" s="199">
        <v>6609.9101072409821</v>
      </c>
      <c r="AD211" s="194">
        <f t="shared" si="51"/>
        <v>97.25762569087874</v>
      </c>
      <c r="AE211" s="194">
        <v>96.457597709410948</v>
      </c>
      <c r="AF211" s="194">
        <f t="shared" si="52"/>
        <v>0.80002798146779242</v>
      </c>
    </row>
    <row r="212" spans="2:32" s="200" customFormat="1" x14ac:dyDescent="0.25">
      <c r="B212" s="201">
        <v>797</v>
      </c>
      <c r="C212" s="201">
        <v>8</v>
      </c>
      <c r="D212" s="202" t="s">
        <v>247</v>
      </c>
      <c r="E212" s="193">
        <v>30.721683870330171</v>
      </c>
      <c r="F212" s="193">
        <f>INDEX('Revised 2017 Lockdown'!H$5:H$249,MATCH(B212,'Revised 2017 Lockdown'!B$5:B$249,0))</f>
        <v>30.721683870330171</v>
      </c>
      <c r="G212" s="193">
        <f t="shared" si="38"/>
        <v>0</v>
      </c>
      <c r="H212" s="194">
        <v>30616.75</v>
      </c>
      <c r="I212" s="194">
        <f>INDEX('Revised 2017 Lockdown'!E$5:E$249,MATCH(B212,'Revised 2017 Lockdown'!B$5:B$249,0))</f>
        <v>30616.75</v>
      </c>
      <c r="J212" s="194">
        <f t="shared" si="39"/>
        <v>0</v>
      </c>
      <c r="K212" s="194">
        <v>980</v>
      </c>
      <c r="L212" s="194">
        <f>INDEX('Revised 2017 Lockdown'!F$5:F$249,MATCH(B212,'Revised 2017 Lockdown'!B$5:B$249,0))</f>
        <v>980</v>
      </c>
      <c r="M212" s="194">
        <f t="shared" si="40"/>
        <v>0</v>
      </c>
      <c r="N212" s="194">
        <f t="shared" si="36"/>
        <v>29636.75</v>
      </c>
      <c r="O212" s="195">
        <f t="shared" si="36"/>
        <v>29636.75</v>
      </c>
      <c r="P212" s="195">
        <f t="shared" si="41"/>
        <v>0</v>
      </c>
      <c r="Q212" s="95">
        <f t="shared" si="42"/>
        <v>964.68507797588666</v>
      </c>
      <c r="R212" s="196">
        <f t="shared" si="37"/>
        <v>964.68507797588666</v>
      </c>
      <c r="S212" s="194">
        <f t="shared" si="43"/>
        <v>29636.75</v>
      </c>
      <c r="T212" s="197">
        <v>0.16075</v>
      </c>
      <c r="U212" s="195">
        <f t="shared" si="44"/>
        <v>7630.2119463188692</v>
      </c>
      <c r="V212" s="195">
        <f t="shared" si="45"/>
        <v>1584.943886125511</v>
      </c>
      <c r="W212" s="195">
        <f t="shared" si="46"/>
        <v>367.96697111122745</v>
      </c>
      <c r="X212" s="195">
        <f t="shared" si="47"/>
        <v>443.25467965968494</v>
      </c>
      <c r="Y212" s="195">
        <f t="shared" si="48"/>
        <v>10026.377483215292</v>
      </c>
      <c r="Z212" s="198">
        <f t="shared" si="49"/>
        <v>0.3383089401913264</v>
      </c>
      <c r="AA212" s="199">
        <f t="shared" si="50"/>
        <v>10051.685247774447</v>
      </c>
      <c r="AB212" s="195"/>
      <c r="AC212" s="199">
        <v>9907.5233045247332</v>
      </c>
      <c r="AD212" s="194">
        <f t="shared" si="51"/>
        <v>144.16194324971366</v>
      </c>
      <c r="AE212" s="194">
        <v>142.95517567675597</v>
      </c>
      <c r="AF212" s="194">
        <f t="shared" si="52"/>
        <v>1.2067675729576877</v>
      </c>
    </row>
    <row r="213" spans="2:32" s="200" customFormat="1" x14ac:dyDescent="0.25">
      <c r="B213" s="201">
        <v>801</v>
      </c>
      <c r="C213" s="201">
        <v>8</v>
      </c>
      <c r="D213" s="202" t="s">
        <v>248</v>
      </c>
      <c r="E213" s="193">
        <v>143.04840559045437</v>
      </c>
      <c r="F213" s="193">
        <f>INDEX('Revised 2017 Lockdown'!H$5:H$249,MATCH(B213,'Revised 2017 Lockdown'!B$5:B$249,0))</f>
        <v>143.04840559045437</v>
      </c>
      <c r="G213" s="193">
        <f t="shared" si="38"/>
        <v>0</v>
      </c>
      <c r="H213" s="194">
        <v>96218.880000000005</v>
      </c>
      <c r="I213" s="194">
        <f>INDEX('Revised 2017 Lockdown'!E$5:E$249,MATCH(B213,'Revised 2017 Lockdown'!B$5:B$249,0))</f>
        <v>96218.880000000005</v>
      </c>
      <c r="J213" s="194">
        <f t="shared" si="39"/>
        <v>0</v>
      </c>
      <c r="K213" s="194">
        <v>0</v>
      </c>
      <c r="L213" s="194">
        <f>INDEX('Revised 2017 Lockdown'!F$5:F$249,MATCH(B213,'Revised 2017 Lockdown'!B$5:B$249,0))</f>
        <v>0</v>
      </c>
      <c r="M213" s="194">
        <f t="shared" si="40"/>
        <v>0</v>
      </c>
      <c r="N213" s="194">
        <f t="shared" si="36"/>
        <v>96218.880000000005</v>
      </c>
      <c r="O213" s="195">
        <f t="shared" si="36"/>
        <v>96218.880000000005</v>
      </c>
      <c r="P213" s="195">
        <f t="shared" si="41"/>
        <v>0</v>
      </c>
      <c r="Q213" s="95">
        <f t="shared" si="42"/>
        <v>672.63161447233006</v>
      </c>
      <c r="R213" s="196">
        <f t="shared" si="37"/>
        <v>672.63161447233006</v>
      </c>
      <c r="S213" s="194">
        <f t="shared" si="43"/>
        <v>96218.880000000005</v>
      </c>
      <c r="T213" s="197">
        <v>0.63675000000000004</v>
      </c>
      <c r="U213" s="195">
        <f t="shared" si="44"/>
        <v>24772.299514535895</v>
      </c>
      <c r="V213" s="195">
        <f t="shared" si="45"/>
        <v>7379.9241219181386</v>
      </c>
      <c r="W213" s="195">
        <f t="shared" si="46"/>
        <v>4732.1285147642193</v>
      </c>
      <c r="X213" s="195">
        <f t="shared" si="47"/>
        <v>1439.0737456574577</v>
      </c>
      <c r="Y213" s="195">
        <f t="shared" si="48"/>
        <v>38323.425896875706</v>
      </c>
      <c r="Z213" s="198">
        <f t="shared" si="49"/>
        <v>0.39829424222019322</v>
      </c>
      <c r="AA213" s="199">
        <f t="shared" si="50"/>
        <v>38420.158763887943</v>
      </c>
      <c r="AB213" s="195"/>
      <c r="AC213" s="199">
        <v>37859.513145210607</v>
      </c>
      <c r="AD213" s="194">
        <f t="shared" si="51"/>
        <v>560.64561867733573</v>
      </c>
      <c r="AE213" s="194">
        <v>555.82337365089188</v>
      </c>
      <c r="AF213" s="194">
        <f t="shared" si="52"/>
        <v>4.8222450264438521</v>
      </c>
    </row>
    <row r="214" spans="2:32" s="200" customFormat="1" x14ac:dyDescent="0.25">
      <c r="B214" s="201">
        <v>810</v>
      </c>
      <c r="C214" s="201">
        <v>8</v>
      </c>
      <c r="D214" s="202" t="s">
        <v>249</v>
      </c>
      <c r="E214" s="193">
        <v>125.74000000000001</v>
      </c>
      <c r="F214" s="193">
        <f>INDEX('Revised 2017 Lockdown'!H$5:H$249,MATCH(B214,'Revised 2017 Lockdown'!B$5:B$249,0))</f>
        <v>125.74000000000001</v>
      </c>
      <c r="G214" s="193">
        <f t="shared" si="38"/>
        <v>0</v>
      </c>
      <c r="H214" s="194">
        <v>111927.06</v>
      </c>
      <c r="I214" s="194">
        <f>INDEX('Revised 2017 Lockdown'!E$5:E$249,MATCH(B214,'Revised 2017 Lockdown'!B$5:B$249,0))</f>
        <v>111927.06</v>
      </c>
      <c r="J214" s="194">
        <f t="shared" si="39"/>
        <v>0</v>
      </c>
      <c r="K214" s="194">
        <v>0</v>
      </c>
      <c r="L214" s="194">
        <f>INDEX('Revised 2017 Lockdown'!F$5:F$249,MATCH(B214,'Revised 2017 Lockdown'!B$5:B$249,0))</f>
        <v>0</v>
      </c>
      <c r="M214" s="194">
        <f t="shared" si="40"/>
        <v>0</v>
      </c>
      <c r="N214" s="194">
        <f t="shared" si="36"/>
        <v>111927.06</v>
      </c>
      <c r="O214" s="195">
        <f t="shared" si="36"/>
        <v>111927.06</v>
      </c>
      <c r="P214" s="195">
        <f t="shared" si="41"/>
        <v>0</v>
      </c>
      <c r="Q214" s="95">
        <f t="shared" si="42"/>
        <v>890.14681087959275</v>
      </c>
      <c r="R214" s="196">
        <f t="shared" si="37"/>
        <v>890.14681087959275</v>
      </c>
      <c r="S214" s="194">
        <f t="shared" si="43"/>
        <v>111927.06</v>
      </c>
      <c r="T214" s="197">
        <v>0.64875000000000005</v>
      </c>
      <c r="U214" s="195">
        <f t="shared" si="44"/>
        <v>28816.492710177357</v>
      </c>
      <c r="V214" s="195">
        <f t="shared" si="45"/>
        <v>6486.9765955078155</v>
      </c>
      <c r="W214" s="195">
        <f t="shared" si="46"/>
        <v>5608.409893718268</v>
      </c>
      <c r="X214" s="195">
        <f t="shared" si="47"/>
        <v>1674.009232643604</v>
      </c>
      <c r="Y214" s="195">
        <f t="shared" si="48"/>
        <v>42585.888432047046</v>
      </c>
      <c r="Z214" s="198">
        <f t="shared" si="49"/>
        <v>0.38047893362022595</v>
      </c>
      <c r="AA214" s="199">
        <f t="shared" si="50"/>
        <v>42693.380259457779</v>
      </c>
      <c r="AB214" s="195"/>
      <c r="AC214" s="199">
        <v>42057.222125864122</v>
      </c>
      <c r="AD214" s="194">
        <f t="shared" si="51"/>
        <v>636.15813359365711</v>
      </c>
      <c r="AE214" s="194">
        <v>631.02361242751795</v>
      </c>
      <c r="AF214" s="194">
        <f t="shared" si="52"/>
        <v>5.1345211661391659</v>
      </c>
    </row>
    <row r="215" spans="2:32" s="200" customFormat="1" x14ac:dyDescent="0.25">
      <c r="B215" s="201">
        <v>812</v>
      </c>
      <c r="C215" s="201">
        <v>8</v>
      </c>
      <c r="D215" s="202" t="s">
        <v>250</v>
      </c>
      <c r="E215" s="193">
        <v>55.821931813477519</v>
      </c>
      <c r="F215" s="193">
        <f>INDEX('Revised 2017 Lockdown'!H$5:H$249,MATCH(B215,'Revised 2017 Lockdown'!B$5:B$249,0))</f>
        <v>55.821931813477519</v>
      </c>
      <c r="G215" s="193">
        <f t="shared" si="38"/>
        <v>0</v>
      </c>
      <c r="H215" s="194">
        <v>82675.56</v>
      </c>
      <c r="I215" s="194">
        <f>INDEX('Revised 2017 Lockdown'!E$5:E$249,MATCH(B215,'Revised 2017 Lockdown'!B$5:B$249,0))</f>
        <v>82675.56</v>
      </c>
      <c r="J215" s="194">
        <f t="shared" si="39"/>
        <v>0</v>
      </c>
      <c r="K215" s="194">
        <v>265.60000000000002</v>
      </c>
      <c r="L215" s="194">
        <f>INDEX('Revised 2017 Lockdown'!F$5:F$249,MATCH(B215,'Revised 2017 Lockdown'!B$5:B$249,0))</f>
        <v>265.60000000000002</v>
      </c>
      <c r="M215" s="194">
        <f t="shared" si="40"/>
        <v>0</v>
      </c>
      <c r="N215" s="194">
        <f t="shared" si="36"/>
        <v>82409.959999999992</v>
      </c>
      <c r="O215" s="195">
        <f t="shared" si="36"/>
        <v>82409.959999999992</v>
      </c>
      <c r="P215" s="195">
        <f t="shared" si="41"/>
        <v>0</v>
      </c>
      <c r="Q215" s="95">
        <f t="shared" si="42"/>
        <v>1476.3007535347087</v>
      </c>
      <c r="R215" s="196">
        <f t="shared" si="37"/>
        <v>1476.3007535347087</v>
      </c>
      <c r="S215" s="194">
        <f t="shared" si="43"/>
        <v>82409.959999999992</v>
      </c>
      <c r="T215" s="197">
        <v>0.58304166666666668</v>
      </c>
      <c r="U215" s="195">
        <f t="shared" si="44"/>
        <v>21217.085587578262</v>
      </c>
      <c r="V215" s="195">
        <f t="shared" si="45"/>
        <v>2879.8756576273404</v>
      </c>
      <c r="W215" s="195">
        <f t="shared" si="46"/>
        <v>3711.1334828372828</v>
      </c>
      <c r="X215" s="195">
        <f t="shared" si="47"/>
        <v>1232.5440684477023</v>
      </c>
      <c r="Y215" s="195">
        <f t="shared" si="48"/>
        <v>29040.638796490588</v>
      </c>
      <c r="Z215" s="198">
        <f t="shared" si="49"/>
        <v>0.35239234185395296</v>
      </c>
      <c r="AA215" s="199">
        <f t="shared" si="50"/>
        <v>29113.940809160606</v>
      </c>
      <c r="AB215" s="195"/>
      <c r="AC215" s="199">
        <v>28652.964367306464</v>
      </c>
      <c r="AD215" s="194">
        <f t="shared" si="51"/>
        <v>460.97644185414174</v>
      </c>
      <c r="AE215" s="194">
        <v>457.68129106700144</v>
      </c>
      <c r="AF215" s="194">
        <f t="shared" si="52"/>
        <v>3.295150787140301</v>
      </c>
    </row>
    <row r="216" spans="2:32" s="200" customFormat="1" x14ac:dyDescent="0.25">
      <c r="B216" s="201">
        <v>818</v>
      </c>
      <c r="C216" s="201">
        <v>8</v>
      </c>
      <c r="D216" s="202" t="s">
        <v>251</v>
      </c>
      <c r="E216" s="193">
        <v>40.59703002065887</v>
      </c>
      <c r="F216" s="193">
        <f>INDEX('Revised 2017 Lockdown'!H$5:H$249,MATCH(B216,'Revised 2017 Lockdown'!B$5:B$249,0))</f>
        <v>40.59703002065887</v>
      </c>
      <c r="G216" s="193">
        <f t="shared" si="38"/>
        <v>0</v>
      </c>
      <c r="H216" s="194">
        <v>18460.29</v>
      </c>
      <c r="I216" s="194">
        <f>INDEX('Revised 2017 Lockdown'!E$5:E$249,MATCH(B216,'Revised 2017 Lockdown'!B$5:B$249,0))</f>
        <v>18460.29</v>
      </c>
      <c r="J216" s="194">
        <f t="shared" si="39"/>
        <v>0</v>
      </c>
      <c r="K216" s="194">
        <v>0</v>
      </c>
      <c r="L216" s="194">
        <f>INDEX('Revised 2017 Lockdown'!F$5:F$249,MATCH(B216,'Revised 2017 Lockdown'!B$5:B$249,0))</f>
        <v>0</v>
      </c>
      <c r="M216" s="194">
        <f t="shared" si="40"/>
        <v>0</v>
      </c>
      <c r="N216" s="194">
        <f t="shared" si="36"/>
        <v>18460.29</v>
      </c>
      <c r="O216" s="195">
        <f t="shared" si="36"/>
        <v>18460.29</v>
      </c>
      <c r="P216" s="195">
        <f t="shared" si="41"/>
        <v>0</v>
      </c>
      <c r="Q216" s="95">
        <f t="shared" si="42"/>
        <v>454.72020959676104</v>
      </c>
      <c r="R216" s="196">
        <f t="shared" si="37"/>
        <v>454.72020959676104</v>
      </c>
      <c r="S216" s="194">
        <f t="shared" si="43"/>
        <v>18460.29</v>
      </c>
      <c r="T216" s="197">
        <v>0.23033333333333333</v>
      </c>
      <c r="U216" s="195">
        <f t="shared" si="44"/>
        <v>4752.7453344415553</v>
      </c>
      <c r="V216" s="195">
        <f t="shared" si="45"/>
        <v>2094.4169205594258</v>
      </c>
      <c r="W216" s="195">
        <f t="shared" si="46"/>
        <v>328.41470260991144</v>
      </c>
      <c r="X216" s="195">
        <f t="shared" si="47"/>
        <v>276.09673565336567</v>
      </c>
      <c r="Y216" s="195">
        <f t="shared" si="48"/>
        <v>7451.6736932642589</v>
      </c>
      <c r="Z216" s="198">
        <f t="shared" si="49"/>
        <v>0.40365962253378784</v>
      </c>
      <c r="AA216" s="199">
        <f t="shared" si="50"/>
        <v>7470.4826004410006</v>
      </c>
      <c r="AB216" s="195"/>
      <c r="AC216" s="199">
        <v>7377.7803419617485</v>
      </c>
      <c r="AD216" s="194">
        <f t="shared" si="51"/>
        <v>92.702258479252123</v>
      </c>
      <c r="AE216" s="194">
        <v>91.683073609007806</v>
      </c>
      <c r="AF216" s="194">
        <f t="shared" si="52"/>
        <v>1.0191848702443167</v>
      </c>
    </row>
    <row r="217" spans="2:32" s="200" customFormat="1" x14ac:dyDescent="0.25">
      <c r="B217" s="201">
        <v>833</v>
      </c>
      <c r="C217" s="201">
        <v>8</v>
      </c>
      <c r="D217" s="202" t="s">
        <v>252</v>
      </c>
      <c r="E217" s="193">
        <v>72.202285870646477</v>
      </c>
      <c r="F217" s="193">
        <f>INDEX('Revised 2017 Lockdown'!H$5:H$249,MATCH(B217,'Revised 2017 Lockdown'!B$5:B$249,0))</f>
        <v>72.202285870646477</v>
      </c>
      <c r="G217" s="193">
        <f t="shared" si="38"/>
        <v>0</v>
      </c>
      <c r="H217" s="194">
        <v>52482.54</v>
      </c>
      <c r="I217" s="194">
        <f>INDEX('Revised 2017 Lockdown'!E$5:E$249,MATCH(B217,'Revised 2017 Lockdown'!B$5:B$249,0))</f>
        <v>37925.160000000003</v>
      </c>
      <c r="J217" s="194">
        <f t="shared" si="39"/>
        <v>-14557.379999999997</v>
      </c>
      <c r="K217" s="194">
        <v>0</v>
      </c>
      <c r="L217" s="194">
        <f>INDEX('Revised 2017 Lockdown'!F$5:F$249,MATCH(B217,'Revised 2017 Lockdown'!B$5:B$249,0))</f>
        <v>0</v>
      </c>
      <c r="M217" s="194">
        <f t="shared" si="40"/>
        <v>0</v>
      </c>
      <c r="N217" s="194">
        <f t="shared" ref="N217:O268" si="53">H217-K217</f>
        <v>52482.54</v>
      </c>
      <c r="O217" s="195">
        <f t="shared" si="53"/>
        <v>37925.160000000003</v>
      </c>
      <c r="P217" s="195">
        <f t="shared" si="41"/>
        <v>-14557.379999999997</v>
      </c>
      <c r="Q217" s="95">
        <f t="shared" si="42"/>
        <v>525.26259442733669</v>
      </c>
      <c r="R217" s="196">
        <f t="shared" ref="R217:R268" si="54">MIN(Q217,INDEX($V$3:$V$11,MATCH(C217,$S$3:$S$11,0)))</f>
        <v>525.26259442733669</v>
      </c>
      <c r="S217" s="194">
        <f t="shared" si="43"/>
        <v>37925.160000000003</v>
      </c>
      <c r="T217" s="197">
        <v>0.46533333333333338</v>
      </c>
      <c r="U217" s="195">
        <f t="shared" si="44"/>
        <v>9764.1276083934481</v>
      </c>
      <c r="V217" s="195">
        <f t="shared" si="45"/>
        <v>3724.9446364327046</v>
      </c>
      <c r="W217" s="195">
        <f t="shared" si="46"/>
        <v>1363.0722141317256</v>
      </c>
      <c r="X217" s="195">
        <f t="shared" si="47"/>
        <v>567.21822220190461</v>
      </c>
      <c r="Y217" s="195">
        <f t="shared" si="48"/>
        <v>15419.362681159782</v>
      </c>
      <c r="Z217" s="198">
        <f t="shared" si="49"/>
        <v>0.40657343782227368</v>
      </c>
      <c r="AA217" s="199">
        <f t="shared" si="50"/>
        <v>15458.282979247528</v>
      </c>
      <c r="AB217" s="195"/>
      <c r="AC217" s="199">
        <v>19675.015289179435</v>
      </c>
      <c r="AD217" s="194">
        <f t="shared" si="51"/>
        <v>-4216.7323099319074</v>
      </c>
      <c r="AE217" s="194">
        <v>280.95627295970917</v>
      </c>
      <c r="AF217" s="194">
        <f t="shared" si="52"/>
        <v>-4497.6885828916165</v>
      </c>
    </row>
    <row r="218" spans="2:32" s="200" customFormat="1" x14ac:dyDescent="0.25">
      <c r="B218" s="201">
        <v>834</v>
      </c>
      <c r="C218" s="201">
        <v>8</v>
      </c>
      <c r="D218" s="202" t="s">
        <v>253</v>
      </c>
      <c r="E218" s="193">
        <v>109.27</v>
      </c>
      <c r="F218" s="193">
        <f>INDEX('Revised 2017 Lockdown'!H$5:H$249,MATCH(B218,'Revised 2017 Lockdown'!B$5:B$249,0))</f>
        <v>109.27</v>
      </c>
      <c r="G218" s="193">
        <f t="shared" ref="G218:G268" si="55">F218-E218</f>
        <v>0</v>
      </c>
      <c r="H218" s="194">
        <v>49019.92</v>
      </c>
      <c r="I218" s="194">
        <f>INDEX('Revised 2017 Lockdown'!E$5:E$249,MATCH(B218,'Revised 2017 Lockdown'!B$5:B$249,0))</f>
        <v>49019.92</v>
      </c>
      <c r="J218" s="194">
        <f t="shared" ref="J218:J268" si="56">I218-H218</f>
        <v>0</v>
      </c>
      <c r="K218" s="194">
        <v>7882.9</v>
      </c>
      <c r="L218" s="194">
        <f>INDEX('Revised 2017 Lockdown'!F$5:F$249,MATCH(B218,'Revised 2017 Lockdown'!B$5:B$249,0))</f>
        <v>7882.9</v>
      </c>
      <c r="M218" s="194">
        <f t="shared" ref="M218:M268" si="57">L218-K218</f>
        <v>0</v>
      </c>
      <c r="N218" s="194">
        <f t="shared" si="53"/>
        <v>41137.019999999997</v>
      </c>
      <c r="O218" s="195">
        <f t="shared" si="53"/>
        <v>41137.019999999997</v>
      </c>
      <c r="P218" s="195">
        <f t="shared" ref="P218:P268" si="58">O218-N218</f>
        <v>0</v>
      </c>
      <c r="Q218" s="95">
        <f t="shared" ref="Q218:Q268" si="59">IFERROR(O218/F218,"n.a.")</f>
        <v>376.4713096000732</v>
      </c>
      <c r="R218" s="196">
        <f t="shared" si="54"/>
        <v>376.4713096000732</v>
      </c>
      <c r="S218" s="194">
        <f t="shared" ref="S218:S268" si="60">F218*R218</f>
        <v>41137.019999999997</v>
      </c>
      <c r="T218" s="197">
        <v>0.73249999999999993</v>
      </c>
      <c r="U218" s="195">
        <f t="shared" ref="U218:U268" si="61">$E$14*(S218/$S$24)</f>
        <v>10591.045962865639</v>
      </c>
      <c r="V218" s="195">
        <f t="shared" ref="V218:V268" si="62">$E$15*(F218/$F$24)</f>
        <v>5637.2827468676542</v>
      </c>
      <c r="W218" s="195">
        <f t="shared" ref="W218:W268" si="63">IFERROR(T218*$E$16*(S218/$S$24),0)</f>
        <v>2327.3823503397239</v>
      </c>
      <c r="X218" s="195">
        <f t="shared" ref="X218:X268" si="64">($W$23+$E$9)*(S218/$S$24)</f>
        <v>615.25560738792376</v>
      </c>
      <c r="Y218" s="195">
        <f t="shared" ref="Y218:Y268" si="65">U218+V218+W218+X218</f>
        <v>19170.966667460943</v>
      </c>
      <c r="Z218" s="198">
        <f t="shared" ref="Z218:Z268" si="66">IFERROR((Y218/S218),0)</f>
        <v>0.4660271129863307</v>
      </c>
      <c r="AA218" s="199">
        <f t="shared" ref="AA218:AA268" si="67">IF(Z218&gt;$Z$19,$Z$19*S218,Y218+($Z$23*Y218/$Z$22))</f>
        <v>19219.356458450133</v>
      </c>
      <c r="AB218" s="195"/>
      <c r="AC218" s="199">
        <v>18976.730695386286</v>
      </c>
      <c r="AD218" s="194">
        <f t="shared" si="51"/>
        <v>242.62576306384653</v>
      </c>
      <c r="AE218" s="194">
        <v>239.95544019239605</v>
      </c>
      <c r="AF218" s="194">
        <f t="shared" si="52"/>
        <v>2.6703228714504803</v>
      </c>
    </row>
    <row r="219" spans="2:32" s="200" customFormat="1" x14ac:dyDescent="0.25">
      <c r="B219" s="201">
        <v>837</v>
      </c>
      <c r="C219" s="201">
        <v>8</v>
      </c>
      <c r="D219" s="202" t="s">
        <v>254</v>
      </c>
      <c r="E219" s="193">
        <v>177.75</v>
      </c>
      <c r="F219" s="193">
        <f>INDEX('Revised 2017 Lockdown'!H$5:H$249,MATCH(B219,'Revised 2017 Lockdown'!B$5:B$249,0))</f>
        <v>177.75</v>
      </c>
      <c r="G219" s="193">
        <f t="shared" si="55"/>
        <v>0</v>
      </c>
      <c r="H219" s="194">
        <v>97723.08</v>
      </c>
      <c r="I219" s="194">
        <f>INDEX('Revised 2017 Lockdown'!E$5:E$249,MATCH(B219,'Revised 2017 Lockdown'!B$5:B$249,0))</f>
        <v>97723.08</v>
      </c>
      <c r="J219" s="194">
        <f t="shared" si="56"/>
        <v>0</v>
      </c>
      <c r="K219" s="194">
        <v>0</v>
      </c>
      <c r="L219" s="194">
        <f>INDEX('Revised 2017 Lockdown'!F$5:F$249,MATCH(B219,'Revised 2017 Lockdown'!B$5:B$249,0))</f>
        <v>0</v>
      </c>
      <c r="M219" s="194">
        <f t="shared" si="57"/>
        <v>0</v>
      </c>
      <c r="N219" s="194">
        <f t="shared" si="53"/>
        <v>97723.08</v>
      </c>
      <c r="O219" s="195">
        <f t="shared" si="53"/>
        <v>97723.08</v>
      </c>
      <c r="P219" s="195">
        <f t="shared" si="58"/>
        <v>0</v>
      </c>
      <c r="Q219" s="95">
        <f t="shared" si="59"/>
        <v>549.77822784810132</v>
      </c>
      <c r="R219" s="196">
        <f t="shared" si="54"/>
        <v>549.77822784810132</v>
      </c>
      <c r="S219" s="194">
        <f t="shared" si="60"/>
        <v>97723.080000000016</v>
      </c>
      <c r="T219" s="197">
        <v>0.57008333333333339</v>
      </c>
      <c r="U219" s="195">
        <f t="shared" si="61"/>
        <v>25159.567511521156</v>
      </c>
      <c r="V219" s="195">
        <f t="shared" si="62"/>
        <v>9170.1931752148412</v>
      </c>
      <c r="W219" s="195">
        <f t="shared" si="63"/>
        <v>4302.915033657906</v>
      </c>
      <c r="X219" s="195">
        <f t="shared" si="64"/>
        <v>1461.5709388093419</v>
      </c>
      <c r="Y219" s="195">
        <f t="shared" si="65"/>
        <v>40094.246659203243</v>
      </c>
      <c r="Z219" s="198">
        <f t="shared" si="66"/>
        <v>0.41028431215229028</v>
      </c>
      <c r="AA219" s="199">
        <f t="shared" si="67"/>
        <v>40195.449287602823</v>
      </c>
      <c r="AB219" s="195"/>
      <c r="AC219" s="199">
        <v>39647.347407641617</v>
      </c>
      <c r="AD219" s="194">
        <f t="shared" ref="AD219:AD268" si="68">AA219-AC219</f>
        <v>548.10187996120658</v>
      </c>
      <c r="AE219" s="194">
        <v>542.87093044623907</v>
      </c>
      <c r="AF219" s="194">
        <f t="shared" ref="AF219:AF268" si="69">AD219-AE219</f>
        <v>5.2309495149675058</v>
      </c>
    </row>
    <row r="220" spans="2:32" s="200" customFormat="1" x14ac:dyDescent="0.25">
      <c r="B220" s="201">
        <v>845</v>
      </c>
      <c r="C220" s="201">
        <v>8</v>
      </c>
      <c r="D220" s="202" t="s">
        <v>365</v>
      </c>
      <c r="E220" s="193">
        <v>2.3479170854453502</v>
      </c>
      <c r="F220" s="193">
        <f>INDEX('Revised 2017 Lockdown'!H$5:H$249,MATCH(B220,'Revised 2017 Lockdown'!B$5:B$249,0))</f>
        <v>2.3479170854453502</v>
      </c>
      <c r="G220" s="193">
        <f t="shared" si="55"/>
        <v>0</v>
      </c>
      <c r="H220" s="194">
        <v>4119.76</v>
      </c>
      <c r="I220" s="194">
        <f>INDEX('Revised 2017 Lockdown'!E$5:E$249,MATCH(B220,'Revised 2017 Lockdown'!B$5:B$249,0))</f>
        <v>4119.76</v>
      </c>
      <c r="J220" s="194">
        <f t="shared" si="56"/>
        <v>0</v>
      </c>
      <c r="K220" s="194">
        <v>0</v>
      </c>
      <c r="L220" s="194">
        <f>INDEX('Revised 2017 Lockdown'!F$5:F$249,MATCH(B220,'Revised 2017 Lockdown'!B$5:B$249,0))</f>
        <v>0</v>
      </c>
      <c r="M220" s="194">
        <f t="shared" si="57"/>
        <v>0</v>
      </c>
      <c r="N220" s="194">
        <f t="shared" si="53"/>
        <v>4119.76</v>
      </c>
      <c r="O220" s="195">
        <f t="shared" si="53"/>
        <v>4119.76</v>
      </c>
      <c r="P220" s="195">
        <f t="shared" si="58"/>
        <v>0</v>
      </c>
      <c r="Q220" s="95">
        <f t="shared" si="59"/>
        <v>1754.6445849975869</v>
      </c>
      <c r="R220" s="196">
        <f t="shared" si="54"/>
        <v>1749.9268177827719</v>
      </c>
      <c r="S220" s="194">
        <f t="shared" si="60"/>
        <v>4108.6830737511818</v>
      </c>
      <c r="T220" s="197">
        <v>0.49350000000000005</v>
      </c>
      <c r="U220" s="195">
        <f t="shared" si="61"/>
        <v>1057.8124346621812</v>
      </c>
      <c r="V220" s="195">
        <f t="shared" si="62"/>
        <v>121.1299759939312</v>
      </c>
      <c r="W220" s="195">
        <f t="shared" si="63"/>
        <v>156.60913095173595</v>
      </c>
      <c r="X220" s="195">
        <f t="shared" si="64"/>
        <v>61.45049641673765</v>
      </c>
      <c r="Y220" s="195">
        <f t="shared" si="65"/>
        <v>1397.002038024586</v>
      </c>
      <c r="Z220" s="198">
        <f t="shared" si="66"/>
        <v>0.34001211895595024</v>
      </c>
      <c r="AA220" s="199">
        <f t="shared" si="67"/>
        <v>1400.5282366667348</v>
      </c>
      <c r="AB220" s="195"/>
      <c r="AC220" s="199">
        <v>1378.9266569658848</v>
      </c>
      <c r="AD220" s="194">
        <f t="shared" si="68"/>
        <v>21.601579700849925</v>
      </c>
      <c r="AE220" s="194">
        <v>19.315769781744393</v>
      </c>
      <c r="AF220" s="194">
        <f t="shared" si="69"/>
        <v>2.2858099191055317</v>
      </c>
    </row>
    <row r="221" spans="2:32" s="200" customFormat="1" x14ac:dyDescent="0.25">
      <c r="B221" s="201">
        <v>847</v>
      </c>
      <c r="C221" s="201">
        <v>8</v>
      </c>
      <c r="D221" s="202" t="s">
        <v>255</v>
      </c>
      <c r="E221" s="193">
        <v>69.978173383271198</v>
      </c>
      <c r="F221" s="193">
        <f>INDEX('Revised 2017 Lockdown'!H$5:H$249,MATCH(B221,'Revised 2017 Lockdown'!B$5:B$249,0))</f>
        <v>69.978173383271198</v>
      </c>
      <c r="G221" s="193">
        <f t="shared" si="55"/>
        <v>0</v>
      </c>
      <c r="H221" s="194">
        <v>85855.54</v>
      </c>
      <c r="I221" s="194">
        <f>INDEX('Revised 2017 Lockdown'!E$5:E$249,MATCH(B221,'Revised 2017 Lockdown'!B$5:B$249,0))</f>
        <v>85855.54</v>
      </c>
      <c r="J221" s="194">
        <f t="shared" si="56"/>
        <v>0</v>
      </c>
      <c r="K221" s="194">
        <v>0</v>
      </c>
      <c r="L221" s="194">
        <f>INDEX('Revised 2017 Lockdown'!F$5:F$249,MATCH(B221,'Revised 2017 Lockdown'!B$5:B$249,0))</f>
        <v>0</v>
      </c>
      <c r="M221" s="194">
        <f t="shared" si="57"/>
        <v>0</v>
      </c>
      <c r="N221" s="194">
        <f t="shared" si="53"/>
        <v>85855.54</v>
      </c>
      <c r="O221" s="195">
        <f t="shared" si="53"/>
        <v>85855.54</v>
      </c>
      <c r="P221" s="195">
        <f t="shared" si="58"/>
        <v>0</v>
      </c>
      <c r="Q221" s="95">
        <f t="shared" si="59"/>
        <v>1226.8902694811466</v>
      </c>
      <c r="R221" s="196">
        <f t="shared" si="54"/>
        <v>1226.8902694811466</v>
      </c>
      <c r="S221" s="194">
        <f t="shared" si="60"/>
        <v>85855.54</v>
      </c>
      <c r="T221" s="197">
        <v>0.18174999999999999</v>
      </c>
      <c r="U221" s="195">
        <f t="shared" si="61"/>
        <v>22104.176975061619</v>
      </c>
      <c r="V221" s="195">
        <f t="shared" si="62"/>
        <v>3610.2017888791806</v>
      </c>
      <c r="W221" s="195">
        <f t="shared" si="63"/>
        <v>1205.2302495652348</v>
      </c>
      <c r="X221" s="195">
        <f t="shared" si="64"/>
        <v>1284.0770286792331</v>
      </c>
      <c r="Y221" s="195">
        <f t="shared" si="65"/>
        <v>28203.686042185269</v>
      </c>
      <c r="Z221" s="198">
        <f t="shared" si="66"/>
        <v>0.32850164406612864</v>
      </c>
      <c r="AA221" s="199">
        <f t="shared" si="67"/>
        <v>28274.875486952416</v>
      </c>
      <c r="AB221" s="195"/>
      <c r="AC221" s="199">
        <v>27854.513041849925</v>
      </c>
      <c r="AD221" s="194">
        <f t="shared" si="68"/>
        <v>420.36244510249162</v>
      </c>
      <c r="AE221" s="194">
        <v>417.07879604086338</v>
      </c>
      <c r="AF221" s="194">
        <f t="shared" si="69"/>
        <v>3.283649061628239</v>
      </c>
    </row>
    <row r="222" spans="2:32" s="200" customFormat="1" x14ac:dyDescent="0.25">
      <c r="B222" s="201">
        <v>866</v>
      </c>
      <c r="C222" s="201">
        <v>8</v>
      </c>
      <c r="D222" s="202" t="s">
        <v>256</v>
      </c>
      <c r="E222" s="193">
        <v>125.71511757848218</v>
      </c>
      <c r="F222" s="193">
        <f>INDEX('Revised 2017 Lockdown'!H$5:H$249,MATCH(B222,'Revised 2017 Lockdown'!B$5:B$249,0))</f>
        <v>125.71511757848218</v>
      </c>
      <c r="G222" s="193">
        <f t="shared" si="55"/>
        <v>0</v>
      </c>
      <c r="H222" s="194">
        <v>58460.25</v>
      </c>
      <c r="I222" s="194">
        <f>INDEX('Revised 2017 Lockdown'!E$5:E$249,MATCH(B222,'Revised 2017 Lockdown'!B$5:B$249,0))</f>
        <v>58460.25</v>
      </c>
      <c r="J222" s="194">
        <f t="shared" si="56"/>
        <v>0</v>
      </c>
      <c r="K222" s="194">
        <v>0</v>
      </c>
      <c r="L222" s="194">
        <f>INDEX('Revised 2017 Lockdown'!F$5:F$249,MATCH(B222,'Revised 2017 Lockdown'!B$5:B$249,0))</f>
        <v>0</v>
      </c>
      <c r="M222" s="194">
        <f t="shared" si="57"/>
        <v>0</v>
      </c>
      <c r="N222" s="194">
        <f t="shared" si="53"/>
        <v>58460.25</v>
      </c>
      <c r="O222" s="195">
        <f t="shared" si="53"/>
        <v>58460.25</v>
      </c>
      <c r="P222" s="195">
        <f t="shared" si="58"/>
        <v>0</v>
      </c>
      <c r="Q222" s="95">
        <f t="shared" si="59"/>
        <v>465.02163881367801</v>
      </c>
      <c r="R222" s="196">
        <f t="shared" si="54"/>
        <v>465.02163881367801</v>
      </c>
      <c r="S222" s="194">
        <f t="shared" si="60"/>
        <v>58460.25</v>
      </c>
      <c r="T222" s="197">
        <v>0.69741666666666668</v>
      </c>
      <c r="U222" s="195">
        <f t="shared" si="61"/>
        <v>15051.046350722925</v>
      </c>
      <c r="V222" s="195">
        <f t="shared" si="62"/>
        <v>6485.6929014882053</v>
      </c>
      <c r="W222" s="195">
        <f t="shared" si="63"/>
        <v>3149.0551727300044</v>
      </c>
      <c r="X222" s="195">
        <f t="shared" si="64"/>
        <v>874.34618797861083</v>
      </c>
      <c r="Y222" s="195">
        <f t="shared" si="65"/>
        <v>25560.140612919746</v>
      </c>
      <c r="Z222" s="198">
        <f t="shared" si="66"/>
        <v>0.43722256769205992</v>
      </c>
      <c r="AA222" s="199">
        <f t="shared" si="67"/>
        <v>25624.657435851412</v>
      </c>
      <c r="AB222" s="195"/>
      <c r="AC222" s="199">
        <v>25285.587273632969</v>
      </c>
      <c r="AD222" s="194">
        <f t="shared" si="68"/>
        <v>339.07016221844242</v>
      </c>
      <c r="AE222" s="194">
        <v>335.64629069712464</v>
      </c>
      <c r="AF222" s="194">
        <f t="shared" si="69"/>
        <v>3.4238715213177784</v>
      </c>
    </row>
    <row r="223" spans="2:32" s="200" customFormat="1" x14ac:dyDescent="0.25">
      <c r="B223" s="201">
        <v>871</v>
      </c>
      <c r="C223" s="201">
        <v>8</v>
      </c>
      <c r="D223" s="202" t="s">
        <v>257</v>
      </c>
      <c r="E223" s="193">
        <v>16.527144824886271</v>
      </c>
      <c r="F223" s="193">
        <f>INDEX('Revised 2017 Lockdown'!H$5:H$249,MATCH(B223,'Revised 2017 Lockdown'!B$5:B$249,0))</f>
        <v>16.527144824886271</v>
      </c>
      <c r="G223" s="193">
        <f t="shared" si="55"/>
        <v>0</v>
      </c>
      <c r="H223" s="194">
        <v>10418.42</v>
      </c>
      <c r="I223" s="194">
        <f>INDEX('Revised 2017 Lockdown'!E$5:E$249,MATCH(B223,'Revised 2017 Lockdown'!B$5:B$249,0))</f>
        <v>10418.42</v>
      </c>
      <c r="J223" s="194">
        <f t="shared" si="56"/>
        <v>0</v>
      </c>
      <c r="K223" s="194">
        <v>0</v>
      </c>
      <c r="L223" s="194">
        <f>INDEX('Revised 2017 Lockdown'!F$5:F$249,MATCH(B223,'Revised 2017 Lockdown'!B$5:B$249,0))</f>
        <v>0</v>
      </c>
      <c r="M223" s="194">
        <f t="shared" si="57"/>
        <v>0</v>
      </c>
      <c r="N223" s="194">
        <f t="shared" si="53"/>
        <v>10418.42</v>
      </c>
      <c r="O223" s="195">
        <f t="shared" si="53"/>
        <v>10418.42</v>
      </c>
      <c r="P223" s="195">
        <f t="shared" si="58"/>
        <v>0</v>
      </c>
      <c r="Q223" s="95">
        <f t="shared" si="59"/>
        <v>630.38232619055498</v>
      </c>
      <c r="R223" s="196">
        <f t="shared" si="54"/>
        <v>630.38232619055498</v>
      </c>
      <c r="S223" s="194">
        <f t="shared" si="60"/>
        <v>10418.42</v>
      </c>
      <c r="T223" s="197">
        <v>0.44458333333333333</v>
      </c>
      <c r="U223" s="195">
        <f t="shared" si="61"/>
        <v>2682.3033141544679</v>
      </c>
      <c r="V223" s="195">
        <f t="shared" si="62"/>
        <v>852.64197287740853</v>
      </c>
      <c r="W223" s="195">
        <f t="shared" si="63"/>
        <v>357.75220452535211</v>
      </c>
      <c r="X223" s="195">
        <f t="shared" si="64"/>
        <v>155.82050729786681</v>
      </c>
      <c r="Y223" s="195">
        <f t="shared" si="65"/>
        <v>4048.5179988550954</v>
      </c>
      <c r="Z223" s="198">
        <f t="shared" si="66"/>
        <v>0.38859232003078159</v>
      </c>
      <c r="AA223" s="199">
        <f t="shared" si="67"/>
        <v>4058.7369378986377</v>
      </c>
      <c r="AB223" s="195"/>
      <c r="AC223" s="199">
        <v>4002.6057495205437</v>
      </c>
      <c r="AD223" s="194">
        <f t="shared" si="68"/>
        <v>56.131188378094066</v>
      </c>
      <c r="AE223" s="194">
        <v>55.613518785928136</v>
      </c>
      <c r="AF223" s="194">
        <f t="shared" si="69"/>
        <v>0.51766959216593023</v>
      </c>
    </row>
    <row r="224" spans="2:32" s="200" customFormat="1" x14ac:dyDescent="0.25">
      <c r="B224" s="201">
        <v>873</v>
      </c>
      <c r="C224" s="201">
        <v>8</v>
      </c>
      <c r="D224" s="202" t="s">
        <v>258</v>
      </c>
      <c r="E224" s="193">
        <v>163.97</v>
      </c>
      <c r="F224" s="193">
        <f>INDEX('Revised 2017 Lockdown'!H$5:H$249,MATCH(B224,'Revised 2017 Lockdown'!B$5:B$249,0))</f>
        <v>163.97</v>
      </c>
      <c r="G224" s="193">
        <f t="shared" si="55"/>
        <v>0</v>
      </c>
      <c r="H224" s="194">
        <v>67478.509999999995</v>
      </c>
      <c r="I224" s="194">
        <f>INDEX('Revised 2017 Lockdown'!E$5:E$249,MATCH(B224,'Revised 2017 Lockdown'!B$5:B$249,0))</f>
        <v>67478.509999999995</v>
      </c>
      <c r="J224" s="194">
        <f t="shared" si="56"/>
        <v>0</v>
      </c>
      <c r="K224" s="194">
        <v>0</v>
      </c>
      <c r="L224" s="194">
        <f>INDEX('Revised 2017 Lockdown'!F$5:F$249,MATCH(B224,'Revised 2017 Lockdown'!B$5:B$249,0))</f>
        <v>0</v>
      </c>
      <c r="M224" s="194">
        <f t="shared" si="57"/>
        <v>0</v>
      </c>
      <c r="N224" s="194">
        <f t="shared" si="53"/>
        <v>67478.509999999995</v>
      </c>
      <c r="O224" s="195">
        <f t="shared" si="53"/>
        <v>67478.509999999995</v>
      </c>
      <c r="P224" s="195">
        <f t="shared" si="58"/>
        <v>0</v>
      </c>
      <c r="Q224" s="95">
        <f t="shared" si="59"/>
        <v>411.52960907483072</v>
      </c>
      <c r="R224" s="196">
        <f t="shared" si="54"/>
        <v>411.52960907483072</v>
      </c>
      <c r="S224" s="194">
        <f t="shared" si="60"/>
        <v>67478.509999999995</v>
      </c>
      <c r="T224" s="197">
        <v>0.60287500000000005</v>
      </c>
      <c r="U224" s="195">
        <f t="shared" si="61"/>
        <v>17372.867575621389</v>
      </c>
      <c r="V224" s="195">
        <f t="shared" si="62"/>
        <v>8459.2774961461455</v>
      </c>
      <c r="W224" s="195">
        <f t="shared" si="63"/>
        <v>3142.1002618958237</v>
      </c>
      <c r="X224" s="195">
        <f t="shared" si="64"/>
        <v>1009.2255505061399</v>
      </c>
      <c r="Y224" s="195">
        <f t="shared" si="65"/>
        <v>29983.470884169496</v>
      </c>
      <c r="Z224" s="198">
        <f t="shared" si="66"/>
        <v>0.44434103367382444</v>
      </c>
      <c r="AA224" s="199">
        <f t="shared" si="67"/>
        <v>30059.152716722991</v>
      </c>
      <c r="AB224" s="195"/>
      <c r="AC224" s="199">
        <v>29667.915253378098</v>
      </c>
      <c r="AD224" s="194">
        <f t="shared" si="68"/>
        <v>391.2374633448926</v>
      </c>
      <c r="AE224" s="194">
        <v>387.11365280059908</v>
      </c>
      <c r="AF224" s="194">
        <f t="shared" si="69"/>
        <v>4.1238105442935193</v>
      </c>
    </row>
    <row r="225" spans="2:32" s="200" customFormat="1" x14ac:dyDescent="0.25">
      <c r="B225" s="201">
        <v>895</v>
      </c>
      <c r="C225" s="201">
        <v>8</v>
      </c>
      <c r="D225" s="202" t="s">
        <v>259</v>
      </c>
      <c r="E225" s="193">
        <v>33.271276233906718</v>
      </c>
      <c r="F225" s="193">
        <f>INDEX('Revised 2017 Lockdown'!H$5:H$249,MATCH(B225,'Revised 2017 Lockdown'!B$5:B$249,0))</f>
        <v>33.271276233906718</v>
      </c>
      <c r="G225" s="193">
        <f t="shared" si="55"/>
        <v>0</v>
      </c>
      <c r="H225" s="194">
        <v>12929.53</v>
      </c>
      <c r="I225" s="194">
        <f>INDEX('Revised 2017 Lockdown'!E$5:E$249,MATCH(B225,'Revised 2017 Lockdown'!B$5:B$249,0))</f>
        <v>12929.53</v>
      </c>
      <c r="J225" s="194">
        <f t="shared" si="56"/>
        <v>0</v>
      </c>
      <c r="K225" s="194">
        <v>0</v>
      </c>
      <c r="L225" s="194">
        <f>INDEX('Revised 2017 Lockdown'!F$5:F$249,MATCH(B225,'Revised 2017 Lockdown'!B$5:B$249,0))</f>
        <v>0</v>
      </c>
      <c r="M225" s="194">
        <f t="shared" si="57"/>
        <v>0</v>
      </c>
      <c r="N225" s="194">
        <f t="shared" si="53"/>
        <v>12929.53</v>
      </c>
      <c r="O225" s="195">
        <f t="shared" si="53"/>
        <v>12929.53</v>
      </c>
      <c r="P225" s="195">
        <f t="shared" si="58"/>
        <v>0</v>
      </c>
      <c r="Q225" s="95">
        <f t="shared" si="59"/>
        <v>388.60937912635683</v>
      </c>
      <c r="R225" s="196">
        <f t="shared" si="54"/>
        <v>388.60937912635683</v>
      </c>
      <c r="S225" s="194">
        <f t="shared" si="60"/>
        <v>12929.53</v>
      </c>
      <c r="T225" s="197">
        <v>0.177375</v>
      </c>
      <c r="U225" s="195">
        <f t="shared" si="61"/>
        <v>3328.8081272841387</v>
      </c>
      <c r="V225" s="195">
        <f t="shared" si="62"/>
        <v>1716.4783699063805</v>
      </c>
      <c r="W225" s="195">
        <f t="shared" si="63"/>
        <v>177.13420247310725</v>
      </c>
      <c r="X225" s="195">
        <f t="shared" si="64"/>
        <v>193.37729941037009</v>
      </c>
      <c r="Y225" s="195">
        <f t="shared" si="65"/>
        <v>5415.7979990739968</v>
      </c>
      <c r="Z225" s="198">
        <f t="shared" si="66"/>
        <v>0.418870446108559</v>
      </c>
      <c r="AA225" s="199">
        <f t="shared" si="67"/>
        <v>5429.4681148151958</v>
      </c>
      <c r="AB225" s="195"/>
      <c r="AC225" s="199">
        <v>5366.130575414285</v>
      </c>
      <c r="AD225" s="194">
        <f t="shared" si="68"/>
        <v>63.337539400910828</v>
      </c>
      <c r="AE225" s="194">
        <v>62.571629399485573</v>
      </c>
      <c r="AF225" s="194">
        <f t="shared" si="69"/>
        <v>0.76591000142525445</v>
      </c>
    </row>
    <row r="226" spans="2:32" s="200" customFormat="1" x14ac:dyDescent="0.25">
      <c r="B226" s="201">
        <v>897</v>
      </c>
      <c r="C226" s="201">
        <v>8</v>
      </c>
      <c r="D226" s="202" t="s">
        <v>260</v>
      </c>
      <c r="E226" s="193">
        <v>67.748375693871196</v>
      </c>
      <c r="F226" s="193">
        <f>INDEX('Revised 2017 Lockdown'!H$5:H$249,MATCH(B226,'Revised 2017 Lockdown'!B$5:B$249,0))</f>
        <v>67.748375693871196</v>
      </c>
      <c r="G226" s="193">
        <f t="shared" si="55"/>
        <v>0</v>
      </c>
      <c r="H226" s="194">
        <v>261720.97</v>
      </c>
      <c r="I226" s="194">
        <f>INDEX('Revised 2017 Lockdown'!E$5:E$249,MATCH(B226,'Revised 2017 Lockdown'!B$5:B$249,0))</f>
        <v>261720.97</v>
      </c>
      <c r="J226" s="194">
        <f t="shared" si="56"/>
        <v>0</v>
      </c>
      <c r="K226" s="194">
        <v>119</v>
      </c>
      <c r="L226" s="194">
        <f>INDEX('Revised 2017 Lockdown'!F$5:F$249,MATCH(B226,'Revised 2017 Lockdown'!B$5:B$249,0))</f>
        <v>119</v>
      </c>
      <c r="M226" s="194">
        <f t="shared" si="57"/>
        <v>0</v>
      </c>
      <c r="N226" s="194">
        <f t="shared" si="53"/>
        <v>261601.97</v>
      </c>
      <c r="O226" s="195">
        <f t="shared" si="53"/>
        <v>261601.97</v>
      </c>
      <c r="P226" s="195">
        <f t="shared" si="58"/>
        <v>0</v>
      </c>
      <c r="Q226" s="95">
        <f t="shared" si="59"/>
        <v>3861.3762665259828</v>
      </c>
      <c r="R226" s="196">
        <f t="shared" si="54"/>
        <v>1749.9268177827719</v>
      </c>
      <c r="S226" s="194">
        <f t="shared" si="60"/>
        <v>118554.69948792772</v>
      </c>
      <c r="T226" s="197">
        <v>0.40833333333333333</v>
      </c>
      <c r="U226" s="195">
        <f t="shared" si="61"/>
        <v>30522.830078366544</v>
      </c>
      <c r="V226" s="195">
        <f t="shared" si="62"/>
        <v>3495.1656394927068</v>
      </c>
      <c r="W226" s="195">
        <f t="shared" si="63"/>
        <v>3739.0466845999013</v>
      </c>
      <c r="X226" s="195">
        <f t="shared" si="64"/>
        <v>1773.1338741147938</v>
      </c>
      <c r="Y226" s="195">
        <f t="shared" si="65"/>
        <v>39530.176276573948</v>
      </c>
      <c r="Z226" s="198">
        <f t="shared" si="66"/>
        <v>0.33343407260375418</v>
      </c>
      <c r="AA226" s="199">
        <f t="shared" si="67"/>
        <v>39629.955124504238</v>
      </c>
      <c r="AB226" s="195"/>
      <c r="AC226" s="199">
        <v>38994.880644082885</v>
      </c>
      <c r="AD226" s="194">
        <f t="shared" si="68"/>
        <v>635.07448042135366</v>
      </c>
      <c r="AE226" s="194">
        <v>570.50518793283118</v>
      </c>
      <c r="AF226" s="194">
        <f t="shared" si="69"/>
        <v>64.569292488522478</v>
      </c>
    </row>
    <row r="227" spans="2:32" s="200" customFormat="1" x14ac:dyDescent="0.25">
      <c r="B227" s="201">
        <v>905</v>
      </c>
      <c r="C227" s="201">
        <v>8</v>
      </c>
      <c r="D227" s="202" t="s">
        <v>261</v>
      </c>
      <c r="E227" s="193">
        <v>105.28369884343577</v>
      </c>
      <c r="F227" s="193">
        <f>INDEX('Revised 2017 Lockdown'!H$5:H$249,MATCH(B227,'Revised 2017 Lockdown'!B$5:B$249,0))</f>
        <v>105.28369884343577</v>
      </c>
      <c r="G227" s="193">
        <f t="shared" si="55"/>
        <v>0</v>
      </c>
      <c r="H227" s="194">
        <v>52773.440000000002</v>
      </c>
      <c r="I227" s="194">
        <f>INDEX('Revised 2017 Lockdown'!E$5:E$249,MATCH(B227,'Revised 2017 Lockdown'!B$5:B$249,0))</f>
        <v>52773.440000000002</v>
      </c>
      <c r="J227" s="194">
        <f t="shared" si="56"/>
        <v>0</v>
      </c>
      <c r="K227" s="194">
        <v>0</v>
      </c>
      <c r="L227" s="194">
        <f>INDEX('Revised 2017 Lockdown'!F$5:F$249,MATCH(B227,'Revised 2017 Lockdown'!B$5:B$249,0))</f>
        <v>0</v>
      </c>
      <c r="M227" s="194">
        <f t="shared" si="57"/>
        <v>0</v>
      </c>
      <c r="N227" s="194">
        <f t="shared" si="53"/>
        <v>52773.440000000002</v>
      </c>
      <c r="O227" s="195">
        <f t="shared" si="53"/>
        <v>52773.440000000002</v>
      </c>
      <c r="P227" s="195">
        <f t="shared" si="58"/>
        <v>0</v>
      </c>
      <c r="Q227" s="95">
        <f t="shared" si="59"/>
        <v>501.24986659594663</v>
      </c>
      <c r="R227" s="196">
        <f t="shared" si="54"/>
        <v>501.24986659594663</v>
      </c>
      <c r="S227" s="194">
        <f t="shared" si="60"/>
        <v>52773.440000000002</v>
      </c>
      <c r="T227" s="197">
        <v>0.37908333333333333</v>
      </c>
      <c r="U227" s="195">
        <f t="shared" si="61"/>
        <v>13586.932856549454</v>
      </c>
      <c r="V227" s="195">
        <f t="shared" si="62"/>
        <v>5431.6278852064652</v>
      </c>
      <c r="W227" s="195">
        <f t="shared" si="63"/>
        <v>1545.1739391110868</v>
      </c>
      <c r="X227" s="195">
        <f t="shared" si="64"/>
        <v>789.29282872580836</v>
      </c>
      <c r="Y227" s="195">
        <f t="shared" si="65"/>
        <v>21353.027509592812</v>
      </c>
      <c r="Z227" s="198">
        <f t="shared" si="66"/>
        <v>0.40461693438200752</v>
      </c>
      <c r="AA227" s="199">
        <f t="shared" si="67"/>
        <v>21406.925080649016</v>
      </c>
      <c r="AB227" s="195"/>
      <c r="AC227" s="199">
        <v>21119.869885507753</v>
      </c>
      <c r="AD227" s="194">
        <f t="shared" si="68"/>
        <v>287.05519514126354</v>
      </c>
      <c r="AE227" s="194">
        <v>284.20421487441126</v>
      </c>
      <c r="AF227" s="194">
        <f t="shared" si="69"/>
        <v>2.8509802668522752</v>
      </c>
    </row>
    <row r="228" spans="2:32" s="200" customFormat="1" x14ac:dyDescent="0.25">
      <c r="B228" s="201">
        <v>907</v>
      </c>
      <c r="C228" s="201">
        <v>8</v>
      </c>
      <c r="D228" s="202" t="s">
        <v>262</v>
      </c>
      <c r="E228" s="193">
        <v>12.115084280824727</v>
      </c>
      <c r="F228" s="193">
        <f>INDEX('Revised 2017 Lockdown'!H$5:H$249,MATCH(B228,'Revised 2017 Lockdown'!B$5:B$249,0))</f>
        <v>12.115084280824727</v>
      </c>
      <c r="G228" s="193">
        <f t="shared" si="55"/>
        <v>0</v>
      </c>
      <c r="H228" s="194">
        <v>18116.95</v>
      </c>
      <c r="I228" s="194">
        <f>INDEX('Revised 2017 Lockdown'!E$5:E$249,MATCH(B228,'Revised 2017 Lockdown'!B$5:B$249,0))</f>
        <v>18116.95</v>
      </c>
      <c r="J228" s="194">
        <f t="shared" si="56"/>
        <v>0</v>
      </c>
      <c r="K228" s="194">
        <v>6332.79</v>
      </c>
      <c r="L228" s="194">
        <f>INDEX('Revised 2017 Lockdown'!F$5:F$249,MATCH(B228,'Revised 2017 Lockdown'!B$5:B$249,0))</f>
        <v>0</v>
      </c>
      <c r="M228" s="194">
        <f t="shared" si="57"/>
        <v>-6332.79</v>
      </c>
      <c r="N228" s="194">
        <f t="shared" si="53"/>
        <v>11784.16</v>
      </c>
      <c r="O228" s="195">
        <f t="shared" si="53"/>
        <v>18116.95</v>
      </c>
      <c r="P228" s="195">
        <f t="shared" si="58"/>
        <v>6332.7900000000009</v>
      </c>
      <c r="Q228" s="95">
        <f t="shared" si="59"/>
        <v>1495.404371942735</v>
      </c>
      <c r="R228" s="196">
        <f t="shared" si="54"/>
        <v>1495.404371942735</v>
      </c>
      <c r="S228" s="194">
        <f t="shared" si="60"/>
        <v>18116.95</v>
      </c>
      <c r="T228" s="197">
        <v>0.16950000000000001</v>
      </c>
      <c r="U228" s="195">
        <f t="shared" si="61"/>
        <v>4664.3497792727485</v>
      </c>
      <c r="V228" s="195">
        <f t="shared" si="62"/>
        <v>625.02201512895363</v>
      </c>
      <c r="W228" s="195">
        <f t="shared" si="63"/>
        <v>237.18218627601928</v>
      </c>
      <c r="X228" s="195">
        <f t="shared" si="64"/>
        <v>270.96165634425262</v>
      </c>
      <c r="Y228" s="195">
        <f t="shared" si="65"/>
        <v>5797.5156370219738</v>
      </c>
      <c r="Z228" s="198">
        <f t="shared" si="66"/>
        <v>0.32000505808218127</v>
      </c>
      <c r="AA228" s="199">
        <f t="shared" si="67"/>
        <v>5812.1492533021692</v>
      </c>
      <c r="AB228" s="195"/>
      <c r="AC228" s="199">
        <v>3940.4600507805171</v>
      </c>
      <c r="AD228" s="194">
        <f t="shared" si="68"/>
        <v>1871.6892025216521</v>
      </c>
      <c r="AE228" s="194">
        <v>1871.0298815205242</v>
      </c>
      <c r="AF228" s="194">
        <f t="shared" si="69"/>
        <v>0.65932100112786429</v>
      </c>
    </row>
    <row r="229" spans="2:32" s="200" customFormat="1" x14ac:dyDescent="0.25">
      <c r="B229" s="201">
        <v>918</v>
      </c>
      <c r="C229" s="201">
        <v>8</v>
      </c>
      <c r="D229" s="202" t="s">
        <v>263</v>
      </c>
      <c r="E229" s="193">
        <v>59.047271200750195</v>
      </c>
      <c r="F229" s="193">
        <f>INDEX('Revised 2017 Lockdown'!H$5:H$249,MATCH(B229,'Revised 2017 Lockdown'!B$5:B$249,0))</f>
        <v>59.047271200750195</v>
      </c>
      <c r="G229" s="193">
        <f t="shared" si="55"/>
        <v>0</v>
      </c>
      <c r="H229" s="194">
        <v>37834.36</v>
      </c>
      <c r="I229" s="194">
        <f>INDEX('Revised 2017 Lockdown'!E$5:E$249,MATCH(B229,'Revised 2017 Lockdown'!B$5:B$249,0))</f>
        <v>37834.36</v>
      </c>
      <c r="J229" s="194">
        <f t="shared" si="56"/>
        <v>0</v>
      </c>
      <c r="K229" s="194">
        <v>0</v>
      </c>
      <c r="L229" s="194">
        <f>INDEX('Revised 2017 Lockdown'!F$5:F$249,MATCH(B229,'Revised 2017 Lockdown'!B$5:B$249,0))</f>
        <v>0</v>
      </c>
      <c r="M229" s="194">
        <f t="shared" si="57"/>
        <v>0</v>
      </c>
      <c r="N229" s="194">
        <f t="shared" si="53"/>
        <v>37834.36</v>
      </c>
      <c r="O229" s="195">
        <f t="shared" si="53"/>
        <v>37834.36</v>
      </c>
      <c r="P229" s="195">
        <f t="shared" si="58"/>
        <v>0</v>
      </c>
      <c r="Q229" s="95">
        <f t="shared" si="59"/>
        <v>640.74696815996663</v>
      </c>
      <c r="R229" s="196">
        <f t="shared" si="54"/>
        <v>640.74696815996663</v>
      </c>
      <c r="S229" s="194">
        <f t="shared" si="60"/>
        <v>37834.36</v>
      </c>
      <c r="T229" s="197">
        <v>0.3056666666666667</v>
      </c>
      <c r="U229" s="195">
        <f t="shared" si="61"/>
        <v>9740.7504417093223</v>
      </c>
      <c r="V229" s="195">
        <f t="shared" si="62"/>
        <v>3046.2721990446089</v>
      </c>
      <c r="W229" s="195">
        <f t="shared" si="63"/>
        <v>893.22681550474488</v>
      </c>
      <c r="X229" s="195">
        <f t="shared" si="64"/>
        <v>565.8601945870987</v>
      </c>
      <c r="Y229" s="195">
        <f t="shared" si="65"/>
        <v>14246.109650845774</v>
      </c>
      <c r="Z229" s="198">
        <f t="shared" si="66"/>
        <v>0.37653893579396541</v>
      </c>
      <c r="AA229" s="199">
        <f t="shared" si="67"/>
        <v>14282.068519293631</v>
      </c>
      <c r="AB229" s="195"/>
      <c r="AC229" s="199">
        <v>14085.588009108322</v>
      </c>
      <c r="AD229" s="194">
        <f t="shared" si="68"/>
        <v>196.48051018530896</v>
      </c>
      <c r="AE229" s="194">
        <v>194.65655195345425</v>
      </c>
      <c r="AF229" s="194">
        <f t="shared" si="69"/>
        <v>1.8239582318547036</v>
      </c>
    </row>
    <row r="230" spans="2:32" s="200" customFormat="1" x14ac:dyDescent="0.25">
      <c r="B230" s="201">
        <v>922</v>
      </c>
      <c r="C230" s="201">
        <v>8</v>
      </c>
      <c r="D230" s="202" t="s">
        <v>264</v>
      </c>
      <c r="E230" s="193">
        <v>157.44</v>
      </c>
      <c r="F230" s="193">
        <f>INDEX('Revised 2017 Lockdown'!H$5:H$249,MATCH(B230,'Revised 2017 Lockdown'!B$5:B$249,0))</f>
        <v>157.44</v>
      </c>
      <c r="G230" s="193">
        <f t="shared" si="55"/>
        <v>0</v>
      </c>
      <c r="H230" s="194">
        <v>122591.46</v>
      </c>
      <c r="I230" s="194">
        <f>INDEX('Revised 2017 Lockdown'!E$5:E$249,MATCH(B230,'Revised 2017 Lockdown'!B$5:B$249,0))</f>
        <v>122591.46</v>
      </c>
      <c r="J230" s="194">
        <f t="shared" si="56"/>
        <v>0</v>
      </c>
      <c r="K230" s="194">
        <v>18794.579999999998</v>
      </c>
      <c r="L230" s="194">
        <f>INDEX('Revised 2017 Lockdown'!F$5:F$249,MATCH(B230,'Revised 2017 Lockdown'!B$5:B$249,0))</f>
        <v>18794.579999999998</v>
      </c>
      <c r="M230" s="194">
        <f t="shared" si="57"/>
        <v>0</v>
      </c>
      <c r="N230" s="194">
        <f t="shared" si="53"/>
        <v>103796.88</v>
      </c>
      <c r="O230" s="195">
        <f t="shared" si="53"/>
        <v>103796.88</v>
      </c>
      <c r="P230" s="195">
        <f t="shared" si="58"/>
        <v>0</v>
      </c>
      <c r="Q230" s="95">
        <f t="shared" si="59"/>
        <v>659.27896341463418</v>
      </c>
      <c r="R230" s="196">
        <f t="shared" si="54"/>
        <v>659.27896341463418</v>
      </c>
      <c r="S230" s="194">
        <f t="shared" si="60"/>
        <v>103796.88</v>
      </c>
      <c r="T230" s="197">
        <v>0.6905</v>
      </c>
      <c r="U230" s="195">
        <f t="shared" si="61"/>
        <v>26723.314593085477</v>
      </c>
      <c r="V230" s="195">
        <f t="shared" si="62"/>
        <v>8122.3921997514735</v>
      </c>
      <c r="W230" s="195">
        <f t="shared" si="63"/>
        <v>5535.7346179576571</v>
      </c>
      <c r="X230" s="195">
        <f t="shared" si="64"/>
        <v>1552.4122177389477</v>
      </c>
      <c r="Y230" s="195">
        <f t="shared" si="65"/>
        <v>41933.853628533558</v>
      </c>
      <c r="Z230" s="198">
        <f t="shared" si="66"/>
        <v>0.4039991725043523</v>
      </c>
      <c r="AA230" s="199">
        <f t="shared" si="67"/>
        <v>42039.699642855834</v>
      </c>
      <c r="AB230" s="195"/>
      <c r="AC230" s="199">
        <v>41441.333411906162</v>
      </c>
      <c r="AD230" s="194">
        <f t="shared" si="68"/>
        <v>598.36623094967217</v>
      </c>
      <c r="AE230" s="194">
        <v>593.0797481779955</v>
      </c>
      <c r="AF230" s="194">
        <f t="shared" si="69"/>
        <v>5.286482771676674</v>
      </c>
    </row>
    <row r="231" spans="2:32" s="200" customFormat="1" x14ac:dyDescent="0.25">
      <c r="B231" s="201">
        <v>924</v>
      </c>
      <c r="C231" s="201">
        <v>8</v>
      </c>
      <c r="D231" s="202" t="s">
        <v>265</v>
      </c>
      <c r="E231" s="193">
        <v>114.91247851438976</v>
      </c>
      <c r="F231" s="193">
        <f>INDEX('Revised 2017 Lockdown'!H$5:H$249,MATCH(B231,'Revised 2017 Lockdown'!B$5:B$249,0))</f>
        <v>114.91247851438976</v>
      </c>
      <c r="G231" s="193">
        <f t="shared" si="55"/>
        <v>0</v>
      </c>
      <c r="H231" s="194">
        <v>66408.98</v>
      </c>
      <c r="I231" s="194">
        <f>INDEX('Revised 2017 Lockdown'!E$5:E$249,MATCH(B231,'Revised 2017 Lockdown'!B$5:B$249,0))</f>
        <v>54438.720000000001</v>
      </c>
      <c r="J231" s="194">
        <f t="shared" si="56"/>
        <v>-11970.259999999995</v>
      </c>
      <c r="K231" s="194">
        <v>0</v>
      </c>
      <c r="L231" s="194">
        <f>INDEX('Revised 2017 Lockdown'!F$5:F$249,MATCH(B231,'Revised 2017 Lockdown'!B$5:B$249,0))</f>
        <v>0</v>
      </c>
      <c r="M231" s="194">
        <f t="shared" si="57"/>
        <v>0</v>
      </c>
      <c r="N231" s="194">
        <f t="shared" si="53"/>
        <v>66408.98</v>
      </c>
      <c r="O231" s="195">
        <f t="shared" si="53"/>
        <v>54438.720000000001</v>
      </c>
      <c r="P231" s="195">
        <f t="shared" si="58"/>
        <v>-11970.259999999995</v>
      </c>
      <c r="Q231" s="95">
        <f t="shared" si="59"/>
        <v>473.74071731629203</v>
      </c>
      <c r="R231" s="196">
        <f t="shared" si="54"/>
        <v>473.74071731629203</v>
      </c>
      <c r="S231" s="194">
        <f t="shared" si="60"/>
        <v>54438.720000000001</v>
      </c>
      <c r="T231" s="197">
        <v>0.4064166666666667</v>
      </c>
      <c r="U231" s="195">
        <f t="shared" si="61"/>
        <v>14015.672153198577</v>
      </c>
      <c r="V231" s="195">
        <f t="shared" si="62"/>
        <v>5928.3804569320901</v>
      </c>
      <c r="W231" s="195">
        <f t="shared" si="63"/>
        <v>1708.8608272787367</v>
      </c>
      <c r="X231" s="195">
        <f t="shared" si="64"/>
        <v>814.19917483135919</v>
      </c>
      <c r="Y231" s="195">
        <f t="shared" si="65"/>
        <v>22467.112612240762</v>
      </c>
      <c r="Z231" s="198">
        <f t="shared" si="66"/>
        <v>0.41270464500709719</v>
      </c>
      <c r="AA231" s="199">
        <f t="shared" si="67"/>
        <v>22523.822266077997</v>
      </c>
      <c r="AB231" s="195"/>
      <c r="AC231" s="199">
        <v>25820.605807927524</v>
      </c>
      <c r="AD231" s="194">
        <f t="shared" si="68"/>
        <v>-3296.783541849527</v>
      </c>
      <c r="AE231" s="194">
        <v>-3299.8124643596639</v>
      </c>
      <c r="AF231" s="194">
        <f t="shared" si="69"/>
        <v>3.0289225101369084</v>
      </c>
    </row>
    <row r="232" spans="2:32" s="200" customFormat="1" x14ac:dyDescent="0.25">
      <c r="B232" s="201">
        <v>929</v>
      </c>
      <c r="C232" s="201">
        <v>8</v>
      </c>
      <c r="D232" s="202" t="s">
        <v>266</v>
      </c>
      <c r="E232" s="193">
        <v>48.975680260617573</v>
      </c>
      <c r="F232" s="193">
        <f>INDEX('Revised 2017 Lockdown'!H$5:H$249,MATCH(B232,'Revised 2017 Lockdown'!B$5:B$249,0))</f>
        <v>48.975680260617573</v>
      </c>
      <c r="G232" s="193">
        <f t="shared" si="55"/>
        <v>0</v>
      </c>
      <c r="H232" s="194">
        <v>52171.61</v>
      </c>
      <c r="I232" s="194">
        <f>INDEX('Revised 2017 Lockdown'!E$5:E$249,MATCH(B232,'Revised 2017 Lockdown'!B$5:B$249,0))</f>
        <v>52171.61</v>
      </c>
      <c r="J232" s="194">
        <f t="shared" si="56"/>
        <v>0</v>
      </c>
      <c r="K232" s="194">
        <v>0</v>
      </c>
      <c r="L232" s="194">
        <f>INDEX('Revised 2017 Lockdown'!F$5:F$249,MATCH(B232,'Revised 2017 Lockdown'!B$5:B$249,0))</f>
        <v>0</v>
      </c>
      <c r="M232" s="194">
        <f t="shared" si="57"/>
        <v>0</v>
      </c>
      <c r="N232" s="194">
        <f t="shared" si="53"/>
        <v>52171.61</v>
      </c>
      <c r="O232" s="195">
        <f t="shared" si="53"/>
        <v>52171.61</v>
      </c>
      <c r="P232" s="195">
        <f t="shared" si="58"/>
        <v>0</v>
      </c>
      <c r="Q232" s="95">
        <f t="shared" si="59"/>
        <v>1065.255443566597</v>
      </c>
      <c r="R232" s="196">
        <f t="shared" si="54"/>
        <v>1065.255443566597</v>
      </c>
      <c r="S232" s="194">
        <f t="shared" si="60"/>
        <v>52171.61</v>
      </c>
      <c r="T232" s="197">
        <v>0.45333333333333337</v>
      </c>
      <c r="U232" s="195">
        <f t="shared" si="61"/>
        <v>13431.98703908792</v>
      </c>
      <c r="V232" s="195">
        <f t="shared" si="62"/>
        <v>2526.6748178757775</v>
      </c>
      <c r="W232" s="195">
        <f t="shared" si="63"/>
        <v>1826.7502373159573</v>
      </c>
      <c r="X232" s="195">
        <f t="shared" si="64"/>
        <v>780.29170802736508</v>
      </c>
      <c r="Y232" s="195">
        <f t="shared" si="65"/>
        <v>18565.70380230702</v>
      </c>
      <c r="Z232" s="198">
        <f t="shared" si="66"/>
        <v>0.3558583643921861</v>
      </c>
      <c r="AA232" s="199">
        <f t="shared" si="67"/>
        <v>18612.565838121085</v>
      </c>
      <c r="AB232" s="195"/>
      <c r="AC232" s="199">
        <v>18325.172108276991</v>
      </c>
      <c r="AD232" s="194">
        <f t="shared" si="68"/>
        <v>287.3937298440942</v>
      </c>
      <c r="AE232" s="194">
        <v>285.20165833734427</v>
      </c>
      <c r="AF232" s="194">
        <f t="shared" si="69"/>
        <v>2.1920715067499259</v>
      </c>
    </row>
    <row r="233" spans="2:32" s="200" customFormat="1" x14ac:dyDescent="0.25">
      <c r="B233" s="201">
        <v>955</v>
      </c>
      <c r="C233" s="201">
        <v>8</v>
      </c>
      <c r="D233" s="202" t="s">
        <v>267</v>
      </c>
      <c r="E233" s="193">
        <v>48.241978039358088</v>
      </c>
      <c r="F233" s="193">
        <f>INDEX('Revised 2017 Lockdown'!H$5:H$249,MATCH(B233,'Revised 2017 Lockdown'!B$5:B$249,0))</f>
        <v>48.241978039358088</v>
      </c>
      <c r="G233" s="193">
        <f t="shared" si="55"/>
        <v>0</v>
      </c>
      <c r="H233" s="194">
        <v>22749.54</v>
      </c>
      <c r="I233" s="194">
        <f>INDEX('Revised 2017 Lockdown'!E$5:E$249,MATCH(B233,'Revised 2017 Lockdown'!B$5:B$249,0))</f>
        <v>22749.54</v>
      </c>
      <c r="J233" s="194">
        <f t="shared" si="56"/>
        <v>0</v>
      </c>
      <c r="K233" s="194">
        <v>0</v>
      </c>
      <c r="L233" s="194">
        <f>INDEX('Revised 2017 Lockdown'!F$5:F$249,MATCH(B233,'Revised 2017 Lockdown'!B$5:B$249,0))</f>
        <v>0</v>
      </c>
      <c r="M233" s="194">
        <f t="shared" si="57"/>
        <v>0</v>
      </c>
      <c r="N233" s="194">
        <f t="shared" si="53"/>
        <v>22749.54</v>
      </c>
      <c r="O233" s="195">
        <f t="shared" si="53"/>
        <v>22749.54</v>
      </c>
      <c r="P233" s="195">
        <f t="shared" si="58"/>
        <v>0</v>
      </c>
      <c r="Q233" s="95">
        <f t="shared" si="59"/>
        <v>471.57145964122469</v>
      </c>
      <c r="R233" s="196">
        <f t="shared" si="54"/>
        <v>471.57145964122469</v>
      </c>
      <c r="S233" s="194">
        <f t="shared" si="60"/>
        <v>22749.54</v>
      </c>
      <c r="T233" s="197">
        <v>0.16825000000000001</v>
      </c>
      <c r="U233" s="195">
        <f t="shared" si="61"/>
        <v>5857.0461295944715</v>
      </c>
      <c r="V233" s="195">
        <f t="shared" si="62"/>
        <v>2488.8228285535065</v>
      </c>
      <c r="W233" s="195">
        <f t="shared" si="63"/>
        <v>295.63440339128096</v>
      </c>
      <c r="X233" s="195">
        <f t="shared" si="64"/>
        <v>340.24783638911782</v>
      </c>
      <c r="Y233" s="195">
        <f t="shared" si="65"/>
        <v>8981.7511979283772</v>
      </c>
      <c r="Z233" s="198">
        <f t="shared" si="66"/>
        <v>0.39481023343453875</v>
      </c>
      <c r="AA233" s="199">
        <f t="shared" si="67"/>
        <v>9004.4222019900735</v>
      </c>
      <c r="AB233" s="195"/>
      <c r="AC233" s="199">
        <v>8891.4827927640181</v>
      </c>
      <c r="AD233" s="194">
        <f t="shared" si="68"/>
        <v>112.93940922605543</v>
      </c>
      <c r="AE233" s="194">
        <v>111.71671377294842</v>
      </c>
      <c r="AF233" s="194">
        <f t="shared" si="69"/>
        <v>1.2226954531070078</v>
      </c>
    </row>
    <row r="234" spans="2:32" s="200" customFormat="1" x14ac:dyDescent="0.25">
      <c r="B234" s="201">
        <v>973</v>
      </c>
      <c r="C234" s="201">
        <v>8</v>
      </c>
      <c r="D234" s="202" t="s">
        <v>268</v>
      </c>
      <c r="E234" s="193">
        <v>7.0843726591984275</v>
      </c>
      <c r="F234" s="193">
        <f>INDEX('Revised 2017 Lockdown'!H$5:H$249,MATCH(B234,'Revised 2017 Lockdown'!B$5:B$249,0))</f>
        <v>7.0843726591984275</v>
      </c>
      <c r="G234" s="193">
        <f t="shared" si="55"/>
        <v>0</v>
      </c>
      <c r="H234" s="194">
        <v>7075.91</v>
      </c>
      <c r="I234" s="194">
        <f>INDEX('Revised 2017 Lockdown'!E$5:E$249,MATCH(B234,'Revised 2017 Lockdown'!B$5:B$249,0))</f>
        <v>7075.91</v>
      </c>
      <c r="J234" s="194">
        <f t="shared" si="56"/>
        <v>0</v>
      </c>
      <c r="K234" s="194">
        <v>0</v>
      </c>
      <c r="L234" s="194">
        <f>INDEX('Revised 2017 Lockdown'!F$5:F$249,MATCH(B234,'Revised 2017 Lockdown'!B$5:B$249,0))</f>
        <v>0</v>
      </c>
      <c r="M234" s="194">
        <f t="shared" si="57"/>
        <v>0</v>
      </c>
      <c r="N234" s="194">
        <f t="shared" si="53"/>
        <v>7075.91</v>
      </c>
      <c r="O234" s="195">
        <f t="shared" si="53"/>
        <v>7075.91</v>
      </c>
      <c r="P234" s="195">
        <f t="shared" si="58"/>
        <v>0</v>
      </c>
      <c r="Q234" s="95">
        <f t="shared" si="59"/>
        <v>998.80544691738658</v>
      </c>
      <c r="R234" s="196">
        <f t="shared" si="54"/>
        <v>998.80544691738658</v>
      </c>
      <c r="S234" s="194">
        <f t="shared" si="60"/>
        <v>7075.91</v>
      </c>
      <c r="T234" s="197">
        <v>5.6500000000000002E-2</v>
      </c>
      <c r="U234" s="195">
        <f t="shared" si="61"/>
        <v>1821.7481003509879</v>
      </c>
      <c r="V234" s="195">
        <f t="shared" si="62"/>
        <v>365.48560230694812</v>
      </c>
      <c r="W234" s="195">
        <f t="shared" si="63"/>
        <v>30.878630300949247</v>
      </c>
      <c r="X234" s="195">
        <f t="shared" si="64"/>
        <v>105.82908788415602</v>
      </c>
      <c r="Y234" s="195">
        <f t="shared" si="65"/>
        <v>2323.9414208430417</v>
      </c>
      <c r="Z234" s="198">
        <f t="shared" si="66"/>
        <v>0.32843004233279421</v>
      </c>
      <c r="AA234" s="199">
        <f t="shared" si="67"/>
        <v>2329.807324298843</v>
      </c>
      <c r="AB234" s="195"/>
      <c r="AC234" s="199">
        <v>2296.459520926122</v>
      </c>
      <c r="AD234" s="194">
        <f t="shared" si="68"/>
        <v>33.347803372721046</v>
      </c>
      <c r="AE234" s="194">
        <v>33.068902221147709</v>
      </c>
      <c r="AF234" s="194">
        <f t="shared" si="69"/>
        <v>0.27890115157333639</v>
      </c>
    </row>
    <row r="235" spans="2:32" s="200" customFormat="1" x14ac:dyDescent="0.25">
      <c r="B235" s="39">
        <v>974</v>
      </c>
      <c r="C235" s="39">
        <v>8</v>
      </c>
      <c r="D235" s="203" t="s">
        <v>269</v>
      </c>
      <c r="E235" s="193">
        <v>19.13</v>
      </c>
      <c r="F235" s="193">
        <f>INDEX('Revised 2017 Lockdown'!H$5:H$249,MATCH(B235,'Revised 2017 Lockdown'!B$5:B$249,0))</f>
        <v>19.13</v>
      </c>
      <c r="G235" s="193">
        <f t="shared" si="55"/>
        <v>0</v>
      </c>
      <c r="H235" s="194">
        <v>13013.02</v>
      </c>
      <c r="I235" s="194">
        <f>INDEX('Revised 2017 Lockdown'!E$5:E$249,MATCH(B235,'Revised 2017 Lockdown'!B$5:B$249,0))</f>
        <v>13013.02</v>
      </c>
      <c r="J235" s="194">
        <f t="shared" si="56"/>
        <v>0</v>
      </c>
      <c r="K235" s="194">
        <v>0</v>
      </c>
      <c r="L235" s="194">
        <f>INDEX('Revised 2017 Lockdown'!F$5:F$249,MATCH(B235,'Revised 2017 Lockdown'!B$5:B$249,0))</f>
        <v>0</v>
      </c>
      <c r="M235" s="194">
        <f t="shared" si="57"/>
        <v>0</v>
      </c>
      <c r="N235" s="194">
        <f t="shared" si="53"/>
        <v>13013.02</v>
      </c>
      <c r="O235" s="195">
        <f t="shared" si="53"/>
        <v>13013.02</v>
      </c>
      <c r="P235" s="195">
        <f t="shared" si="58"/>
        <v>0</v>
      </c>
      <c r="Q235" s="95">
        <f t="shared" si="59"/>
        <v>680.24150548876116</v>
      </c>
      <c r="R235" s="196">
        <f t="shared" si="54"/>
        <v>680.24150548876116</v>
      </c>
      <c r="S235" s="194">
        <f t="shared" si="60"/>
        <v>13013.02</v>
      </c>
      <c r="T235" s="197">
        <v>0.19650000000000001</v>
      </c>
      <c r="U235" s="195">
        <f t="shared" si="61"/>
        <v>3350.3032775755228</v>
      </c>
      <c r="V235" s="195">
        <f t="shared" si="62"/>
        <v>986.92430628331863</v>
      </c>
      <c r="W235" s="195">
        <f t="shared" si="63"/>
        <v>197.50037821307708</v>
      </c>
      <c r="X235" s="195">
        <f t="shared" si="64"/>
        <v>194.62599682843339</v>
      </c>
      <c r="Y235" s="195">
        <f t="shared" si="65"/>
        <v>4729.3539589003512</v>
      </c>
      <c r="Z235" s="198">
        <f t="shared" si="66"/>
        <v>0.36343246678329483</v>
      </c>
      <c r="AA235" s="199">
        <f t="shared" si="67"/>
        <v>4741.2914085634147</v>
      </c>
      <c r="AB235" s="195"/>
      <c r="AC235" s="199">
        <v>4676.0868080118717</v>
      </c>
      <c r="AD235" s="194">
        <f t="shared" si="68"/>
        <v>65.204600551543081</v>
      </c>
      <c r="AE235" s="194">
        <v>64.603342593623893</v>
      </c>
      <c r="AF235" s="194">
        <f t="shared" si="69"/>
        <v>0.6012579579191879</v>
      </c>
    </row>
    <row r="236" spans="2:32" s="200" customFormat="1" x14ac:dyDescent="0.25">
      <c r="B236" s="39">
        <v>978</v>
      </c>
      <c r="C236" s="39">
        <v>8</v>
      </c>
      <c r="D236" s="203" t="s">
        <v>270</v>
      </c>
      <c r="E236" s="193">
        <v>33.756385778634701</v>
      </c>
      <c r="F236" s="193">
        <f>INDEX('Revised 2017 Lockdown'!H$5:H$249,MATCH(B236,'Revised 2017 Lockdown'!B$5:B$249,0))</f>
        <v>33.756385778634701</v>
      </c>
      <c r="G236" s="193">
        <f t="shared" si="55"/>
        <v>0</v>
      </c>
      <c r="H236" s="194">
        <v>53507.31</v>
      </c>
      <c r="I236" s="194">
        <f>INDEX('Revised 2017 Lockdown'!E$5:E$249,MATCH(B236,'Revised 2017 Lockdown'!B$5:B$249,0))</f>
        <v>53507.31</v>
      </c>
      <c r="J236" s="194">
        <f t="shared" si="56"/>
        <v>0</v>
      </c>
      <c r="K236" s="194">
        <v>1358.34</v>
      </c>
      <c r="L236" s="194">
        <f>INDEX('Revised 2017 Lockdown'!F$5:F$249,MATCH(B236,'Revised 2017 Lockdown'!B$5:B$249,0))</f>
        <v>1358.34</v>
      </c>
      <c r="M236" s="194">
        <f t="shared" si="57"/>
        <v>0</v>
      </c>
      <c r="N236" s="194">
        <f t="shared" si="53"/>
        <v>52148.97</v>
      </c>
      <c r="O236" s="195">
        <f t="shared" si="53"/>
        <v>52148.97</v>
      </c>
      <c r="P236" s="195">
        <f t="shared" si="58"/>
        <v>0</v>
      </c>
      <c r="Q236" s="95">
        <f t="shared" si="59"/>
        <v>1544.8623659528873</v>
      </c>
      <c r="R236" s="196">
        <f t="shared" si="54"/>
        <v>1544.8623659528873</v>
      </c>
      <c r="S236" s="194">
        <f t="shared" si="60"/>
        <v>52148.97</v>
      </c>
      <c r="T236" s="197">
        <v>0.39300000000000002</v>
      </c>
      <c r="U236" s="195">
        <f t="shared" si="61"/>
        <v>13426.158194883863</v>
      </c>
      <c r="V236" s="195">
        <f t="shared" si="62"/>
        <v>1741.505364203405</v>
      </c>
      <c r="W236" s="195">
        <f t="shared" si="63"/>
        <v>1582.9440511768075</v>
      </c>
      <c r="X236" s="195">
        <f t="shared" si="64"/>
        <v>779.95309849873956</v>
      </c>
      <c r="Y236" s="195">
        <f t="shared" si="65"/>
        <v>17530.560708762816</v>
      </c>
      <c r="Z236" s="198">
        <f t="shared" si="66"/>
        <v>0.33616312477049526</v>
      </c>
      <c r="AA236" s="199">
        <f t="shared" si="67"/>
        <v>17574.809920778825</v>
      </c>
      <c r="AB236" s="195"/>
      <c r="AC236" s="199">
        <v>17293.12789947895</v>
      </c>
      <c r="AD236" s="194">
        <f t="shared" si="68"/>
        <v>281.68202129987549</v>
      </c>
      <c r="AE236" s="194">
        <v>279.69921190383684</v>
      </c>
      <c r="AF236" s="194">
        <f t="shared" si="69"/>
        <v>1.9828093960386468</v>
      </c>
    </row>
    <row r="237" spans="2:32" s="200" customFormat="1" x14ac:dyDescent="0.25">
      <c r="B237" s="201">
        <v>985</v>
      </c>
      <c r="C237" s="201">
        <v>8</v>
      </c>
      <c r="D237" s="202" t="s">
        <v>271</v>
      </c>
      <c r="E237" s="193">
        <v>19.498273373940624</v>
      </c>
      <c r="F237" s="193">
        <f>INDEX('Revised 2017 Lockdown'!H$5:H$249,MATCH(B237,'Revised 2017 Lockdown'!B$5:B$249,0))</f>
        <v>19.498273373940624</v>
      </c>
      <c r="G237" s="193">
        <f t="shared" si="55"/>
        <v>0</v>
      </c>
      <c r="H237" s="194">
        <v>49440</v>
      </c>
      <c r="I237" s="194">
        <f>INDEX('Revised 2017 Lockdown'!E$5:E$249,MATCH(B237,'Revised 2017 Lockdown'!B$5:B$249,0))</f>
        <v>49440</v>
      </c>
      <c r="J237" s="194">
        <f t="shared" si="56"/>
        <v>0</v>
      </c>
      <c r="K237" s="194">
        <v>0</v>
      </c>
      <c r="L237" s="194">
        <f>INDEX('Revised 2017 Lockdown'!F$5:F$249,MATCH(B237,'Revised 2017 Lockdown'!B$5:B$249,0))</f>
        <v>0</v>
      </c>
      <c r="M237" s="194">
        <f t="shared" si="57"/>
        <v>0</v>
      </c>
      <c r="N237" s="194">
        <f t="shared" si="53"/>
        <v>49440</v>
      </c>
      <c r="O237" s="195">
        <f t="shared" si="53"/>
        <v>49440</v>
      </c>
      <c r="P237" s="195">
        <f t="shared" si="58"/>
        <v>0</v>
      </c>
      <c r="Q237" s="95">
        <f t="shared" si="59"/>
        <v>2535.6091307077677</v>
      </c>
      <c r="R237" s="196">
        <f t="shared" si="54"/>
        <v>1749.9268177827719</v>
      </c>
      <c r="S237" s="194">
        <f t="shared" si="60"/>
        <v>34120.551477518464</v>
      </c>
      <c r="T237" s="197">
        <v>8.4166666666666667E-2</v>
      </c>
      <c r="U237" s="195">
        <f t="shared" si="61"/>
        <v>8784.6015335267639</v>
      </c>
      <c r="V237" s="195">
        <f t="shared" si="62"/>
        <v>1005.9236760741691</v>
      </c>
      <c r="W237" s="195">
        <f t="shared" si="63"/>
        <v>221.81118872155079</v>
      </c>
      <c r="X237" s="195">
        <f t="shared" si="64"/>
        <v>510.31554117706008</v>
      </c>
      <c r="Y237" s="195">
        <f t="shared" si="65"/>
        <v>10522.651939499545</v>
      </c>
      <c r="Z237" s="198">
        <f t="shared" si="66"/>
        <v>0.30839630322015071</v>
      </c>
      <c r="AA237" s="199">
        <f t="shared" si="67"/>
        <v>10549.212359578341</v>
      </c>
      <c r="AB237" s="195"/>
      <c r="AC237" s="199">
        <v>10393.441500222896</v>
      </c>
      <c r="AD237" s="194">
        <f t="shared" si="68"/>
        <v>155.77085935544528</v>
      </c>
      <c r="AE237" s="194">
        <v>1327.2625350309827</v>
      </c>
      <c r="AF237" s="194">
        <f t="shared" si="69"/>
        <v>-1171.4916756755374</v>
      </c>
    </row>
    <row r="238" spans="2:32" s="200" customFormat="1" x14ac:dyDescent="0.25">
      <c r="B238" s="201">
        <v>990</v>
      </c>
      <c r="C238" s="201">
        <v>8</v>
      </c>
      <c r="D238" s="202" t="s">
        <v>0</v>
      </c>
      <c r="E238" s="193">
        <v>4.3126083596667133</v>
      </c>
      <c r="F238" s="193">
        <f>INDEX('Revised 2017 Lockdown'!H$5:H$249,MATCH(B238,'Revised 2017 Lockdown'!B$5:B$249,0))</f>
        <v>4.3126083596667133</v>
      </c>
      <c r="G238" s="193">
        <f t="shared" si="55"/>
        <v>0</v>
      </c>
      <c r="H238" s="194">
        <v>4506.8</v>
      </c>
      <c r="I238" s="194">
        <f>INDEX('Revised 2017 Lockdown'!E$5:E$249,MATCH(B238,'Revised 2017 Lockdown'!B$5:B$249,0))</f>
        <v>4506.8</v>
      </c>
      <c r="J238" s="194">
        <f t="shared" si="56"/>
        <v>0</v>
      </c>
      <c r="K238" s="194">
        <v>0</v>
      </c>
      <c r="L238" s="194">
        <f>INDEX('Revised 2017 Lockdown'!F$5:F$249,MATCH(B238,'Revised 2017 Lockdown'!B$5:B$249,0))</f>
        <v>0</v>
      </c>
      <c r="M238" s="194">
        <f t="shared" si="57"/>
        <v>0</v>
      </c>
      <c r="N238" s="194">
        <f t="shared" si="53"/>
        <v>4506.8</v>
      </c>
      <c r="O238" s="195">
        <f t="shared" si="53"/>
        <v>4506.8</v>
      </c>
      <c r="P238" s="195">
        <f t="shared" si="58"/>
        <v>0</v>
      </c>
      <c r="Q238" s="95">
        <f t="shared" si="59"/>
        <v>1045.028814150955</v>
      </c>
      <c r="R238" s="196">
        <f t="shared" si="54"/>
        <v>1045.028814150955</v>
      </c>
      <c r="S238" s="194">
        <f t="shared" si="60"/>
        <v>4506.8</v>
      </c>
      <c r="T238" s="197">
        <v>8.3500000000000005E-2</v>
      </c>
      <c r="U238" s="195">
        <f t="shared" si="61"/>
        <v>1160.3107358151578</v>
      </c>
      <c r="V238" s="195">
        <f t="shared" si="62"/>
        <v>222.48918001232158</v>
      </c>
      <c r="W238" s="195">
        <f t="shared" si="63"/>
        <v>29.065783932169701</v>
      </c>
      <c r="X238" s="195">
        <f t="shared" si="64"/>
        <v>67.40483319831857</v>
      </c>
      <c r="Y238" s="195">
        <f t="shared" si="65"/>
        <v>1479.2705329579678</v>
      </c>
      <c r="Z238" s="198">
        <f t="shared" si="66"/>
        <v>0.32823079190511401</v>
      </c>
      <c r="AA238" s="199">
        <f t="shared" si="67"/>
        <v>1483.0043870274028</v>
      </c>
      <c r="AB238" s="195"/>
      <c r="AC238" s="199">
        <v>1461.8722661056672</v>
      </c>
      <c r="AD238" s="194">
        <f t="shared" si="68"/>
        <v>21.132120921735577</v>
      </c>
      <c r="AE238" s="194">
        <v>20.955843130662743</v>
      </c>
      <c r="AF238" s="194">
        <f t="shared" si="69"/>
        <v>0.17627779107283459</v>
      </c>
    </row>
    <row r="239" spans="2:32" s="200" customFormat="1" x14ac:dyDescent="0.25">
      <c r="B239" s="201">
        <v>100</v>
      </c>
      <c r="C239" s="201">
        <v>9</v>
      </c>
      <c r="D239" s="202" t="s">
        <v>272</v>
      </c>
      <c r="E239" s="193">
        <v>31.847179844103021</v>
      </c>
      <c r="F239" s="193">
        <f>INDEX('Revised 2017 Lockdown'!H$5:H$249,MATCH(B239,'Revised 2017 Lockdown'!B$5:B$249,0))</f>
        <v>31.847179844103021</v>
      </c>
      <c r="G239" s="193">
        <f t="shared" si="55"/>
        <v>0</v>
      </c>
      <c r="H239" s="194">
        <v>29893.4</v>
      </c>
      <c r="I239" s="194">
        <f>INDEX('Revised 2017 Lockdown'!E$5:E$249,MATCH(B239,'Revised 2017 Lockdown'!B$5:B$249,0))</f>
        <v>29893.4</v>
      </c>
      <c r="J239" s="194">
        <f t="shared" si="56"/>
        <v>0</v>
      </c>
      <c r="K239" s="194">
        <v>0</v>
      </c>
      <c r="L239" s="194">
        <f>INDEX('Revised 2017 Lockdown'!F$5:F$249,MATCH(B239,'Revised 2017 Lockdown'!B$5:B$249,0))</f>
        <v>0</v>
      </c>
      <c r="M239" s="194">
        <f t="shared" si="57"/>
        <v>0</v>
      </c>
      <c r="N239" s="194">
        <f t="shared" si="53"/>
        <v>29893.4</v>
      </c>
      <c r="O239" s="195">
        <f t="shared" si="53"/>
        <v>29893.4</v>
      </c>
      <c r="P239" s="195">
        <f t="shared" si="58"/>
        <v>0</v>
      </c>
      <c r="Q239" s="95">
        <f t="shared" si="59"/>
        <v>938.65140167301843</v>
      </c>
      <c r="R239" s="196">
        <f t="shared" si="54"/>
        <v>938.65140167301843</v>
      </c>
      <c r="S239" s="194">
        <f t="shared" si="60"/>
        <v>29893.4</v>
      </c>
      <c r="T239" s="197">
        <v>0.113</v>
      </c>
      <c r="U239" s="195">
        <f t="shared" si="61"/>
        <v>7696.2884862911242</v>
      </c>
      <c r="V239" s="195">
        <f t="shared" si="62"/>
        <v>1643.008670921143</v>
      </c>
      <c r="W239" s="195">
        <f t="shared" si="63"/>
        <v>260.90417968526913</v>
      </c>
      <c r="X239" s="195">
        <f t="shared" si="64"/>
        <v>447.09320154668865</v>
      </c>
      <c r="Y239" s="195">
        <f t="shared" si="65"/>
        <v>10047.294538444225</v>
      </c>
      <c r="Z239" s="198">
        <f t="shared" si="66"/>
        <v>0.33610410787813444</v>
      </c>
      <c r="AA239" s="199">
        <f t="shared" si="67"/>
        <v>10072.65510012875</v>
      </c>
      <c r="AB239" s="195"/>
      <c r="AC239" s="199">
        <v>9927.2145856343432</v>
      </c>
      <c r="AD239" s="194">
        <f t="shared" si="68"/>
        <v>145.44051449440667</v>
      </c>
      <c r="AE239" s="194">
        <v>144.22506001076908</v>
      </c>
      <c r="AF239" s="194">
        <f t="shared" si="69"/>
        <v>1.2154544836375862</v>
      </c>
    </row>
    <row r="240" spans="2:32" s="200" customFormat="1" x14ac:dyDescent="0.25">
      <c r="B240" s="201">
        <v>159</v>
      </c>
      <c r="C240" s="201">
        <v>9</v>
      </c>
      <c r="D240" s="202" t="s">
        <v>273</v>
      </c>
      <c r="E240" s="193">
        <v>827.75861293351329</v>
      </c>
      <c r="F240" s="193">
        <f>INDEX('Revised 2017 Lockdown'!H$5:H$249,MATCH(B240,'Revised 2017 Lockdown'!B$5:B$249,0))</f>
        <v>827.75861293351329</v>
      </c>
      <c r="G240" s="193">
        <f t="shared" si="55"/>
        <v>0</v>
      </c>
      <c r="H240" s="194">
        <v>161334.24</v>
      </c>
      <c r="I240" s="194">
        <f>INDEX('Revised 2017 Lockdown'!E$5:E$249,MATCH(B240,'Revised 2017 Lockdown'!B$5:B$249,0))</f>
        <v>161334.24</v>
      </c>
      <c r="J240" s="194">
        <f t="shared" si="56"/>
        <v>0</v>
      </c>
      <c r="K240" s="194">
        <v>0</v>
      </c>
      <c r="L240" s="194">
        <f>INDEX('Revised 2017 Lockdown'!F$5:F$249,MATCH(B240,'Revised 2017 Lockdown'!B$5:B$249,0))</f>
        <v>0</v>
      </c>
      <c r="M240" s="194">
        <f t="shared" si="57"/>
        <v>0</v>
      </c>
      <c r="N240" s="194">
        <f t="shared" si="53"/>
        <v>161334.24</v>
      </c>
      <c r="O240" s="195">
        <f t="shared" si="53"/>
        <v>161334.24</v>
      </c>
      <c r="P240" s="195">
        <f t="shared" si="58"/>
        <v>0</v>
      </c>
      <c r="Q240" s="95">
        <f t="shared" si="59"/>
        <v>194.90493663151841</v>
      </c>
      <c r="R240" s="196">
        <f t="shared" si="54"/>
        <v>194.90493663151841</v>
      </c>
      <c r="S240" s="194">
        <f t="shared" si="60"/>
        <v>161334.24</v>
      </c>
      <c r="T240" s="197">
        <v>0.69366666666666665</v>
      </c>
      <c r="U240" s="195">
        <f t="shared" si="61"/>
        <v>41536.755730580291</v>
      </c>
      <c r="V240" s="195">
        <f t="shared" si="62"/>
        <v>42704.395966515935</v>
      </c>
      <c r="W240" s="195">
        <f t="shared" si="63"/>
        <v>8643.7988675337583</v>
      </c>
      <c r="X240" s="195">
        <f t="shared" si="64"/>
        <v>2412.9554309881723</v>
      </c>
      <c r="Y240" s="195">
        <f t="shared" si="65"/>
        <v>95297.905995618159</v>
      </c>
      <c r="Z240" s="198">
        <f t="shared" si="66"/>
        <v>0.59068618041414001</v>
      </c>
      <c r="AA240" s="199">
        <f t="shared" si="67"/>
        <v>95538.449199976356</v>
      </c>
      <c r="AB240" s="195"/>
      <c r="AC240" s="199">
        <v>94571.636839146158</v>
      </c>
      <c r="AD240" s="194">
        <f t="shared" si="68"/>
        <v>966.81236083019758</v>
      </c>
      <c r="AE240" s="194">
        <v>951.61797913890041</v>
      </c>
      <c r="AF240" s="194">
        <f t="shared" si="69"/>
        <v>15.194381691297167</v>
      </c>
    </row>
    <row r="241" spans="2:32" s="200" customFormat="1" x14ac:dyDescent="0.25">
      <c r="B241" s="201">
        <v>173</v>
      </c>
      <c r="C241" s="201">
        <v>9</v>
      </c>
      <c r="D241" s="202" t="s">
        <v>274</v>
      </c>
      <c r="E241" s="193">
        <v>352.88</v>
      </c>
      <c r="F241" s="193">
        <f>INDEX('Revised 2017 Lockdown'!H$5:H$249,MATCH(B241,'Revised 2017 Lockdown'!B$5:B$249,0))</f>
        <v>352.88</v>
      </c>
      <c r="G241" s="193">
        <f t="shared" si="55"/>
        <v>0</v>
      </c>
      <c r="H241" s="194">
        <v>161973.89000000001</v>
      </c>
      <c r="I241" s="194">
        <f>INDEX('Revised 2017 Lockdown'!E$5:E$249,MATCH(B241,'Revised 2017 Lockdown'!B$5:B$249,0))</f>
        <v>161973.89000000001</v>
      </c>
      <c r="J241" s="194">
        <f t="shared" si="56"/>
        <v>0</v>
      </c>
      <c r="K241" s="194">
        <v>80</v>
      </c>
      <c r="L241" s="194">
        <f>INDEX('Revised 2017 Lockdown'!F$5:F$249,MATCH(B241,'Revised 2017 Lockdown'!B$5:B$249,0))</f>
        <v>80</v>
      </c>
      <c r="M241" s="194">
        <f t="shared" si="57"/>
        <v>0</v>
      </c>
      <c r="N241" s="194">
        <f t="shared" si="53"/>
        <v>161893.89000000001</v>
      </c>
      <c r="O241" s="195">
        <f t="shared" si="53"/>
        <v>161893.89000000001</v>
      </c>
      <c r="P241" s="195">
        <f t="shared" si="58"/>
        <v>0</v>
      </c>
      <c r="Q241" s="95">
        <f t="shared" si="59"/>
        <v>458.77887667195654</v>
      </c>
      <c r="R241" s="196">
        <f t="shared" si="54"/>
        <v>458.77887667195654</v>
      </c>
      <c r="S241" s="194">
        <f t="shared" si="60"/>
        <v>161893.89000000001</v>
      </c>
      <c r="T241" s="197">
        <v>0.84308333333333341</v>
      </c>
      <c r="U241" s="195">
        <f t="shared" si="61"/>
        <v>41680.841978760589</v>
      </c>
      <c r="V241" s="195">
        <f t="shared" si="62"/>
        <v>18205.219508690931</v>
      </c>
      <c r="W241" s="195">
        <f t="shared" si="63"/>
        <v>10542.126957478024</v>
      </c>
      <c r="X241" s="195">
        <f t="shared" si="64"/>
        <v>2421.3256970082844</v>
      </c>
      <c r="Y241" s="195">
        <f t="shared" si="65"/>
        <v>72849.514141937834</v>
      </c>
      <c r="Z241" s="198">
        <f t="shared" si="66"/>
        <v>0.4499830978299294</v>
      </c>
      <c r="AA241" s="199">
        <f t="shared" si="67"/>
        <v>73033.394945871187</v>
      </c>
      <c r="AB241" s="195"/>
      <c r="AC241" s="199">
        <v>72035.280164857439</v>
      </c>
      <c r="AD241" s="194">
        <f t="shared" si="68"/>
        <v>998.11478101374814</v>
      </c>
      <c r="AE241" s="194">
        <v>988.37744499843393</v>
      </c>
      <c r="AF241" s="194">
        <f t="shared" si="69"/>
        <v>9.737336015314213</v>
      </c>
    </row>
    <row r="242" spans="2:32" s="200" customFormat="1" x14ac:dyDescent="0.25">
      <c r="B242" s="201">
        <v>204</v>
      </c>
      <c r="C242" s="201">
        <v>9</v>
      </c>
      <c r="D242" s="202" t="s">
        <v>275</v>
      </c>
      <c r="E242" s="193">
        <v>770.93000000000006</v>
      </c>
      <c r="F242" s="193">
        <f>INDEX('Revised 2017 Lockdown'!H$5:H$249,MATCH(B242,'Revised 2017 Lockdown'!B$5:B$249,0))</f>
        <v>695.26117999658322</v>
      </c>
      <c r="G242" s="193">
        <f t="shared" si="55"/>
        <v>-75.66882000341684</v>
      </c>
      <c r="H242" s="194">
        <v>477390.88</v>
      </c>
      <c r="I242" s="194">
        <f>INDEX('Revised 2017 Lockdown'!E$5:E$249,MATCH(B242,'Revised 2017 Lockdown'!B$5:B$249,0))</f>
        <v>583867.55000000005</v>
      </c>
      <c r="J242" s="194">
        <f t="shared" si="56"/>
        <v>106476.67000000004</v>
      </c>
      <c r="K242" s="194">
        <v>23253.81</v>
      </c>
      <c r="L242" s="194">
        <f>INDEX('Revised 2017 Lockdown'!F$5:F$249,MATCH(B242,'Revised 2017 Lockdown'!B$5:B$249,0))</f>
        <v>36940.740000000005</v>
      </c>
      <c r="M242" s="194">
        <f t="shared" si="57"/>
        <v>13686.930000000004</v>
      </c>
      <c r="N242" s="194">
        <f t="shared" si="53"/>
        <v>454137.07</v>
      </c>
      <c r="O242" s="195">
        <f t="shared" si="53"/>
        <v>546926.81000000006</v>
      </c>
      <c r="P242" s="195">
        <f t="shared" si="58"/>
        <v>92789.740000000049</v>
      </c>
      <c r="Q242" s="95">
        <f t="shared" si="59"/>
        <v>786.64942864016632</v>
      </c>
      <c r="R242" s="196">
        <f t="shared" si="54"/>
        <v>786.64942864016632</v>
      </c>
      <c r="S242" s="194">
        <f t="shared" si="60"/>
        <v>546926.81000000006</v>
      </c>
      <c r="T242" s="197">
        <v>0.3695</v>
      </c>
      <c r="U242" s="195">
        <f t="shared" si="61"/>
        <v>140810.5638919271</v>
      </c>
      <c r="V242" s="195">
        <f t="shared" si="62"/>
        <v>35868.800718967563</v>
      </c>
      <c r="W242" s="195">
        <f t="shared" si="63"/>
        <v>15608.851007420119</v>
      </c>
      <c r="X242" s="195">
        <f t="shared" si="64"/>
        <v>8179.9747935871301</v>
      </c>
      <c r="Y242" s="195">
        <f t="shared" si="65"/>
        <v>200468.19041190195</v>
      </c>
      <c r="Z242" s="198">
        <f t="shared" si="66"/>
        <v>0.36653568036260997</v>
      </c>
      <c r="AA242" s="199">
        <f t="shared" si="67"/>
        <v>200974.19587329988</v>
      </c>
      <c r="AB242" s="195"/>
      <c r="AC242" s="199">
        <v>174524.81706189743</v>
      </c>
      <c r="AD242" s="194">
        <f t="shared" si="68"/>
        <v>26449.37881140245</v>
      </c>
      <c r="AE242" s="194">
        <v>26424.610891524935</v>
      </c>
      <c r="AF242" s="194">
        <f t="shared" si="69"/>
        <v>24.767919877514942</v>
      </c>
    </row>
    <row r="243" spans="2:32" s="200" customFormat="1" x14ac:dyDescent="0.25">
      <c r="B243" s="201">
        <v>218</v>
      </c>
      <c r="C243" s="201">
        <v>9</v>
      </c>
      <c r="D243" s="202" t="s">
        <v>276</v>
      </c>
      <c r="E243" s="193">
        <v>301.22258431659509</v>
      </c>
      <c r="F243" s="193">
        <f>INDEX('Revised 2017 Lockdown'!H$5:H$249,MATCH(B243,'Revised 2017 Lockdown'!B$5:B$249,0))</f>
        <v>324.80179312584204</v>
      </c>
      <c r="G243" s="193">
        <f t="shared" si="55"/>
        <v>23.57920880924695</v>
      </c>
      <c r="H243" s="194">
        <v>203428.09</v>
      </c>
      <c r="I243" s="194">
        <f>INDEX('Revised 2017 Lockdown'!E$5:E$249,MATCH(B243,'Revised 2017 Lockdown'!B$5:B$249,0))</f>
        <v>203212.92</v>
      </c>
      <c r="J243" s="194">
        <f t="shared" si="56"/>
        <v>-215.1699999999837</v>
      </c>
      <c r="K243" s="194">
        <v>138</v>
      </c>
      <c r="L243" s="194">
        <f>INDEX('Revised 2017 Lockdown'!F$5:F$249,MATCH(B243,'Revised 2017 Lockdown'!B$5:B$249,0))</f>
        <v>138</v>
      </c>
      <c r="M243" s="194">
        <f t="shared" si="57"/>
        <v>0</v>
      </c>
      <c r="N243" s="194">
        <f t="shared" si="53"/>
        <v>203290.09</v>
      </c>
      <c r="O243" s="195">
        <f t="shared" si="53"/>
        <v>203074.92</v>
      </c>
      <c r="P243" s="195">
        <f t="shared" si="58"/>
        <v>-215.1699999999837</v>
      </c>
      <c r="Q243" s="95">
        <f t="shared" si="59"/>
        <v>625.22721332797619</v>
      </c>
      <c r="R243" s="196">
        <f t="shared" si="54"/>
        <v>625.22721332797619</v>
      </c>
      <c r="S243" s="194">
        <f t="shared" si="60"/>
        <v>203074.92000000004</v>
      </c>
      <c r="T243" s="197">
        <v>0.65316666666666667</v>
      </c>
      <c r="U243" s="195">
        <f t="shared" si="61"/>
        <v>52283.218658650112</v>
      </c>
      <c r="V243" s="195">
        <f t="shared" si="62"/>
        <v>16756.653651871387</v>
      </c>
      <c r="W243" s="195">
        <f t="shared" si="63"/>
        <v>10244.89669616249</v>
      </c>
      <c r="X243" s="195">
        <f t="shared" si="64"/>
        <v>3037.239529014354</v>
      </c>
      <c r="Y243" s="195">
        <f t="shared" si="65"/>
        <v>82322.008535698347</v>
      </c>
      <c r="Z243" s="198">
        <f t="shared" si="66"/>
        <v>0.40537752537683297</v>
      </c>
      <c r="AA243" s="199">
        <f t="shared" si="67"/>
        <v>82529.799037656398</v>
      </c>
      <c r="AB243" s="195"/>
      <c r="AC243" s="199">
        <v>80187.544709783077</v>
      </c>
      <c r="AD243" s="194">
        <f t="shared" si="68"/>
        <v>2342.254327873321</v>
      </c>
      <c r="AE243" s="194">
        <v>2331.7748341206607</v>
      </c>
      <c r="AF243" s="194">
        <f t="shared" si="69"/>
        <v>10.479493752660346</v>
      </c>
    </row>
    <row r="244" spans="2:32" s="200" customFormat="1" x14ac:dyDescent="0.25">
      <c r="B244" s="201">
        <v>230</v>
      </c>
      <c r="C244" s="201">
        <v>9</v>
      </c>
      <c r="D244" s="202" t="s">
        <v>277</v>
      </c>
      <c r="E244" s="193">
        <v>146.57443758263469</v>
      </c>
      <c r="F244" s="193">
        <f>INDEX('Revised 2017 Lockdown'!H$5:H$249,MATCH(B244,'Revised 2017 Lockdown'!B$5:B$249,0))</f>
        <v>146.57443758263469</v>
      </c>
      <c r="G244" s="193">
        <f t="shared" si="55"/>
        <v>0</v>
      </c>
      <c r="H244" s="194">
        <v>92506.27</v>
      </c>
      <c r="I244" s="194">
        <f>INDEX('Revised 2017 Lockdown'!E$5:E$249,MATCH(B244,'Revised 2017 Lockdown'!B$5:B$249,0))</f>
        <v>69106.73</v>
      </c>
      <c r="J244" s="194">
        <f t="shared" si="56"/>
        <v>-23399.540000000008</v>
      </c>
      <c r="K244" s="194">
        <v>4871.54</v>
      </c>
      <c r="L244" s="194">
        <f>INDEX('Revised 2017 Lockdown'!F$5:F$249,MATCH(B244,'Revised 2017 Lockdown'!B$5:B$249,0))</f>
        <v>4871.54</v>
      </c>
      <c r="M244" s="194">
        <f t="shared" si="57"/>
        <v>0</v>
      </c>
      <c r="N244" s="194">
        <f t="shared" si="53"/>
        <v>87634.73000000001</v>
      </c>
      <c r="O244" s="195">
        <f t="shared" si="53"/>
        <v>64235.189999999995</v>
      </c>
      <c r="P244" s="195">
        <f t="shared" si="58"/>
        <v>-23399.540000000015</v>
      </c>
      <c r="Q244" s="95">
        <f t="shared" si="59"/>
        <v>438.2427868009791</v>
      </c>
      <c r="R244" s="196">
        <f t="shared" si="54"/>
        <v>438.2427868009791</v>
      </c>
      <c r="S244" s="194">
        <f t="shared" si="60"/>
        <v>64235.189999999995</v>
      </c>
      <c r="T244" s="197">
        <v>0.17358333333333334</v>
      </c>
      <c r="U244" s="195">
        <f t="shared" si="61"/>
        <v>16537.849599300269</v>
      </c>
      <c r="V244" s="195">
        <f t="shared" si="62"/>
        <v>7561.8335143810427</v>
      </c>
      <c r="W244" s="195">
        <f t="shared" si="63"/>
        <v>861.20851788356151</v>
      </c>
      <c r="X244" s="195">
        <f t="shared" si="64"/>
        <v>960.71764165534319</v>
      </c>
      <c r="Y244" s="195">
        <f t="shared" si="65"/>
        <v>25921.60927322022</v>
      </c>
      <c r="Z244" s="198">
        <f t="shared" si="66"/>
        <v>0.40354219039782124</v>
      </c>
      <c r="AA244" s="199">
        <f t="shared" si="67"/>
        <v>25987.038485872472</v>
      </c>
      <c r="AB244" s="195"/>
      <c r="AC244" s="199">
        <v>32253.333462369315</v>
      </c>
      <c r="AD244" s="194">
        <f t="shared" si="68"/>
        <v>-6266.2949764968434</v>
      </c>
      <c r="AE244" s="194">
        <v>-6269.8741430149639</v>
      </c>
      <c r="AF244" s="194">
        <f t="shared" si="69"/>
        <v>3.5791665181204735</v>
      </c>
    </row>
    <row r="245" spans="2:32" s="200" customFormat="1" x14ac:dyDescent="0.25">
      <c r="B245" s="201">
        <v>277</v>
      </c>
      <c r="C245" s="201">
        <v>9</v>
      </c>
      <c r="D245" s="202" t="s">
        <v>278</v>
      </c>
      <c r="E245" s="193">
        <v>118.22152392243591</v>
      </c>
      <c r="F245" s="193">
        <f>INDEX('Revised 2017 Lockdown'!H$5:H$249,MATCH(B245,'Revised 2017 Lockdown'!B$5:B$249,0))</f>
        <v>118.22152392243591</v>
      </c>
      <c r="G245" s="193">
        <f t="shared" si="55"/>
        <v>0</v>
      </c>
      <c r="H245" s="194">
        <v>69536.61</v>
      </c>
      <c r="I245" s="194">
        <f>INDEX('Revised 2017 Lockdown'!E$5:E$249,MATCH(B245,'Revised 2017 Lockdown'!B$5:B$249,0))</f>
        <v>69536.61</v>
      </c>
      <c r="J245" s="194">
        <f t="shared" si="56"/>
        <v>0</v>
      </c>
      <c r="K245" s="194">
        <v>0</v>
      </c>
      <c r="L245" s="194">
        <f>INDEX('Revised 2017 Lockdown'!F$5:F$249,MATCH(B245,'Revised 2017 Lockdown'!B$5:B$249,0))</f>
        <v>0</v>
      </c>
      <c r="M245" s="194">
        <f t="shared" si="57"/>
        <v>0</v>
      </c>
      <c r="N245" s="194">
        <f t="shared" si="53"/>
        <v>69536.61</v>
      </c>
      <c r="O245" s="195">
        <f t="shared" si="53"/>
        <v>69536.61</v>
      </c>
      <c r="P245" s="195">
        <f t="shared" si="58"/>
        <v>0</v>
      </c>
      <c r="Q245" s="95">
        <f t="shared" si="59"/>
        <v>588.18908514174075</v>
      </c>
      <c r="R245" s="196">
        <f t="shared" si="54"/>
        <v>588.18908514174075</v>
      </c>
      <c r="S245" s="194">
        <f t="shared" si="60"/>
        <v>69536.61</v>
      </c>
      <c r="T245" s="197">
        <v>0.39208333333333334</v>
      </c>
      <c r="U245" s="195">
        <f t="shared" si="61"/>
        <v>17902.741438535471</v>
      </c>
      <c r="V245" s="195">
        <f t="shared" si="62"/>
        <v>6099.0954252434312</v>
      </c>
      <c r="W245" s="195">
        <f t="shared" si="63"/>
        <v>2105.8099617077346</v>
      </c>
      <c r="X245" s="195">
        <f t="shared" si="64"/>
        <v>1040.0070112333653</v>
      </c>
      <c r="Y245" s="195">
        <f t="shared" si="65"/>
        <v>27147.653836720005</v>
      </c>
      <c r="Z245" s="198">
        <f t="shared" si="66"/>
        <v>0.39040807190226851</v>
      </c>
      <c r="AA245" s="199">
        <f t="shared" si="67"/>
        <v>27216.177731095944</v>
      </c>
      <c r="AB245" s="195"/>
      <c r="AC245" s="199">
        <v>26842.297816001697</v>
      </c>
      <c r="AD245" s="194">
        <f t="shared" si="68"/>
        <v>373.87991509424683</v>
      </c>
      <c r="AE245" s="194">
        <v>370.36094767387112</v>
      </c>
      <c r="AF245" s="194">
        <f t="shared" si="69"/>
        <v>3.5189674203757022</v>
      </c>
    </row>
    <row r="246" spans="2:32" s="200" customFormat="1" x14ac:dyDescent="0.25">
      <c r="B246" s="201">
        <v>279</v>
      </c>
      <c r="C246" s="201">
        <v>9</v>
      </c>
      <c r="D246" s="202" t="s">
        <v>279</v>
      </c>
      <c r="E246" s="193">
        <v>540.1157723406485</v>
      </c>
      <c r="F246" s="193">
        <f>INDEX('Revised 2017 Lockdown'!H$5:H$249,MATCH(B246,'Revised 2017 Lockdown'!B$5:B$249,0))</f>
        <v>540.1157723406485</v>
      </c>
      <c r="G246" s="193">
        <f t="shared" si="55"/>
        <v>0</v>
      </c>
      <c r="H246" s="194">
        <v>142483.69</v>
      </c>
      <c r="I246" s="194">
        <f>INDEX('Revised 2017 Lockdown'!E$5:E$249,MATCH(B246,'Revised 2017 Lockdown'!B$5:B$249,0))</f>
        <v>141933.18</v>
      </c>
      <c r="J246" s="194">
        <f t="shared" si="56"/>
        <v>-550.51000000000931</v>
      </c>
      <c r="K246" s="194">
        <v>746</v>
      </c>
      <c r="L246" s="194">
        <f>INDEX('Revised 2017 Lockdown'!F$5:F$249,MATCH(B246,'Revised 2017 Lockdown'!B$5:B$249,0))</f>
        <v>746</v>
      </c>
      <c r="M246" s="194">
        <f t="shared" si="57"/>
        <v>0</v>
      </c>
      <c r="N246" s="194">
        <f t="shared" si="53"/>
        <v>141737.69</v>
      </c>
      <c r="O246" s="195">
        <f t="shared" si="53"/>
        <v>141187.18</v>
      </c>
      <c r="P246" s="195">
        <f t="shared" si="58"/>
        <v>-550.51000000000931</v>
      </c>
      <c r="Q246" s="95">
        <f t="shared" si="59"/>
        <v>261.40169798810075</v>
      </c>
      <c r="R246" s="196">
        <f t="shared" si="54"/>
        <v>261.40169798810075</v>
      </c>
      <c r="S246" s="194">
        <f t="shared" si="60"/>
        <v>141187.18</v>
      </c>
      <c r="T246" s="197">
        <v>0.48658333333333331</v>
      </c>
      <c r="U246" s="195">
        <f t="shared" si="61"/>
        <v>36349.738331735847</v>
      </c>
      <c r="V246" s="195">
        <f t="shared" si="62"/>
        <v>27864.787450599761</v>
      </c>
      <c r="W246" s="195">
        <f t="shared" si="63"/>
        <v>5306.1530529751399</v>
      </c>
      <c r="X246" s="195">
        <f t="shared" si="64"/>
        <v>2111.6309393895845</v>
      </c>
      <c r="Y246" s="195">
        <f t="shared" si="65"/>
        <v>71632.309774700319</v>
      </c>
      <c r="Z246" s="198">
        <f t="shared" si="66"/>
        <v>0.50735704031131101</v>
      </c>
      <c r="AA246" s="199">
        <f t="shared" si="67"/>
        <v>71813.118210612622</v>
      </c>
      <c r="AB246" s="195"/>
      <c r="AC246" s="199">
        <v>71194.934201450844</v>
      </c>
      <c r="AD246" s="194">
        <f t="shared" si="68"/>
        <v>618.18400916177779</v>
      </c>
      <c r="AE246" s="194">
        <v>607.33762882159499</v>
      </c>
      <c r="AF246" s="194">
        <f t="shared" si="69"/>
        <v>10.846380340182805</v>
      </c>
    </row>
    <row r="247" spans="2:32" s="200" customFormat="1" x14ac:dyDescent="0.25">
      <c r="B247" s="201">
        <v>331</v>
      </c>
      <c r="C247" s="201">
        <v>9</v>
      </c>
      <c r="D247" s="202" t="s">
        <v>280</v>
      </c>
      <c r="E247" s="193">
        <v>398.65860170051161</v>
      </c>
      <c r="F247" s="193">
        <f>INDEX('Revised 2017 Lockdown'!H$5:H$249,MATCH(B247,'Revised 2017 Lockdown'!B$5:B$249,0))</f>
        <v>398.65860170051161</v>
      </c>
      <c r="G247" s="193">
        <f t="shared" si="55"/>
        <v>0</v>
      </c>
      <c r="H247" s="194">
        <v>162650.39000000001</v>
      </c>
      <c r="I247" s="194">
        <f>INDEX('Revised 2017 Lockdown'!E$5:E$249,MATCH(B247,'Revised 2017 Lockdown'!B$5:B$249,0))</f>
        <v>161705.39000000001</v>
      </c>
      <c r="J247" s="194">
        <f t="shared" si="56"/>
        <v>-945</v>
      </c>
      <c r="K247" s="194">
        <v>23223.75</v>
      </c>
      <c r="L247" s="194">
        <f>INDEX('Revised 2017 Lockdown'!F$5:F$249,MATCH(B247,'Revised 2017 Lockdown'!B$5:B$249,0))</f>
        <v>23223.75</v>
      </c>
      <c r="M247" s="194">
        <f t="shared" si="57"/>
        <v>0</v>
      </c>
      <c r="N247" s="194">
        <f t="shared" si="53"/>
        <v>139426.64000000001</v>
      </c>
      <c r="O247" s="195">
        <f t="shared" si="53"/>
        <v>138481.64000000001</v>
      </c>
      <c r="P247" s="195">
        <f t="shared" si="58"/>
        <v>-945</v>
      </c>
      <c r="Q247" s="95">
        <f t="shared" si="59"/>
        <v>347.3690004663012</v>
      </c>
      <c r="R247" s="196">
        <f t="shared" si="54"/>
        <v>347.3690004663012</v>
      </c>
      <c r="S247" s="194">
        <f t="shared" si="60"/>
        <v>138481.64000000001</v>
      </c>
      <c r="T247" s="197">
        <v>0.52187499999999998</v>
      </c>
      <c r="U247" s="195">
        <f t="shared" si="61"/>
        <v>35653.176001883774</v>
      </c>
      <c r="V247" s="195">
        <f t="shared" si="62"/>
        <v>20566.955772459765</v>
      </c>
      <c r="W247" s="195">
        <f t="shared" si="63"/>
        <v>5581.9503677949278</v>
      </c>
      <c r="X247" s="195">
        <f t="shared" si="64"/>
        <v>2071.1662033437474</v>
      </c>
      <c r="Y247" s="195">
        <f t="shared" si="65"/>
        <v>63873.248345482207</v>
      </c>
      <c r="Z247" s="198">
        <f t="shared" si="66"/>
        <v>0.46123983183245232</v>
      </c>
      <c r="AA247" s="199">
        <f t="shared" si="67"/>
        <v>64034.471991157021</v>
      </c>
      <c r="AB247" s="195"/>
      <c r="AC247" s="199">
        <v>63535.076180130098</v>
      </c>
      <c r="AD247" s="194">
        <f t="shared" si="68"/>
        <v>499.39581102692318</v>
      </c>
      <c r="AE247" s="194">
        <v>490.28406998047285</v>
      </c>
      <c r="AF247" s="194">
        <f t="shared" si="69"/>
        <v>9.1117410464503337</v>
      </c>
    </row>
    <row r="248" spans="2:32" s="200" customFormat="1" x14ac:dyDescent="0.25">
      <c r="B248" s="201">
        <v>369</v>
      </c>
      <c r="C248" s="201">
        <v>9</v>
      </c>
      <c r="D248" s="202" t="s">
        <v>281</v>
      </c>
      <c r="E248" s="193">
        <v>468.64581619145497</v>
      </c>
      <c r="F248" s="193">
        <f>INDEX('Revised 2017 Lockdown'!H$5:H$249,MATCH(B248,'Revised 2017 Lockdown'!B$5:B$249,0))</f>
        <v>468.64581619145497</v>
      </c>
      <c r="G248" s="193">
        <f t="shared" si="55"/>
        <v>0</v>
      </c>
      <c r="H248" s="194">
        <v>387832.75</v>
      </c>
      <c r="I248" s="194">
        <f>INDEX('Revised 2017 Lockdown'!E$5:E$249,MATCH(B248,'Revised 2017 Lockdown'!B$5:B$249,0))</f>
        <v>387832.75</v>
      </c>
      <c r="J248" s="194">
        <f t="shared" si="56"/>
        <v>0</v>
      </c>
      <c r="K248" s="194">
        <v>0</v>
      </c>
      <c r="L248" s="194">
        <f>INDEX('Revised 2017 Lockdown'!F$5:F$249,MATCH(B248,'Revised 2017 Lockdown'!B$5:B$249,0))</f>
        <v>0</v>
      </c>
      <c r="M248" s="194">
        <f t="shared" si="57"/>
        <v>0</v>
      </c>
      <c r="N248" s="194">
        <f t="shared" si="53"/>
        <v>387832.75</v>
      </c>
      <c r="O248" s="195">
        <f t="shared" si="53"/>
        <v>387832.75</v>
      </c>
      <c r="P248" s="195">
        <f t="shared" si="58"/>
        <v>0</v>
      </c>
      <c r="Q248" s="95">
        <f t="shared" si="59"/>
        <v>827.56046592243433</v>
      </c>
      <c r="R248" s="196">
        <f t="shared" si="54"/>
        <v>827.56046592243433</v>
      </c>
      <c r="S248" s="194">
        <f t="shared" si="60"/>
        <v>387832.75</v>
      </c>
      <c r="T248" s="197">
        <v>0.67125000000000001</v>
      </c>
      <c r="U248" s="195">
        <f t="shared" si="61"/>
        <v>99850.559937364887</v>
      </c>
      <c r="V248" s="195">
        <f t="shared" si="62"/>
        <v>24177.623995678587</v>
      </c>
      <c r="W248" s="195">
        <f t="shared" si="63"/>
        <v>20107.406507386855</v>
      </c>
      <c r="X248" s="195">
        <f t="shared" si="64"/>
        <v>5800.5240575564003</v>
      </c>
      <c r="Y248" s="195">
        <f t="shared" si="65"/>
        <v>149936.11449798674</v>
      </c>
      <c r="Z248" s="198">
        <f t="shared" si="66"/>
        <v>0.38659993127962178</v>
      </c>
      <c r="AA248" s="199">
        <f t="shared" si="67"/>
        <v>150314.57101341136</v>
      </c>
      <c r="AB248" s="195"/>
      <c r="AC248" s="199">
        <v>148047.62885728764</v>
      </c>
      <c r="AD248" s="194">
        <f t="shared" si="68"/>
        <v>2266.942156123725</v>
      </c>
      <c r="AE248" s="194">
        <v>2248.683084527147</v>
      </c>
      <c r="AF248" s="194">
        <f t="shared" si="69"/>
        <v>18.259071596577996</v>
      </c>
    </row>
    <row r="249" spans="2:32" s="200" customFormat="1" x14ac:dyDescent="0.25">
      <c r="B249" s="201">
        <v>416</v>
      </c>
      <c r="C249" s="201">
        <v>9</v>
      </c>
      <c r="D249" s="202" t="s">
        <v>282</v>
      </c>
      <c r="E249" s="193">
        <v>79.001198840183932</v>
      </c>
      <c r="F249" s="193">
        <f>INDEX('Revised 2017 Lockdown'!H$5:H$249,MATCH(B249,'Revised 2017 Lockdown'!B$5:B$249,0))</f>
        <v>79.001198840183932</v>
      </c>
      <c r="G249" s="193">
        <f t="shared" si="55"/>
        <v>0</v>
      </c>
      <c r="H249" s="194">
        <v>47802.65</v>
      </c>
      <c r="I249" s="194">
        <f>INDEX('Revised 2017 Lockdown'!E$5:E$249,MATCH(B249,'Revised 2017 Lockdown'!B$5:B$249,0))</f>
        <v>47802.65</v>
      </c>
      <c r="J249" s="194">
        <f t="shared" si="56"/>
        <v>0</v>
      </c>
      <c r="K249" s="194">
        <v>134.5</v>
      </c>
      <c r="L249" s="194">
        <f>INDEX('Revised 2017 Lockdown'!F$5:F$249,MATCH(B249,'Revised 2017 Lockdown'!B$5:B$249,0))</f>
        <v>134.5</v>
      </c>
      <c r="M249" s="194">
        <f t="shared" si="57"/>
        <v>0</v>
      </c>
      <c r="N249" s="194">
        <f t="shared" si="53"/>
        <v>47668.15</v>
      </c>
      <c r="O249" s="195">
        <f t="shared" si="53"/>
        <v>47668.15</v>
      </c>
      <c r="P249" s="195">
        <f t="shared" si="58"/>
        <v>0</v>
      </c>
      <c r="Q249" s="95">
        <f t="shared" si="59"/>
        <v>603.38514731188627</v>
      </c>
      <c r="R249" s="196">
        <f t="shared" si="54"/>
        <v>603.38514731188627</v>
      </c>
      <c r="S249" s="194">
        <f t="shared" si="60"/>
        <v>47668.15</v>
      </c>
      <c r="T249" s="197">
        <v>0.58683333333333343</v>
      </c>
      <c r="U249" s="195">
        <f t="shared" si="61"/>
        <v>12272.536212267532</v>
      </c>
      <c r="V249" s="195">
        <f t="shared" si="62"/>
        <v>4075.7032598483561</v>
      </c>
      <c r="W249" s="195">
        <f t="shared" si="63"/>
        <v>2160.5800001696998</v>
      </c>
      <c r="X249" s="195">
        <f t="shared" si="64"/>
        <v>712.93682870826967</v>
      </c>
      <c r="Y249" s="195">
        <f t="shared" si="65"/>
        <v>19221.756300993857</v>
      </c>
      <c r="Z249" s="198">
        <f t="shared" si="66"/>
        <v>0.4032410802809393</v>
      </c>
      <c r="AA249" s="199">
        <f t="shared" si="67"/>
        <v>19270.274291034963</v>
      </c>
      <c r="AB249" s="195"/>
      <c r="AC249" s="199">
        <v>19000.175059583507</v>
      </c>
      <c r="AD249" s="194">
        <f t="shared" si="68"/>
        <v>270.09923145145513</v>
      </c>
      <c r="AE249" s="194">
        <v>267.63302914333326</v>
      </c>
      <c r="AF249" s="194">
        <f t="shared" si="69"/>
        <v>2.4662023081218649</v>
      </c>
    </row>
    <row r="250" spans="2:32" s="200" customFormat="1" x14ac:dyDescent="0.25">
      <c r="B250" s="201">
        <v>420</v>
      </c>
      <c r="C250" s="201">
        <v>9</v>
      </c>
      <c r="D250" s="202" t="s">
        <v>283</v>
      </c>
      <c r="E250" s="193">
        <v>423.29939066767844</v>
      </c>
      <c r="F250" s="193">
        <f>INDEX('Revised 2017 Lockdown'!H$5:H$249,MATCH(B250,'Revised 2017 Lockdown'!B$5:B$249,0))</f>
        <v>423.29939066767844</v>
      </c>
      <c r="G250" s="193">
        <f t="shared" si="55"/>
        <v>0</v>
      </c>
      <c r="H250" s="194">
        <v>188843.04</v>
      </c>
      <c r="I250" s="194">
        <f>INDEX('Revised 2017 Lockdown'!E$5:E$249,MATCH(B250,'Revised 2017 Lockdown'!B$5:B$249,0))</f>
        <v>188843.04</v>
      </c>
      <c r="J250" s="194">
        <f t="shared" si="56"/>
        <v>0</v>
      </c>
      <c r="K250" s="194">
        <v>627.58000000000004</v>
      </c>
      <c r="L250" s="194">
        <f>INDEX('Revised 2017 Lockdown'!F$5:F$249,MATCH(B250,'Revised 2017 Lockdown'!B$5:B$249,0))</f>
        <v>627.58000000000004</v>
      </c>
      <c r="M250" s="194">
        <f t="shared" si="57"/>
        <v>0</v>
      </c>
      <c r="N250" s="194">
        <f t="shared" si="53"/>
        <v>188215.46000000002</v>
      </c>
      <c r="O250" s="195">
        <f t="shared" si="53"/>
        <v>188215.46000000002</v>
      </c>
      <c r="P250" s="195">
        <f t="shared" si="58"/>
        <v>0</v>
      </c>
      <c r="Q250" s="95">
        <f t="shared" si="59"/>
        <v>444.6390997707889</v>
      </c>
      <c r="R250" s="196">
        <f t="shared" si="54"/>
        <v>444.6390997707889</v>
      </c>
      <c r="S250" s="194">
        <f t="shared" si="60"/>
        <v>188215.46000000002</v>
      </c>
      <c r="T250" s="197">
        <v>0.50916666666666666</v>
      </c>
      <c r="U250" s="195">
        <f t="shared" si="61"/>
        <v>48457.535032481675</v>
      </c>
      <c r="V250" s="195">
        <f t="shared" si="62"/>
        <v>21838.183872705176</v>
      </c>
      <c r="W250" s="195">
        <f t="shared" si="63"/>
        <v>7401.8884762115758</v>
      </c>
      <c r="X250" s="195">
        <f t="shared" si="64"/>
        <v>2814.9977116013142</v>
      </c>
      <c r="Y250" s="195">
        <f t="shared" si="65"/>
        <v>80512.605092999744</v>
      </c>
      <c r="Z250" s="198">
        <f t="shared" si="66"/>
        <v>0.42776828796635374</v>
      </c>
      <c r="AA250" s="199">
        <f t="shared" si="67"/>
        <v>80715.828446314423</v>
      </c>
      <c r="AB250" s="195"/>
      <c r="AC250" s="199">
        <v>79682.882896801617</v>
      </c>
      <c r="AD250" s="194">
        <f t="shared" si="68"/>
        <v>1032.9455495128059</v>
      </c>
      <c r="AE250" s="194">
        <v>1021.999257703661</v>
      </c>
      <c r="AF250" s="194">
        <f t="shared" si="69"/>
        <v>10.946291809144896</v>
      </c>
    </row>
    <row r="251" spans="2:32" s="200" customFormat="1" x14ac:dyDescent="0.25">
      <c r="B251" s="201">
        <v>508</v>
      </c>
      <c r="C251" s="201">
        <v>9</v>
      </c>
      <c r="D251" s="202" t="s">
        <v>284</v>
      </c>
      <c r="E251" s="193">
        <v>96.676564339446884</v>
      </c>
      <c r="F251" s="193">
        <f>INDEX('Revised 2017 Lockdown'!H$5:H$249,MATCH(B251,'Revised 2017 Lockdown'!B$5:B$249,0))</f>
        <v>96.676564339446884</v>
      </c>
      <c r="G251" s="193">
        <f t="shared" si="55"/>
        <v>0</v>
      </c>
      <c r="H251" s="194">
        <v>60727.65</v>
      </c>
      <c r="I251" s="194">
        <f>INDEX('Revised 2017 Lockdown'!E$5:E$249,MATCH(B251,'Revised 2017 Lockdown'!B$5:B$249,0))</f>
        <v>60727.65</v>
      </c>
      <c r="J251" s="194">
        <f t="shared" si="56"/>
        <v>0</v>
      </c>
      <c r="K251" s="194">
        <v>0</v>
      </c>
      <c r="L251" s="194">
        <f>INDEX('Revised 2017 Lockdown'!F$5:F$249,MATCH(B251,'Revised 2017 Lockdown'!B$5:B$249,0))</f>
        <v>0</v>
      </c>
      <c r="M251" s="194">
        <f t="shared" si="57"/>
        <v>0</v>
      </c>
      <c r="N251" s="194">
        <f t="shared" si="53"/>
        <v>60727.65</v>
      </c>
      <c r="O251" s="195">
        <f t="shared" si="53"/>
        <v>60727.65</v>
      </c>
      <c r="P251" s="195">
        <f t="shared" si="58"/>
        <v>0</v>
      </c>
      <c r="Q251" s="95">
        <f t="shared" si="59"/>
        <v>628.15275258205816</v>
      </c>
      <c r="R251" s="196">
        <f t="shared" si="54"/>
        <v>628.15275258205816</v>
      </c>
      <c r="S251" s="194">
        <f t="shared" si="60"/>
        <v>60727.65</v>
      </c>
      <c r="T251" s="197">
        <v>0.50783333333333336</v>
      </c>
      <c r="U251" s="195">
        <f t="shared" si="61"/>
        <v>15634.806127590609</v>
      </c>
      <c r="V251" s="195">
        <f t="shared" si="62"/>
        <v>4987.5823938611211</v>
      </c>
      <c r="W251" s="195">
        <f t="shared" si="63"/>
        <v>2381.9627135384299</v>
      </c>
      <c r="X251" s="195">
        <f t="shared" si="64"/>
        <v>908.25799209547142</v>
      </c>
      <c r="Y251" s="195">
        <f t="shared" si="65"/>
        <v>23912.609227085628</v>
      </c>
      <c r="Z251" s="198">
        <f t="shared" si="66"/>
        <v>0.39376806491088701</v>
      </c>
      <c r="AA251" s="199">
        <f t="shared" si="67"/>
        <v>23972.967485621899</v>
      </c>
      <c r="AB251" s="195"/>
      <c r="AC251" s="199">
        <v>23637.018264891718</v>
      </c>
      <c r="AD251" s="194">
        <f t="shared" si="68"/>
        <v>335.94922073018097</v>
      </c>
      <c r="AE251" s="194">
        <v>332.89529574300832</v>
      </c>
      <c r="AF251" s="194">
        <f t="shared" si="69"/>
        <v>3.0539249871726497</v>
      </c>
    </row>
    <row r="252" spans="2:32" s="200" customFormat="1" x14ac:dyDescent="0.25">
      <c r="B252" s="201">
        <v>512</v>
      </c>
      <c r="C252" s="201">
        <v>9</v>
      </c>
      <c r="D252" s="202" t="s">
        <v>285</v>
      </c>
      <c r="E252" s="193">
        <v>240.37592968230376</v>
      </c>
      <c r="F252" s="193">
        <f>INDEX('Revised 2017 Lockdown'!H$5:H$249,MATCH(B252,'Revised 2017 Lockdown'!B$5:B$249,0))</f>
        <v>240.37592968230376</v>
      </c>
      <c r="G252" s="193">
        <f t="shared" si="55"/>
        <v>0</v>
      </c>
      <c r="H252" s="194">
        <v>282778.59999999998</v>
      </c>
      <c r="I252" s="194">
        <f>INDEX('Revised 2017 Lockdown'!E$5:E$249,MATCH(B252,'Revised 2017 Lockdown'!B$5:B$249,0))</f>
        <v>282778.59999999998</v>
      </c>
      <c r="J252" s="194">
        <f t="shared" si="56"/>
        <v>0</v>
      </c>
      <c r="K252" s="194">
        <v>11398.92</v>
      </c>
      <c r="L252" s="194">
        <f>INDEX('Revised 2017 Lockdown'!F$5:F$249,MATCH(B252,'Revised 2017 Lockdown'!B$5:B$249,0))</f>
        <v>11398.92</v>
      </c>
      <c r="M252" s="194">
        <f t="shared" si="57"/>
        <v>0</v>
      </c>
      <c r="N252" s="194">
        <f t="shared" si="53"/>
        <v>271379.68</v>
      </c>
      <c r="O252" s="195">
        <f t="shared" si="53"/>
        <v>271379.68</v>
      </c>
      <c r="P252" s="195">
        <f t="shared" si="58"/>
        <v>0</v>
      </c>
      <c r="Q252" s="95">
        <f t="shared" si="59"/>
        <v>1128.9802617037103</v>
      </c>
      <c r="R252" s="196">
        <f t="shared" si="54"/>
        <v>1007.1597363147844</v>
      </c>
      <c r="S252" s="194">
        <f t="shared" si="60"/>
        <v>242096.9579552502</v>
      </c>
      <c r="T252" s="197">
        <v>0.61550000000000005</v>
      </c>
      <c r="U252" s="195">
        <f t="shared" si="61"/>
        <v>62329.74603347556</v>
      </c>
      <c r="V252" s="195">
        <f t="shared" si="62"/>
        <v>12401.089788233949</v>
      </c>
      <c r="W252" s="195">
        <f t="shared" si="63"/>
        <v>11509.187605081264</v>
      </c>
      <c r="X252" s="195">
        <f t="shared" si="64"/>
        <v>3620.8629335213418</v>
      </c>
      <c r="Y252" s="195">
        <f t="shared" si="65"/>
        <v>89860.886360312128</v>
      </c>
      <c r="Z252" s="198">
        <f t="shared" si="66"/>
        <v>0.37117726351985902</v>
      </c>
      <c r="AA252" s="199">
        <f t="shared" si="67"/>
        <v>90087.705883005226</v>
      </c>
      <c r="AB252" s="195"/>
      <c r="AC252" s="199">
        <v>86253.207885824246</v>
      </c>
      <c r="AD252" s="194">
        <f t="shared" si="68"/>
        <v>3834.4979971809807</v>
      </c>
      <c r="AE252" s="194">
        <v>3775.4538784220786</v>
      </c>
      <c r="AF252" s="194">
        <f t="shared" si="69"/>
        <v>59.044118758902187</v>
      </c>
    </row>
    <row r="253" spans="2:32" s="200" customFormat="1" x14ac:dyDescent="0.25">
      <c r="B253" s="201">
        <v>516</v>
      </c>
      <c r="C253" s="201">
        <v>9</v>
      </c>
      <c r="D253" s="202" t="s">
        <v>286</v>
      </c>
      <c r="E253" s="193">
        <v>318.38260667853939</v>
      </c>
      <c r="F253" s="193">
        <f>INDEX('Revised 2017 Lockdown'!H$5:H$249,MATCH(B253,'Revised 2017 Lockdown'!B$5:B$249,0))</f>
        <v>318.38260667853939</v>
      </c>
      <c r="G253" s="193">
        <f t="shared" si="55"/>
        <v>0</v>
      </c>
      <c r="H253" s="194">
        <v>149463.49</v>
      </c>
      <c r="I253" s="194">
        <f>INDEX('Revised 2017 Lockdown'!E$5:E$249,MATCH(B253,'Revised 2017 Lockdown'!B$5:B$249,0))</f>
        <v>149463.49</v>
      </c>
      <c r="J253" s="194">
        <f t="shared" si="56"/>
        <v>0</v>
      </c>
      <c r="K253" s="194">
        <v>40.049999999999997</v>
      </c>
      <c r="L253" s="194">
        <f>INDEX('Revised 2017 Lockdown'!F$5:F$249,MATCH(B253,'Revised 2017 Lockdown'!B$5:B$249,0))</f>
        <v>40.049999999999997</v>
      </c>
      <c r="M253" s="194">
        <f t="shared" si="57"/>
        <v>0</v>
      </c>
      <c r="N253" s="194">
        <f t="shared" si="53"/>
        <v>149423.44</v>
      </c>
      <c r="O253" s="195">
        <f t="shared" si="53"/>
        <v>149423.44</v>
      </c>
      <c r="P253" s="195">
        <f t="shared" si="58"/>
        <v>0</v>
      </c>
      <c r="Q253" s="95">
        <f t="shared" si="59"/>
        <v>469.32036130625693</v>
      </c>
      <c r="R253" s="196">
        <f t="shared" si="54"/>
        <v>469.32036130625693</v>
      </c>
      <c r="S253" s="194">
        <f t="shared" si="60"/>
        <v>149423.44</v>
      </c>
      <c r="T253" s="197">
        <v>0.42841666666666667</v>
      </c>
      <c r="U253" s="195">
        <f t="shared" si="61"/>
        <v>38470.227570434028</v>
      </c>
      <c r="V253" s="195">
        <f t="shared" si="62"/>
        <v>16425.485270720972</v>
      </c>
      <c r="W253" s="195">
        <f t="shared" si="63"/>
        <v>4944.3859984900337</v>
      </c>
      <c r="X253" s="195">
        <f t="shared" si="64"/>
        <v>2234.8145134283668</v>
      </c>
      <c r="Y253" s="195">
        <f t="shared" si="65"/>
        <v>62074.913353073403</v>
      </c>
      <c r="Z253" s="198">
        <f t="shared" si="66"/>
        <v>0.41542955611966503</v>
      </c>
      <c r="AA253" s="199">
        <f t="shared" si="67"/>
        <v>62231.597788184627</v>
      </c>
      <c r="AB253" s="195"/>
      <c r="AC253" s="199">
        <v>61425.884522020555</v>
      </c>
      <c r="AD253" s="194">
        <f t="shared" si="68"/>
        <v>805.71326616407168</v>
      </c>
      <c r="AE253" s="194">
        <v>797.33621390027838</v>
      </c>
      <c r="AF253" s="194">
        <f t="shared" si="69"/>
        <v>8.3770522637933027</v>
      </c>
    </row>
    <row r="254" spans="2:32" s="200" customFormat="1" x14ac:dyDescent="0.25">
      <c r="B254" s="201">
        <v>521</v>
      </c>
      <c r="C254" s="201">
        <v>9</v>
      </c>
      <c r="D254" s="202" t="s">
        <v>287</v>
      </c>
      <c r="E254" s="193">
        <v>130.45414260299998</v>
      </c>
      <c r="F254" s="193">
        <f>INDEX('Revised 2017 Lockdown'!H$5:H$249,MATCH(B254,'Revised 2017 Lockdown'!B$5:B$249,0))</f>
        <v>130.45414260299998</v>
      </c>
      <c r="G254" s="193">
        <f t="shared" si="55"/>
        <v>0</v>
      </c>
      <c r="H254" s="194">
        <v>324197.18</v>
      </c>
      <c r="I254" s="194">
        <f>INDEX('Revised 2017 Lockdown'!E$5:E$249,MATCH(B254,'Revised 2017 Lockdown'!B$5:B$249,0))</f>
        <v>324197.18</v>
      </c>
      <c r="J254" s="194">
        <f t="shared" si="56"/>
        <v>0</v>
      </c>
      <c r="K254" s="194">
        <v>0</v>
      </c>
      <c r="L254" s="194">
        <f>INDEX('Revised 2017 Lockdown'!F$5:F$249,MATCH(B254,'Revised 2017 Lockdown'!B$5:B$249,0))</f>
        <v>0</v>
      </c>
      <c r="M254" s="194">
        <f t="shared" si="57"/>
        <v>0</v>
      </c>
      <c r="N254" s="194">
        <f t="shared" si="53"/>
        <v>324197.18</v>
      </c>
      <c r="O254" s="195">
        <f t="shared" si="53"/>
        <v>324197.18</v>
      </c>
      <c r="P254" s="195">
        <f t="shared" si="58"/>
        <v>0</v>
      </c>
      <c r="Q254" s="95">
        <f t="shared" si="59"/>
        <v>2485.142851972143</v>
      </c>
      <c r="R254" s="196">
        <f t="shared" si="54"/>
        <v>1007.1597363147844</v>
      </c>
      <c r="S254" s="194">
        <f t="shared" si="60"/>
        <v>131388.15986520873</v>
      </c>
      <c r="T254" s="197">
        <v>0.33945833333333331</v>
      </c>
      <c r="U254" s="195">
        <f t="shared" si="61"/>
        <v>33826.904333584789</v>
      </c>
      <c r="V254" s="195">
        <f t="shared" si="62"/>
        <v>6730.1810867878148</v>
      </c>
      <c r="W254" s="195">
        <f t="shared" si="63"/>
        <v>3444.8473700714408</v>
      </c>
      <c r="X254" s="195">
        <f t="shared" si="64"/>
        <v>1965.0743321089042</v>
      </c>
      <c r="Y254" s="195">
        <f t="shared" si="65"/>
        <v>45967.007122552946</v>
      </c>
      <c r="Z254" s="198">
        <f t="shared" si="66"/>
        <v>0.34985654087636631</v>
      </c>
      <c r="AA254" s="199">
        <f t="shared" si="67"/>
        <v>46083.033294088382</v>
      </c>
      <c r="AB254" s="195"/>
      <c r="AC254" s="199">
        <v>44157.12741943141</v>
      </c>
      <c r="AD254" s="194">
        <f t="shared" si="68"/>
        <v>1925.9058746569717</v>
      </c>
      <c r="AE254" s="194">
        <v>1895.9178583950052</v>
      </c>
      <c r="AF254" s="194">
        <f t="shared" si="69"/>
        <v>29.98801626196655</v>
      </c>
    </row>
    <row r="255" spans="2:32" s="200" customFormat="1" x14ac:dyDescent="0.25">
      <c r="B255" s="201">
        <v>522</v>
      </c>
      <c r="C255" s="201">
        <v>9</v>
      </c>
      <c r="D255" s="202" t="s">
        <v>288</v>
      </c>
      <c r="E255" s="193">
        <v>100.03985639352658</v>
      </c>
      <c r="F255" s="193">
        <f>INDEX('Revised 2017 Lockdown'!H$5:H$249,MATCH(B255,'Revised 2017 Lockdown'!B$5:B$249,0))</f>
        <v>100.03985639352658</v>
      </c>
      <c r="G255" s="193">
        <f t="shared" si="55"/>
        <v>0</v>
      </c>
      <c r="H255" s="194">
        <v>96784.89</v>
      </c>
      <c r="I255" s="194">
        <f>INDEX('Revised 2017 Lockdown'!E$5:E$249,MATCH(B255,'Revised 2017 Lockdown'!B$5:B$249,0))</f>
        <v>96784.89</v>
      </c>
      <c r="J255" s="194">
        <f t="shared" si="56"/>
        <v>0</v>
      </c>
      <c r="K255" s="194">
        <v>36</v>
      </c>
      <c r="L255" s="194">
        <f>INDEX('Revised 2017 Lockdown'!F$5:F$249,MATCH(B255,'Revised 2017 Lockdown'!B$5:B$249,0))</f>
        <v>36</v>
      </c>
      <c r="M255" s="194">
        <f t="shared" si="57"/>
        <v>0</v>
      </c>
      <c r="N255" s="194">
        <f t="shared" si="53"/>
        <v>96748.89</v>
      </c>
      <c r="O255" s="195">
        <f t="shared" si="53"/>
        <v>96748.89</v>
      </c>
      <c r="P255" s="195">
        <f t="shared" si="58"/>
        <v>0</v>
      </c>
      <c r="Q255" s="95">
        <f t="shared" si="59"/>
        <v>967.1034474441775</v>
      </c>
      <c r="R255" s="196">
        <f t="shared" si="54"/>
        <v>967.1034474441775</v>
      </c>
      <c r="S255" s="194">
        <f t="shared" si="60"/>
        <v>96748.89</v>
      </c>
      <c r="T255" s="197">
        <v>0.61304166666666671</v>
      </c>
      <c r="U255" s="195">
        <f t="shared" si="61"/>
        <v>24908.754714032075</v>
      </c>
      <c r="V255" s="195">
        <f t="shared" si="62"/>
        <v>5161.095968210353</v>
      </c>
      <c r="W255" s="195">
        <f t="shared" si="63"/>
        <v>4581.0313513444244</v>
      </c>
      <c r="X255" s="195">
        <f t="shared" si="64"/>
        <v>1447.0007083900932</v>
      </c>
      <c r="Y255" s="195">
        <f t="shared" si="65"/>
        <v>36097.882741976944</v>
      </c>
      <c r="Z255" s="198">
        <f t="shared" si="66"/>
        <v>0.37310901181374734</v>
      </c>
      <c r="AA255" s="199">
        <f t="shared" si="67"/>
        <v>36188.998074413532</v>
      </c>
      <c r="AB255" s="195"/>
      <c r="AC255" s="199">
        <v>35625.950888004743</v>
      </c>
      <c r="AD255" s="194">
        <f t="shared" si="68"/>
        <v>563.04718640878855</v>
      </c>
      <c r="AE255" s="194">
        <v>558.74153093822679</v>
      </c>
      <c r="AF255" s="194">
        <f t="shared" si="69"/>
        <v>4.30565547056176</v>
      </c>
    </row>
    <row r="256" spans="2:32" s="200" customFormat="1" x14ac:dyDescent="0.25">
      <c r="B256" s="201">
        <v>523</v>
      </c>
      <c r="C256" s="201">
        <v>9</v>
      </c>
      <c r="D256" s="202" t="s">
        <v>289</v>
      </c>
      <c r="E256" s="193">
        <v>1100.2666392830195</v>
      </c>
      <c r="F256" s="193">
        <f>INDEX('Revised 2017 Lockdown'!H$5:H$249,MATCH(B256,'Revised 2017 Lockdown'!B$5:B$249,0))</f>
        <v>1100.2666392830195</v>
      </c>
      <c r="G256" s="193">
        <f t="shared" si="55"/>
        <v>0</v>
      </c>
      <c r="H256" s="194">
        <v>241124.1</v>
      </c>
      <c r="I256" s="194">
        <f>INDEX('Revised 2017 Lockdown'!E$5:E$249,MATCH(B256,'Revised 2017 Lockdown'!B$5:B$249,0))</f>
        <v>241124.1</v>
      </c>
      <c r="J256" s="194">
        <f t="shared" si="56"/>
        <v>0</v>
      </c>
      <c r="K256" s="194">
        <v>310</v>
      </c>
      <c r="L256" s="194">
        <f>INDEX('Revised 2017 Lockdown'!F$5:F$249,MATCH(B256,'Revised 2017 Lockdown'!B$5:B$249,0))</f>
        <v>310</v>
      </c>
      <c r="M256" s="194">
        <f t="shared" si="57"/>
        <v>0</v>
      </c>
      <c r="N256" s="194">
        <f t="shared" si="53"/>
        <v>240814.1</v>
      </c>
      <c r="O256" s="195">
        <f t="shared" si="53"/>
        <v>240814.1</v>
      </c>
      <c r="P256" s="195">
        <f t="shared" si="58"/>
        <v>0</v>
      </c>
      <c r="Q256" s="95">
        <f t="shared" si="59"/>
        <v>218.86885542301337</v>
      </c>
      <c r="R256" s="196">
        <f t="shared" si="54"/>
        <v>218.86885542301337</v>
      </c>
      <c r="S256" s="194">
        <f t="shared" si="60"/>
        <v>240814.09999999998</v>
      </c>
      <c r="T256" s="197">
        <v>0.85316666666666663</v>
      </c>
      <c r="U256" s="195">
        <f t="shared" si="61"/>
        <v>61999.464268586351</v>
      </c>
      <c r="V256" s="195">
        <f t="shared" si="62"/>
        <v>56763.193397860552</v>
      </c>
      <c r="W256" s="195">
        <f t="shared" si="63"/>
        <v>15868.762879544676</v>
      </c>
      <c r="X256" s="195">
        <f t="shared" si="64"/>
        <v>3601.6761876061082</v>
      </c>
      <c r="Y256" s="195">
        <f t="shared" si="65"/>
        <v>138233.09673359769</v>
      </c>
      <c r="Z256" s="198">
        <f t="shared" si="66"/>
        <v>0.57402409881148031</v>
      </c>
      <c r="AA256" s="199">
        <f t="shared" si="67"/>
        <v>138582.01344576749</v>
      </c>
      <c r="AB256" s="195"/>
      <c r="AC256" s="199">
        <v>137053.63746914698</v>
      </c>
      <c r="AD256" s="194">
        <f t="shared" si="68"/>
        <v>1528.3759766205039</v>
      </c>
      <c r="AE256" s="194">
        <v>1506.9901018197997</v>
      </c>
      <c r="AF256" s="194">
        <f t="shared" si="69"/>
        <v>21.385874800704187</v>
      </c>
    </row>
    <row r="257" spans="2:32" s="200" customFormat="1" x14ac:dyDescent="0.25">
      <c r="B257" s="204">
        <v>527</v>
      </c>
      <c r="C257" s="204">
        <v>9</v>
      </c>
      <c r="D257" s="205" t="s">
        <v>290</v>
      </c>
      <c r="E257" s="193">
        <v>202.44848299718456</v>
      </c>
      <c r="F257" s="193">
        <f>INDEX('Revised 2017 Lockdown'!H$5:H$249,MATCH(B257,'Revised 2017 Lockdown'!B$5:B$249,0))</f>
        <v>202.44848299718456</v>
      </c>
      <c r="G257" s="193">
        <f t="shared" si="55"/>
        <v>0</v>
      </c>
      <c r="H257" s="194">
        <v>102100.27</v>
      </c>
      <c r="I257" s="194">
        <f>INDEX('Revised 2017 Lockdown'!E$5:E$249,MATCH(B257,'Revised 2017 Lockdown'!B$5:B$249,0))</f>
        <v>102100.27</v>
      </c>
      <c r="J257" s="194">
        <f t="shared" si="56"/>
        <v>0</v>
      </c>
      <c r="K257" s="194">
        <v>90</v>
      </c>
      <c r="L257" s="194">
        <f>INDEX('Revised 2017 Lockdown'!F$5:F$249,MATCH(B257,'Revised 2017 Lockdown'!B$5:B$249,0))</f>
        <v>90</v>
      </c>
      <c r="M257" s="194">
        <f t="shared" si="57"/>
        <v>0</v>
      </c>
      <c r="N257" s="194">
        <f t="shared" si="53"/>
        <v>102010.27</v>
      </c>
      <c r="O257" s="195">
        <f t="shared" si="53"/>
        <v>102010.27</v>
      </c>
      <c r="P257" s="195">
        <f t="shared" si="58"/>
        <v>0</v>
      </c>
      <c r="Q257" s="95">
        <f t="shared" si="59"/>
        <v>503.88260998438136</v>
      </c>
      <c r="R257" s="196">
        <f t="shared" si="54"/>
        <v>503.88260998438136</v>
      </c>
      <c r="S257" s="194">
        <f t="shared" si="60"/>
        <v>102010.27</v>
      </c>
      <c r="T257" s="197">
        <v>0.72025000000000006</v>
      </c>
      <c r="U257" s="195">
        <f t="shared" si="61"/>
        <v>26263.337943641367</v>
      </c>
      <c r="V257" s="195">
        <f t="shared" si="62"/>
        <v>10444.397733408605</v>
      </c>
      <c r="W257" s="195">
        <f t="shared" si="63"/>
        <v>5674.8507461723093</v>
      </c>
      <c r="X257" s="195">
        <f t="shared" si="64"/>
        <v>1525.6912296674893</v>
      </c>
      <c r="Y257" s="195">
        <f t="shared" si="65"/>
        <v>43908.277652889774</v>
      </c>
      <c r="Z257" s="198">
        <f t="shared" si="66"/>
        <v>0.43042997193213756</v>
      </c>
      <c r="AA257" s="199">
        <f t="shared" si="67"/>
        <v>44019.107347352961</v>
      </c>
      <c r="AB257" s="195"/>
      <c r="AC257" s="199">
        <v>43409.465432567828</v>
      </c>
      <c r="AD257" s="194">
        <f t="shared" si="68"/>
        <v>609.64191478513385</v>
      </c>
      <c r="AE257" s="194">
        <v>603.85011607039633</v>
      </c>
      <c r="AF257" s="194">
        <f t="shared" si="69"/>
        <v>5.7917987147375243</v>
      </c>
    </row>
    <row r="258" spans="2:32" s="200" customFormat="1" x14ac:dyDescent="0.25">
      <c r="B258" s="204">
        <v>543</v>
      </c>
      <c r="C258" s="204">
        <v>9</v>
      </c>
      <c r="D258" s="205" t="s">
        <v>291</v>
      </c>
      <c r="E258" s="193">
        <v>87.043542053499934</v>
      </c>
      <c r="F258" s="193">
        <f>INDEX('Revised 2017 Lockdown'!H$5:H$249,MATCH(B258,'Revised 2017 Lockdown'!B$5:B$249,0))</f>
        <v>87.043542053499934</v>
      </c>
      <c r="G258" s="193">
        <f t="shared" si="55"/>
        <v>0</v>
      </c>
      <c r="H258" s="194">
        <v>35958.870000000003</v>
      </c>
      <c r="I258" s="194">
        <f>INDEX('Revised 2017 Lockdown'!E$5:E$249,MATCH(B258,'Revised 2017 Lockdown'!B$5:B$249,0))</f>
        <v>35958.870000000003</v>
      </c>
      <c r="J258" s="194">
        <f t="shared" si="56"/>
        <v>0</v>
      </c>
      <c r="K258" s="194">
        <v>0</v>
      </c>
      <c r="L258" s="194">
        <f>INDEX('Revised 2017 Lockdown'!F$5:F$249,MATCH(B258,'Revised 2017 Lockdown'!B$5:B$249,0))</f>
        <v>0</v>
      </c>
      <c r="M258" s="194">
        <f t="shared" si="57"/>
        <v>0</v>
      </c>
      <c r="N258" s="194">
        <f t="shared" si="53"/>
        <v>35958.870000000003</v>
      </c>
      <c r="O258" s="195">
        <f t="shared" si="53"/>
        <v>35958.870000000003</v>
      </c>
      <c r="P258" s="195">
        <f t="shared" si="58"/>
        <v>0</v>
      </c>
      <c r="Q258" s="95">
        <f t="shared" si="59"/>
        <v>413.11358834522673</v>
      </c>
      <c r="R258" s="196">
        <f t="shared" si="54"/>
        <v>413.11358834522673</v>
      </c>
      <c r="S258" s="194">
        <f t="shared" si="60"/>
        <v>35958.870000000003</v>
      </c>
      <c r="T258" s="197">
        <v>0.27208333333333334</v>
      </c>
      <c r="U258" s="195">
        <f t="shared" si="61"/>
        <v>9257.8909445241879</v>
      </c>
      <c r="V258" s="195">
        <f t="shared" si="62"/>
        <v>4490.610943941103</v>
      </c>
      <c r="W258" s="195">
        <f t="shared" si="63"/>
        <v>755.6753483467869</v>
      </c>
      <c r="X258" s="195">
        <f t="shared" si="64"/>
        <v>537.80989490326215</v>
      </c>
      <c r="Y258" s="195">
        <f t="shared" si="65"/>
        <v>15041.987131715341</v>
      </c>
      <c r="Z258" s="198">
        <f t="shared" si="66"/>
        <v>0.4183108960797528</v>
      </c>
      <c r="AA258" s="199">
        <f t="shared" si="67"/>
        <v>15079.954889209865</v>
      </c>
      <c r="AB258" s="195"/>
      <c r="AC258" s="199">
        <v>14896.735116850248</v>
      </c>
      <c r="AD258" s="194">
        <f t="shared" si="68"/>
        <v>183.2197723596164</v>
      </c>
      <c r="AE258" s="194">
        <v>689.05480835762319</v>
      </c>
      <c r="AF258" s="194">
        <f t="shared" si="69"/>
        <v>-505.83503599800679</v>
      </c>
    </row>
    <row r="259" spans="2:32" s="200" customFormat="1" x14ac:dyDescent="0.25">
      <c r="B259" s="204">
        <v>547</v>
      </c>
      <c r="C259" s="204">
        <v>9</v>
      </c>
      <c r="D259" s="205" t="s">
        <v>292</v>
      </c>
      <c r="E259" s="193">
        <v>243.74826284405572</v>
      </c>
      <c r="F259" s="193">
        <f>INDEX('Revised 2017 Lockdown'!H$5:H$249,MATCH(B259,'Revised 2017 Lockdown'!B$5:B$249,0))</f>
        <v>243.74826284405572</v>
      </c>
      <c r="G259" s="193">
        <f t="shared" si="55"/>
        <v>0</v>
      </c>
      <c r="H259" s="194">
        <v>97156.09</v>
      </c>
      <c r="I259" s="194">
        <f>INDEX('Revised 2017 Lockdown'!E$5:E$249,MATCH(B259,'Revised 2017 Lockdown'!B$5:B$249,0))</f>
        <v>97156.09</v>
      </c>
      <c r="J259" s="194">
        <f t="shared" si="56"/>
        <v>0</v>
      </c>
      <c r="K259" s="194">
        <v>0</v>
      </c>
      <c r="L259" s="194">
        <f>INDEX('Revised 2017 Lockdown'!F$5:F$249,MATCH(B259,'Revised 2017 Lockdown'!B$5:B$249,0))</f>
        <v>0</v>
      </c>
      <c r="M259" s="194">
        <f t="shared" si="57"/>
        <v>0</v>
      </c>
      <c r="N259" s="194">
        <f t="shared" si="53"/>
        <v>97156.09</v>
      </c>
      <c r="O259" s="195">
        <f t="shared" si="53"/>
        <v>97156.09</v>
      </c>
      <c r="P259" s="195">
        <f t="shared" si="58"/>
        <v>0</v>
      </c>
      <c r="Q259" s="95">
        <f t="shared" si="59"/>
        <v>398.59192786189465</v>
      </c>
      <c r="R259" s="196">
        <f t="shared" si="54"/>
        <v>398.59192786189465</v>
      </c>
      <c r="S259" s="194">
        <f t="shared" si="60"/>
        <v>97156.09</v>
      </c>
      <c r="T259" s="197">
        <v>0.68933333333333346</v>
      </c>
      <c r="U259" s="195">
        <f t="shared" si="61"/>
        <v>25013.591523214625</v>
      </c>
      <c r="V259" s="195">
        <f t="shared" si="62"/>
        <v>12575.069796922829</v>
      </c>
      <c r="W259" s="195">
        <f t="shared" si="63"/>
        <v>5172.8107270007858</v>
      </c>
      <c r="X259" s="195">
        <f t="shared" si="64"/>
        <v>1453.0908939049496</v>
      </c>
      <c r="Y259" s="195">
        <f t="shared" si="65"/>
        <v>44214.562941043194</v>
      </c>
      <c r="Z259" s="198">
        <f t="shared" si="66"/>
        <v>0.45508792028418593</v>
      </c>
      <c r="AA259" s="199">
        <f t="shared" si="67"/>
        <v>44326.165735858274</v>
      </c>
      <c r="AB259" s="195"/>
      <c r="AC259" s="199">
        <v>43753.522490688891</v>
      </c>
      <c r="AD259" s="194">
        <f t="shared" si="68"/>
        <v>572.64324516938359</v>
      </c>
      <c r="AE259" s="194">
        <v>566.54323534414289</v>
      </c>
      <c r="AF259" s="194">
        <f t="shared" si="69"/>
        <v>6.1000098252407042</v>
      </c>
    </row>
    <row r="260" spans="2:32" s="200" customFormat="1" x14ac:dyDescent="0.25">
      <c r="B260" s="204">
        <v>552</v>
      </c>
      <c r="C260" s="204">
        <v>9</v>
      </c>
      <c r="D260" s="205" t="s">
        <v>293</v>
      </c>
      <c r="E260" s="193">
        <v>129.99</v>
      </c>
      <c r="F260" s="193">
        <f>INDEX('Revised 2017 Lockdown'!H$5:H$249,MATCH(B260,'Revised 2017 Lockdown'!B$5:B$249,0))</f>
        <v>129.99</v>
      </c>
      <c r="G260" s="193">
        <f t="shared" si="55"/>
        <v>0</v>
      </c>
      <c r="H260" s="194">
        <v>103061.3</v>
      </c>
      <c r="I260" s="194">
        <f>INDEX('Revised 2017 Lockdown'!E$5:E$249,MATCH(B260,'Revised 2017 Lockdown'!B$5:B$249,0))</f>
        <v>103061.3</v>
      </c>
      <c r="J260" s="194">
        <f t="shared" si="56"/>
        <v>0</v>
      </c>
      <c r="K260" s="194">
        <v>0</v>
      </c>
      <c r="L260" s="194">
        <f>INDEX('Revised 2017 Lockdown'!F$5:F$249,MATCH(B260,'Revised 2017 Lockdown'!B$5:B$249,0))</f>
        <v>0</v>
      </c>
      <c r="M260" s="194">
        <f t="shared" si="57"/>
        <v>0</v>
      </c>
      <c r="N260" s="194">
        <f t="shared" si="53"/>
        <v>103061.3</v>
      </c>
      <c r="O260" s="195">
        <f t="shared" si="53"/>
        <v>103061.3</v>
      </c>
      <c r="P260" s="195">
        <f t="shared" si="58"/>
        <v>0</v>
      </c>
      <c r="Q260" s="95">
        <f t="shared" si="59"/>
        <v>792.84021847834447</v>
      </c>
      <c r="R260" s="196">
        <f t="shared" si="54"/>
        <v>792.84021847834447</v>
      </c>
      <c r="S260" s="194">
        <f t="shared" si="60"/>
        <v>103061.3</v>
      </c>
      <c r="T260" s="197">
        <v>0.42549999999999999</v>
      </c>
      <c r="U260" s="195">
        <f t="shared" si="61"/>
        <v>26533.933797165773</v>
      </c>
      <c r="V260" s="195">
        <f t="shared" si="62"/>
        <v>6706.2357853512076</v>
      </c>
      <c r="W260" s="195">
        <f t="shared" si="63"/>
        <v>3387.0566492082112</v>
      </c>
      <c r="X260" s="195">
        <f t="shared" si="64"/>
        <v>1541.410698433893</v>
      </c>
      <c r="Y260" s="195">
        <f t="shared" si="65"/>
        <v>38168.636930159089</v>
      </c>
      <c r="Z260" s="198">
        <f t="shared" si="66"/>
        <v>0.37034887906672137</v>
      </c>
      <c r="AA260" s="199">
        <f t="shared" si="67"/>
        <v>38264.979091481997</v>
      </c>
      <c r="AB260" s="195"/>
      <c r="AC260" s="199">
        <v>37718.323148925701</v>
      </c>
      <c r="AD260" s="194">
        <f t="shared" si="68"/>
        <v>546.65594255629549</v>
      </c>
      <c r="AE260" s="194">
        <v>541.95229147248028</v>
      </c>
      <c r="AF260" s="194">
        <f t="shared" si="69"/>
        <v>4.7036510838152026</v>
      </c>
    </row>
    <row r="261" spans="2:32" s="200" customFormat="1" x14ac:dyDescent="0.25">
      <c r="B261" s="204">
        <v>567</v>
      </c>
      <c r="C261" s="204">
        <v>9</v>
      </c>
      <c r="D261" s="205" t="s">
        <v>294</v>
      </c>
      <c r="E261" s="193">
        <v>357.89224720630364</v>
      </c>
      <c r="F261" s="193">
        <f>INDEX('Revised 2017 Lockdown'!H$5:H$249,MATCH(B261,'Revised 2017 Lockdown'!B$5:B$249,0))</f>
        <v>357.89224720630364</v>
      </c>
      <c r="G261" s="193">
        <f t="shared" si="55"/>
        <v>0</v>
      </c>
      <c r="H261" s="194">
        <v>192252.35</v>
      </c>
      <c r="I261" s="194">
        <f>INDEX('Revised 2017 Lockdown'!E$5:E$249,MATCH(B261,'Revised 2017 Lockdown'!B$5:B$249,0))</f>
        <v>192252.35</v>
      </c>
      <c r="J261" s="194">
        <f t="shared" si="56"/>
        <v>0</v>
      </c>
      <c r="K261" s="194">
        <v>160</v>
      </c>
      <c r="L261" s="194">
        <f>INDEX('Revised 2017 Lockdown'!F$5:F$249,MATCH(B261,'Revised 2017 Lockdown'!B$5:B$249,0))</f>
        <v>160</v>
      </c>
      <c r="M261" s="194">
        <f t="shared" si="57"/>
        <v>0</v>
      </c>
      <c r="N261" s="194">
        <f t="shared" si="53"/>
        <v>192092.35</v>
      </c>
      <c r="O261" s="195">
        <f t="shared" si="53"/>
        <v>192092.35</v>
      </c>
      <c r="P261" s="195">
        <f t="shared" si="58"/>
        <v>0</v>
      </c>
      <c r="Q261" s="95">
        <f t="shared" si="59"/>
        <v>536.73235869026848</v>
      </c>
      <c r="R261" s="196">
        <f t="shared" si="54"/>
        <v>536.73235869026848</v>
      </c>
      <c r="S261" s="194">
        <f t="shared" si="60"/>
        <v>192092.35</v>
      </c>
      <c r="T261" s="197">
        <v>0.68016666666666681</v>
      </c>
      <c r="U261" s="195">
        <f t="shared" si="61"/>
        <v>49455.670536292455</v>
      </c>
      <c r="V261" s="195">
        <f t="shared" si="62"/>
        <v>18463.803334984801</v>
      </c>
      <c r="W261" s="195">
        <f t="shared" si="63"/>
        <v>10091.429572930478</v>
      </c>
      <c r="X261" s="195">
        <f t="shared" si="64"/>
        <v>2872.9814525656852</v>
      </c>
      <c r="Y261" s="195">
        <f t="shared" si="65"/>
        <v>80883.884896773408</v>
      </c>
      <c r="Z261" s="198">
        <f t="shared" si="66"/>
        <v>0.42106770465754312</v>
      </c>
      <c r="AA261" s="199">
        <f t="shared" si="67"/>
        <v>81088.045404297096</v>
      </c>
      <c r="AB261" s="195"/>
      <c r="AC261" s="199">
        <v>79962.360478612012</v>
      </c>
      <c r="AD261" s="194">
        <f t="shared" si="68"/>
        <v>1125.6849256850837</v>
      </c>
      <c r="AE261" s="194">
        <v>1115.1225794562924</v>
      </c>
      <c r="AF261" s="194">
        <f t="shared" si="69"/>
        <v>10.562346228791284</v>
      </c>
    </row>
    <row r="262" spans="2:32" s="200" customFormat="1" x14ac:dyDescent="0.25">
      <c r="B262" s="204">
        <v>629</v>
      </c>
      <c r="C262" s="204">
        <v>9</v>
      </c>
      <c r="D262" s="205" t="s">
        <v>295</v>
      </c>
      <c r="E262" s="193">
        <v>240.14990199049728</v>
      </c>
      <c r="F262" s="193">
        <f>INDEX('Revised 2017 Lockdown'!H$5:H$249,MATCH(B262,'Revised 2017 Lockdown'!B$5:B$249,0))</f>
        <v>240.14990199049728</v>
      </c>
      <c r="G262" s="193">
        <f t="shared" si="55"/>
        <v>0</v>
      </c>
      <c r="H262" s="194">
        <v>159462.06</v>
      </c>
      <c r="I262" s="194">
        <f>INDEX('Revised 2017 Lockdown'!E$5:E$249,MATCH(B262,'Revised 2017 Lockdown'!B$5:B$249,0))</f>
        <v>176268.94</v>
      </c>
      <c r="J262" s="194">
        <f t="shared" si="56"/>
        <v>16806.880000000005</v>
      </c>
      <c r="K262" s="194">
        <v>5167.2699999999995</v>
      </c>
      <c r="L262" s="194">
        <f>INDEX('Revised 2017 Lockdown'!F$5:F$249,MATCH(B262,'Revised 2017 Lockdown'!B$5:B$249,0))</f>
        <v>5167.2699999999995</v>
      </c>
      <c r="M262" s="194">
        <f t="shared" si="57"/>
        <v>0</v>
      </c>
      <c r="N262" s="194">
        <f t="shared" si="53"/>
        <v>154294.79</v>
      </c>
      <c r="O262" s="195">
        <f t="shared" si="53"/>
        <v>171101.67</v>
      </c>
      <c r="P262" s="195">
        <f t="shared" si="58"/>
        <v>16806.880000000005</v>
      </c>
      <c r="Q262" s="95">
        <f t="shared" si="59"/>
        <v>712.47861682146549</v>
      </c>
      <c r="R262" s="196">
        <f t="shared" si="54"/>
        <v>712.47861682146549</v>
      </c>
      <c r="S262" s="194">
        <f t="shared" si="60"/>
        <v>171101.67</v>
      </c>
      <c r="T262" s="197">
        <v>0.51433333333333342</v>
      </c>
      <c r="U262" s="195">
        <f t="shared" si="61"/>
        <v>44051.456602667597</v>
      </c>
      <c r="V262" s="195">
        <f t="shared" si="62"/>
        <v>12389.428929742733</v>
      </c>
      <c r="W262" s="195">
        <f t="shared" si="63"/>
        <v>6797.1397537916109</v>
      </c>
      <c r="X262" s="195">
        <f t="shared" si="64"/>
        <v>2559.0395682754393</v>
      </c>
      <c r="Y262" s="195">
        <f t="shared" si="65"/>
        <v>65797.064854477387</v>
      </c>
      <c r="Z262" s="198">
        <f t="shared" si="66"/>
        <v>0.38454951874214544</v>
      </c>
      <c r="AA262" s="199">
        <f t="shared" si="67"/>
        <v>65963.144440929042</v>
      </c>
      <c r="AB262" s="195"/>
      <c r="AC262" s="199">
        <v>59827.149554175914</v>
      </c>
      <c r="AD262" s="194">
        <f t="shared" si="68"/>
        <v>6135.9948867531275</v>
      </c>
      <c r="AE262" s="194">
        <v>6127.7665652667274</v>
      </c>
      <c r="AF262" s="194">
        <f t="shared" si="69"/>
        <v>8.2283214864000911</v>
      </c>
    </row>
    <row r="263" spans="2:32" s="200" customFormat="1" x14ac:dyDescent="0.25">
      <c r="B263" s="204">
        <v>630</v>
      </c>
      <c r="C263" s="204">
        <v>9</v>
      </c>
      <c r="D263" s="205" t="s">
        <v>296</v>
      </c>
      <c r="E263" s="193">
        <v>160.09993466033154</v>
      </c>
      <c r="F263" s="193">
        <f>INDEX('Revised 2017 Lockdown'!H$5:H$249,MATCH(B263,'Revised 2017 Lockdown'!B$5:B$249,0))</f>
        <v>160.09993466033154</v>
      </c>
      <c r="G263" s="193">
        <f t="shared" si="55"/>
        <v>0</v>
      </c>
      <c r="H263" s="194">
        <v>192209.49</v>
      </c>
      <c r="I263" s="194">
        <f>INDEX('Revised 2017 Lockdown'!E$5:E$249,MATCH(B263,'Revised 2017 Lockdown'!B$5:B$249,0))</f>
        <v>192209.49</v>
      </c>
      <c r="J263" s="194">
        <f t="shared" si="56"/>
        <v>0</v>
      </c>
      <c r="K263" s="194">
        <v>4898.67</v>
      </c>
      <c r="L263" s="194">
        <f>INDEX('Revised 2017 Lockdown'!F$5:F$249,MATCH(B263,'Revised 2017 Lockdown'!B$5:B$249,0))</f>
        <v>4898.67</v>
      </c>
      <c r="M263" s="194">
        <f t="shared" si="57"/>
        <v>0</v>
      </c>
      <c r="N263" s="194">
        <f t="shared" si="53"/>
        <v>187310.81999999998</v>
      </c>
      <c r="O263" s="195">
        <f t="shared" si="53"/>
        <v>187310.81999999998</v>
      </c>
      <c r="P263" s="195">
        <f t="shared" si="58"/>
        <v>0</v>
      </c>
      <c r="Q263" s="95">
        <f t="shared" si="59"/>
        <v>1169.961876607877</v>
      </c>
      <c r="R263" s="196">
        <f t="shared" si="54"/>
        <v>1007.1597363147844</v>
      </c>
      <c r="S263" s="194">
        <f t="shared" si="60"/>
        <v>161246.20797651372</v>
      </c>
      <c r="T263" s="197">
        <v>0.57500000000000007</v>
      </c>
      <c r="U263" s="195">
        <f t="shared" si="61"/>
        <v>41514.091200992407</v>
      </c>
      <c r="V263" s="195">
        <f t="shared" si="62"/>
        <v>8259.6192864951572</v>
      </c>
      <c r="W263" s="195">
        <f t="shared" si="63"/>
        <v>7161.1807321711913</v>
      </c>
      <c r="X263" s="195">
        <f t="shared" si="64"/>
        <v>2411.6388019255996</v>
      </c>
      <c r="Y263" s="195">
        <f t="shared" si="65"/>
        <v>59346.530021584353</v>
      </c>
      <c r="Z263" s="198">
        <f t="shared" si="66"/>
        <v>0.36804915145805139</v>
      </c>
      <c r="AA263" s="199">
        <f t="shared" si="67"/>
        <v>59496.327693944419</v>
      </c>
      <c r="AB263" s="195"/>
      <c r="AC263" s="199">
        <v>56953.455484862214</v>
      </c>
      <c r="AD263" s="194">
        <f t="shared" si="68"/>
        <v>2542.8722090822048</v>
      </c>
      <c r="AE263" s="194">
        <v>2503.916631521839</v>
      </c>
      <c r="AF263" s="194">
        <f t="shared" si="69"/>
        <v>38.955577560365782</v>
      </c>
    </row>
    <row r="264" spans="2:32" s="200" customFormat="1" x14ac:dyDescent="0.25">
      <c r="B264" s="204">
        <v>695</v>
      </c>
      <c r="C264" s="204">
        <v>9</v>
      </c>
      <c r="D264" s="205" t="s">
        <v>297</v>
      </c>
      <c r="E264" s="193">
        <v>31.83905556353054</v>
      </c>
      <c r="F264" s="193">
        <f>INDEX('Revised 2017 Lockdown'!H$5:H$249,MATCH(B264,'Revised 2017 Lockdown'!B$5:B$249,0))</f>
        <v>31.83905556353054</v>
      </c>
      <c r="G264" s="193">
        <f t="shared" si="55"/>
        <v>0</v>
      </c>
      <c r="H264" s="194">
        <v>14871.19</v>
      </c>
      <c r="I264" s="194">
        <f>INDEX('Revised 2017 Lockdown'!E$5:E$249,MATCH(B264,'Revised 2017 Lockdown'!B$5:B$249,0))</f>
        <v>14871.19</v>
      </c>
      <c r="J264" s="194">
        <f t="shared" si="56"/>
        <v>0</v>
      </c>
      <c r="K264" s="194">
        <v>0</v>
      </c>
      <c r="L264" s="194">
        <f>INDEX('Revised 2017 Lockdown'!F$5:F$249,MATCH(B264,'Revised 2017 Lockdown'!B$5:B$249,0))</f>
        <v>0</v>
      </c>
      <c r="M264" s="194">
        <f t="shared" si="57"/>
        <v>0</v>
      </c>
      <c r="N264" s="194">
        <f t="shared" si="53"/>
        <v>14871.19</v>
      </c>
      <c r="O264" s="195">
        <f t="shared" si="53"/>
        <v>14871.19</v>
      </c>
      <c r="P264" s="195">
        <f t="shared" si="58"/>
        <v>0</v>
      </c>
      <c r="Q264" s="95">
        <f t="shared" si="59"/>
        <v>467.0738417578545</v>
      </c>
      <c r="R264" s="196">
        <f t="shared" si="54"/>
        <v>467.0738417578545</v>
      </c>
      <c r="S264" s="194">
        <f t="shared" si="60"/>
        <v>14871.19</v>
      </c>
      <c r="T264" s="197">
        <v>8.3500000000000005E-2</v>
      </c>
      <c r="U264" s="195">
        <f t="shared" si="61"/>
        <v>3828.7036059614397</v>
      </c>
      <c r="V264" s="195">
        <f t="shared" si="62"/>
        <v>1642.5895360561117</v>
      </c>
      <c r="W264" s="195">
        <f t="shared" si="63"/>
        <v>95.909025329334071</v>
      </c>
      <c r="X264" s="195">
        <f t="shared" si="64"/>
        <v>222.41725424037082</v>
      </c>
      <c r="Y264" s="195">
        <f t="shared" si="65"/>
        <v>5789.6194215872574</v>
      </c>
      <c r="Z264" s="198">
        <f t="shared" si="66"/>
        <v>0.38931783008537024</v>
      </c>
      <c r="AA264" s="199">
        <f t="shared" si="67"/>
        <v>5804.2331068842577</v>
      </c>
      <c r="AB264" s="195"/>
      <c r="AC264" s="199">
        <v>5733.7298216888094</v>
      </c>
      <c r="AD264" s="194">
        <f t="shared" si="68"/>
        <v>70.50328519544837</v>
      </c>
      <c r="AE264" s="194">
        <v>69.71102017625617</v>
      </c>
      <c r="AF264" s="194">
        <f t="shared" si="69"/>
        <v>0.79226501919220027</v>
      </c>
    </row>
    <row r="265" spans="2:32" s="200" customFormat="1" x14ac:dyDescent="0.25">
      <c r="B265" s="204">
        <v>771</v>
      </c>
      <c r="C265" s="204">
        <v>9</v>
      </c>
      <c r="D265" s="205" t="s">
        <v>298</v>
      </c>
      <c r="E265" s="193">
        <v>386.09146203607395</v>
      </c>
      <c r="F265" s="193">
        <f>INDEX('Revised 2017 Lockdown'!H$5:H$249,MATCH(B265,'Revised 2017 Lockdown'!B$5:B$249,0))</f>
        <v>193.04573101803697</v>
      </c>
      <c r="G265" s="193">
        <f t="shared" si="55"/>
        <v>-193.04573101803697</v>
      </c>
      <c r="H265" s="194">
        <v>56478.67</v>
      </c>
      <c r="I265" s="194">
        <f>INDEX('Revised 2017 Lockdown'!E$5:E$249,MATCH(B265,'Revised 2017 Lockdown'!B$5:B$249,0))</f>
        <v>56478.67</v>
      </c>
      <c r="J265" s="194">
        <f t="shared" si="56"/>
        <v>0</v>
      </c>
      <c r="K265" s="194">
        <v>24</v>
      </c>
      <c r="L265" s="194">
        <f>INDEX('Revised 2017 Lockdown'!F$5:F$249,MATCH(B265,'Revised 2017 Lockdown'!B$5:B$249,0))</f>
        <v>24</v>
      </c>
      <c r="M265" s="194">
        <f t="shared" si="57"/>
        <v>0</v>
      </c>
      <c r="N265" s="194">
        <f t="shared" si="53"/>
        <v>56454.67</v>
      </c>
      <c r="O265" s="195">
        <f t="shared" si="53"/>
        <v>56454.67</v>
      </c>
      <c r="P265" s="195">
        <f t="shared" si="58"/>
        <v>0</v>
      </c>
      <c r="Q265" s="95">
        <f t="shared" si="59"/>
        <v>292.44194990629052</v>
      </c>
      <c r="R265" s="196">
        <f t="shared" si="54"/>
        <v>292.44194990629052</v>
      </c>
      <c r="S265" s="194">
        <f t="shared" si="60"/>
        <v>56454.670000000006</v>
      </c>
      <c r="T265" s="197">
        <v>0.40525</v>
      </c>
      <c r="U265" s="195">
        <f t="shared" si="61"/>
        <v>14534.694170564906</v>
      </c>
      <c r="V265" s="195">
        <f t="shared" si="62"/>
        <v>9959.3060201741919</v>
      </c>
      <c r="W265" s="195">
        <f t="shared" si="63"/>
        <v>1767.0554437864284</v>
      </c>
      <c r="X265" s="195">
        <f t="shared" si="64"/>
        <v>844.35022956779085</v>
      </c>
      <c r="Y265" s="195">
        <f t="shared" si="65"/>
        <v>27105.405864093314</v>
      </c>
      <c r="Z265" s="198">
        <f t="shared" si="66"/>
        <v>0.480126902948743</v>
      </c>
      <c r="AA265" s="199">
        <f t="shared" si="67"/>
        <v>27173.823119581368</v>
      </c>
      <c r="AB265" s="195"/>
      <c r="AC265" s="199">
        <v>36844.065369464763</v>
      </c>
      <c r="AD265" s="194">
        <f t="shared" si="68"/>
        <v>-9670.2422498833948</v>
      </c>
      <c r="AE265" s="194">
        <v>-9674.2663525299031</v>
      </c>
      <c r="AF265" s="194">
        <f t="shared" si="69"/>
        <v>4.0241026465082541</v>
      </c>
    </row>
    <row r="266" spans="2:32" s="200" customFormat="1" x14ac:dyDescent="0.25">
      <c r="B266" s="204">
        <v>830</v>
      </c>
      <c r="C266" s="204">
        <v>9</v>
      </c>
      <c r="D266" s="205" t="s">
        <v>299</v>
      </c>
      <c r="E266" s="193">
        <v>23.769072070364334</v>
      </c>
      <c r="F266" s="193">
        <f>INDEX('Revised 2017 Lockdown'!H$5:H$249,MATCH(B266,'Revised 2017 Lockdown'!B$5:B$249,0))</f>
        <v>23.769072070364334</v>
      </c>
      <c r="G266" s="193">
        <f t="shared" si="55"/>
        <v>0</v>
      </c>
      <c r="H266" s="194">
        <v>24300.39</v>
      </c>
      <c r="I266" s="194">
        <f>INDEX('Revised 2017 Lockdown'!E$5:E$249,MATCH(B266,'Revised 2017 Lockdown'!B$5:B$249,0))</f>
        <v>24300.39</v>
      </c>
      <c r="J266" s="194">
        <f t="shared" si="56"/>
        <v>0</v>
      </c>
      <c r="K266" s="194">
        <v>0</v>
      </c>
      <c r="L266" s="194">
        <f>INDEX('Revised 2017 Lockdown'!F$5:F$249,MATCH(B266,'Revised 2017 Lockdown'!B$5:B$249,0))</f>
        <v>0</v>
      </c>
      <c r="M266" s="194">
        <f t="shared" si="57"/>
        <v>0</v>
      </c>
      <c r="N266" s="194">
        <f t="shared" si="53"/>
        <v>24300.39</v>
      </c>
      <c r="O266" s="195">
        <f t="shared" si="53"/>
        <v>24300.39</v>
      </c>
      <c r="P266" s="195">
        <f t="shared" si="58"/>
        <v>0</v>
      </c>
      <c r="Q266" s="95">
        <f t="shared" si="59"/>
        <v>1022.3533307511033</v>
      </c>
      <c r="R266" s="196">
        <f t="shared" si="54"/>
        <v>1007.1597363147844</v>
      </c>
      <c r="S266" s="194">
        <f t="shared" si="60"/>
        <v>23939.252358835249</v>
      </c>
      <c r="T266" s="197">
        <v>0.18858333333333333</v>
      </c>
      <c r="U266" s="195">
        <f t="shared" si="61"/>
        <v>6163.3468357470665</v>
      </c>
      <c r="V266" s="195">
        <f t="shared" si="62"/>
        <v>1226.2558789358352</v>
      </c>
      <c r="W266" s="195">
        <f t="shared" si="63"/>
        <v>348.69134723239029</v>
      </c>
      <c r="X266" s="195">
        <f t="shared" si="64"/>
        <v>358.04147336019889</v>
      </c>
      <c r="Y266" s="195">
        <f t="shared" si="65"/>
        <v>8096.3355352754916</v>
      </c>
      <c r="Z266" s="198">
        <f t="shared" si="66"/>
        <v>0.33820335797944756</v>
      </c>
      <c r="AA266" s="199">
        <f t="shared" si="67"/>
        <v>8116.7716453124094</v>
      </c>
      <c r="AB266" s="195"/>
      <c r="AC266" s="199">
        <v>7782.4071437408502</v>
      </c>
      <c r="AD266" s="194">
        <f t="shared" si="68"/>
        <v>334.36450157155923</v>
      </c>
      <c r="AE266" s="194">
        <v>329.10533299317649</v>
      </c>
      <c r="AF266" s="194">
        <f t="shared" si="69"/>
        <v>5.2591685783827415</v>
      </c>
    </row>
    <row r="267" spans="2:32" s="200" customFormat="1" x14ac:dyDescent="0.25">
      <c r="B267" s="1">
        <v>936</v>
      </c>
      <c r="C267" s="1">
        <v>9</v>
      </c>
      <c r="D267" s="200" t="s">
        <v>300</v>
      </c>
      <c r="E267" s="193">
        <v>37.809912285379859</v>
      </c>
      <c r="F267" s="193">
        <f>INDEX('Revised 2017 Lockdown'!H$5:H$249,MATCH(B267,'Revised 2017 Lockdown'!B$5:B$249,0))</f>
        <v>37.809912285379859</v>
      </c>
      <c r="G267" s="193">
        <f t="shared" si="55"/>
        <v>0</v>
      </c>
      <c r="H267" s="194">
        <v>55239.58</v>
      </c>
      <c r="I267" s="194">
        <f>INDEX('Revised 2017 Lockdown'!E$5:E$249,MATCH(B267,'Revised 2017 Lockdown'!B$5:B$249,0))</f>
        <v>55239.58</v>
      </c>
      <c r="J267" s="194">
        <f t="shared" si="56"/>
        <v>0</v>
      </c>
      <c r="K267" s="194">
        <v>0</v>
      </c>
      <c r="L267" s="194">
        <f>INDEX('Revised 2017 Lockdown'!F$5:F$249,MATCH(B267,'Revised 2017 Lockdown'!B$5:B$249,0))</f>
        <v>0</v>
      </c>
      <c r="M267" s="194">
        <f t="shared" si="57"/>
        <v>0</v>
      </c>
      <c r="N267" s="194">
        <f t="shared" si="53"/>
        <v>55239.58</v>
      </c>
      <c r="O267" s="195">
        <f t="shared" si="53"/>
        <v>55239.58</v>
      </c>
      <c r="P267" s="195">
        <f t="shared" si="58"/>
        <v>0</v>
      </c>
      <c r="Q267" s="95">
        <f t="shared" si="59"/>
        <v>1460.9814374353828</v>
      </c>
      <c r="R267" s="196">
        <f t="shared" si="54"/>
        <v>1007.1597363147844</v>
      </c>
      <c r="S267" s="194">
        <f t="shared" si="60"/>
        <v>38080.621287428308</v>
      </c>
      <c r="T267" s="197">
        <v>0.61575000000000002</v>
      </c>
      <c r="U267" s="195">
        <f t="shared" si="61"/>
        <v>9804.1523267760494</v>
      </c>
      <c r="V267" s="195">
        <f t="shared" si="62"/>
        <v>1950.6284084099136</v>
      </c>
      <c r="W267" s="195">
        <f t="shared" si="63"/>
        <v>1811.0720385637057</v>
      </c>
      <c r="X267" s="195">
        <f t="shared" si="64"/>
        <v>569.54334027856669</v>
      </c>
      <c r="Y267" s="195">
        <f t="shared" si="65"/>
        <v>14135.396114028235</v>
      </c>
      <c r="Z267" s="198">
        <f t="shared" si="66"/>
        <v>0.37119657285357383</v>
      </c>
      <c r="AA267" s="199">
        <f t="shared" si="67"/>
        <v>14171.075528393301</v>
      </c>
      <c r="AB267" s="195"/>
      <c r="AC267" s="199">
        <v>13567.191310735212</v>
      </c>
      <c r="AD267" s="194">
        <f t="shared" si="68"/>
        <v>603.88421765808926</v>
      </c>
      <c r="AE267" s="194">
        <v>594.59633819184091</v>
      </c>
      <c r="AF267" s="194">
        <f t="shared" si="69"/>
        <v>9.2878794662483415</v>
      </c>
    </row>
    <row r="268" spans="2:32" s="200" customFormat="1" x14ac:dyDescent="0.25">
      <c r="B268" s="1">
        <v>952</v>
      </c>
      <c r="C268" s="1">
        <v>9</v>
      </c>
      <c r="D268" s="200" t="s">
        <v>301</v>
      </c>
      <c r="E268" s="193">
        <v>68.811870493550018</v>
      </c>
      <c r="F268" s="193">
        <f>INDEX('Revised 2017 Lockdown'!H$5:H$249,MATCH(B268,'Revised 2017 Lockdown'!B$5:B$249,0))</f>
        <v>68.811870493550018</v>
      </c>
      <c r="G268" s="193">
        <f t="shared" si="55"/>
        <v>0</v>
      </c>
      <c r="H268" s="194">
        <v>91119.41</v>
      </c>
      <c r="I268" s="194">
        <f>INDEX('Revised 2017 Lockdown'!E$5:E$249,MATCH(B268,'Revised 2017 Lockdown'!B$5:B$249,0))</f>
        <v>91119.41</v>
      </c>
      <c r="J268" s="194">
        <f t="shared" si="56"/>
        <v>0</v>
      </c>
      <c r="K268" s="194">
        <v>3493</v>
      </c>
      <c r="L268" s="194">
        <f>INDEX('Revised 2017 Lockdown'!F$5:F$249,MATCH(B268,'Revised 2017 Lockdown'!B$5:B$249,0))</f>
        <v>3493</v>
      </c>
      <c r="M268" s="194">
        <f t="shared" si="57"/>
        <v>0</v>
      </c>
      <c r="N268" s="194">
        <f t="shared" si="53"/>
        <v>87626.41</v>
      </c>
      <c r="O268" s="195">
        <f t="shared" si="53"/>
        <v>87626.41</v>
      </c>
      <c r="P268" s="195">
        <f t="shared" si="58"/>
        <v>0</v>
      </c>
      <c r="Q268" s="95">
        <f t="shared" si="59"/>
        <v>1273.4199691347374</v>
      </c>
      <c r="R268" s="196">
        <f t="shared" si="54"/>
        <v>1007.1597363147844</v>
      </c>
      <c r="S268" s="194">
        <f t="shared" si="60"/>
        <v>69304.545341610923</v>
      </c>
      <c r="T268" s="197">
        <v>0.66949999999999998</v>
      </c>
      <c r="U268" s="195">
        <f t="shared" si="61"/>
        <v>17842.994586105335</v>
      </c>
      <c r="V268" s="195">
        <f t="shared" si="62"/>
        <v>3550.0317590645282</v>
      </c>
      <c r="W268" s="195">
        <f t="shared" si="63"/>
        <v>3583.7654626192571</v>
      </c>
      <c r="X268" s="195">
        <f t="shared" si="64"/>
        <v>1036.5361938929152</v>
      </c>
      <c r="Y268" s="195">
        <f t="shared" si="65"/>
        <v>26013.328001682035</v>
      </c>
      <c r="Z268" s="198">
        <f t="shared" si="66"/>
        <v>0.37534807960226896</v>
      </c>
      <c r="AA268" s="199">
        <f t="shared" si="67"/>
        <v>26078.988723270537</v>
      </c>
      <c r="AB268" s="195"/>
      <c r="AC268" s="199">
        <v>24963.149344870006</v>
      </c>
      <c r="AD268" s="194">
        <f t="shared" si="68"/>
        <v>1115.8393784005311</v>
      </c>
      <c r="AE268" s="194">
        <v>1098.7248264619957</v>
      </c>
      <c r="AF268" s="194">
        <f t="shared" si="69"/>
        <v>17.114551938535442</v>
      </c>
    </row>
    <row r="269" spans="2:32" s="200" customFormat="1" x14ac:dyDescent="0.25">
      <c r="B269" s="1">
        <v>982</v>
      </c>
      <c r="C269" s="1">
        <v>9</v>
      </c>
      <c r="D269" s="200" t="s">
        <v>302</v>
      </c>
      <c r="E269" s="193">
        <v>93.22611956915361</v>
      </c>
      <c r="F269" s="193">
        <f>INDEX('Revised 2017 Lockdown'!H$5:H$249,MATCH(B269,'Revised 2017 Lockdown'!B$5:B$249,0))</f>
        <v>93.22611956915361</v>
      </c>
      <c r="G269" s="193">
        <f>F269-E269</f>
        <v>0</v>
      </c>
      <c r="H269" s="194">
        <v>21464.959999999999</v>
      </c>
      <c r="I269" s="194">
        <f>INDEX('Revised 2017 Lockdown'!E$5:E$249,MATCH(B269,'Revised 2017 Lockdown'!B$5:B$249,0))</f>
        <v>21464.959999999999</v>
      </c>
      <c r="J269" s="194">
        <f>I269-H269</f>
        <v>0</v>
      </c>
      <c r="K269" s="194">
        <v>0</v>
      </c>
      <c r="L269" s="194">
        <f>INDEX('Revised 2017 Lockdown'!F$5:F$249,MATCH(B269,'Revised 2017 Lockdown'!B$5:B$249,0))</f>
        <v>0</v>
      </c>
      <c r="M269" s="194">
        <f>L269-K269</f>
        <v>0</v>
      </c>
      <c r="N269" s="194">
        <f>H269-K269</f>
        <v>21464.959999999999</v>
      </c>
      <c r="O269" s="195">
        <f>I269-L269</f>
        <v>21464.959999999999</v>
      </c>
      <c r="P269" s="195">
        <f>O269-N269</f>
        <v>0</v>
      </c>
      <c r="Q269" s="95">
        <f>IFERROR(O269/F269,"n.a.")</f>
        <v>230.24620245056582</v>
      </c>
      <c r="R269" s="196">
        <f>MIN(Q269,INDEX($V$3:$V$11,MATCH(C269,$S$3:$S$11,0)))</f>
        <v>230.24620245056582</v>
      </c>
      <c r="S269" s="194">
        <f>F269*R269</f>
        <v>21464.959999999999</v>
      </c>
      <c r="T269" s="197">
        <v>0.12525</v>
      </c>
      <c r="U269" s="195">
        <f>$E$14*(S269/$S$24)</f>
        <v>5526.3210108819849</v>
      </c>
      <c r="V269" s="195">
        <f>$E$15*(F269/$F$24)</f>
        <v>4809.5725762296206</v>
      </c>
      <c r="W269" s="195">
        <f>IFERROR(T269*$E$16*(S269/$S$24),0)</f>
        <v>207.65151198389057</v>
      </c>
      <c r="X269" s="195">
        <f>($W$23+$E$9)*(S269/$S$24)</f>
        <v>321.03533513991749</v>
      </c>
      <c r="Y269" s="195">
        <f>U269+V269+W269+X269</f>
        <v>10864.580434235413</v>
      </c>
      <c r="Z269" s="198">
        <f>IFERROR((Y269/S269),0)</f>
        <v>0.50615423621732414</v>
      </c>
      <c r="AA269" s="199">
        <f>IF(Z269&gt;$Z$19,$Z$19*S269,Y269+($Z$23*Y269/$Z$22))</f>
        <v>10892.003922342052</v>
      </c>
      <c r="AB269" s="195"/>
      <c r="AC269" s="199">
        <v>10786.794587869095</v>
      </c>
      <c r="AD269" s="194">
        <f>AA269-AC269</f>
        <v>105.20933447295647</v>
      </c>
      <c r="AE269" s="194">
        <v>103.49288293170866</v>
      </c>
      <c r="AF269" s="194">
        <f>AD269-AE269</f>
        <v>1.7164515412478067</v>
      </c>
    </row>
    <row r="270" spans="2:32" s="200" customFormat="1" x14ac:dyDescent="0.25">
      <c r="B270" s="1">
        <v>987</v>
      </c>
      <c r="C270" s="1">
        <v>9</v>
      </c>
      <c r="D270" s="200" t="s">
        <v>303</v>
      </c>
      <c r="E270" s="193">
        <v>301.89162628434212</v>
      </c>
      <c r="F270" s="193">
        <f>INDEX('Revised 2017 Lockdown'!H$5:H$249,MATCH(B270,'Revised 2017 Lockdown'!B$5:B$249,0))</f>
        <v>301.89162628434212</v>
      </c>
      <c r="G270" s="193">
        <f>F270-E270</f>
        <v>0</v>
      </c>
      <c r="H270" s="194">
        <v>82615.17</v>
      </c>
      <c r="I270" s="194">
        <f>INDEX('Revised 2017 Lockdown'!E$5:E$249,MATCH(B270,'Revised 2017 Lockdown'!B$5:B$249,0))</f>
        <v>82615.17</v>
      </c>
      <c r="J270" s="194">
        <f>I270-H270</f>
        <v>0</v>
      </c>
      <c r="K270" s="194">
        <v>0</v>
      </c>
      <c r="L270" s="194">
        <f>INDEX('Revised 2017 Lockdown'!F$5:F$249,MATCH(B270,'Revised 2017 Lockdown'!B$5:B$249,0))</f>
        <v>0</v>
      </c>
      <c r="M270" s="194">
        <f>L270-K270</f>
        <v>0</v>
      </c>
      <c r="N270" s="194">
        <f>H270-K270</f>
        <v>82615.17</v>
      </c>
      <c r="O270" s="195">
        <f>I270-L270</f>
        <v>82615.17</v>
      </c>
      <c r="P270" s="195">
        <f>O270-N270</f>
        <v>0</v>
      </c>
      <c r="Q270" s="95">
        <f>IFERROR(O270/F270,"n.a.")</f>
        <v>273.65836878889576</v>
      </c>
      <c r="R270" s="196">
        <f>MIN(Q270,INDEX($V$3:$V$11,MATCH(C270,$S$3:$S$11,0)))</f>
        <v>273.65836878889576</v>
      </c>
      <c r="S270" s="194">
        <f>F270*R270</f>
        <v>82615.17</v>
      </c>
      <c r="T270" s="197">
        <v>0.622</v>
      </c>
      <c r="U270" s="195">
        <f>$E$14*(S270/$S$24)</f>
        <v>21269.91849919995</v>
      </c>
      <c r="V270" s="195">
        <f>$E$15*(F270/$F$24)</f>
        <v>15574.709035202157</v>
      </c>
      <c r="W270" s="195">
        <f>IFERROR(T270*$E$16*(S270/$S$24),0)</f>
        <v>3968.966791950711</v>
      </c>
      <c r="X270" s="195">
        <f>($W$23+$E$9)*(S270/$S$24)</f>
        <v>1235.6132407696664</v>
      </c>
      <c r="Y270" s="195">
        <f>U270+V270+W270+X270</f>
        <v>42049.207567122481</v>
      </c>
      <c r="Z270" s="198">
        <f>IFERROR((Y270/S270),0)</f>
        <v>0.50897683279139272</v>
      </c>
      <c r="AA270" s="199">
        <f>IF(Z270&gt;$Z$19,$Z$19*S270,Y270+($Z$23*Y270/$Z$22))</f>
        <v>42155.344748451353</v>
      </c>
      <c r="AB270" s="195"/>
      <c r="AC270" s="199">
        <v>41673.190962706925</v>
      </c>
      <c r="AD270" s="194">
        <f>AA270-AC270</f>
        <v>482.1537857444273</v>
      </c>
      <c r="AE270" s="194">
        <v>475.88197555518855</v>
      </c>
      <c r="AF270" s="194">
        <f>AD270-AE270</f>
        <v>6.2718101892387494</v>
      </c>
    </row>
  </sheetData>
  <mergeCells count="9">
    <mergeCell ref="U18:AA18"/>
    <mergeCell ref="Z24:AA24"/>
    <mergeCell ref="D4:K4"/>
    <mergeCell ref="D13:K13"/>
    <mergeCell ref="B2:K2"/>
    <mergeCell ref="G8:H8"/>
    <mergeCell ref="G9:H9"/>
    <mergeCell ref="G10:H10"/>
    <mergeCell ref="G11:H11"/>
  </mergeCells>
  <conditionalFormatting sqref="B71:D97 B171:D183 B185:D190 B234:D256 B99:D101 B192:D202 B204:D232 B27:D69 AB99:AB102 AB204:AB232 AB171:AB183 AB234:AB264 AB192:AB202 AB185:AB190 AB71:AB97 AB27:AB69 I24:P24 B104:D169 AB104:AB169 B26:AC26 J27:J169 M27:S169 G27:G169 AB266:AB270 J171:J270 M171:S270 AF26:AF270 G171:G270 E27:F270 H27:I270 K27:L270 U171:AA270 U27:AA169 T27:T270 AC27:AC270">
    <cfRule type="expression" dxfId="14" priority="7">
      <formula>$C24&lt;&gt;$C23</formula>
    </cfRule>
  </conditionalFormatting>
  <conditionalFormatting sqref="Z26:Z270">
    <cfRule type="expression" dxfId="13" priority="6">
      <formula>Z26&gt;75%</formula>
    </cfRule>
  </conditionalFormatting>
  <conditionalFormatting sqref="B70:D70 B98:D98 B184:D184 B233:D233 B102:D102 B203:D203 AB98 AB203 AB265 AB233 AB184 AB70">
    <cfRule type="expression" dxfId="12" priority="8">
      <formula>$C70&lt;&gt;$C68</formula>
    </cfRule>
  </conditionalFormatting>
  <conditionalFormatting sqref="B170:D170 B191:D191 AB191 AB170">
    <cfRule type="expression" dxfId="11" priority="9">
      <formula>$C170&lt;&gt;#REF!</formula>
    </cfRule>
  </conditionalFormatting>
  <conditionalFormatting sqref="B103:D103 AB103">
    <cfRule type="expression" dxfId="10" priority="10">
      <formula>$C103&lt;&gt;$C100</formula>
    </cfRule>
  </conditionalFormatting>
  <conditionalFormatting sqref="V3:V11">
    <cfRule type="expression" dxfId="9" priority="5">
      <formula>$C3&lt;&gt;$C2</formula>
    </cfRule>
  </conditionalFormatting>
  <conditionalFormatting sqref="J170 M170:S170 G170 U170:AA170">
    <cfRule type="expression" dxfId="8" priority="32">
      <formula>$C170&lt;&gt;#REF!</formula>
    </cfRule>
  </conditionalFormatting>
  <conditionalFormatting sqref="AD26:AE270">
    <cfRule type="expression" dxfId="7" priority="1">
      <formula>$C26&lt;&gt;$C25</formula>
    </cfRule>
  </conditionalFormatting>
  <pageMargins left="0.7" right="0.7" top="0.75" bottom="0.75" header="0.3" footer="0.3"/>
  <ignoredErrors>
    <ignoredError sqref="W24" formula="1"/>
    <ignoredError sqref="I10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0D48D-8B01-4C36-AD20-3E9F72231FD1}">
  <sheetPr codeName="Sheet41">
    <tabColor theme="8" tint="0.59999389629810485"/>
  </sheetPr>
  <dimension ref="B2:S250"/>
  <sheetViews>
    <sheetView workbookViewId="0"/>
  </sheetViews>
  <sheetFormatPr defaultColWidth="9.125" defaultRowHeight="14.3" x14ac:dyDescent="0.25"/>
  <cols>
    <col min="1" max="1" width="5.75" style="18" customWidth="1"/>
    <col min="2" max="3" width="6.75" style="1" customWidth="1"/>
    <col min="4" max="4" width="50.75" style="18" customWidth="1"/>
    <col min="5" max="11" width="14.75" style="18" customWidth="1"/>
    <col min="12" max="12" width="5.75" style="18" customWidth="1"/>
    <col min="13" max="19" width="12.75" style="18" customWidth="1"/>
    <col min="20" max="16384" width="9.125" style="18"/>
  </cols>
  <sheetData>
    <row r="2" spans="2:19" x14ac:dyDescent="0.25">
      <c r="B2" s="23" t="s">
        <v>367</v>
      </c>
      <c r="E2" s="22"/>
      <c r="F2" s="145"/>
      <c r="G2" s="22"/>
      <c r="I2" s="18" t="s">
        <v>13</v>
      </c>
      <c r="J2" s="21">
        <v>0</v>
      </c>
    </row>
    <row r="3" spans="2:19" x14ac:dyDescent="0.25">
      <c r="D3" s="20"/>
      <c r="E3" s="156"/>
      <c r="F3" s="156"/>
      <c r="G3" s="156"/>
      <c r="H3" s="20"/>
      <c r="K3" s="17"/>
    </row>
    <row r="4" spans="2:19" ht="14.95" thickBot="1" x14ac:dyDescent="0.3">
      <c r="E4" s="157">
        <f>SUM(E6:E300)</f>
        <v>822650.66448335873</v>
      </c>
      <c r="F4" s="7">
        <f>SUM(F6:F300)</f>
        <v>351407784.0399999</v>
      </c>
      <c r="G4" s="7">
        <f>SUM(G6:G300)</f>
        <v>112335663.32999998</v>
      </c>
      <c r="H4" s="7">
        <f>SUM(H6:H300)</f>
        <v>239072120.70999986</v>
      </c>
      <c r="J4" s="18" t="s">
        <v>12</v>
      </c>
      <c r="K4" s="157">
        <f>SUM(K6:K300)</f>
        <v>235494225.79248571</v>
      </c>
      <c r="Q4" s="16">
        <v>0.1</v>
      </c>
      <c r="R4" s="15">
        <f>100%-Q4</f>
        <v>0.9</v>
      </c>
    </row>
    <row r="5" spans="2:19" ht="43.5" thickBot="1" x14ac:dyDescent="0.3">
      <c r="B5" s="14" t="s">
        <v>11</v>
      </c>
      <c r="C5" s="14" t="s">
        <v>10</v>
      </c>
      <c r="D5" s="14" t="s">
        <v>9</v>
      </c>
      <c r="E5" s="14" t="s">
        <v>366</v>
      </c>
      <c r="F5" s="14" t="s">
        <v>361</v>
      </c>
      <c r="G5" s="14" t="s">
        <v>362</v>
      </c>
      <c r="H5" s="14" t="s">
        <v>363</v>
      </c>
      <c r="I5" s="14" t="s">
        <v>8</v>
      </c>
      <c r="J5" s="14" t="s">
        <v>1</v>
      </c>
      <c r="K5" s="14" t="str">
        <f>"Adjusted Net Cost"&amp;CHAR(10)&amp;TEXT(SUM(K6:K250),"$#,##0")</f>
        <v>Adjusted Net Cost
$235,494,226</v>
      </c>
      <c r="M5" s="14" t="s">
        <v>7</v>
      </c>
      <c r="N5" s="14" t="s">
        <v>6</v>
      </c>
      <c r="O5" s="13" t="s">
        <v>5</v>
      </c>
      <c r="P5" s="13" t="s">
        <v>4</v>
      </c>
      <c r="Q5" s="13" t="s">
        <v>3</v>
      </c>
      <c r="R5" s="13" t="s">
        <v>2</v>
      </c>
      <c r="S5" s="13" t="s">
        <v>1</v>
      </c>
    </row>
    <row r="6" spans="2:19" x14ac:dyDescent="0.25">
      <c r="B6" s="12">
        <v>1</v>
      </c>
      <c r="C6" s="12">
        <v>1</v>
      </c>
      <c r="D6" s="8" t="s">
        <v>62</v>
      </c>
      <c r="E6" s="154">
        <f>INDEX('Revised 2017 Lockdown'!H$5:H$249,MATCH(B6,'Revised 2017 Lockdown'!B$5:B$249,0))</f>
        <v>43741.089999999989</v>
      </c>
      <c r="F6" s="7">
        <f>INDEX('Revised 2017 Lockdown'!E$5:E$249,MATCH(B6,'Revised 2017 Lockdown'!B$5:B$249,0))</f>
        <v>9441139.5399999991</v>
      </c>
      <c r="G6" s="7">
        <f>INDEX('Revised 2017 Lockdown'!F$5:F$249,MATCH(B6,'Revised 2017 Lockdown'!B$5:B$249,0))</f>
        <v>1552688.8099999998</v>
      </c>
      <c r="H6" s="7">
        <f t="shared" ref="H6:H69" si="0">F6-G6</f>
        <v>7888450.7299999995</v>
      </c>
      <c r="I6" s="6">
        <f t="shared" ref="I6:I69" si="1">H6/E6</f>
        <v>180.34417363627659</v>
      </c>
      <c r="J6" s="6">
        <f>IF(ISERROR(IF($J$2=1,MAX(MIN(I6,R6),Q6),MIN(I6,R6))),R6,IF($J$2=1,MAX(MIN(I6,R6),Q6),MIN(I6,R6)))</f>
        <v>180.34417363627659</v>
      </c>
      <c r="K6" s="5">
        <f>J6*E6</f>
        <v>7888450.7299999995</v>
      </c>
      <c r="L6" s="4">
        <f t="shared" ref="L6:L69" si="2">IF(ISERROR(I6),1,0)</f>
        <v>0</v>
      </c>
      <c r="M6" s="2" cm="1">
        <f t="array" ref="M6">SUMPRODUCT(--($L$6:$L$300&lt;&gt;1),--($C$6:$C$300=$C6),$H$6:$H$300)/SUMPRODUCT(--($L$6:$L$300&lt;&gt;1),--($C$6:$C$300=$C6),$E$6:$E$300)</f>
        <v>310.11560471215978</v>
      </c>
      <c r="N6" s="1" cm="1">
        <f t="array" ref="N6">SUMPRODUCT(--($L$6:$L$300&lt;&gt;1),--($C$6:$C$300=$C6))</f>
        <v>6</v>
      </c>
      <c r="O6" s="3">
        <f t="shared" ref="O6:O69" si="3">IF(ISERROR((I6-M6)^2),0,(I6-M6)^2)</f>
        <v>16840.624323482702</v>
      </c>
      <c r="P6" s="2">
        <f t="shared" ref="P6:P69" si="4">SQRT(SUMPRODUCT(--($L$6:$L$300&lt;&gt;1),--($C$6:$C$300=$C6),$E$6:$E$300,$O$6:$O$300)/((N6-1)*SUMPRODUCT(--($L$6:$L$300&lt;&gt;1),--($C$6:$C$300=$C6),$E$6:$E$300)/N6))</f>
        <v>86.008774609808754</v>
      </c>
      <c r="Q6" s="2">
        <f t="shared" ref="Q6:R25" si="5">NORMINV(Q$4,$M6,$P6)</f>
        <v>199.89092496038668</v>
      </c>
      <c r="R6" s="2">
        <f t="shared" si="5"/>
        <v>420.3402844639329</v>
      </c>
      <c r="S6" s="2">
        <f t="shared" ref="S6:S69" si="6">IF(ISERROR(MAX(MIN(I6,R6),Q6)),R6,MAX(MIN(I6,R6),Q6))</f>
        <v>199.89092496038668</v>
      </c>
    </row>
    <row r="7" spans="2:19" x14ac:dyDescent="0.25">
      <c r="B7" s="10">
        <v>20</v>
      </c>
      <c r="C7" s="10">
        <v>1</v>
      </c>
      <c r="D7" s="9" t="s">
        <v>63</v>
      </c>
      <c r="E7" s="154">
        <f>INDEX('Revised 2017 Lockdown'!H$5:H$249,MATCH(B7,'Revised 2017 Lockdown'!B$5:B$249,0))</f>
        <v>120692.16</v>
      </c>
      <c r="F7" s="7">
        <f>INDEX('Revised 2017 Lockdown'!E$5:E$249,MATCH(B7,'Revised 2017 Lockdown'!B$5:B$249,0))</f>
        <v>69057219.019999996</v>
      </c>
      <c r="G7" s="7">
        <f>INDEX('Revised 2017 Lockdown'!F$5:F$249,MATCH(B7,'Revised 2017 Lockdown'!B$5:B$249,0))</f>
        <v>19755178.539999999</v>
      </c>
      <c r="H7" s="7">
        <f t="shared" si="0"/>
        <v>49302040.479999997</v>
      </c>
      <c r="I7" s="6">
        <f t="shared" si="1"/>
        <v>408.4941431158411</v>
      </c>
      <c r="J7" s="6">
        <f t="shared" ref="J7:J70" si="7">IF(ISERROR(IF($J$2=1,MAX(MIN(I7,R7),Q7),MIN(I7,R7))),R7,IF($J$2=1,MAX(MIN(I7,R7),Q7),MIN(I7,R7)))</f>
        <v>408.4941431158411</v>
      </c>
      <c r="K7" s="5">
        <f t="shared" ref="K7:K69" si="8">J7*E7</f>
        <v>49302040.479999997</v>
      </c>
      <c r="L7" s="4">
        <f t="shared" si="2"/>
        <v>0</v>
      </c>
      <c r="M7" s="2">
        <f t="shared" ref="M7:M69" si="9">SUMPRODUCT(--($L$6:$L$300&lt;&gt;1),--($C$6:$C$300=$C7),$H$6:$H$300)/SUMPRODUCT(--($L$6:$L$300&lt;&gt;1),--($C$6:$C$300=$C7),$E$6:$E$300)</f>
        <v>310.11560471215978</v>
      </c>
      <c r="N7" s="1" cm="1">
        <f t="array" ref="N7">SUMPRODUCT(--($L$6:$L$300&lt;&gt;1),--($C$6:$C$300=$C7))</f>
        <v>6</v>
      </c>
      <c r="O7" s="3">
        <f t="shared" si="3"/>
        <v>9678.3368184446008</v>
      </c>
      <c r="P7" s="2">
        <f t="shared" si="4"/>
        <v>86.008774609808754</v>
      </c>
      <c r="Q7" s="2">
        <f t="shared" si="5"/>
        <v>199.89092496038668</v>
      </c>
      <c r="R7" s="2">
        <f t="shared" si="5"/>
        <v>420.3402844639329</v>
      </c>
      <c r="S7" s="2">
        <f t="shared" si="6"/>
        <v>408.4941431158411</v>
      </c>
    </row>
    <row r="8" spans="2:19" x14ac:dyDescent="0.25">
      <c r="B8" s="10">
        <v>50</v>
      </c>
      <c r="C8" s="10">
        <v>1</v>
      </c>
      <c r="D8" s="9" t="s">
        <v>64</v>
      </c>
      <c r="E8" s="154">
        <f>INDEX('Revised 2017 Lockdown'!H$5:H$249,MATCH(B8,'Revised 2017 Lockdown'!B$5:B$249,0))</f>
        <v>22747.62</v>
      </c>
      <c r="F8" s="7">
        <f>INDEX('Revised 2017 Lockdown'!E$5:E$249,MATCH(B8,'Revised 2017 Lockdown'!B$5:B$249,0))</f>
        <v>9780998.0399999991</v>
      </c>
      <c r="G8" s="7">
        <f>INDEX('Revised 2017 Lockdown'!F$5:F$249,MATCH(B8,'Revised 2017 Lockdown'!B$5:B$249,0))</f>
        <v>3906984.9000000004</v>
      </c>
      <c r="H8" s="7">
        <f t="shared" si="0"/>
        <v>5874013.1399999987</v>
      </c>
      <c r="I8" s="6">
        <f t="shared" si="1"/>
        <v>258.22539412914404</v>
      </c>
      <c r="J8" s="6">
        <f t="shared" si="7"/>
        <v>258.22539412914404</v>
      </c>
      <c r="K8" s="5">
        <f t="shared" si="8"/>
        <v>5874013.1399999987</v>
      </c>
      <c r="L8" s="4">
        <f t="shared" si="2"/>
        <v>0</v>
      </c>
      <c r="M8" s="2">
        <f t="shared" si="9"/>
        <v>310.11560471215978</v>
      </c>
      <c r="N8" s="1" cm="1">
        <f t="array" ref="N8">SUMPRODUCT(--($L$6:$L$300&lt;&gt;1),--($C$6:$C$300=$C8))</f>
        <v>6</v>
      </c>
      <c r="O8" s="3">
        <f t="shared" si="3"/>
        <v>2692.5939543497193</v>
      </c>
      <c r="P8" s="2">
        <f t="shared" si="4"/>
        <v>86.008774609808754</v>
      </c>
      <c r="Q8" s="2">
        <f t="shared" si="5"/>
        <v>199.89092496038668</v>
      </c>
      <c r="R8" s="2">
        <f t="shared" si="5"/>
        <v>420.3402844639329</v>
      </c>
      <c r="S8" s="2">
        <f t="shared" si="6"/>
        <v>258.22539412914404</v>
      </c>
    </row>
    <row r="9" spans="2:19" x14ac:dyDescent="0.25">
      <c r="B9" s="10">
        <v>97</v>
      </c>
      <c r="C9" s="10">
        <v>1</v>
      </c>
      <c r="D9" s="9" t="s">
        <v>65</v>
      </c>
      <c r="E9" s="154">
        <f>INDEX('Revised 2017 Lockdown'!H$5:H$249,MATCH(B9,'Revised 2017 Lockdown'!B$5:B$249,0))</f>
        <v>65618.490000000005</v>
      </c>
      <c r="F9" s="7">
        <f>INDEX('Revised 2017 Lockdown'!E$5:E$249,MATCH(B9,'Revised 2017 Lockdown'!B$5:B$249,0))</f>
        <v>25701198.059999999</v>
      </c>
      <c r="G9" s="7">
        <f>INDEX('Revised 2017 Lockdown'!F$5:F$249,MATCH(B9,'Revised 2017 Lockdown'!B$5:B$249,0))</f>
        <v>9202443.370000001</v>
      </c>
      <c r="H9" s="7">
        <f t="shared" si="0"/>
        <v>16498754.689999998</v>
      </c>
      <c r="I9" s="6">
        <f t="shared" si="1"/>
        <v>251.4345375823186</v>
      </c>
      <c r="J9" s="6">
        <f t="shared" si="7"/>
        <v>251.4345375823186</v>
      </c>
      <c r="K9" s="5">
        <f t="shared" si="8"/>
        <v>16498754.689999998</v>
      </c>
      <c r="L9" s="4">
        <f t="shared" si="2"/>
        <v>0</v>
      </c>
      <c r="M9" s="2">
        <f t="shared" si="9"/>
        <v>310.11560471215978</v>
      </c>
      <c r="N9" s="1" cm="1">
        <f t="array" ref="N9">SUMPRODUCT(--($L$6:$L$300&lt;&gt;1),--($C$6:$C$300=$C9))</f>
        <v>6</v>
      </c>
      <c r="O9" s="3">
        <f t="shared" si="3"/>
        <v>3443.4676394969274</v>
      </c>
      <c r="P9" s="2">
        <f t="shared" si="4"/>
        <v>86.008774609808754</v>
      </c>
      <c r="Q9" s="2">
        <f t="shared" si="5"/>
        <v>199.89092496038668</v>
      </c>
      <c r="R9" s="2">
        <f t="shared" si="5"/>
        <v>420.3402844639329</v>
      </c>
      <c r="S9" s="2">
        <f t="shared" si="6"/>
        <v>251.4345375823186</v>
      </c>
    </row>
    <row r="10" spans="2:19" x14ac:dyDescent="0.25">
      <c r="B10" s="10">
        <v>172</v>
      </c>
      <c r="C10" s="10">
        <v>1</v>
      </c>
      <c r="D10" s="9" t="s">
        <v>66</v>
      </c>
      <c r="E10" s="154">
        <f>INDEX('Revised 2017 Lockdown'!H$5:H$249,MATCH(B10,'Revised 2017 Lockdown'!B$5:B$249,0))</f>
        <v>35538.149999999994</v>
      </c>
      <c r="F10" s="7">
        <f>INDEX('Revised 2017 Lockdown'!E$5:E$249,MATCH(B10,'Revised 2017 Lockdown'!B$5:B$249,0))</f>
        <v>14723683.560000001</v>
      </c>
      <c r="G10" s="7">
        <f>INDEX('Revised 2017 Lockdown'!F$5:F$249,MATCH(B10,'Revised 2017 Lockdown'!B$5:B$249,0))</f>
        <v>5464143.8599999994</v>
      </c>
      <c r="H10" s="7">
        <f t="shared" si="0"/>
        <v>9259539.7000000011</v>
      </c>
      <c r="I10" s="6">
        <f t="shared" si="1"/>
        <v>260.55210245890692</v>
      </c>
      <c r="J10" s="6">
        <f t="shared" si="7"/>
        <v>260.55210245890692</v>
      </c>
      <c r="K10" s="5">
        <f t="shared" si="8"/>
        <v>9259539.7000000011</v>
      </c>
      <c r="L10" s="4">
        <f t="shared" si="2"/>
        <v>0</v>
      </c>
      <c r="M10" s="2">
        <f t="shared" si="9"/>
        <v>310.11560471215978</v>
      </c>
      <c r="N10" s="1" cm="1">
        <f t="array" ref="N10">SUMPRODUCT(--($L$6:$L$300&lt;&gt;1),--($C$6:$C$300=$C10))</f>
        <v>6</v>
      </c>
      <c r="O10" s="3">
        <f t="shared" si="3"/>
        <v>2456.5407556082018</v>
      </c>
      <c r="P10" s="2">
        <f t="shared" si="4"/>
        <v>86.008774609808754</v>
      </c>
      <c r="Q10" s="2">
        <f t="shared" si="5"/>
        <v>199.89092496038668</v>
      </c>
      <c r="R10" s="2">
        <f t="shared" si="5"/>
        <v>420.3402844639329</v>
      </c>
      <c r="S10" s="2">
        <f t="shared" si="6"/>
        <v>260.55210245890692</v>
      </c>
    </row>
    <row r="11" spans="2:19" x14ac:dyDescent="0.25">
      <c r="B11" s="10">
        <v>270</v>
      </c>
      <c r="C11" s="10">
        <v>1</v>
      </c>
      <c r="D11" s="9" t="s">
        <v>67</v>
      </c>
      <c r="E11" s="154">
        <f>INDEX('Revised 2017 Lockdown'!H$5:H$249,MATCH(B11,'Revised 2017 Lockdown'!B$5:B$249,0))</f>
        <v>82092.200000000026</v>
      </c>
      <c r="F11" s="7">
        <f>INDEX('Revised 2017 Lockdown'!E$5:E$249,MATCH(B11,'Revised 2017 Lockdown'!B$5:B$249,0))</f>
        <v>37087418.170000002</v>
      </c>
      <c r="G11" s="7">
        <f>INDEX('Revised 2017 Lockdown'!F$5:F$249,MATCH(B11,'Revised 2017 Lockdown'!B$5:B$249,0))</f>
        <v>11034183.389999999</v>
      </c>
      <c r="H11" s="7">
        <f t="shared" si="0"/>
        <v>26053234.780000001</v>
      </c>
      <c r="I11" s="6">
        <f t="shared" si="1"/>
        <v>317.36553265718294</v>
      </c>
      <c r="J11" s="6">
        <f t="shared" si="7"/>
        <v>317.36553265718294</v>
      </c>
      <c r="K11" s="5">
        <f t="shared" si="8"/>
        <v>26053234.780000001</v>
      </c>
      <c r="L11" s="4">
        <f t="shared" si="2"/>
        <v>0</v>
      </c>
      <c r="M11" s="2">
        <f t="shared" si="9"/>
        <v>310.11560471215978</v>
      </c>
      <c r="N11" s="1" cm="1">
        <f t="array" ref="N11">SUMPRODUCT(--($L$6:$L$300&lt;&gt;1),--($C$6:$C$300=$C11))</f>
        <v>6</v>
      </c>
      <c r="O11" s="3">
        <f t="shared" si="3"/>
        <v>52.561455208027738</v>
      </c>
      <c r="P11" s="2">
        <f t="shared" si="4"/>
        <v>86.008774609808754</v>
      </c>
      <c r="Q11" s="2">
        <f t="shared" si="5"/>
        <v>199.89092496038668</v>
      </c>
      <c r="R11" s="2">
        <f t="shared" si="5"/>
        <v>420.3402844639329</v>
      </c>
      <c r="S11" s="2">
        <f t="shared" si="6"/>
        <v>317.36553265718294</v>
      </c>
    </row>
    <row r="12" spans="2:19" x14ac:dyDescent="0.25">
      <c r="B12" s="10">
        <v>6</v>
      </c>
      <c r="C12" s="10">
        <v>2</v>
      </c>
      <c r="D12" s="9" t="s">
        <v>68</v>
      </c>
      <c r="E12" s="154">
        <f>INDEX('Revised 2017 Lockdown'!H$5:H$249,MATCH(B12,'Revised 2017 Lockdown'!B$5:B$249,0))</f>
        <v>43390.189999999995</v>
      </c>
      <c r="F12" s="7">
        <f>INDEX('Revised 2017 Lockdown'!E$5:E$249,MATCH(B12,'Revised 2017 Lockdown'!B$5:B$249,0))</f>
        <v>18925384.940000001</v>
      </c>
      <c r="G12" s="7">
        <f>INDEX('Revised 2017 Lockdown'!F$5:F$249,MATCH(B12,'Revised 2017 Lockdown'!B$5:B$249,0))</f>
        <v>6221539.9700000007</v>
      </c>
      <c r="H12" s="7">
        <f t="shared" si="0"/>
        <v>12703844.970000001</v>
      </c>
      <c r="I12" s="6">
        <f t="shared" si="1"/>
        <v>292.78150130248338</v>
      </c>
      <c r="J12" s="6">
        <f t="shared" si="7"/>
        <v>269.03474500664686</v>
      </c>
      <c r="K12" s="5">
        <f t="shared" si="8"/>
        <v>11673468.702439956</v>
      </c>
      <c r="L12" s="4">
        <f t="shared" si="2"/>
        <v>0</v>
      </c>
      <c r="M12" s="2">
        <f t="shared" si="9"/>
        <v>182.19941965536765</v>
      </c>
      <c r="N12" s="1" cm="1">
        <f t="array" ref="N12">SUMPRODUCT(--($L$6:$L$300&lt;&gt;1),--($C$6:$C$300=$C12))</f>
        <v>6</v>
      </c>
      <c r="O12" s="3">
        <f t="shared" si="3"/>
        <v>12228.396781409368</v>
      </c>
      <c r="P12" s="2">
        <f t="shared" si="4"/>
        <v>67.757964397147106</v>
      </c>
      <c r="Q12" s="2">
        <f t="shared" si="5"/>
        <v>95.364094304088468</v>
      </c>
      <c r="R12" s="2">
        <f t="shared" si="5"/>
        <v>269.03474500664686</v>
      </c>
      <c r="S12" s="2">
        <f t="shared" si="6"/>
        <v>269.03474500664686</v>
      </c>
    </row>
    <row r="13" spans="2:19" x14ac:dyDescent="0.25">
      <c r="B13" s="10">
        <v>18</v>
      </c>
      <c r="C13" s="10">
        <v>2</v>
      </c>
      <c r="D13" s="9" t="s">
        <v>69</v>
      </c>
      <c r="E13" s="154">
        <f>INDEX('Revised 2017 Lockdown'!H$5:H$249,MATCH(B13,'Revised 2017 Lockdown'!B$5:B$249,0))</f>
        <v>23534.330000000005</v>
      </c>
      <c r="F13" s="7">
        <f>INDEX('Revised 2017 Lockdown'!E$5:E$249,MATCH(B13,'Revised 2017 Lockdown'!B$5:B$249,0))</f>
        <v>7710688.1500000004</v>
      </c>
      <c r="G13" s="7">
        <f>INDEX('Revised 2017 Lockdown'!F$5:F$249,MATCH(B13,'Revised 2017 Lockdown'!B$5:B$249,0))</f>
        <v>4165073.71</v>
      </c>
      <c r="H13" s="7">
        <f t="shared" si="0"/>
        <v>3545614.4400000004</v>
      </c>
      <c r="I13" s="6">
        <f t="shared" si="1"/>
        <v>150.65712259494958</v>
      </c>
      <c r="J13" s="6">
        <f t="shared" si="7"/>
        <v>150.65712259494958</v>
      </c>
      <c r="K13" s="5">
        <f t="shared" si="8"/>
        <v>3545614.4400000009</v>
      </c>
      <c r="L13" s="4">
        <f t="shared" si="2"/>
        <v>0</v>
      </c>
      <c r="M13" s="2">
        <f t="shared" si="9"/>
        <v>182.19941965536765</v>
      </c>
      <c r="N13" s="1" cm="1">
        <f t="array" ref="N13">SUMPRODUCT(--($L$6:$L$300&lt;&gt;1),--($C$6:$C$300=$C13))</f>
        <v>6</v>
      </c>
      <c r="O13" s="3">
        <f t="shared" si="3"/>
        <v>994.91650384765808</v>
      </c>
      <c r="P13" s="2">
        <f t="shared" si="4"/>
        <v>67.757964397147106</v>
      </c>
      <c r="Q13" s="2">
        <f t="shared" si="5"/>
        <v>95.364094304088468</v>
      </c>
      <c r="R13" s="2">
        <f t="shared" si="5"/>
        <v>269.03474500664686</v>
      </c>
      <c r="S13" s="2">
        <f t="shared" si="6"/>
        <v>150.65712259494958</v>
      </c>
    </row>
    <row r="14" spans="2:19" x14ac:dyDescent="0.25">
      <c r="B14" s="10">
        <v>53</v>
      </c>
      <c r="C14" s="10">
        <v>2</v>
      </c>
      <c r="D14" s="9" t="s">
        <v>70</v>
      </c>
      <c r="E14" s="154">
        <f>INDEX('Revised 2017 Lockdown'!H$5:H$249,MATCH(B14,'Revised 2017 Lockdown'!B$5:B$249,0))</f>
        <v>36088.47</v>
      </c>
      <c r="F14" s="7">
        <f>INDEX('Revised 2017 Lockdown'!E$5:E$249,MATCH(B14,'Revised 2017 Lockdown'!B$5:B$249,0))</f>
        <v>11731139.85</v>
      </c>
      <c r="G14" s="7">
        <f>INDEX('Revised 2017 Lockdown'!F$5:F$249,MATCH(B14,'Revised 2017 Lockdown'!B$5:B$249,0))</f>
        <v>5054300.95</v>
      </c>
      <c r="H14" s="7">
        <f t="shared" si="0"/>
        <v>6676838.8999999994</v>
      </c>
      <c r="I14" s="6">
        <f t="shared" si="1"/>
        <v>185.01307758405937</v>
      </c>
      <c r="J14" s="6">
        <f t="shared" si="7"/>
        <v>185.01307758405937</v>
      </c>
      <c r="K14" s="5">
        <f t="shared" si="8"/>
        <v>6676838.8999999994</v>
      </c>
      <c r="L14" s="4">
        <f t="shared" si="2"/>
        <v>0</v>
      </c>
      <c r="M14" s="2">
        <f t="shared" si="9"/>
        <v>182.19941965536765</v>
      </c>
      <c r="N14" s="1" cm="1">
        <f t="array" ref="N14">SUMPRODUCT(--($L$6:$L$300&lt;&gt;1),--($C$6:$C$300=$C14))</f>
        <v>6</v>
      </c>
      <c r="O14" s="3">
        <f t="shared" si="3"/>
        <v>7.9166709396898103</v>
      </c>
      <c r="P14" s="2">
        <f t="shared" si="4"/>
        <v>67.757964397147106</v>
      </c>
      <c r="Q14" s="2">
        <f t="shared" si="5"/>
        <v>95.364094304088468</v>
      </c>
      <c r="R14" s="2">
        <f t="shared" si="5"/>
        <v>269.03474500664686</v>
      </c>
      <c r="S14" s="2">
        <f t="shared" si="6"/>
        <v>185.01307758405937</v>
      </c>
    </row>
    <row r="15" spans="2:19" x14ac:dyDescent="0.25">
      <c r="B15" s="10">
        <v>335</v>
      </c>
      <c r="C15" s="10">
        <v>2</v>
      </c>
      <c r="D15" s="9" t="s">
        <v>71</v>
      </c>
      <c r="E15" s="154">
        <f>INDEX('Revised 2017 Lockdown'!H$5:H$249,MATCH(B15,'Revised 2017 Lockdown'!B$5:B$249,0))</f>
        <v>24460.199999999997</v>
      </c>
      <c r="F15" s="7">
        <f>INDEX('Revised 2017 Lockdown'!E$5:E$249,MATCH(B15,'Revised 2017 Lockdown'!B$5:B$249,0))</f>
        <v>9859566.0800000001</v>
      </c>
      <c r="G15" s="7">
        <f>INDEX('Revised 2017 Lockdown'!F$5:F$249,MATCH(B15,'Revised 2017 Lockdown'!B$5:B$249,0))</f>
        <v>4583108.9400000004</v>
      </c>
      <c r="H15" s="7">
        <f t="shared" si="0"/>
        <v>5276457.1399999997</v>
      </c>
      <c r="I15" s="6">
        <f t="shared" si="1"/>
        <v>215.71602603412893</v>
      </c>
      <c r="J15" s="6">
        <f t="shared" si="7"/>
        <v>215.71602603412893</v>
      </c>
      <c r="K15" s="5">
        <f t="shared" si="8"/>
        <v>5276457.1399999997</v>
      </c>
      <c r="L15" s="4">
        <f t="shared" si="2"/>
        <v>0</v>
      </c>
      <c r="M15" s="2">
        <f t="shared" si="9"/>
        <v>182.19941965536765</v>
      </c>
      <c r="N15" s="1" cm="1">
        <f t="array" ref="N15">SUMPRODUCT(--($L$6:$L$300&lt;&gt;1),--($C$6:$C$300=$C15))</f>
        <v>6</v>
      </c>
      <c r="O15" s="3">
        <f t="shared" si="3"/>
        <v>1123.3629031488215</v>
      </c>
      <c r="P15" s="2">
        <f t="shared" si="4"/>
        <v>67.757964397147106</v>
      </c>
      <c r="Q15" s="2">
        <f t="shared" si="5"/>
        <v>95.364094304088468</v>
      </c>
      <c r="R15" s="2">
        <f t="shared" si="5"/>
        <v>269.03474500664686</v>
      </c>
      <c r="S15" s="2">
        <f t="shared" si="6"/>
        <v>215.71602603412893</v>
      </c>
    </row>
    <row r="16" spans="2:19" x14ac:dyDescent="0.25">
      <c r="B16" s="10">
        <v>357</v>
      </c>
      <c r="C16" s="10">
        <v>2</v>
      </c>
      <c r="D16" s="9" t="s">
        <v>72</v>
      </c>
      <c r="E16" s="154">
        <f>INDEX('Revised 2017 Lockdown'!H$5:H$249,MATCH(B16,'Revised 2017 Lockdown'!B$5:B$249,0))</f>
        <v>36671.049999999996</v>
      </c>
      <c r="F16" s="7">
        <f>INDEX('Revised 2017 Lockdown'!E$5:E$249,MATCH(B16,'Revised 2017 Lockdown'!B$5:B$249,0))</f>
        <v>12281303.27</v>
      </c>
      <c r="G16" s="7">
        <f>INDEX('Revised 2017 Lockdown'!F$5:F$249,MATCH(B16,'Revised 2017 Lockdown'!B$5:B$249,0))</f>
        <v>6866116.8200000003</v>
      </c>
      <c r="H16" s="7">
        <f t="shared" si="0"/>
        <v>5415186.4499999993</v>
      </c>
      <c r="I16" s="6">
        <f t="shared" si="1"/>
        <v>147.66924999420525</v>
      </c>
      <c r="J16" s="6">
        <f t="shared" si="7"/>
        <v>147.66924999420525</v>
      </c>
      <c r="K16" s="5">
        <f t="shared" si="8"/>
        <v>5415186.4499999993</v>
      </c>
      <c r="L16" s="4">
        <f t="shared" si="2"/>
        <v>0</v>
      </c>
      <c r="M16" s="2">
        <f t="shared" si="9"/>
        <v>182.19941965536765</v>
      </c>
      <c r="N16" s="1" cm="1">
        <f t="array" ref="N16">SUMPRODUCT(--($L$6:$L$300&lt;&gt;1),--($C$6:$C$300=$C16))</f>
        <v>6</v>
      </c>
      <c r="O16" s="3">
        <f t="shared" si="3"/>
        <v>1192.3326168286605</v>
      </c>
      <c r="P16" s="2">
        <f t="shared" si="4"/>
        <v>67.757964397147106</v>
      </c>
      <c r="Q16" s="2">
        <f t="shared" si="5"/>
        <v>95.364094304088468</v>
      </c>
      <c r="R16" s="2">
        <f t="shared" si="5"/>
        <v>269.03474500664686</v>
      </c>
      <c r="S16" s="2">
        <f t="shared" si="6"/>
        <v>147.66924999420525</v>
      </c>
    </row>
    <row r="17" spans="2:19" x14ac:dyDescent="0.25">
      <c r="B17" s="10">
        <v>441</v>
      </c>
      <c r="C17" s="10">
        <v>2</v>
      </c>
      <c r="D17" s="9" t="s">
        <v>73</v>
      </c>
      <c r="E17" s="154">
        <f>INDEX('Revised 2017 Lockdown'!H$5:H$249,MATCH(B17,'Revised 2017 Lockdown'!B$5:B$249,0))</f>
        <v>59667.6</v>
      </c>
      <c r="F17" s="7">
        <f>INDEX('Revised 2017 Lockdown'!E$5:E$249,MATCH(B17,'Revised 2017 Lockdown'!B$5:B$249,0))</f>
        <v>18938892.98</v>
      </c>
      <c r="G17" s="7">
        <f>INDEX('Revised 2017 Lockdown'!F$5:F$249,MATCH(B17,'Revised 2017 Lockdown'!B$5:B$249,0))</f>
        <v>11778447.52</v>
      </c>
      <c r="H17" s="7">
        <f t="shared" si="0"/>
        <v>7160445.4600000009</v>
      </c>
      <c r="I17" s="6">
        <f t="shared" si="1"/>
        <v>120.00558862766394</v>
      </c>
      <c r="J17" s="6">
        <f t="shared" si="7"/>
        <v>120.00558862766394</v>
      </c>
      <c r="K17" s="5">
        <f t="shared" si="8"/>
        <v>7160445.4600000009</v>
      </c>
      <c r="L17" s="4">
        <f t="shared" si="2"/>
        <v>0</v>
      </c>
      <c r="M17" s="2">
        <f t="shared" si="9"/>
        <v>182.19941965536765</v>
      </c>
      <c r="N17" s="1" cm="1">
        <f t="array" ref="N17">SUMPRODUCT(--($L$6:$L$300&lt;&gt;1),--($C$6:$C$300=$C17))</f>
        <v>6</v>
      </c>
      <c r="O17" s="3">
        <f t="shared" si="3"/>
        <v>3868.0726179025605</v>
      </c>
      <c r="P17" s="2">
        <f t="shared" si="4"/>
        <v>67.757964397147106</v>
      </c>
      <c r="Q17" s="2">
        <f t="shared" si="5"/>
        <v>95.364094304088468</v>
      </c>
      <c r="R17" s="2">
        <f t="shared" si="5"/>
        <v>269.03474500664686</v>
      </c>
      <c r="S17" s="2">
        <f t="shared" si="6"/>
        <v>120.00558862766394</v>
      </c>
    </row>
    <row r="18" spans="2:19" x14ac:dyDescent="0.25">
      <c r="B18" s="10">
        <v>14</v>
      </c>
      <c r="C18" s="10">
        <v>3</v>
      </c>
      <c r="D18" s="9" t="s">
        <v>74</v>
      </c>
      <c r="E18" s="154">
        <f>INDEX('Revised 2017 Lockdown'!H$5:H$249,MATCH(B18,'Revised 2017 Lockdown'!B$5:B$249,0))</f>
        <v>11944.66</v>
      </c>
      <c r="F18" s="7">
        <f>INDEX('Revised 2017 Lockdown'!E$5:E$249,MATCH(B18,'Revised 2017 Lockdown'!B$5:B$249,0))</f>
        <v>2602494.63</v>
      </c>
      <c r="G18" s="7">
        <f>INDEX('Revised 2017 Lockdown'!F$5:F$249,MATCH(B18,'Revised 2017 Lockdown'!B$5:B$249,0))</f>
        <v>371291.85</v>
      </c>
      <c r="H18" s="7">
        <f t="shared" si="0"/>
        <v>2231202.7799999998</v>
      </c>
      <c r="I18" s="6">
        <f t="shared" si="1"/>
        <v>186.79500128090712</v>
      </c>
      <c r="J18" s="6">
        <f t="shared" si="7"/>
        <v>186.79500128090712</v>
      </c>
      <c r="K18" s="5">
        <f t="shared" si="8"/>
        <v>2231202.7799999998</v>
      </c>
      <c r="L18" s="4">
        <f t="shared" si="2"/>
        <v>0</v>
      </c>
      <c r="M18" s="2">
        <f t="shared" si="9"/>
        <v>257.03293955728407</v>
      </c>
      <c r="N18" s="1" cm="1">
        <f t="array" ref="N18">SUMPRODUCT(--($L$6:$L$300&lt;&gt;1),--($C$6:$C$300=$C18))</f>
        <v>7</v>
      </c>
      <c r="O18" s="3">
        <f t="shared" si="3"/>
        <v>4933.367973316138</v>
      </c>
      <c r="P18" s="2">
        <f t="shared" si="4"/>
        <v>156.71340619502359</v>
      </c>
      <c r="Q18" s="2">
        <f t="shared" si="5"/>
        <v>56.19662850622467</v>
      </c>
      <c r="R18" s="2">
        <f t="shared" si="5"/>
        <v>457.86925060834346</v>
      </c>
      <c r="S18" s="2">
        <f t="shared" si="6"/>
        <v>186.79500128090712</v>
      </c>
    </row>
    <row r="19" spans="2:19" x14ac:dyDescent="0.25">
      <c r="B19" s="10">
        <v>36</v>
      </c>
      <c r="C19" s="10">
        <v>3</v>
      </c>
      <c r="D19" s="9" t="s">
        <v>75</v>
      </c>
      <c r="E19" s="154">
        <f>INDEX('Revised 2017 Lockdown'!H$5:H$249,MATCH(B19,'Revised 2017 Lockdown'!B$5:B$249,0))</f>
        <v>8403.0400000000009</v>
      </c>
      <c r="F19" s="7">
        <f>INDEX('Revised 2017 Lockdown'!E$5:E$249,MATCH(B19,'Revised 2017 Lockdown'!B$5:B$249,0))</f>
        <v>6199296.2199999997</v>
      </c>
      <c r="G19" s="7">
        <f>INDEX('Revised 2017 Lockdown'!F$5:F$249,MATCH(B19,'Revised 2017 Lockdown'!B$5:B$249,0))</f>
        <v>1477647.7100000002</v>
      </c>
      <c r="H19" s="7">
        <f t="shared" si="0"/>
        <v>4721648.51</v>
      </c>
      <c r="I19" s="6">
        <f t="shared" si="1"/>
        <v>561.8976596565052</v>
      </c>
      <c r="J19" s="6">
        <f t="shared" si="7"/>
        <v>457.86925060834346</v>
      </c>
      <c r="K19" s="5">
        <f t="shared" si="8"/>
        <v>3847493.6276319348</v>
      </c>
      <c r="L19" s="4">
        <f t="shared" si="2"/>
        <v>0</v>
      </c>
      <c r="M19" s="2">
        <f t="shared" si="9"/>
        <v>257.03293955728407</v>
      </c>
      <c r="N19" s="1" cm="1">
        <f t="array" ref="N19">SUMPRODUCT(--($L$6:$L$300&lt;&gt;1),--($C$6:$C$300=$C19))</f>
        <v>7</v>
      </c>
      <c r="O19" s="3">
        <f t="shared" si="3"/>
        <v>92942.497561176438</v>
      </c>
      <c r="P19" s="2">
        <f t="shared" si="4"/>
        <v>156.71340619502359</v>
      </c>
      <c r="Q19" s="2">
        <f t="shared" si="5"/>
        <v>56.19662850622467</v>
      </c>
      <c r="R19" s="2">
        <f t="shared" si="5"/>
        <v>457.86925060834346</v>
      </c>
      <c r="S19" s="2">
        <f t="shared" si="6"/>
        <v>457.86925060834346</v>
      </c>
    </row>
    <row r="20" spans="2:19" x14ac:dyDescent="0.25">
      <c r="B20" s="10">
        <v>55</v>
      </c>
      <c r="C20" s="10">
        <v>3</v>
      </c>
      <c r="D20" s="9" t="s">
        <v>76</v>
      </c>
      <c r="E20" s="154">
        <f>INDEX('Revised 2017 Lockdown'!H$5:H$249,MATCH(B20,'Revised 2017 Lockdown'!B$5:B$249,0))</f>
        <v>4130.9700000000012</v>
      </c>
      <c r="F20" s="7">
        <f>INDEX('Revised 2017 Lockdown'!E$5:E$249,MATCH(B20,'Revised 2017 Lockdown'!B$5:B$249,0))</f>
        <v>1452092.17</v>
      </c>
      <c r="G20" s="7">
        <f>INDEX('Revised 2017 Lockdown'!F$5:F$249,MATCH(B20,'Revised 2017 Lockdown'!B$5:B$249,0))</f>
        <v>244179.87</v>
      </c>
      <c r="H20" s="7">
        <f t="shared" si="0"/>
        <v>1207912.2999999998</v>
      </c>
      <c r="I20" s="6">
        <f t="shared" si="1"/>
        <v>292.40403585598528</v>
      </c>
      <c r="J20" s="6">
        <f t="shared" si="7"/>
        <v>292.40403585598528</v>
      </c>
      <c r="K20" s="5">
        <f t="shared" si="8"/>
        <v>1207912.2999999998</v>
      </c>
      <c r="L20" s="4">
        <f t="shared" si="2"/>
        <v>0</v>
      </c>
      <c r="M20" s="2">
        <f t="shared" si="9"/>
        <v>257.03293955728407</v>
      </c>
      <c r="N20" s="1" cm="1">
        <f t="array" ref="N20">SUMPRODUCT(--($L$6:$L$300&lt;&gt;1),--($C$6:$C$300=$C20))</f>
        <v>7</v>
      </c>
      <c r="O20" s="3">
        <f t="shared" si="3"/>
        <v>1251.1144533719951</v>
      </c>
      <c r="P20" s="2">
        <f t="shared" si="4"/>
        <v>156.71340619502359</v>
      </c>
      <c r="Q20" s="2">
        <f t="shared" si="5"/>
        <v>56.19662850622467</v>
      </c>
      <c r="R20" s="2">
        <f t="shared" si="5"/>
        <v>457.86925060834346</v>
      </c>
      <c r="S20" s="2">
        <f t="shared" si="6"/>
        <v>292.40403585598528</v>
      </c>
    </row>
    <row r="21" spans="2:19" x14ac:dyDescent="0.25">
      <c r="B21" s="10">
        <v>103</v>
      </c>
      <c r="C21" s="10">
        <v>3</v>
      </c>
      <c r="D21" s="9" t="s">
        <v>77</v>
      </c>
      <c r="E21" s="154">
        <f>INDEX('Revised 2017 Lockdown'!H$5:H$249,MATCH(B21,'Revised 2017 Lockdown'!B$5:B$249,0))</f>
        <v>4390.6400000000003</v>
      </c>
      <c r="F21" s="7">
        <f>INDEX('Revised 2017 Lockdown'!E$5:E$249,MATCH(B21,'Revised 2017 Lockdown'!B$5:B$249,0))</f>
        <v>1477231.12</v>
      </c>
      <c r="G21" s="7">
        <f>INDEX('Revised 2017 Lockdown'!F$5:F$249,MATCH(B21,'Revised 2017 Lockdown'!B$5:B$249,0))</f>
        <v>390505.4200000001</v>
      </c>
      <c r="H21" s="7">
        <f t="shared" si="0"/>
        <v>1086725.7</v>
      </c>
      <c r="I21" s="6">
        <f t="shared" si="1"/>
        <v>247.50963413078728</v>
      </c>
      <c r="J21" s="6">
        <f t="shared" si="7"/>
        <v>247.50963413078728</v>
      </c>
      <c r="K21" s="5">
        <f t="shared" si="8"/>
        <v>1086725.7</v>
      </c>
      <c r="L21" s="4">
        <f t="shared" si="2"/>
        <v>0</v>
      </c>
      <c r="M21" s="2">
        <f t="shared" si="9"/>
        <v>257.03293955728407</v>
      </c>
      <c r="N21" s="1" cm="1">
        <f t="array" ref="N21">SUMPRODUCT(--($L$6:$L$300&lt;&gt;1),--($C$6:$C$300=$C21))</f>
        <v>7</v>
      </c>
      <c r="O21" s="3">
        <f t="shared" si="3"/>
        <v>90.693346246343211</v>
      </c>
      <c r="P21" s="2">
        <f t="shared" si="4"/>
        <v>156.71340619502359</v>
      </c>
      <c r="Q21" s="2">
        <f t="shared" si="5"/>
        <v>56.19662850622467</v>
      </c>
      <c r="R21" s="2">
        <f t="shared" si="5"/>
        <v>457.86925060834346</v>
      </c>
      <c r="S21" s="2">
        <f t="shared" si="6"/>
        <v>247.50963413078728</v>
      </c>
    </row>
    <row r="22" spans="2:19" x14ac:dyDescent="0.25">
      <c r="B22" s="10">
        <v>123</v>
      </c>
      <c r="C22" s="10">
        <v>3</v>
      </c>
      <c r="D22" s="9" t="s">
        <v>78</v>
      </c>
      <c r="E22" s="154">
        <f>INDEX('Revised 2017 Lockdown'!H$5:H$249,MATCH(B22,'Revised 2017 Lockdown'!B$5:B$249,0))</f>
        <v>6452.95</v>
      </c>
      <c r="F22" s="7">
        <f>INDEX('Revised 2017 Lockdown'!E$5:E$249,MATCH(B22,'Revised 2017 Lockdown'!B$5:B$249,0))</f>
        <v>1280665.4099999999</v>
      </c>
      <c r="G22" s="7">
        <f>INDEX('Revised 2017 Lockdown'!F$5:F$249,MATCH(B22,'Revised 2017 Lockdown'!B$5:B$249,0))</f>
        <v>0</v>
      </c>
      <c r="H22" s="7">
        <f t="shared" si="0"/>
        <v>1280665.4099999999</v>
      </c>
      <c r="I22" s="6">
        <f t="shared" si="1"/>
        <v>198.46200729898729</v>
      </c>
      <c r="J22" s="6">
        <f t="shared" si="7"/>
        <v>198.46200729898729</v>
      </c>
      <c r="K22" s="5">
        <f t="shared" si="8"/>
        <v>1280665.4099999999</v>
      </c>
      <c r="L22" s="4">
        <f t="shared" si="2"/>
        <v>0</v>
      </c>
      <c r="M22" s="2">
        <f t="shared" si="9"/>
        <v>257.03293955728407</v>
      </c>
      <c r="N22" s="1" cm="1">
        <f t="array" ref="N22">SUMPRODUCT(--($L$6:$L$300&lt;&gt;1),--($C$6:$C$300=$C22))</f>
        <v>7</v>
      </c>
      <c r="O22" s="3">
        <f t="shared" si="3"/>
        <v>3430.5541056059901</v>
      </c>
      <c r="P22" s="2">
        <f t="shared" si="4"/>
        <v>156.71340619502359</v>
      </c>
      <c r="Q22" s="2">
        <f t="shared" si="5"/>
        <v>56.19662850622467</v>
      </c>
      <c r="R22" s="2">
        <f t="shared" si="5"/>
        <v>457.86925060834346</v>
      </c>
      <c r="S22" s="2">
        <f t="shared" si="6"/>
        <v>198.46200729898729</v>
      </c>
    </row>
    <row r="23" spans="2:19" x14ac:dyDescent="0.25">
      <c r="B23" s="10">
        <v>179</v>
      </c>
      <c r="C23" s="10">
        <v>3</v>
      </c>
      <c r="D23" s="9" t="s">
        <v>79</v>
      </c>
      <c r="E23" s="154">
        <f>INDEX('Revised 2017 Lockdown'!H$5:H$249,MATCH(B23,'Revised 2017 Lockdown'!B$5:B$249,0))</f>
        <v>6470.7699999999995</v>
      </c>
      <c r="F23" s="7">
        <f>INDEX('Revised 2017 Lockdown'!E$5:E$249,MATCH(B23,'Revised 2017 Lockdown'!B$5:B$249,0))</f>
        <v>2375493.86</v>
      </c>
      <c r="G23" s="7">
        <f>INDEX('Revised 2017 Lockdown'!F$5:F$249,MATCH(B23,'Revised 2017 Lockdown'!B$5:B$249,0))</f>
        <v>1060798.6800000002</v>
      </c>
      <c r="H23" s="7">
        <f t="shared" si="0"/>
        <v>1314695.1799999997</v>
      </c>
      <c r="I23" s="6">
        <f t="shared" si="1"/>
        <v>203.17445682662185</v>
      </c>
      <c r="J23" s="6">
        <f t="shared" si="7"/>
        <v>203.17445682662185</v>
      </c>
      <c r="K23" s="5">
        <f t="shared" si="8"/>
        <v>1314695.1799999997</v>
      </c>
      <c r="L23" s="4">
        <f t="shared" si="2"/>
        <v>0</v>
      </c>
      <c r="M23" s="2">
        <f t="shared" si="9"/>
        <v>257.03293955728407</v>
      </c>
      <c r="N23" s="1" cm="1">
        <f t="array" ref="N23">SUMPRODUCT(--($L$6:$L$300&lt;&gt;1),--($C$6:$C$300=$C23))</f>
        <v>7</v>
      </c>
      <c r="O23" s="3">
        <f t="shared" si="3"/>
        <v>2900.7361620490401</v>
      </c>
      <c r="P23" s="2">
        <f t="shared" si="4"/>
        <v>156.71340619502359</v>
      </c>
      <c r="Q23" s="2">
        <f t="shared" si="5"/>
        <v>56.19662850622467</v>
      </c>
      <c r="R23" s="2">
        <f t="shared" si="5"/>
        <v>457.86925060834346</v>
      </c>
      <c r="S23" s="2">
        <f t="shared" si="6"/>
        <v>203.17445682662185</v>
      </c>
    </row>
    <row r="24" spans="2:19" x14ac:dyDescent="0.25">
      <c r="B24" s="10">
        <v>293</v>
      </c>
      <c r="C24" s="10">
        <v>3</v>
      </c>
      <c r="D24" s="9" t="s">
        <v>80</v>
      </c>
      <c r="E24" s="154">
        <f>INDEX('Revised 2017 Lockdown'!H$5:H$249,MATCH(B24,'Revised 2017 Lockdown'!B$5:B$249,0))</f>
        <v>7745.28</v>
      </c>
      <c r="F24" s="7">
        <f>INDEX('Revised 2017 Lockdown'!E$5:E$249,MATCH(B24,'Revised 2017 Lockdown'!B$5:B$249,0))</f>
        <v>2246062.3199999998</v>
      </c>
      <c r="G24" s="7">
        <f>INDEX('Revised 2017 Lockdown'!F$5:F$249,MATCH(B24,'Revised 2017 Lockdown'!B$5:B$249,0))</f>
        <v>1355934.76</v>
      </c>
      <c r="H24" s="7">
        <f t="shared" si="0"/>
        <v>890127.55999999982</v>
      </c>
      <c r="I24" s="6">
        <f t="shared" si="1"/>
        <v>114.92516216327878</v>
      </c>
      <c r="J24" s="6">
        <f t="shared" si="7"/>
        <v>114.92516216327878</v>
      </c>
      <c r="K24" s="5">
        <f t="shared" si="8"/>
        <v>890127.55999999982</v>
      </c>
      <c r="L24" s="4">
        <f t="shared" si="2"/>
        <v>0</v>
      </c>
      <c r="M24" s="2">
        <f t="shared" si="9"/>
        <v>257.03293955728407</v>
      </c>
      <c r="N24" s="1" cm="1">
        <f t="array" ref="N24">SUMPRODUCT(--($L$6:$L$300&lt;&gt;1),--($C$6:$C$300=$C24))</f>
        <v>7</v>
      </c>
      <c r="O24" s="3">
        <f t="shared" si="3"/>
        <v>20194.620395864156</v>
      </c>
      <c r="P24" s="2">
        <f t="shared" si="4"/>
        <v>156.71340619502359</v>
      </c>
      <c r="Q24" s="2">
        <f t="shared" si="5"/>
        <v>56.19662850622467</v>
      </c>
      <c r="R24" s="2">
        <f t="shared" si="5"/>
        <v>457.86925060834346</v>
      </c>
      <c r="S24" s="2">
        <f t="shared" si="6"/>
        <v>114.92516216327878</v>
      </c>
    </row>
    <row r="25" spans="2:19" x14ac:dyDescent="0.25">
      <c r="B25" s="10">
        <v>12</v>
      </c>
      <c r="C25" s="10">
        <v>4</v>
      </c>
      <c r="D25" s="9" t="s">
        <v>81</v>
      </c>
      <c r="E25" s="154">
        <f>INDEX('Revised 2017 Lockdown'!H$5:H$249,MATCH(B25,'Revised 2017 Lockdown'!B$5:B$249,0))</f>
        <v>6061.0499999999993</v>
      </c>
      <c r="F25" s="7">
        <f>INDEX('Revised 2017 Lockdown'!E$5:E$249,MATCH(B25,'Revised 2017 Lockdown'!B$5:B$249,0))</f>
        <v>3099070.13</v>
      </c>
      <c r="G25" s="7">
        <f>INDEX('Revised 2017 Lockdown'!F$5:F$249,MATCH(B25,'Revised 2017 Lockdown'!B$5:B$249,0))</f>
        <v>783502.69</v>
      </c>
      <c r="H25" s="7">
        <f t="shared" si="0"/>
        <v>2315567.44</v>
      </c>
      <c r="I25" s="6">
        <f t="shared" si="1"/>
        <v>382.04064312289131</v>
      </c>
      <c r="J25" s="6">
        <f t="shared" si="7"/>
        <v>382.04064312289131</v>
      </c>
      <c r="K25" s="5">
        <f t="shared" si="8"/>
        <v>2315567.44</v>
      </c>
      <c r="L25" s="4">
        <f t="shared" si="2"/>
        <v>0</v>
      </c>
      <c r="M25" s="2">
        <f t="shared" si="9"/>
        <v>352.71234160280807</v>
      </c>
      <c r="N25" s="1" cm="1">
        <f t="array" ref="N25">SUMPRODUCT(--($L$6:$L$300&lt;&gt;1),--($C$6:$C$300=$C25))</f>
        <v>15</v>
      </c>
      <c r="O25" s="3">
        <f t="shared" si="3"/>
        <v>860.14927005291713</v>
      </c>
      <c r="P25" s="2">
        <f t="shared" si="4"/>
        <v>131.20246621138364</v>
      </c>
      <c r="Q25" s="2">
        <f t="shared" si="5"/>
        <v>184.56961562629681</v>
      </c>
      <c r="R25" s="2">
        <f t="shared" si="5"/>
        <v>520.85506757931932</v>
      </c>
      <c r="S25" s="2">
        <f t="shared" si="6"/>
        <v>382.04064312289131</v>
      </c>
    </row>
    <row r="26" spans="2:19" x14ac:dyDescent="0.25">
      <c r="B26" s="10">
        <v>21</v>
      </c>
      <c r="C26" s="10">
        <v>4</v>
      </c>
      <c r="D26" s="9" t="s">
        <v>82</v>
      </c>
      <c r="E26" s="154">
        <f>INDEX('Revised 2017 Lockdown'!H$5:H$249,MATCH(B26,'Revised 2017 Lockdown'!B$5:B$249,0))</f>
        <v>5307.0800000000008</v>
      </c>
      <c r="F26" s="7">
        <f>INDEX('Revised 2017 Lockdown'!E$5:E$249,MATCH(B26,'Revised 2017 Lockdown'!B$5:B$249,0))</f>
        <v>2877654.83</v>
      </c>
      <c r="G26" s="7">
        <f>INDEX('Revised 2017 Lockdown'!F$5:F$249,MATCH(B26,'Revised 2017 Lockdown'!B$5:B$249,0))</f>
        <v>827724.42999999982</v>
      </c>
      <c r="H26" s="7">
        <f t="shared" si="0"/>
        <v>2049930.4000000004</v>
      </c>
      <c r="I26" s="6">
        <f t="shared" si="1"/>
        <v>386.26333124806865</v>
      </c>
      <c r="J26" s="6">
        <f t="shared" si="7"/>
        <v>386.26333124806865</v>
      </c>
      <c r="K26" s="5">
        <f t="shared" si="8"/>
        <v>2049930.4000000006</v>
      </c>
      <c r="L26" s="4">
        <f t="shared" si="2"/>
        <v>0</v>
      </c>
      <c r="M26" s="2">
        <f t="shared" si="9"/>
        <v>352.71234160280807</v>
      </c>
      <c r="N26" s="1" cm="1">
        <f t="array" ref="N26">SUMPRODUCT(--($L$6:$L$300&lt;&gt;1),--($C$6:$C$300=$C26))</f>
        <v>15</v>
      </c>
      <c r="O26" s="3">
        <f t="shared" si="3"/>
        <v>1125.668906176383</v>
      </c>
      <c r="P26" s="2">
        <f t="shared" si="4"/>
        <v>131.20246621138364</v>
      </c>
      <c r="Q26" s="2">
        <f t="shared" ref="Q26:R45" si="10">NORMINV(Q$4,$M26,$P26)</f>
        <v>184.56961562629681</v>
      </c>
      <c r="R26" s="2">
        <f t="shared" si="10"/>
        <v>520.85506757931932</v>
      </c>
      <c r="S26" s="2">
        <f t="shared" si="6"/>
        <v>386.26333124806865</v>
      </c>
    </row>
    <row r="27" spans="2:19" x14ac:dyDescent="0.25">
      <c r="B27" s="10">
        <v>34</v>
      </c>
      <c r="C27" s="10">
        <v>4</v>
      </c>
      <c r="D27" s="9" t="s">
        <v>83</v>
      </c>
      <c r="E27" s="154">
        <f>INDEX('Revised 2017 Lockdown'!H$5:H$249,MATCH(B27,'Revised 2017 Lockdown'!B$5:B$249,0))</f>
        <v>4735.1400000000003</v>
      </c>
      <c r="F27" s="7">
        <f>INDEX('Revised 2017 Lockdown'!E$5:E$249,MATCH(B27,'Revised 2017 Lockdown'!B$5:B$249,0))</f>
        <v>2531654.36</v>
      </c>
      <c r="G27" s="7">
        <f>INDEX('Revised 2017 Lockdown'!F$5:F$249,MATCH(B27,'Revised 2017 Lockdown'!B$5:B$249,0))</f>
        <v>716928.97</v>
      </c>
      <c r="H27" s="7">
        <f t="shared" si="0"/>
        <v>1814725.39</v>
      </c>
      <c r="I27" s="6">
        <f t="shared" si="1"/>
        <v>383.24640665323511</v>
      </c>
      <c r="J27" s="6">
        <f t="shared" si="7"/>
        <v>383.24640665323511</v>
      </c>
      <c r="K27" s="5">
        <f t="shared" si="8"/>
        <v>1814725.39</v>
      </c>
      <c r="L27" s="4">
        <f t="shared" si="2"/>
        <v>0</v>
      </c>
      <c r="M27" s="2">
        <f t="shared" si="9"/>
        <v>352.71234160280807</v>
      </c>
      <c r="N27" s="1" cm="1">
        <f t="array" ref="N27">SUMPRODUCT(--($L$6:$L$300&lt;&gt;1),--($C$6:$C$300=$C27))</f>
        <v>15</v>
      </c>
      <c r="O27" s="3">
        <f t="shared" si="3"/>
        <v>932.32912850371042</v>
      </c>
      <c r="P27" s="2">
        <f t="shared" si="4"/>
        <v>131.20246621138364</v>
      </c>
      <c r="Q27" s="2">
        <f t="shared" si="10"/>
        <v>184.56961562629681</v>
      </c>
      <c r="R27" s="2">
        <f t="shared" si="10"/>
        <v>520.85506757931932</v>
      </c>
      <c r="S27" s="2">
        <f t="shared" si="6"/>
        <v>383.24640665323511</v>
      </c>
    </row>
    <row r="28" spans="2:19" x14ac:dyDescent="0.25">
      <c r="B28" s="10">
        <v>87</v>
      </c>
      <c r="C28" s="10">
        <v>4</v>
      </c>
      <c r="D28" s="9" t="s">
        <v>84</v>
      </c>
      <c r="E28" s="154">
        <f>INDEX('Revised 2017 Lockdown'!H$5:H$249,MATCH(B28,'Revised 2017 Lockdown'!B$5:B$249,0))</f>
        <v>11432.019999999997</v>
      </c>
      <c r="F28" s="7">
        <f>INDEX('Revised 2017 Lockdown'!E$5:E$249,MATCH(B28,'Revised 2017 Lockdown'!B$5:B$249,0))</f>
        <v>4885516.33</v>
      </c>
      <c r="G28" s="7">
        <f>INDEX('Revised 2017 Lockdown'!F$5:F$249,MATCH(B28,'Revised 2017 Lockdown'!B$5:B$249,0))</f>
        <v>1799892.97</v>
      </c>
      <c r="H28" s="7">
        <f t="shared" si="0"/>
        <v>3085623.3600000003</v>
      </c>
      <c r="I28" s="6">
        <f t="shared" si="1"/>
        <v>269.91059847690968</v>
      </c>
      <c r="J28" s="6">
        <f t="shared" si="7"/>
        <v>269.91059847690968</v>
      </c>
      <c r="K28" s="5">
        <f t="shared" si="8"/>
        <v>3085623.3600000003</v>
      </c>
      <c r="L28" s="4">
        <f t="shared" si="2"/>
        <v>0</v>
      </c>
      <c r="M28" s="2">
        <f t="shared" si="9"/>
        <v>352.71234160280807</v>
      </c>
      <c r="N28" s="1" cm="1">
        <f t="array" ref="N28">SUMPRODUCT(--($L$6:$L$300&lt;&gt;1),--($C$6:$C$300=$C28))</f>
        <v>15</v>
      </c>
      <c r="O28" s="3">
        <f t="shared" si="3"/>
        <v>6856.1286646872604</v>
      </c>
      <c r="P28" s="2">
        <f t="shared" si="4"/>
        <v>131.20246621138364</v>
      </c>
      <c r="Q28" s="2">
        <f t="shared" si="10"/>
        <v>184.56961562629681</v>
      </c>
      <c r="R28" s="2">
        <f t="shared" si="10"/>
        <v>520.85506757931932</v>
      </c>
      <c r="S28" s="2">
        <f t="shared" si="6"/>
        <v>269.91059847690968</v>
      </c>
    </row>
    <row r="29" spans="2:19" x14ac:dyDescent="0.25">
      <c r="B29" s="10">
        <v>88</v>
      </c>
      <c r="C29" s="10">
        <v>4</v>
      </c>
      <c r="D29" s="9" t="s">
        <v>85</v>
      </c>
      <c r="E29" s="154">
        <f>INDEX('Revised 2017 Lockdown'!H$5:H$249,MATCH(B29,'Revised 2017 Lockdown'!B$5:B$249,0))</f>
        <v>5008.41</v>
      </c>
      <c r="F29" s="7">
        <f>INDEX('Revised 2017 Lockdown'!E$5:E$249,MATCH(B29,'Revised 2017 Lockdown'!B$5:B$249,0))</f>
        <v>2105518.15</v>
      </c>
      <c r="G29" s="7">
        <f>INDEX('Revised 2017 Lockdown'!F$5:F$249,MATCH(B29,'Revised 2017 Lockdown'!B$5:B$249,0))</f>
        <v>782435.3</v>
      </c>
      <c r="H29" s="7">
        <f t="shared" si="0"/>
        <v>1323082.8499999999</v>
      </c>
      <c r="I29" s="6">
        <f t="shared" si="1"/>
        <v>264.17223230526253</v>
      </c>
      <c r="J29" s="6">
        <f t="shared" si="7"/>
        <v>264.17223230526253</v>
      </c>
      <c r="K29" s="5">
        <f t="shared" si="8"/>
        <v>1323082.8499999999</v>
      </c>
      <c r="L29" s="4">
        <f t="shared" si="2"/>
        <v>0</v>
      </c>
      <c r="M29" s="2">
        <f t="shared" si="9"/>
        <v>352.71234160280807</v>
      </c>
      <c r="N29" s="1" cm="1">
        <f t="array" ref="N29">SUMPRODUCT(--($L$6:$L$300&lt;&gt;1),--($C$6:$C$300=$C29))</f>
        <v>15</v>
      </c>
      <c r="O29" s="3">
        <f t="shared" si="3"/>
        <v>7839.3509544213102</v>
      </c>
      <c r="P29" s="2">
        <f t="shared" si="4"/>
        <v>131.20246621138364</v>
      </c>
      <c r="Q29" s="2">
        <f t="shared" si="10"/>
        <v>184.56961562629681</v>
      </c>
      <c r="R29" s="2">
        <f t="shared" si="10"/>
        <v>520.85506757931932</v>
      </c>
      <c r="S29" s="2">
        <f t="shared" si="6"/>
        <v>264.17223230526253</v>
      </c>
    </row>
    <row r="30" spans="2:19" x14ac:dyDescent="0.25">
      <c r="B30" s="10">
        <v>89</v>
      </c>
      <c r="C30" s="10">
        <v>4</v>
      </c>
      <c r="D30" s="9" t="s">
        <v>86</v>
      </c>
      <c r="E30" s="154">
        <f>INDEX('Revised 2017 Lockdown'!H$5:H$249,MATCH(B30,'Revised 2017 Lockdown'!B$5:B$249,0))</f>
        <v>5649.21</v>
      </c>
      <c r="F30" s="7">
        <f>INDEX('Revised 2017 Lockdown'!E$5:E$249,MATCH(B30,'Revised 2017 Lockdown'!B$5:B$249,0))</f>
        <v>3518610.54</v>
      </c>
      <c r="G30" s="7">
        <f>INDEX('Revised 2017 Lockdown'!F$5:F$249,MATCH(B30,'Revised 2017 Lockdown'!B$5:B$249,0))</f>
        <v>652661.15999999992</v>
      </c>
      <c r="H30" s="7">
        <f t="shared" si="0"/>
        <v>2865949.38</v>
      </c>
      <c r="I30" s="6">
        <f t="shared" si="1"/>
        <v>507.318612690978</v>
      </c>
      <c r="J30" s="6">
        <f t="shared" si="7"/>
        <v>507.318612690978</v>
      </c>
      <c r="K30" s="5">
        <f t="shared" si="8"/>
        <v>2865949.38</v>
      </c>
      <c r="L30" s="4">
        <f t="shared" si="2"/>
        <v>0</v>
      </c>
      <c r="M30" s="2">
        <f t="shared" si="9"/>
        <v>352.71234160280807</v>
      </c>
      <c r="N30" s="1" cm="1">
        <f t="array" ref="N30">SUMPRODUCT(--($L$6:$L$300&lt;&gt;1),--($C$6:$C$300=$C30))</f>
        <v>15</v>
      </c>
      <c r="O30" s="3">
        <f t="shared" si="3"/>
        <v>23903.099059788688</v>
      </c>
      <c r="P30" s="2">
        <f t="shared" si="4"/>
        <v>131.20246621138364</v>
      </c>
      <c r="Q30" s="2">
        <f t="shared" si="10"/>
        <v>184.56961562629681</v>
      </c>
      <c r="R30" s="2">
        <f t="shared" si="10"/>
        <v>520.85506757931932</v>
      </c>
      <c r="S30" s="2">
        <f t="shared" si="6"/>
        <v>507.318612690978</v>
      </c>
    </row>
    <row r="31" spans="2:19" x14ac:dyDescent="0.25">
      <c r="B31" s="10">
        <v>143</v>
      </c>
      <c r="C31" s="10">
        <v>4</v>
      </c>
      <c r="D31" s="9" t="s">
        <v>87</v>
      </c>
      <c r="E31" s="154">
        <f>INDEX('Revised 2017 Lockdown'!H$5:H$249,MATCH(B31,'Revised 2017 Lockdown'!B$5:B$249,0))</f>
        <v>3054.17</v>
      </c>
      <c r="F31" s="7">
        <f>INDEX('Revised 2017 Lockdown'!E$5:E$249,MATCH(B31,'Revised 2017 Lockdown'!B$5:B$249,0))</f>
        <v>975888.65</v>
      </c>
      <c r="G31" s="7">
        <f>INDEX('Revised 2017 Lockdown'!F$5:F$249,MATCH(B31,'Revised 2017 Lockdown'!B$5:B$249,0))</f>
        <v>393302.16</v>
      </c>
      <c r="H31" s="7">
        <f t="shared" si="0"/>
        <v>582586.49</v>
      </c>
      <c r="I31" s="6">
        <f t="shared" si="1"/>
        <v>190.75116643801752</v>
      </c>
      <c r="J31" s="6">
        <f t="shared" si="7"/>
        <v>190.75116643801752</v>
      </c>
      <c r="K31" s="5">
        <f t="shared" si="8"/>
        <v>582586.49</v>
      </c>
      <c r="L31" s="4">
        <f t="shared" si="2"/>
        <v>0</v>
      </c>
      <c r="M31" s="2">
        <f t="shared" si="9"/>
        <v>352.71234160280807</v>
      </c>
      <c r="N31" s="1" cm="1">
        <f t="array" ref="N31">SUMPRODUCT(--($L$6:$L$300&lt;&gt;1),--($C$6:$C$300=$C31))</f>
        <v>15</v>
      </c>
      <c r="O31" s="3">
        <f t="shared" si="3"/>
        <v>26231.422260759966</v>
      </c>
      <c r="P31" s="2">
        <f t="shared" si="4"/>
        <v>131.20246621138364</v>
      </c>
      <c r="Q31" s="2">
        <f t="shared" si="10"/>
        <v>184.56961562629681</v>
      </c>
      <c r="R31" s="2">
        <f t="shared" si="10"/>
        <v>520.85506757931932</v>
      </c>
      <c r="S31" s="2">
        <f t="shared" si="6"/>
        <v>190.75116643801752</v>
      </c>
    </row>
    <row r="32" spans="2:19" x14ac:dyDescent="0.25">
      <c r="B32" s="10">
        <v>183</v>
      </c>
      <c r="C32" s="10">
        <v>4</v>
      </c>
      <c r="D32" s="9" t="s">
        <v>88</v>
      </c>
      <c r="E32" s="154">
        <f>INDEX('Revised 2017 Lockdown'!H$5:H$249,MATCH(B32,'Revised 2017 Lockdown'!B$5:B$249,0))</f>
        <v>11921.288399999999</v>
      </c>
      <c r="F32" s="7">
        <f>INDEX('Revised 2017 Lockdown'!E$5:E$249,MATCH(B32,'Revised 2017 Lockdown'!B$5:B$249,0))</f>
        <v>7022821.2999999998</v>
      </c>
      <c r="G32" s="7">
        <f>INDEX('Revised 2017 Lockdown'!F$5:F$249,MATCH(B32,'Revised 2017 Lockdown'!B$5:B$249,0))</f>
        <v>656113.0199999999</v>
      </c>
      <c r="H32" s="7">
        <f t="shared" si="0"/>
        <v>6366708.2800000003</v>
      </c>
      <c r="I32" s="6">
        <f t="shared" si="1"/>
        <v>534.06209684516989</v>
      </c>
      <c r="J32" s="6">
        <f t="shared" si="7"/>
        <v>520.85506757931932</v>
      </c>
      <c r="K32" s="5">
        <f t="shared" si="8"/>
        <v>6209263.4752145549</v>
      </c>
      <c r="L32" s="4">
        <f t="shared" si="2"/>
        <v>0</v>
      </c>
      <c r="M32" s="2">
        <f t="shared" si="9"/>
        <v>352.71234160280807</v>
      </c>
      <c r="N32" s="1" cm="1">
        <f t="array" ref="N32">SUMPRODUCT(--($L$6:$L$300&lt;&gt;1),--($C$6:$C$300=$C32))</f>
        <v>15</v>
      </c>
      <c r="O32" s="3">
        <f t="shared" si="3"/>
        <v>32887.733726464539</v>
      </c>
      <c r="P32" s="2">
        <f t="shared" si="4"/>
        <v>131.20246621138364</v>
      </c>
      <c r="Q32" s="2">
        <f t="shared" si="10"/>
        <v>184.56961562629681</v>
      </c>
      <c r="R32" s="2">
        <f t="shared" si="10"/>
        <v>520.85506757931932</v>
      </c>
      <c r="S32" s="2">
        <f t="shared" si="6"/>
        <v>520.85506757931932</v>
      </c>
    </row>
    <row r="33" spans="2:19" x14ac:dyDescent="0.25">
      <c r="B33" s="10">
        <v>186</v>
      </c>
      <c r="C33" s="10">
        <v>4</v>
      </c>
      <c r="D33" s="9" t="s">
        <v>89</v>
      </c>
      <c r="E33" s="154">
        <f>INDEX('Revised 2017 Lockdown'!H$5:H$249,MATCH(B33,'Revised 2017 Lockdown'!B$5:B$249,0))</f>
        <v>11753.909999999998</v>
      </c>
      <c r="F33" s="7">
        <f>INDEX('Revised 2017 Lockdown'!E$5:E$249,MATCH(B33,'Revised 2017 Lockdown'!B$5:B$249,0))</f>
        <v>7142685.9100000001</v>
      </c>
      <c r="G33" s="7">
        <f>INDEX('Revised 2017 Lockdown'!F$5:F$249,MATCH(B33,'Revised 2017 Lockdown'!B$5:B$249,0))</f>
        <v>1669583.4900000002</v>
      </c>
      <c r="H33" s="7">
        <f t="shared" si="0"/>
        <v>5473102.4199999999</v>
      </c>
      <c r="I33" s="6">
        <f t="shared" si="1"/>
        <v>465.64100116471889</v>
      </c>
      <c r="J33" s="6">
        <f t="shared" si="7"/>
        <v>465.64100116471889</v>
      </c>
      <c r="K33" s="5">
        <f t="shared" si="8"/>
        <v>5473102.4199999999</v>
      </c>
      <c r="L33" s="4">
        <f t="shared" si="2"/>
        <v>0</v>
      </c>
      <c r="M33" s="2">
        <f t="shared" si="9"/>
        <v>352.71234160280807</v>
      </c>
      <c r="N33" s="1" cm="1">
        <f t="array" ref="N33">SUMPRODUCT(--($L$6:$L$300&lt;&gt;1),--($C$6:$C$300=$C33))</f>
        <v>15</v>
      </c>
      <c r="O33" s="3">
        <f t="shared" si="3"/>
        <v>12752.882150449952</v>
      </c>
      <c r="P33" s="2">
        <f t="shared" si="4"/>
        <v>131.20246621138364</v>
      </c>
      <c r="Q33" s="2">
        <f t="shared" si="10"/>
        <v>184.56961562629681</v>
      </c>
      <c r="R33" s="2">
        <f t="shared" si="10"/>
        <v>520.85506757931932</v>
      </c>
      <c r="S33" s="2">
        <f t="shared" si="6"/>
        <v>465.64100116471889</v>
      </c>
    </row>
    <row r="34" spans="2:19" x14ac:dyDescent="0.25">
      <c r="B34" s="10">
        <v>190</v>
      </c>
      <c r="C34" s="10">
        <v>4</v>
      </c>
      <c r="D34" s="9" t="s">
        <v>90</v>
      </c>
      <c r="E34" s="154">
        <f>INDEX('Revised 2017 Lockdown'!H$5:H$249,MATCH(B34,'Revised 2017 Lockdown'!B$5:B$249,0))</f>
        <v>3149.7200000000003</v>
      </c>
      <c r="F34" s="7">
        <f>INDEX('Revised 2017 Lockdown'!E$5:E$249,MATCH(B34,'Revised 2017 Lockdown'!B$5:B$249,0))</f>
        <v>1959680.03</v>
      </c>
      <c r="G34" s="7">
        <f>INDEX('Revised 2017 Lockdown'!F$5:F$249,MATCH(B34,'Revised 2017 Lockdown'!B$5:B$249,0))</f>
        <v>576911.32999999996</v>
      </c>
      <c r="H34" s="7">
        <f t="shared" si="0"/>
        <v>1382768.7000000002</v>
      </c>
      <c r="I34" s="6">
        <f t="shared" si="1"/>
        <v>439.01321387297924</v>
      </c>
      <c r="J34" s="6">
        <f t="shared" si="7"/>
        <v>439.01321387297924</v>
      </c>
      <c r="K34" s="5">
        <f t="shared" si="8"/>
        <v>1382768.7000000002</v>
      </c>
      <c r="L34" s="4">
        <f t="shared" si="2"/>
        <v>0</v>
      </c>
      <c r="M34" s="2">
        <f t="shared" si="9"/>
        <v>352.71234160280807</v>
      </c>
      <c r="N34" s="1" cm="1">
        <f t="array" ref="N34">SUMPRODUCT(--($L$6:$L$300&lt;&gt;1),--($C$6:$C$300=$C34))</f>
        <v>15</v>
      </c>
      <c r="O34" s="3">
        <f t="shared" si="3"/>
        <v>7447.8405545923988</v>
      </c>
      <c r="P34" s="2">
        <f t="shared" si="4"/>
        <v>131.20246621138364</v>
      </c>
      <c r="Q34" s="2">
        <f t="shared" si="10"/>
        <v>184.56961562629681</v>
      </c>
      <c r="R34" s="2">
        <f t="shared" si="10"/>
        <v>520.85506757931932</v>
      </c>
      <c r="S34" s="2">
        <f t="shared" si="6"/>
        <v>439.01321387297924</v>
      </c>
    </row>
    <row r="35" spans="2:19" x14ac:dyDescent="0.25">
      <c r="B35" s="10">
        <v>324</v>
      </c>
      <c r="C35" s="10">
        <v>4</v>
      </c>
      <c r="D35" s="9" t="s">
        <v>91</v>
      </c>
      <c r="E35" s="154">
        <f>INDEX('Revised 2017 Lockdown'!H$5:H$249,MATCH(B35,'Revised 2017 Lockdown'!B$5:B$249,0))</f>
        <v>8276.9499999999971</v>
      </c>
      <c r="F35" s="7">
        <f>INDEX('Revised 2017 Lockdown'!E$5:E$249,MATCH(B35,'Revised 2017 Lockdown'!B$5:B$249,0))</f>
        <v>4083823.39</v>
      </c>
      <c r="G35" s="7">
        <f>INDEX('Revised 2017 Lockdown'!F$5:F$249,MATCH(B35,'Revised 2017 Lockdown'!B$5:B$249,0))</f>
        <v>1467151.12</v>
      </c>
      <c r="H35" s="7">
        <f t="shared" si="0"/>
        <v>2616672.27</v>
      </c>
      <c r="I35" s="6">
        <f t="shared" si="1"/>
        <v>316.13967343043038</v>
      </c>
      <c r="J35" s="6">
        <f t="shared" si="7"/>
        <v>316.13967343043038</v>
      </c>
      <c r="K35" s="5">
        <f t="shared" si="8"/>
        <v>2616672.27</v>
      </c>
      <c r="L35" s="4">
        <f t="shared" si="2"/>
        <v>0</v>
      </c>
      <c r="M35" s="2">
        <f t="shared" si="9"/>
        <v>352.71234160280807</v>
      </c>
      <c r="N35" s="1" cm="1">
        <f t="array" ref="N35">SUMPRODUCT(--($L$6:$L$300&lt;&gt;1),--($C$6:$C$300=$C35))</f>
        <v>15</v>
      </c>
      <c r="O35" s="3">
        <f t="shared" si="3"/>
        <v>1337.5600572468479</v>
      </c>
      <c r="P35" s="2">
        <f t="shared" si="4"/>
        <v>131.20246621138364</v>
      </c>
      <c r="Q35" s="2">
        <f t="shared" si="10"/>
        <v>184.56961562629681</v>
      </c>
      <c r="R35" s="2">
        <f t="shared" si="10"/>
        <v>520.85506757931932</v>
      </c>
      <c r="S35" s="2">
        <f t="shared" si="6"/>
        <v>316.13967343043038</v>
      </c>
    </row>
    <row r="36" spans="2:19" x14ac:dyDescent="0.25">
      <c r="B36" s="10">
        <v>429</v>
      </c>
      <c r="C36" s="10">
        <v>4</v>
      </c>
      <c r="D36" s="9" t="s">
        <v>92</v>
      </c>
      <c r="E36" s="154">
        <f>INDEX('Revised 2017 Lockdown'!H$5:H$249,MATCH(B36,'Revised 2017 Lockdown'!B$5:B$249,0))</f>
        <v>4436.7299999999996</v>
      </c>
      <c r="F36" s="7">
        <f>INDEX('Revised 2017 Lockdown'!E$5:E$249,MATCH(B36,'Revised 2017 Lockdown'!B$5:B$249,0))</f>
        <v>1634027.55</v>
      </c>
      <c r="G36" s="7">
        <f>INDEX('Revised 2017 Lockdown'!F$5:F$249,MATCH(B36,'Revised 2017 Lockdown'!B$5:B$249,0))</f>
        <v>574685.66</v>
      </c>
      <c r="H36" s="7">
        <f t="shared" si="0"/>
        <v>1059341.8900000001</v>
      </c>
      <c r="I36" s="6">
        <f t="shared" si="1"/>
        <v>238.76636396625449</v>
      </c>
      <c r="J36" s="6">
        <f t="shared" si="7"/>
        <v>238.76636396625449</v>
      </c>
      <c r="K36" s="5">
        <f t="shared" si="8"/>
        <v>1059341.8900000001</v>
      </c>
      <c r="L36" s="4">
        <f t="shared" si="2"/>
        <v>0</v>
      </c>
      <c r="M36" s="2">
        <f t="shared" si="9"/>
        <v>352.71234160280807</v>
      </c>
      <c r="N36" s="1" cm="1">
        <f t="array" ref="N36">SUMPRODUCT(--($L$6:$L$300&lt;&gt;1),--($C$6:$C$300=$C36))</f>
        <v>15</v>
      </c>
      <c r="O36" s="3">
        <f t="shared" si="3"/>
        <v>12983.685819549968</v>
      </c>
      <c r="P36" s="2">
        <f t="shared" si="4"/>
        <v>131.20246621138364</v>
      </c>
      <c r="Q36" s="2">
        <f t="shared" si="10"/>
        <v>184.56961562629681</v>
      </c>
      <c r="R36" s="2">
        <f t="shared" si="10"/>
        <v>520.85506757931932</v>
      </c>
      <c r="S36" s="2">
        <f t="shared" si="6"/>
        <v>238.76636396625449</v>
      </c>
    </row>
    <row r="37" spans="2:19" x14ac:dyDescent="0.25">
      <c r="B37" s="10">
        <v>601</v>
      </c>
      <c r="C37" s="10">
        <v>4</v>
      </c>
      <c r="D37" s="9" t="s">
        <v>93</v>
      </c>
      <c r="E37" s="154">
        <f>INDEX('Revised 2017 Lockdown'!H$5:H$249,MATCH(B37,'Revised 2017 Lockdown'!B$5:B$249,0))</f>
        <v>5722.57</v>
      </c>
      <c r="F37" s="7">
        <f>INDEX('Revised 2017 Lockdown'!E$5:E$249,MATCH(B37,'Revised 2017 Lockdown'!B$5:B$249,0))</f>
        <v>2724212.74</v>
      </c>
      <c r="G37" s="7">
        <f>INDEX('Revised 2017 Lockdown'!F$5:F$249,MATCH(B37,'Revised 2017 Lockdown'!B$5:B$249,0))</f>
        <v>460929.09000000008</v>
      </c>
      <c r="H37" s="7">
        <f t="shared" si="0"/>
        <v>2263283.6500000004</v>
      </c>
      <c r="I37" s="6">
        <f t="shared" si="1"/>
        <v>395.50126079715938</v>
      </c>
      <c r="J37" s="6">
        <f t="shared" si="7"/>
        <v>395.50126079715938</v>
      </c>
      <c r="K37" s="5">
        <f t="shared" si="8"/>
        <v>2263283.6500000004</v>
      </c>
      <c r="L37" s="4">
        <f t="shared" si="2"/>
        <v>0</v>
      </c>
      <c r="M37" s="2">
        <f t="shared" si="9"/>
        <v>352.71234160280807</v>
      </c>
      <c r="N37" s="1" cm="1">
        <f t="array" ref="N37">SUMPRODUCT(--($L$6:$L$300&lt;&gt;1),--($C$6:$C$300=$C37))</f>
        <v>15</v>
      </c>
      <c r="O37" s="3">
        <f t="shared" si="3"/>
        <v>1830.8916058207258</v>
      </c>
      <c r="P37" s="2">
        <f t="shared" si="4"/>
        <v>131.20246621138364</v>
      </c>
      <c r="Q37" s="2">
        <f t="shared" si="10"/>
        <v>184.56961562629681</v>
      </c>
      <c r="R37" s="2">
        <f t="shared" si="10"/>
        <v>520.85506757931932</v>
      </c>
      <c r="S37" s="2">
        <f t="shared" si="6"/>
        <v>395.50126079715938</v>
      </c>
    </row>
    <row r="38" spans="2:19" x14ac:dyDescent="0.25">
      <c r="B38" s="10">
        <v>760</v>
      </c>
      <c r="C38" s="10">
        <v>4</v>
      </c>
      <c r="D38" s="9" t="s">
        <v>94</v>
      </c>
      <c r="E38" s="154">
        <f>INDEX('Revised 2017 Lockdown'!H$5:H$249,MATCH(B38,'Revised 2017 Lockdown'!B$5:B$249,0))</f>
        <v>5279.67</v>
      </c>
      <c r="F38" s="7">
        <f>INDEX('Revised 2017 Lockdown'!E$5:E$249,MATCH(B38,'Revised 2017 Lockdown'!B$5:B$249,0))</f>
        <v>1383721.21</v>
      </c>
      <c r="G38" s="7">
        <f>INDEX('Revised 2017 Lockdown'!F$5:F$249,MATCH(B38,'Revised 2017 Lockdown'!B$5:B$249,0))</f>
        <v>1018311.7500000002</v>
      </c>
      <c r="H38" s="7">
        <f t="shared" si="0"/>
        <v>365409.45999999973</v>
      </c>
      <c r="I38" s="6">
        <f t="shared" si="1"/>
        <v>69.210662787636295</v>
      </c>
      <c r="J38" s="6">
        <f t="shared" si="7"/>
        <v>69.210662787636295</v>
      </c>
      <c r="K38" s="5">
        <f t="shared" si="8"/>
        <v>365409.45999999973</v>
      </c>
      <c r="L38" s="4">
        <f t="shared" si="2"/>
        <v>0</v>
      </c>
      <c r="M38" s="2">
        <f t="shared" si="9"/>
        <v>352.71234160280807</v>
      </c>
      <c r="N38" s="1" cm="1">
        <f t="array" ref="N38">SUMPRODUCT(--($L$6:$L$300&lt;&gt;1),--($C$6:$C$300=$C38))</f>
        <v>15</v>
      </c>
      <c r="O38" s="3">
        <f t="shared" si="3"/>
        <v>80373.201891020813</v>
      </c>
      <c r="P38" s="2">
        <f t="shared" si="4"/>
        <v>131.20246621138364</v>
      </c>
      <c r="Q38" s="2">
        <f t="shared" si="10"/>
        <v>184.56961562629681</v>
      </c>
      <c r="R38" s="2">
        <f t="shared" si="10"/>
        <v>520.85506757931932</v>
      </c>
      <c r="S38" s="2">
        <f t="shared" si="6"/>
        <v>184.56961562629681</v>
      </c>
    </row>
    <row r="39" spans="2:19" x14ac:dyDescent="0.25">
      <c r="B39" s="10">
        <v>878</v>
      </c>
      <c r="C39" s="10">
        <v>4</v>
      </c>
      <c r="D39" s="9" t="s">
        <v>95</v>
      </c>
      <c r="E39" s="154">
        <f>INDEX('Revised 2017 Lockdown'!H$5:H$249,MATCH(B39,'Revised 2017 Lockdown'!B$5:B$249,0))</f>
        <v>7770.5700000000015</v>
      </c>
      <c r="F39" s="7">
        <f>INDEX('Revised 2017 Lockdown'!E$5:E$249,MATCH(B39,'Revised 2017 Lockdown'!B$5:B$249,0))</f>
        <v>2784486.68</v>
      </c>
      <c r="G39" s="7">
        <f>INDEX('Revised 2017 Lockdown'!F$5:F$249,MATCH(B39,'Revised 2017 Lockdown'!B$5:B$249,0))</f>
        <v>1233731.0899999999</v>
      </c>
      <c r="H39" s="7">
        <f t="shared" si="0"/>
        <v>1550755.5900000003</v>
      </c>
      <c r="I39" s="6">
        <f t="shared" si="1"/>
        <v>199.56780390627713</v>
      </c>
      <c r="J39" s="6">
        <f t="shared" si="7"/>
        <v>199.56780390627713</v>
      </c>
      <c r="K39" s="5">
        <f t="shared" si="8"/>
        <v>1550755.5900000003</v>
      </c>
      <c r="L39" s="4">
        <f t="shared" si="2"/>
        <v>0</v>
      </c>
      <c r="M39" s="2">
        <f t="shared" si="9"/>
        <v>352.71234160280807</v>
      </c>
      <c r="N39" s="1" cm="1">
        <f t="array" ref="N39">SUMPRODUCT(--($L$6:$L$300&lt;&gt;1),--($C$6:$C$300=$C39))</f>
        <v>15</v>
      </c>
      <c r="O39" s="3">
        <f t="shared" si="3"/>
        <v>23453.249426284183</v>
      </c>
      <c r="P39" s="2">
        <f t="shared" si="4"/>
        <v>131.20246621138364</v>
      </c>
      <c r="Q39" s="2">
        <f t="shared" si="10"/>
        <v>184.56961562629681</v>
      </c>
      <c r="R39" s="2">
        <f t="shared" si="10"/>
        <v>520.85506757931932</v>
      </c>
      <c r="S39" s="2">
        <f t="shared" si="6"/>
        <v>199.56780390627713</v>
      </c>
    </row>
    <row r="40" spans="2:19" x14ac:dyDescent="0.25">
      <c r="B40" s="10">
        <v>8</v>
      </c>
      <c r="C40" s="10">
        <v>5</v>
      </c>
      <c r="D40" s="9" t="s">
        <v>96</v>
      </c>
      <c r="E40" s="154">
        <f>INDEX('Revised 2017 Lockdown'!H$5:H$249,MATCH(B40,'Revised 2017 Lockdown'!B$5:B$249,0))</f>
        <v>2267.96</v>
      </c>
      <c r="F40" s="7">
        <f>INDEX('Revised 2017 Lockdown'!E$5:E$249,MATCH(B40,'Revised 2017 Lockdown'!B$5:B$249,0))</f>
        <v>612861.15</v>
      </c>
      <c r="G40" s="7">
        <f>INDEX('Revised 2017 Lockdown'!F$5:F$249,MATCH(B40,'Revised 2017 Lockdown'!B$5:B$249,0))</f>
        <v>115862.97</v>
      </c>
      <c r="H40" s="7">
        <f t="shared" si="0"/>
        <v>496998.18000000005</v>
      </c>
      <c r="I40" s="6">
        <f t="shared" si="1"/>
        <v>219.13886488297857</v>
      </c>
      <c r="J40" s="6">
        <f t="shared" si="7"/>
        <v>219.13886488297857</v>
      </c>
      <c r="K40" s="5">
        <f t="shared" si="8"/>
        <v>496998.18000000005</v>
      </c>
      <c r="L40" s="4">
        <f t="shared" si="2"/>
        <v>0</v>
      </c>
      <c r="M40" s="2">
        <f t="shared" si="9"/>
        <v>259.50408287668267</v>
      </c>
      <c r="N40" s="1" cm="1">
        <f t="array" ref="N40">SUMPRODUCT(--($L$6:$L$300&lt;&gt;1),--($C$6:$C$300=$C40))</f>
        <v>21</v>
      </c>
      <c r="O40" s="3">
        <f t="shared" si="3"/>
        <v>1629.3508236792538</v>
      </c>
      <c r="P40" s="2">
        <f t="shared" si="4"/>
        <v>122.48275635687666</v>
      </c>
      <c r="Q40" s="2">
        <f t="shared" si="10"/>
        <v>102.53611471530951</v>
      </c>
      <c r="R40" s="2">
        <f t="shared" si="10"/>
        <v>416.47205103805584</v>
      </c>
      <c r="S40" s="2">
        <f t="shared" si="6"/>
        <v>219.13886488297857</v>
      </c>
    </row>
    <row r="41" spans="2:19" x14ac:dyDescent="0.25">
      <c r="B41" s="10">
        <v>41</v>
      </c>
      <c r="C41" s="10">
        <v>5</v>
      </c>
      <c r="D41" s="9" t="s">
        <v>97</v>
      </c>
      <c r="E41" s="154">
        <f>INDEX('Revised 2017 Lockdown'!H$5:H$249,MATCH(B41,'Revised 2017 Lockdown'!B$5:B$249,0))</f>
        <v>1693.7200000000003</v>
      </c>
      <c r="F41" s="7">
        <f>INDEX('Revised 2017 Lockdown'!E$5:E$249,MATCH(B41,'Revised 2017 Lockdown'!B$5:B$249,0))</f>
        <v>622722.11</v>
      </c>
      <c r="G41" s="7">
        <f>INDEX('Revised 2017 Lockdown'!F$5:F$249,MATCH(B41,'Revised 2017 Lockdown'!B$5:B$249,0))</f>
        <v>293926.43000000005</v>
      </c>
      <c r="H41" s="7">
        <f t="shared" si="0"/>
        <v>328795.67999999993</v>
      </c>
      <c r="I41" s="6">
        <f t="shared" si="1"/>
        <v>194.12634910138624</v>
      </c>
      <c r="J41" s="6">
        <f t="shared" si="7"/>
        <v>194.12634910138624</v>
      </c>
      <c r="K41" s="5">
        <f t="shared" si="8"/>
        <v>328795.67999999993</v>
      </c>
      <c r="L41" s="4">
        <f t="shared" si="2"/>
        <v>0</v>
      </c>
      <c r="M41" s="2">
        <f t="shared" si="9"/>
        <v>259.50408287668267</v>
      </c>
      <c r="N41" s="1" cm="1">
        <f t="array" ref="N41">SUMPRODUCT(--($L$6:$L$300&lt;&gt;1),--($C$6:$C$300=$C41))</f>
        <v>21</v>
      </c>
      <c r="O41" s="3">
        <f t="shared" si="3"/>
        <v>4274.248073593536</v>
      </c>
      <c r="P41" s="2">
        <f t="shared" si="4"/>
        <v>122.48275635687666</v>
      </c>
      <c r="Q41" s="2">
        <f t="shared" si="10"/>
        <v>102.53611471530951</v>
      </c>
      <c r="R41" s="2">
        <f t="shared" si="10"/>
        <v>416.47205103805584</v>
      </c>
      <c r="S41" s="2">
        <f t="shared" si="6"/>
        <v>194.12634910138624</v>
      </c>
    </row>
    <row r="42" spans="2:19" x14ac:dyDescent="0.25">
      <c r="B42" s="10">
        <v>56</v>
      </c>
      <c r="C42" s="10">
        <v>5</v>
      </c>
      <c r="D42" s="9" t="s">
        <v>98</v>
      </c>
      <c r="E42" s="154">
        <f>INDEX('Revised 2017 Lockdown'!H$5:H$249,MATCH(B42,'Revised 2017 Lockdown'!B$5:B$249,0))</f>
        <v>3045.59</v>
      </c>
      <c r="F42" s="7">
        <f>INDEX('Revised 2017 Lockdown'!E$5:E$249,MATCH(B42,'Revised 2017 Lockdown'!B$5:B$249,0))</f>
        <v>521383.94</v>
      </c>
      <c r="G42" s="7">
        <f>INDEX('Revised 2017 Lockdown'!F$5:F$249,MATCH(B42,'Revised 2017 Lockdown'!B$5:B$249,0))</f>
        <v>3002.24</v>
      </c>
      <c r="H42" s="7">
        <f t="shared" si="0"/>
        <v>518381.7</v>
      </c>
      <c r="I42" s="6">
        <f t="shared" si="1"/>
        <v>170.20731615220697</v>
      </c>
      <c r="J42" s="6">
        <f t="shared" si="7"/>
        <v>170.20731615220697</v>
      </c>
      <c r="K42" s="5">
        <f t="shared" si="8"/>
        <v>518381.70000000007</v>
      </c>
      <c r="L42" s="4">
        <f t="shared" si="2"/>
        <v>0</v>
      </c>
      <c r="M42" s="2">
        <f t="shared" si="9"/>
        <v>259.50408287668267</v>
      </c>
      <c r="N42" s="1" cm="1">
        <f t="array" ref="N42">SUMPRODUCT(--($L$6:$L$300&lt;&gt;1),--($C$6:$C$300=$C42))</f>
        <v>21</v>
      </c>
      <c r="O42" s="3">
        <f t="shared" si="3"/>
        <v>7973.9125474454313</v>
      </c>
      <c r="P42" s="2">
        <f t="shared" si="4"/>
        <v>122.48275635687666</v>
      </c>
      <c r="Q42" s="2">
        <f t="shared" si="10"/>
        <v>102.53611471530951</v>
      </c>
      <c r="R42" s="2">
        <f t="shared" si="10"/>
        <v>416.47205103805584</v>
      </c>
      <c r="S42" s="2">
        <f t="shared" si="6"/>
        <v>170.20731615220697</v>
      </c>
    </row>
    <row r="43" spans="2:19" x14ac:dyDescent="0.25">
      <c r="B43" s="10">
        <v>67</v>
      </c>
      <c r="C43" s="10">
        <v>5</v>
      </c>
      <c r="D43" s="9" t="s">
        <v>99</v>
      </c>
      <c r="E43" s="154">
        <f>INDEX('Revised 2017 Lockdown'!H$5:H$249,MATCH(B43,'Revised 2017 Lockdown'!B$5:B$249,0))</f>
        <v>1363.6442455288275</v>
      </c>
      <c r="F43" s="7">
        <f>INDEX('Revised 2017 Lockdown'!E$5:E$249,MATCH(B43,'Revised 2017 Lockdown'!B$5:B$249,0))</f>
        <v>211733.41</v>
      </c>
      <c r="G43" s="7">
        <f>INDEX('Revised 2017 Lockdown'!F$5:F$249,MATCH(B43,'Revised 2017 Lockdown'!B$5:B$249,0))</f>
        <v>0</v>
      </c>
      <c r="H43" s="7">
        <f t="shared" si="0"/>
        <v>211733.41</v>
      </c>
      <c r="I43" s="6">
        <f t="shared" si="1"/>
        <v>155.27026986271542</v>
      </c>
      <c r="J43" s="6">
        <f t="shared" si="7"/>
        <v>155.27026986271542</v>
      </c>
      <c r="K43" s="5">
        <f t="shared" si="8"/>
        <v>211733.41</v>
      </c>
      <c r="L43" s="4">
        <f t="shared" si="2"/>
        <v>0</v>
      </c>
      <c r="M43" s="2">
        <f t="shared" si="9"/>
        <v>259.50408287668267</v>
      </c>
      <c r="N43" s="1" cm="1">
        <f t="array" ref="N43">SUMPRODUCT(--($L$6:$L$300&lt;&gt;1),--($C$6:$C$300=$C43))</f>
        <v>21</v>
      </c>
      <c r="O43" s="3">
        <f t="shared" si="3"/>
        <v>10864.687775430688</v>
      </c>
      <c r="P43" s="2">
        <f t="shared" si="4"/>
        <v>122.48275635687666</v>
      </c>
      <c r="Q43" s="2">
        <f t="shared" si="10"/>
        <v>102.53611471530951</v>
      </c>
      <c r="R43" s="2">
        <f t="shared" si="10"/>
        <v>416.47205103805584</v>
      </c>
      <c r="S43" s="2">
        <f t="shared" si="6"/>
        <v>155.27026986271542</v>
      </c>
    </row>
    <row r="44" spans="2:19" x14ac:dyDescent="0.25">
      <c r="B44" s="10">
        <v>157</v>
      </c>
      <c r="C44" s="10">
        <v>5</v>
      </c>
      <c r="D44" s="9" t="s">
        <v>100</v>
      </c>
      <c r="E44" s="154">
        <f>INDEX('Revised 2017 Lockdown'!H$5:H$249,MATCH(B44,'Revised 2017 Lockdown'!B$5:B$249,0))</f>
        <v>458.49377410764129</v>
      </c>
      <c r="F44" s="7">
        <f>INDEX('Revised 2017 Lockdown'!E$5:E$249,MATCH(B44,'Revised 2017 Lockdown'!B$5:B$249,0))</f>
        <v>145658.07999999999</v>
      </c>
      <c r="G44" s="7">
        <f>INDEX('Revised 2017 Lockdown'!F$5:F$249,MATCH(B44,'Revised 2017 Lockdown'!B$5:B$249,0))</f>
        <v>150</v>
      </c>
      <c r="H44" s="7">
        <f t="shared" si="0"/>
        <v>145508.07999999999</v>
      </c>
      <c r="I44" s="6">
        <f t="shared" si="1"/>
        <v>317.36108147422482</v>
      </c>
      <c r="J44" s="6">
        <f t="shared" si="7"/>
        <v>317.36108147422482</v>
      </c>
      <c r="K44" s="5">
        <f t="shared" si="8"/>
        <v>145508.07999999999</v>
      </c>
      <c r="L44" s="4">
        <f t="shared" si="2"/>
        <v>0</v>
      </c>
      <c r="M44" s="2">
        <f t="shared" si="9"/>
        <v>259.50408287668267</v>
      </c>
      <c r="N44" s="1" cm="1">
        <f t="array" ref="N44">SUMPRODUCT(--($L$6:$L$300&lt;&gt;1),--($C$6:$C$300=$C44))</f>
        <v>21</v>
      </c>
      <c r="O44" s="3">
        <f t="shared" si="3"/>
        <v>3347.4322867159935</v>
      </c>
      <c r="P44" s="2">
        <f t="shared" si="4"/>
        <v>122.48275635687666</v>
      </c>
      <c r="Q44" s="2">
        <f t="shared" si="10"/>
        <v>102.53611471530951</v>
      </c>
      <c r="R44" s="2">
        <f t="shared" si="10"/>
        <v>416.47205103805584</v>
      </c>
      <c r="S44" s="2">
        <f t="shared" si="6"/>
        <v>317.36108147422482</v>
      </c>
    </row>
    <row r="45" spans="2:19" x14ac:dyDescent="0.25">
      <c r="B45" s="10">
        <v>214</v>
      </c>
      <c r="C45" s="10">
        <v>5</v>
      </c>
      <c r="D45" s="9" t="s">
        <v>101</v>
      </c>
      <c r="E45" s="154">
        <f>INDEX('Revised 2017 Lockdown'!H$5:H$249,MATCH(B45,'Revised 2017 Lockdown'!B$5:B$249,0))</f>
        <v>3109.6</v>
      </c>
      <c r="F45" s="7">
        <f>INDEX('Revised 2017 Lockdown'!E$5:E$249,MATCH(B45,'Revised 2017 Lockdown'!B$5:B$249,0))</f>
        <v>1693525.15</v>
      </c>
      <c r="G45" s="7">
        <f>INDEX('Revised 2017 Lockdown'!F$5:F$249,MATCH(B45,'Revised 2017 Lockdown'!B$5:B$249,0))</f>
        <v>371766.18000000005</v>
      </c>
      <c r="H45" s="7">
        <f t="shared" si="0"/>
        <v>1321758.9699999997</v>
      </c>
      <c r="I45" s="6">
        <f t="shared" si="1"/>
        <v>425.05755402624123</v>
      </c>
      <c r="J45" s="6">
        <f t="shared" si="7"/>
        <v>416.47205103805584</v>
      </c>
      <c r="K45" s="5">
        <f t="shared" si="8"/>
        <v>1295061.4899079383</v>
      </c>
      <c r="L45" s="4">
        <f t="shared" si="2"/>
        <v>0</v>
      </c>
      <c r="M45" s="2">
        <f t="shared" si="9"/>
        <v>259.50408287668267</v>
      </c>
      <c r="N45" s="1" cm="1">
        <f t="array" ref="N45">SUMPRODUCT(--($L$6:$L$300&lt;&gt;1),--($C$6:$C$300=$C45))</f>
        <v>21</v>
      </c>
      <c r="O45" s="3">
        <f t="shared" si="3"/>
        <v>27407.95180966772</v>
      </c>
      <c r="P45" s="2">
        <f t="shared" si="4"/>
        <v>122.48275635687666</v>
      </c>
      <c r="Q45" s="2">
        <f t="shared" si="10"/>
        <v>102.53611471530951</v>
      </c>
      <c r="R45" s="2">
        <f t="shared" si="10"/>
        <v>416.47205103805584</v>
      </c>
      <c r="S45" s="2">
        <f t="shared" si="6"/>
        <v>416.47205103805584</v>
      </c>
    </row>
    <row r="46" spans="2:19" x14ac:dyDescent="0.25">
      <c r="B46" s="10">
        <v>223</v>
      </c>
      <c r="C46" s="10">
        <v>5</v>
      </c>
      <c r="D46" s="9" t="s">
        <v>102</v>
      </c>
      <c r="E46" s="154">
        <f>INDEX('Revised 2017 Lockdown'!H$5:H$249,MATCH(B46,'Revised 2017 Lockdown'!B$5:B$249,0))</f>
        <v>333.74</v>
      </c>
      <c r="F46" s="7">
        <f>INDEX('Revised 2017 Lockdown'!E$5:E$249,MATCH(B46,'Revised 2017 Lockdown'!B$5:B$249,0))</f>
        <v>205904.35</v>
      </c>
      <c r="G46" s="7">
        <f>INDEX('Revised 2017 Lockdown'!F$5:F$249,MATCH(B46,'Revised 2017 Lockdown'!B$5:B$249,0))</f>
        <v>3510.12</v>
      </c>
      <c r="H46" s="7">
        <f t="shared" si="0"/>
        <v>202394.23</v>
      </c>
      <c r="I46" s="6">
        <f t="shared" si="1"/>
        <v>606.44282974770783</v>
      </c>
      <c r="J46" s="6">
        <f t="shared" si="7"/>
        <v>416.47205103805584</v>
      </c>
      <c r="K46" s="5">
        <f t="shared" si="8"/>
        <v>138993.38231344076</v>
      </c>
      <c r="L46" s="4">
        <f t="shared" si="2"/>
        <v>0</v>
      </c>
      <c r="M46" s="2">
        <f t="shared" si="9"/>
        <v>259.50408287668267</v>
      </c>
      <c r="N46" s="1" cm="1">
        <f t="array" ref="N46">SUMPRODUCT(--($L$6:$L$300&lt;&gt;1),--($C$6:$C$300=$C46))</f>
        <v>21</v>
      </c>
      <c r="O46" s="3">
        <f t="shared" si="3"/>
        <v>120366.49408043727</v>
      </c>
      <c r="P46" s="2">
        <f t="shared" si="4"/>
        <v>122.48275635687666</v>
      </c>
      <c r="Q46" s="2">
        <f t="shared" ref="Q46:R65" si="11">NORMINV(Q$4,$M46,$P46)</f>
        <v>102.53611471530951</v>
      </c>
      <c r="R46" s="2">
        <f t="shared" si="11"/>
        <v>416.47205103805584</v>
      </c>
      <c r="S46" s="2">
        <f t="shared" si="6"/>
        <v>416.47205103805584</v>
      </c>
    </row>
    <row r="47" spans="2:19" x14ac:dyDescent="0.25">
      <c r="B47" s="10">
        <v>224</v>
      </c>
      <c r="C47" s="10">
        <v>5</v>
      </c>
      <c r="D47" s="9" t="s">
        <v>103</v>
      </c>
      <c r="E47" s="154">
        <f>INDEX('Revised 2017 Lockdown'!H$5:H$249,MATCH(B47,'Revised 2017 Lockdown'!B$5:B$249,0))</f>
        <v>274.49707003740264</v>
      </c>
      <c r="F47" s="7">
        <f>INDEX('Revised 2017 Lockdown'!E$5:E$249,MATCH(B47,'Revised 2017 Lockdown'!B$5:B$249,0))</f>
        <v>77159.710000000006</v>
      </c>
      <c r="G47" s="7">
        <f>INDEX('Revised 2017 Lockdown'!F$5:F$249,MATCH(B47,'Revised 2017 Lockdown'!B$5:B$249,0))</f>
        <v>180</v>
      </c>
      <c r="H47" s="7">
        <f t="shared" si="0"/>
        <v>76979.710000000006</v>
      </c>
      <c r="I47" s="6">
        <f t="shared" si="1"/>
        <v>280.43909535905374</v>
      </c>
      <c r="J47" s="6">
        <f t="shared" si="7"/>
        <v>280.43909535905374</v>
      </c>
      <c r="K47" s="5">
        <f t="shared" si="8"/>
        <v>76979.710000000006</v>
      </c>
      <c r="L47" s="4">
        <f t="shared" si="2"/>
        <v>0</v>
      </c>
      <c r="M47" s="2">
        <f t="shared" si="9"/>
        <v>259.50408287668267</v>
      </c>
      <c r="N47" s="1" cm="1">
        <f t="array" ref="N47">SUMPRODUCT(--($L$6:$L$300&lt;&gt;1),--($C$6:$C$300=$C47))</f>
        <v>21</v>
      </c>
      <c r="O47" s="3">
        <f t="shared" si="3"/>
        <v>438.27474763703225</v>
      </c>
      <c r="P47" s="2">
        <f t="shared" si="4"/>
        <v>122.48275635687666</v>
      </c>
      <c r="Q47" s="2">
        <f t="shared" si="11"/>
        <v>102.53611471530951</v>
      </c>
      <c r="R47" s="2">
        <f t="shared" si="11"/>
        <v>416.47205103805584</v>
      </c>
      <c r="S47" s="2">
        <f t="shared" si="6"/>
        <v>280.43909535905374</v>
      </c>
    </row>
    <row r="48" spans="2:19" x14ac:dyDescent="0.25">
      <c r="B48" s="10">
        <v>233</v>
      </c>
      <c r="C48" s="10">
        <v>5</v>
      </c>
      <c r="D48" s="9" t="s">
        <v>104</v>
      </c>
      <c r="E48" s="154">
        <f>INDEX('Revised 2017 Lockdown'!H$5:H$249,MATCH(B48,'Revised 2017 Lockdown'!B$5:B$249,0))</f>
        <v>2132.25</v>
      </c>
      <c r="F48" s="7">
        <f>INDEX('Revised 2017 Lockdown'!E$5:E$249,MATCH(B48,'Revised 2017 Lockdown'!B$5:B$249,0))</f>
        <v>629398.4</v>
      </c>
      <c r="G48" s="7">
        <f>INDEX('Revised 2017 Lockdown'!F$5:F$249,MATCH(B48,'Revised 2017 Lockdown'!B$5:B$249,0))</f>
        <v>324977.27999999997</v>
      </c>
      <c r="H48" s="7">
        <f t="shared" si="0"/>
        <v>304421.12000000005</v>
      </c>
      <c r="I48" s="6">
        <f t="shared" si="1"/>
        <v>142.76990034001645</v>
      </c>
      <c r="J48" s="6">
        <f t="shared" si="7"/>
        <v>142.76990034001645</v>
      </c>
      <c r="K48" s="5">
        <f t="shared" si="8"/>
        <v>304421.12000000005</v>
      </c>
      <c r="L48" s="4">
        <f t="shared" si="2"/>
        <v>0</v>
      </c>
      <c r="M48" s="2">
        <f t="shared" si="9"/>
        <v>259.50408287668267</v>
      </c>
      <c r="N48" s="1" cm="1">
        <f t="array" ref="N48">SUMPRODUCT(--($L$6:$L$300&lt;&gt;1),--($C$6:$C$300=$C48))</f>
        <v>21</v>
      </c>
      <c r="O48" s="3">
        <f t="shared" si="3"/>
        <v>13626.86937250371</v>
      </c>
      <c r="P48" s="2">
        <f t="shared" si="4"/>
        <v>122.48275635687666</v>
      </c>
      <c r="Q48" s="2">
        <f t="shared" si="11"/>
        <v>102.53611471530951</v>
      </c>
      <c r="R48" s="2">
        <f t="shared" si="11"/>
        <v>416.47205103805584</v>
      </c>
      <c r="S48" s="2">
        <f t="shared" si="6"/>
        <v>142.76990034001645</v>
      </c>
    </row>
    <row r="49" spans="2:19" x14ac:dyDescent="0.25">
      <c r="B49" s="10">
        <v>272</v>
      </c>
      <c r="C49" s="10">
        <v>5</v>
      </c>
      <c r="D49" s="35" t="s">
        <v>105</v>
      </c>
      <c r="E49" s="154">
        <f>INDEX('Revised 2017 Lockdown'!H$5:H$249,MATCH(B49,'Revised 2017 Lockdown'!B$5:B$249,0))</f>
        <v>386.38981858925848</v>
      </c>
      <c r="F49" s="7">
        <f>INDEX('Revised 2017 Lockdown'!E$5:E$249,MATCH(B49,'Revised 2017 Lockdown'!B$5:B$249,0))</f>
        <v>101161.37</v>
      </c>
      <c r="G49" s="7">
        <f>INDEX('Revised 2017 Lockdown'!F$5:F$249,MATCH(B49,'Revised 2017 Lockdown'!B$5:B$249,0))</f>
        <v>0</v>
      </c>
      <c r="H49" s="7">
        <f t="shared" si="0"/>
        <v>101161.37</v>
      </c>
      <c r="I49" s="6">
        <f t="shared" si="1"/>
        <v>261.81168636727699</v>
      </c>
      <c r="J49" s="6">
        <f t="shared" si="7"/>
        <v>261.81168636727699</v>
      </c>
      <c r="K49" s="5">
        <f t="shared" si="8"/>
        <v>101161.37</v>
      </c>
      <c r="L49" s="4">
        <f t="shared" si="2"/>
        <v>0</v>
      </c>
      <c r="M49" s="2">
        <f t="shared" si="9"/>
        <v>259.50408287668267</v>
      </c>
      <c r="N49" s="1" cm="1">
        <f t="array" ref="N49">SUMPRODUCT(--($L$6:$L$300&lt;&gt;1),--($C$6:$C$300=$C49))</f>
        <v>21</v>
      </c>
      <c r="O49" s="3">
        <f t="shared" si="3"/>
        <v>5.3250338698030779</v>
      </c>
      <c r="P49" s="2">
        <f t="shared" si="4"/>
        <v>122.48275635687666</v>
      </c>
      <c r="Q49" s="2">
        <f t="shared" si="11"/>
        <v>102.53611471530951</v>
      </c>
      <c r="R49" s="2">
        <f t="shared" si="11"/>
        <v>416.47205103805584</v>
      </c>
      <c r="S49" s="2">
        <f t="shared" si="6"/>
        <v>261.81168636727699</v>
      </c>
    </row>
    <row r="50" spans="2:19" x14ac:dyDescent="0.25">
      <c r="B50" s="10">
        <v>427</v>
      </c>
      <c r="C50" s="10">
        <v>5</v>
      </c>
      <c r="D50" s="9" t="s">
        <v>106</v>
      </c>
      <c r="E50" s="154">
        <f>INDEX('Revised 2017 Lockdown'!H$5:H$249,MATCH(B50,'Revised 2017 Lockdown'!B$5:B$249,0))</f>
        <v>452.62</v>
      </c>
      <c r="F50" s="7">
        <f>INDEX('Revised 2017 Lockdown'!E$5:E$249,MATCH(B50,'Revised 2017 Lockdown'!B$5:B$249,0))</f>
        <v>190983.95</v>
      </c>
      <c r="G50" s="7">
        <f>INDEX('Revised 2017 Lockdown'!F$5:F$249,MATCH(B50,'Revised 2017 Lockdown'!B$5:B$249,0))</f>
        <v>69834.559999999998</v>
      </c>
      <c r="H50" s="7">
        <f t="shared" si="0"/>
        <v>121149.39000000001</v>
      </c>
      <c r="I50" s="6">
        <f t="shared" si="1"/>
        <v>267.66247624939245</v>
      </c>
      <c r="J50" s="6">
        <f t="shared" si="7"/>
        <v>267.66247624939245</v>
      </c>
      <c r="K50" s="5">
        <f t="shared" si="8"/>
        <v>121149.39000000001</v>
      </c>
      <c r="L50" s="4">
        <f t="shared" si="2"/>
        <v>0</v>
      </c>
      <c r="M50" s="2">
        <f t="shared" si="9"/>
        <v>259.50408287668267</v>
      </c>
      <c r="N50" s="1" cm="1">
        <f t="array" ref="N50">SUMPRODUCT(--($L$6:$L$300&lt;&gt;1),--($C$6:$C$300=$C50))</f>
        <v>21</v>
      </c>
      <c r="O50" s="3">
        <f t="shared" si="3"/>
        <v>66.559382423874879</v>
      </c>
      <c r="P50" s="2">
        <f t="shared" si="4"/>
        <v>122.48275635687666</v>
      </c>
      <c r="Q50" s="2">
        <f t="shared" si="11"/>
        <v>102.53611471530951</v>
      </c>
      <c r="R50" s="2">
        <f t="shared" si="11"/>
        <v>416.47205103805584</v>
      </c>
      <c r="S50" s="2">
        <f t="shared" si="6"/>
        <v>267.66247624939245</v>
      </c>
    </row>
    <row r="51" spans="2:19" x14ac:dyDescent="0.25">
      <c r="B51" s="10">
        <v>524</v>
      </c>
      <c r="C51" s="10">
        <v>5</v>
      </c>
      <c r="D51" s="9" t="s">
        <v>107</v>
      </c>
      <c r="E51" s="154">
        <f>INDEX('Revised 2017 Lockdown'!H$5:H$249,MATCH(B51,'Revised 2017 Lockdown'!B$5:B$249,0))</f>
        <v>529.66425187151924</v>
      </c>
      <c r="F51" s="7">
        <f>INDEX('Revised 2017 Lockdown'!E$5:E$249,MATCH(B51,'Revised 2017 Lockdown'!B$5:B$249,0))</f>
        <v>245808.58</v>
      </c>
      <c r="G51" s="7">
        <f>INDEX('Revised 2017 Lockdown'!F$5:F$249,MATCH(B51,'Revised 2017 Lockdown'!B$5:B$249,0))</f>
        <v>450.32</v>
      </c>
      <c r="H51" s="7">
        <f t="shared" si="0"/>
        <v>245358.25999999998</v>
      </c>
      <c r="I51" s="6">
        <f t="shared" si="1"/>
        <v>463.23356566551251</v>
      </c>
      <c r="J51" s="6">
        <f t="shared" si="7"/>
        <v>416.47205103805584</v>
      </c>
      <c r="K51" s="5">
        <f t="shared" si="8"/>
        <v>220590.35733846901</v>
      </c>
      <c r="L51" s="4">
        <f t="shared" si="2"/>
        <v>0</v>
      </c>
      <c r="M51" s="2">
        <f t="shared" si="9"/>
        <v>259.50408287668267</v>
      </c>
      <c r="N51" s="1" cm="1">
        <f t="array" ref="N51">SUMPRODUCT(--($L$6:$L$300&lt;&gt;1),--($C$6:$C$300=$C51))</f>
        <v>21</v>
      </c>
      <c r="O51" s="3">
        <f t="shared" si="3"/>
        <v>41505.702157404114</v>
      </c>
      <c r="P51" s="2">
        <f t="shared" si="4"/>
        <v>122.48275635687666</v>
      </c>
      <c r="Q51" s="2">
        <f t="shared" si="11"/>
        <v>102.53611471530951</v>
      </c>
      <c r="R51" s="2">
        <f t="shared" si="11"/>
        <v>416.47205103805584</v>
      </c>
      <c r="S51" s="2">
        <f t="shared" si="6"/>
        <v>416.47205103805584</v>
      </c>
    </row>
    <row r="52" spans="2:19" x14ac:dyDescent="0.25">
      <c r="B52" s="10">
        <v>565</v>
      </c>
      <c r="C52" s="10">
        <v>5</v>
      </c>
      <c r="D52" s="9" t="s">
        <v>108</v>
      </c>
      <c r="E52" s="154">
        <f>INDEX('Revised 2017 Lockdown'!H$5:H$249,MATCH(B52,'Revised 2017 Lockdown'!B$5:B$249,0))</f>
        <v>445.33784061237589</v>
      </c>
      <c r="F52" s="7">
        <f>INDEX('Revised 2017 Lockdown'!E$5:E$249,MATCH(B52,'Revised 2017 Lockdown'!B$5:B$249,0))</f>
        <v>183464.86</v>
      </c>
      <c r="G52" s="7">
        <f>INDEX('Revised 2017 Lockdown'!F$5:F$249,MATCH(B52,'Revised 2017 Lockdown'!B$5:B$249,0))</f>
        <v>760</v>
      </c>
      <c r="H52" s="7">
        <f t="shared" si="0"/>
        <v>182704.86</v>
      </c>
      <c r="I52" s="6">
        <f t="shared" si="1"/>
        <v>410.26125188186546</v>
      </c>
      <c r="J52" s="6">
        <f t="shared" si="7"/>
        <v>410.26125188186546</v>
      </c>
      <c r="K52" s="5">
        <f t="shared" si="8"/>
        <v>182704.86</v>
      </c>
      <c r="L52" s="4">
        <f t="shared" si="2"/>
        <v>0</v>
      </c>
      <c r="M52" s="2">
        <f t="shared" si="9"/>
        <v>259.50408287668267</v>
      </c>
      <c r="N52" s="1" cm="1">
        <f t="array" ref="N52">SUMPRODUCT(--($L$6:$L$300&lt;&gt;1),--($C$6:$C$300=$C52))</f>
        <v>21</v>
      </c>
      <c r="O52" s="3">
        <f t="shared" si="3"/>
        <v>22727.724006457247</v>
      </c>
      <c r="P52" s="2">
        <f t="shared" si="4"/>
        <v>122.48275635687666</v>
      </c>
      <c r="Q52" s="2">
        <f t="shared" si="11"/>
        <v>102.53611471530951</v>
      </c>
      <c r="R52" s="2">
        <f t="shared" si="11"/>
        <v>416.47205103805584</v>
      </c>
      <c r="S52" s="2">
        <f t="shared" si="6"/>
        <v>410.26125188186546</v>
      </c>
    </row>
    <row r="53" spans="2:19" x14ac:dyDescent="0.25">
      <c r="B53" s="10">
        <v>613</v>
      </c>
      <c r="C53" s="10">
        <v>5</v>
      </c>
      <c r="D53" s="9" t="s">
        <v>109</v>
      </c>
      <c r="E53" s="154">
        <f>INDEX('Revised 2017 Lockdown'!H$5:H$249,MATCH(B53,'Revised 2017 Lockdown'!B$5:B$249,0))</f>
        <v>94.470534067416096</v>
      </c>
      <c r="F53" s="7">
        <f>INDEX('Revised 2017 Lockdown'!E$5:E$249,MATCH(B53,'Revised 2017 Lockdown'!B$5:B$249,0))</f>
        <v>62648.94</v>
      </c>
      <c r="G53" s="7">
        <f>INDEX('Revised 2017 Lockdown'!F$5:F$249,MATCH(B53,'Revised 2017 Lockdown'!B$5:B$249,0))</f>
        <v>0</v>
      </c>
      <c r="H53" s="7">
        <f t="shared" si="0"/>
        <v>62648.94</v>
      </c>
      <c r="I53" s="6">
        <f t="shared" si="1"/>
        <v>663.15852470244783</v>
      </c>
      <c r="J53" s="6">
        <f t="shared" si="7"/>
        <v>416.47205103805584</v>
      </c>
      <c r="K53" s="5">
        <f t="shared" si="8"/>
        <v>39344.337085717307</v>
      </c>
      <c r="L53" s="4">
        <f t="shared" si="2"/>
        <v>0</v>
      </c>
      <c r="M53" s="2">
        <f t="shared" si="9"/>
        <v>259.50408287668267</v>
      </c>
      <c r="N53" s="1" cm="1">
        <f t="array" ref="N53">SUMPRODUCT(--($L$6:$L$300&lt;&gt;1),--($C$6:$C$300=$C53))</f>
        <v>21</v>
      </c>
      <c r="O53" s="3">
        <f t="shared" si="3"/>
        <v>162936.90840567002</v>
      </c>
      <c r="P53" s="2">
        <f t="shared" si="4"/>
        <v>122.48275635687666</v>
      </c>
      <c r="Q53" s="2">
        <f t="shared" si="11"/>
        <v>102.53611471530951</v>
      </c>
      <c r="R53" s="2">
        <f t="shared" si="11"/>
        <v>416.47205103805584</v>
      </c>
      <c r="S53" s="2">
        <f t="shared" si="6"/>
        <v>416.47205103805584</v>
      </c>
    </row>
    <row r="54" spans="2:19" x14ac:dyDescent="0.25">
      <c r="B54" s="10">
        <v>696</v>
      </c>
      <c r="C54" s="10">
        <v>5</v>
      </c>
      <c r="D54" s="9" t="s">
        <v>110</v>
      </c>
      <c r="E54" s="154">
        <f>INDEX('Revised 2017 Lockdown'!H$5:H$249,MATCH(B54,'Revised 2017 Lockdown'!B$5:B$249,0))</f>
        <v>317.03380077970206</v>
      </c>
      <c r="F54" s="7">
        <f>INDEX('Revised 2017 Lockdown'!E$5:E$249,MATCH(B54,'Revised 2017 Lockdown'!B$5:B$249,0))</f>
        <v>124256.29</v>
      </c>
      <c r="G54" s="7">
        <f>INDEX('Revised 2017 Lockdown'!F$5:F$249,MATCH(B54,'Revised 2017 Lockdown'!B$5:B$249,0))</f>
        <v>136.29</v>
      </c>
      <c r="H54" s="7">
        <f t="shared" si="0"/>
        <v>124120</v>
      </c>
      <c r="I54" s="6">
        <f t="shared" si="1"/>
        <v>391.50399640272906</v>
      </c>
      <c r="J54" s="6">
        <f t="shared" si="7"/>
        <v>391.50399640272906</v>
      </c>
      <c r="K54" s="5">
        <f t="shared" si="8"/>
        <v>124120</v>
      </c>
      <c r="L54" s="4">
        <f t="shared" si="2"/>
        <v>0</v>
      </c>
      <c r="M54" s="2">
        <f t="shared" si="9"/>
        <v>259.50408287668267</v>
      </c>
      <c r="N54" s="1" cm="1">
        <f t="array" ref="N54">SUMPRODUCT(--($L$6:$L$300&lt;&gt;1),--($C$6:$C$300=$C54))</f>
        <v>21</v>
      </c>
      <c r="O54" s="3">
        <f t="shared" si="3"/>
        <v>17423.977170883722</v>
      </c>
      <c r="P54" s="2">
        <f t="shared" si="4"/>
        <v>122.48275635687666</v>
      </c>
      <c r="Q54" s="2">
        <f t="shared" si="11"/>
        <v>102.53611471530951</v>
      </c>
      <c r="R54" s="2">
        <f t="shared" si="11"/>
        <v>416.47205103805584</v>
      </c>
      <c r="S54" s="2">
        <f t="shared" si="6"/>
        <v>391.50399640272906</v>
      </c>
    </row>
    <row r="55" spans="2:19" x14ac:dyDescent="0.25">
      <c r="B55" s="10">
        <v>731</v>
      </c>
      <c r="C55" s="10">
        <v>5</v>
      </c>
      <c r="D55" s="9" t="s">
        <v>111</v>
      </c>
      <c r="E55" s="154">
        <f>INDEX('Revised 2017 Lockdown'!H$5:H$249,MATCH(B55,'Revised 2017 Lockdown'!B$5:B$249,0))</f>
        <v>862.70999999999992</v>
      </c>
      <c r="F55" s="7">
        <f>INDEX('Revised 2017 Lockdown'!E$5:E$249,MATCH(B55,'Revised 2017 Lockdown'!B$5:B$249,0))</f>
        <v>224685.08</v>
      </c>
      <c r="G55" s="7">
        <f>INDEX('Revised 2017 Lockdown'!F$5:F$249,MATCH(B55,'Revised 2017 Lockdown'!B$5:B$249,0))</f>
        <v>35649.1</v>
      </c>
      <c r="H55" s="7">
        <f t="shared" si="0"/>
        <v>189035.97999999998</v>
      </c>
      <c r="I55" s="6">
        <f t="shared" si="1"/>
        <v>219.11880006027519</v>
      </c>
      <c r="J55" s="6">
        <f t="shared" si="7"/>
        <v>219.11880006027519</v>
      </c>
      <c r="K55" s="5">
        <f t="shared" si="8"/>
        <v>189035.97999999998</v>
      </c>
      <c r="L55" s="4">
        <f t="shared" si="2"/>
        <v>0</v>
      </c>
      <c r="M55" s="2">
        <f t="shared" si="9"/>
        <v>259.50408287668267</v>
      </c>
      <c r="N55" s="1" cm="1">
        <f t="array" ref="N55">SUMPRODUCT(--($L$6:$L$300&lt;&gt;1),--($C$6:$C$300=$C55))</f>
        <v>21</v>
      </c>
      <c r="O55" s="3">
        <f t="shared" si="3"/>
        <v>1630.9710681612175</v>
      </c>
      <c r="P55" s="2">
        <f t="shared" si="4"/>
        <v>122.48275635687666</v>
      </c>
      <c r="Q55" s="2">
        <f t="shared" si="11"/>
        <v>102.53611471530951</v>
      </c>
      <c r="R55" s="2">
        <f t="shared" si="11"/>
        <v>416.47205103805584</v>
      </c>
      <c r="S55" s="2">
        <f t="shared" si="6"/>
        <v>219.11880006027519</v>
      </c>
    </row>
    <row r="56" spans="2:19" x14ac:dyDescent="0.25">
      <c r="B56" s="10">
        <v>732</v>
      </c>
      <c r="C56" s="10">
        <v>5</v>
      </c>
      <c r="D56" s="9" t="s">
        <v>112</v>
      </c>
      <c r="E56" s="154">
        <f>INDEX('Revised 2017 Lockdown'!H$5:H$249,MATCH(B56,'Revised 2017 Lockdown'!B$5:B$249,0))</f>
        <v>222.6459090886845</v>
      </c>
      <c r="F56" s="7">
        <f>INDEX('Revised 2017 Lockdown'!E$5:E$249,MATCH(B56,'Revised 2017 Lockdown'!B$5:B$249,0))</f>
        <v>69015.66</v>
      </c>
      <c r="G56" s="7">
        <f>INDEX('Revised 2017 Lockdown'!F$5:F$249,MATCH(B56,'Revised 2017 Lockdown'!B$5:B$249,0))</f>
        <v>0</v>
      </c>
      <c r="H56" s="7">
        <f t="shared" si="0"/>
        <v>69015.66</v>
      </c>
      <c r="I56" s="6">
        <f t="shared" si="1"/>
        <v>309.97946597127742</v>
      </c>
      <c r="J56" s="6">
        <f t="shared" si="7"/>
        <v>309.97946597127742</v>
      </c>
      <c r="K56" s="5">
        <f t="shared" si="8"/>
        <v>69015.66</v>
      </c>
      <c r="L56" s="4">
        <f t="shared" si="2"/>
        <v>0</v>
      </c>
      <c r="M56" s="2">
        <f t="shared" si="9"/>
        <v>259.50408287668267</v>
      </c>
      <c r="N56" s="1" cm="1">
        <f t="array" ref="N56">SUMPRODUCT(--($L$6:$L$300&lt;&gt;1),--($C$6:$C$300=$C56))</f>
        <v>21</v>
      </c>
      <c r="O56" s="3">
        <f t="shared" si="3"/>
        <v>2547.7642985461011</v>
      </c>
      <c r="P56" s="2">
        <f t="shared" si="4"/>
        <v>122.48275635687666</v>
      </c>
      <c r="Q56" s="2">
        <f t="shared" si="11"/>
        <v>102.53611471530951</v>
      </c>
      <c r="R56" s="2">
        <f t="shared" si="11"/>
        <v>416.47205103805584</v>
      </c>
      <c r="S56" s="2">
        <f t="shared" si="6"/>
        <v>309.97946597127742</v>
      </c>
    </row>
    <row r="57" spans="2:19" x14ac:dyDescent="0.25">
      <c r="B57" s="10">
        <v>754</v>
      </c>
      <c r="C57" s="10">
        <v>5</v>
      </c>
      <c r="D57" s="9" t="s">
        <v>113</v>
      </c>
      <c r="E57" s="154">
        <f>INDEX('Revised 2017 Lockdown'!H$5:H$249,MATCH(B57,'Revised 2017 Lockdown'!B$5:B$249,0))</f>
        <v>120.10207431826544</v>
      </c>
      <c r="F57" s="7">
        <f>INDEX('Revised 2017 Lockdown'!E$5:E$249,MATCH(B57,'Revised 2017 Lockdown'!B$5:B$249,0))</f>
        <v>29707.96</v>
      </c>
      <c r="G57" s="7">
        <f>INDEX('Revised 2017 Lockdown'!F$5:F$249,MATCH(B57,'Revised 2017 Lockdown'!B$5:B$249,0))</f>
        <v>0</v>
      </c>
      <c r="H57" s="7">
        <f t="shared" si="0"/>
        <v>29707.96</v>
      </c>
      <c r="I57" s="6">
        <f t="shared" si="1"/>
        <v>247.35592760267534</v>
      </c>
      <c r="J57" s="6">
        <f t="shared" si="7"/>
        <v>247.35592760267534</v>
      </c>
      <c r="K57" s="5">
        <f t="shared" si="8"/>
        <v>29707.96</v>
      </c>
      <c r="L57" s="4">
        <f t="shared" si="2"/>
        <v>0</v>
      </c>
      <c r="M57" s="2">
        <f t="shared" si="9"/>
        <v>259.50408287668267</v>
      </c>
      <c r="N57" s="1" cm="1">
        <f t="array" ref="N57">SUMPRODUCT(--($L$6:$L$300&lt;&gt;1),--($C$6:$C$300=$C57))</f>
        <v>21</v>
      </c>
      <c r="O57" s="3">
        <f t="shared" si="3"/>
        <v>147.57767656139228</v>
      </c>
      <c r="P57" s="2">
        <f t="shared" si="4"/>
        <v>122.48275635687666</v>
      </c>
      <c r="Q57" s="2">
        <f t="shared" si="11"/>
        <v>102.53611471530951</v>
      </c>
      <c r="R57" s="2">
        <f t="shared" si="11"/>
        <v>416.47205103805584</v>
      </c>
      <c r="S57" s="2">
        <f t="shared" si="6"/>
        <v>247.35592760267534</v>
      </c>
    </row>
    <row r="58" spans="2:19" x14ac:dyDescent="0.25">
      <c r="B58" s="10">
        <v>885</v>
      </c>
      <c r="C58" s="10">
        <v>5</v>
      </c>
      <c r="D58" s="9" t="s">
        <v>114</v>
      </c>
      <c r="E58" s="154">
        <f>INDEX('Revised 2017 Lockdown'!H$5:H$249,MATCH(B58,'Revised 2017 Lockdown'!B$5:B$249,0))</f>
        <v>411.83000000000004</v>
      </c>
      <c r="F58" s="7">
        <f>INDEX('Revised 2017 Lockdown'!E$5:E$249,MATCH(B58,'Revised 2017 Lockdown'!B$5:B$249,0))</f>
        <v>134922.51999999999</v>
      </c>
      <c r="G58" s="7">
        <f>INDEX('Revised 2017 Lockdown'!F$5:F$249,MATCH(B58,'Revised 2017 Lockdown'!B$5:B$249,0))</f>
        <v>72127.05</v>
      </c>
      <c r="H58" s="7">
        <f t="shared" si="0"/>
        <v>62795.469999999987</v>
      </c>
      <c r="I58" s="6">
        <f t="shared" si="1"/>
        <v>152.47910545613476</v>
      </c>
      <c r="J58" s="6">
        <f t="shared" si="7"/>
        <v>152.47910545613476</v>
      </c>
      <c r="K58" s="5">
        <f t="shared" si="8"/>
        <v>62795.469999999987</v>
      </c>
      <c r="L58" s="4">
        <f t="shared" si="2"/>
        <v>0</v>
      </c>
      <c r="M58" s="2">
        <f t="shared" si="9"/>
        <v>259.50408287668267</v>
      </c>
      <c r="N58" s="1" cm="1">
        <f t="array" ref="N58">SUMPRODUCT(--($L$6:$L$300&lt;&gt;1),--($C$6:$C$300=$C58))</f>
        <v>21</v>
      </c>
      <c r="O58" s="3">
        <f t="shared" si="3"/>
        <v>11454.345791868791</v>
      </c>
      <c r="P58" s="2">
        <f t="shared" si="4"/>
        <v>122.48275635687666</v>
      </c>
      <c r="Q58" s="2">
        <f t="shared" si="11"/>
        <v>102.53611471530951</v>
      </c>
      <c r="R58" s="2">
        <f t="shared" si="11"/>
        <v>416.47205103805584</v>
      </c>
      <c r="S58" s="2">
        <f t="shared" si="6"/>
        <v>152.47910545613476</v>
      </c>
    </row>
    <row r="59" spans="2:19" x14ac:dyDescent="0.25">
      <c r="B59" s="10">
        <v>909</v>
      </c>
      <c r="C59" s="10">
        <v>5</v>
      </c>
      <c r="D59" s="9" t="s">
        <v>115</v>
      </c>
      <c r="E59" s="154">
        <f>INDEX('Revised 2017 Lockdown'!H$5:H$249,MATCH(B59,'Revised 2017 Lockdown'!B$5:B$249,0))</f>
        <v>535.34</v>
      </c>
      <c r="F59" s="7">
        <f>INDEX('Revised 2017 Lockdown'!E$5:E$249,MATCH(B59,'Revised 2017 Lockdown'!B$5:B$249,0))</f>
        <v>229582.5</v>
      </c>
      <c r="G59" s="7">
        <f>INDEX('Revised 2017 Lockdown'!F$5:F$249,MATCH(B59,'Revised 2017 Lockdown'!B$5:B$249,0))</f>
        <v>97120.69</v>
      </c>
      <c r="H59" s="7">
        <f t="shared" si="0"/>
        <v>132461.81</v>
      </c>
      <c r="I59" s="6">
        <f t="shared" si="1"/>
        <v>247.43491986401165</v>
      </c>
      <c r="J59" s="6">
        <f t="shared" si="7"/>
        <v>247.43491986401165</v>
      </c>
      <c r="K59" s="5">
        <f t="shared" si="8"/>
        <v>132461.81</v>
      </c>
      <c r="L59" s="4">
        <f t="shared" si="2"/>
        <v>0</v>
      </c>
      <c r="M59" s="2">
        <f t="shared" si="9"/>
        <v>259.50408287668267</v>
      </c>
      <c r="N59" s="1" cm="1">
        <f t="array" ref="N59">SUMPRODUCT(--($L$6:$L$300&lt;&gt;1),--($C$6:$C$300=$C59))</f>
        <v>21</v>
      </c>
      <c r="O59" s="3">
        <f t="shared" si="3"/>
        <v>145.66469582642637</v>
      </c>
      <c r="P59" s="2">
        <f t="shared" si="4"/>
        <v>122.48275635687666</v>
      </c>
      <c r="Q59" s="2">
        <f t="shared" si="11"/>
        <v>102.53611471530951</v>
      </c>
      <c r="R59" s="2">
        <f t="shared" si="11"/>
        <v>416.47205103805584</v>
      </c>
      <c r="S59" s="2">
        <f t="shared" si="6"/>
        <v>247.43491986401165</v>
      </c>
    </row>
    <row r="60" spans="2:19" x14ac:dyDescent="0.25">
      <c r="B60" s="10">
        <v>923</v>
      </c>
      <c r="C60" s="10">
        <v>5</v>
      </c>
      <c r="D60" s="9" t="s">
        <v>116</v>
      </c>
      <c r="E60" s="154">
        <f>INDEX('Revised 2017 Lockdown'!H$5:H$249,MATCH(B60,'Revised 2017 Lockdown'!B$5:B$249,0))</f>
        <v>48.433213800282132</v>
      </c>
      <c r="F60" s="7">
        <f>INDEX('Revised 2017 Lockdown'!E$5:E$249,MATCH(B60,'Revised 2017 Lockdown'!B$5:B$249,0))</f>
        <v>31066.29</v>
      </c>
      <c r="G60" s="7">
        <f>INDEX('Revised 2017 Lockdown'!F$5:F$249,MATCH(B60,'Revised 2017 Lockdown'!B$5:B$249,0))</f>
        <v>93.24</v>
      </c>
      <c r="H60" s="7">
        <f t="shared" si="0"/>
        <v>30973.05</v>
      </c>
      <c r="I60" s="6">
        <f t="shared" si="1"/>
        <v>639.50020181852096</v>
      </c>
      <c r="J60" s="6">
        <f t="shared" si="7"/>
        <v>416.47205103805584</v>
      </c>
      <c r="K60" s="5">
        <f t="shared" si="8"/>
        <v>20171.079889768171</v>
      </c>
      <c r="L60" s="4">
        <f t="shared" si="2"/>
        <v>0</v>
      </c>
      <c r="M60" s="2">
        <f t="shared" si="9"/>
        <v>259.50408287668267</v>
      </c>
      <c r="N60" s="1" cm="1">
        <f t="array" ref="N60">SUMPRODUCT(--($L$6:$L$300&lt;&gt;1),--($C$6:$C$300=$C60))</f>
        <v>21</v>
      </c>
      <c r="O60" s="3">
        <f t="shared" si="3"/>
        <v>144397.05041085972</v>
      </c>
      <c r="P60" s="2">
        <f t="shared" si="4"/>
        <v>122.48275635687666</v>
      </c>
      <c r="Q60" s="2">
        <f t="shared" si="11"/>
        <v>102.53611471530951</v>
      </c>
      <c r="R60" s="2">
        <f t="shared" si="11"/>
        <v>416.47205103805584</v>
      </c>
      <c r="S60" s="2">
        <f t="shared" si="6"/>
        <v>416.47205103805584</v>
      </c>
    </row>
    <row r="61" spans="2:19" x14ac:dyDescent="0.25">
      <c r="B61" s="10">
        <v>394</v>
      </c>
      <c r="C61" s="10">
        <v>6</v>
      </c>
      <c r="D61" s="9" t="s">
        <v>117</v>
      </c>
      <c r="E61" s="154">
        <f>INDEX('Revised 2017 Lockdown'!H$5:H$249,MATCH(B61,'Revised 2017 Lockdown'!B$5:B$249,0))</f>
        <v>703.72</v>
      </c>
      <c r="F61" s="7">
        <f>INDEX('Revised 2017 Lockdown'!E$5:E$249,MATCH(B61,'Revised 2017 Lockdown'!B$5:B$249,0))</f>
        <v>403733.09</v>
      </c>
      <c r="G61" s="7">
        <f>INDEX('Revised 2017 Lockdown'!F$5:F$249,MATCH(B61,'Revised 2017 Lockdown'!B$5:B$249,0))</f>
        <v>74442.03</v>
      </c>
      <c r="H61" s="7">
        <f t="shared" si="0"/>
        <v>329291.06000000006</v>
      </c>
      <c r="I61" s="6">
        <f t="shared" si="1"/>
        <v>467.92909111578473</v>
      </c>
      <c r="J61" s="6">
        <f t="shared" si="7"/>
        <v>467.92909111578473</v>
      </c>
      <c r="K61" s="5">
        <f t="shared" si="8"/>
        <v>329291.06000000006</v>
      </c>
      <c r="L61" s="4">
        <f t="shared" si="2"/>
        <v>0</v>
      </c>
      <c r="M61" s="2">
        <f t="shared" si="9"/>
        <v>637.30255139727626</v>
      </c>
      <c r="N61" s="1" cm="1">
        <f t="array" ref="N61">SUMPRODUCT(--($L$6:$L$300&lt;&gt;1),--($C$6:$C$300=$C61))</f>
        <v>45</v>
      </c>
      <c r="O61" s="3">
        <f t="shared" si="3"/>
        <v>28687.369047725988</v>
      </c>
      <c r="P61" s="2">
        <f t="shared" si="4"/>
        <v>314.95448373149139</v>
      </c>
      <c r="Q61" s="2">
        <f t="shared" si="11"/>
        <v>233.67213969589204</v>
      </c>
      <c r="R61" s="2">
        <f t="shared" si="11"/>
        <v>1040.9329630986604</v>
      </c>
      <c r="S61" s="2">
        <f t="shared" si="6"/>
        <v>467.92909111578473</v>
      </c>
    </row>
    <row r="62" spans="2:19" x14ac:dyDescent="0.25">
      <c r="B62" s="10">
        <v>414</v>
      </c>
      <c r="C62" s="10">
        <v>6</v>
      </c>
      <c r="D62" s="9" t="s">
        <v>118</v>
      </c>
      <c r="E62" s="154">
        <f>INDEX('Revised 2017 Lockdown'!H$5:H$249,MATCH(B62,'Revised 2017 Lockdown'!B$5:B$249,0))</f>
        <v>239.14632293138175</v>
      </c>
      <c r="F62" s="7">
        <f>INDEX('Revised 2017 Lockdown'!E$5:E$249,MATCH(B62,'Revised 2017 Lockdown'!B$5:B$249,0))</f>
        <v>229275.21</v>
      </c>
      <c r="G62" s="7">
        <f>INDEX('Revised 2017 Lockdown'!F$5:F$249,MATCH(B62,'Revised 2017 Lockdown'!B$5:B$249,0))</f>
        <v>14423.09</v>
      </c>
      <c r="H62" s="7">
        <f t="shared" si="0"/>
        <v>214852.12</v>
      </c>
      <c r="I62" s="6">
        <f t="shared" si="1"/>
        <v>898.41281005875021</v>
      </c>
      <c r="J62" s="6">
        <f t="shared" si="7"/>
        <v>898.41281005875021</v>
      </c>
      <c r="K62" s="5">
        <f t="shared" si="8"/>
        <v>214852.12</v>
      </c>
      <c r="L62" s="4">
        <f t="shared" si="2"/>
        <v>0</v>
      </c>
      <c r="M62" s="2">
        <f t="shared" si="9"/>
        <v>637.30255139727626</v>
      </c>
      <c r="N62" s="1" cm="1">
        <f t="array" ref="N62">SUMPRODUCT(--($L$6:$L$300&lt;&gt;1),--($C$6:$C$300=$C62))</f>
        <v>45</v>
      </c>
      <c r="O62" s="3">
        <f t="shared" si="3"/>
        <v>68178.56717826183</v>
      </c>
      <c r="P62" s="2">
        <f t="shared" si="4"/>
        <v>314.95448373149139</v>
      </c>
      <c r="Q62" s="2">
        <f t="shared" si="11"/>
        <v>233.67213969589204</v>
      </c>
      <c r="R62" s="2">
        <f t="shared" si="11"/>
        <v>1040.9329630986604</v>
      </c>
      <c r="S62" s="2">
        <f t="shared" si="6"/>
        <v>898.41281005875021</v>
      </c>
    </row>
    <row r="63" spans="2:19" x14ac:dyDescent="0.25">
      <c r="B63" s="10">
        <v>426</v>
      </c>
      <c r="C63" s="10">
        <v>6</v>
      </c>
      <c r="D63" s="9" t="s">
        <v>119</v>
      </c>
      <c r="E63" s="154">
        <f>INDEX('Revised 2017 Lockdown'!H$5:H$249,MATCH(B63,'Revised 2017 Lockdown'!B$5:B$249,0))</f>
        <v>354.4475851831736</v>
      </c>
      <c r="F63" s="7">
        <f>INDEX('Revised 2017 Lockdown'!E$5:E$249,MATCH(B63,'Revised 2017 Lockdown'!B$5:B$249,0))</f>
        <v>142088.12</v>
      </c>
      <c r="G63" s="7">
        <f>INDEX('Revised 2017 Lockdown'!F$5:F$249,MATCH(B63,'Revised 2017 Lockdown'!B$5:B$249,0))</f>
        <v>0</v>
      </c>
      <c r="H63" s="7">
        <f t="shared" si="0"/>
        <v>142088.12</v>
      </c>
      <c r="I63" s="6">
        <f t="shared" si="1"/>
        <v>400.87202153336955</v>
      </c>
      <c r="J63" s="6">
        <f t="shared" si="7"/>
        <v>400.87202153336955</v>
      </c>
      <c r="K63" s="5">
        <f t="shared" si="8"/>
        <v>142088.12</v>
      </c>
      <c r="L63" s="4">
        <f t="shared" si="2"/>
        <v>0</v>
      </c>
      <c r="M63" s="2">
        <f t="shared" si="9"/>
        <v>637.30255139727626</v>
      </c>
      <c r="N63" s="1" cm="1">
        <f t="array" ref="N63">SUMPRODUCT(--($L$6:$L$300&lt;&gt;1),--($C$6:$C$300=$C63))</f>
        <v>45</v>
      </c>
      <c r="O63" s="3">
        <f t="shared" si="3"/>
        <v>55899.395451727687</v>
      </c>
      <c r="P63" s="2">
        <f t="shared" si="4"/>
        <v>314.95448373149139</v>
      </c>
      <c r="Q63" s="2">
        <f t="shared" si="11"/>
        <v>233.67213969589204</v>
      </c>
      <c r="R63" s="2">
        <f t="shared" si="11"/>
        <v>1040.9329630986604</v>
      </c>
      <c r="S63" s="2">
        <f t="shared" si="6"/>
        <v>400.87202153336955</v>
      </c>
    </row>
    <row r="64" spans="2:19" x14ac:dyDescent="0.25">
      <c r="B64" s="10">
        <v>430</v>
      </c>
      <c r="C64" s="10">
        <v>6</v>
      </c>
      <c r="D64" s="9" t="s">
        <v>120</v>
      </c>
      <c r="E64" s="154">
        <f>INDEX('Revised 2017 Lockdown'!H$5:H$249,MATCH(B64,'Revised 2017 Lockdown'!B$5:B$249,0))</f>
        <v>2825.6247831068954</v>
      </c>
      <c r="F64" s="7">
        <f>INDEX('Revised 2017 Lockdown'!E$5:E$249,MATCH(B64,'Revised 2017 Lockdown'!B$5:B$249,0))</f>
        <v>1647154.35</v>
      </c>
      <c r="G64" s="7">
        <f>INDEX('Revised 2017 Lockdown'!F$5:F$249,MATCH(B64,'Revised 2017 Lockdown'!B$5:B$249,0))</f>
        <v>350</v>
      </c>
      <c r="H64" s="7">
        <f t="shared" si="0"/>
        <v>1646804.35</v>
      </c>
      <c r="I64" s="6">
        <f t="shared" si="1"/>
        <v>582.81069724666986</v>
      </c>
      <c r="J64" s="6">
        <f t="shared" si="7"/>
        <v>582.81069724666986</v>
      </c>
      <c r="K64" s="5">
        <f t="shared" si="8"/>
        <v>1646804.35</v>
      </c>
      <c r="L64" s="4">
        <f t="shared" si="2"/>
        <v>0</v>
      </c>
      <c r="M64" s="2">
        <f t="shared" si="9"/>
        <v>637.30255139727626</v>
      </c>
      <c r="N64" s="1" cm="1">
        <f t="array" ref="N64">SUMPRODUCT(--($L$6:$L$300&lt;&gt;1),--($C$6:$C$300=$C64))</f>
        <v>45</v>
      </c>
      <c r="O64" s="3">
        <f t="shared" si="3"/>
        <v>2969.3621687709601</v>
      </c>
      <c r="P64" s="2">
        <f t="shared" si="4"/>
        <v>314.95448373149139</v>
      </c>
      <c r="Q64" s="2">
        <f t="shared" si="11"/>
        <v>233.67213969589204</v>
      </c>
      <c r="R64" s="2">
        <f t="shared" si="11"/>
        <v>1040.9329630986604</v>
      </c>
      <c r="S64" s="2">
        <f t="shared" si="6"/>
        <v>582.81069724666986</v>
      </c>
    </row>
    <row r="65" spans="2:19" x14ac:dyDescent="0.25">
      <c r="B65" s="10">
        <v>443</v>
      </c>
      <c r="C65" s="10">
        <v>6</v>
      </c>
      <c r="D65" s="9" t="s">
        <v>121</v>
      </c>
      <c r="E65" s="154">
        <f>INDEX('Revised 2017 Lockdown'!H$5:H$249,MATCH(B65,'Revised 2017 Lockdown'!B$5:B$249,0))</f>
        <v>14.58</v>
      </c>
      <c r="F65" s="7">
        <f>INDEX('Revised 2017 Lockdown'!E$5:E$249,MATCH(B65,'Revised 2017 Lockdown'!B$5:B$249,0))</f>
        <v>15600.67</v>
      </c>
      <c r="G65" s="7">
        <f>INDEX('Revised 2017 Lockdown'!F$5:F$249,MATCH(B65,'Revised 2017 Lockdown'!B$5:B$249,0))</f>
        <v>0</v>
      </c>
      <c r="H65" s="7">
        <f t="shared" si="0"/>
        <v>15600.67</v>
      </c>
      <c r="I65" s="6">
        <f t="shared" si="1"/>
        <v>1070.0048010973937</v>
      </c>
      <c r="J65" s="6">
        <f t="shared" si="7"/>
        <v>1040.9329630986604</v>
      </c>
      <c r="K65" s="5">
        <f t="shared" si="8"/>
        <v>15176.802601978468</v>
      </c>
      <c r="L65" s="4">
        <f t="shared" si="2"/>
        <v>0</v>
      </c>
      <c r="M65" s="2">
        <f t="shared" si="9"/>
        <v>637.30255139727626</v>
      </c>
      <c r="N65" s="1" cm="1">
        <f t="array" ref="N65">SUMPRODUCT(--($L$6:$L$300&lt;&gt;1),--($C$6:$C$300=$C65))</f>
        <v>45</v>
      </c>
      <c r="O65" s="3">
        <f t="shared" si="3"/>
        <v>187231.23689554282</v>
      </c>
      <c r="P65" s="2">
        <f t="shared" si="4"/>
        <v>314.95448373149139</v>
      </c>
      <c r="Q65" s="2">
        <f t="shared" si="11"/>
        <v>233.67213969589204</v>
      </c>
      <c r="R65" s="2">
        <f t="shared" si="11"/>
        <v>1040.9329630986604</v>
      </c>
      <c r="S65" s="2">
        <f t="shared" si="6"/>
        <v>1040.9329630986604</v>
      </c>
    </row>
    <row r="66" spans="2:19" x14ac:dyDescent="0.25">
      <c r="B66" s="10">
        <v>562</v>
      </c>
      <c r="C66" s="10">
        <v>6</v>
      </c>
      <c r="D66" s="9" t="s">
        <v>122</v>
      </c>
      <c r="E66" s="154">
        <f>INDEX('Revised 2017 Lockdown'!H$5:H$249,MATCH(B66,'Revised 2017 Lockdown'!B$5:B$249,0))</f>
        <v>52.103903515218583</v>
      </c>
      <c r="F66" s="7">
        <f>INDEX('Revised 2017 Lockdown'!E$5:E$249,MATCH(B66,'Revised 2017 Lockdown'!B$5:B$249,0))</f>
        <v>43377.29</v>
      </c>
      <c r="G66" s="7">
        <f>INDEX('Revised 2017 Lockdown'!F$5:F$249,MATCH(B66,'Revised 2017 Lockdown'!B$5:B$249,0))</f>
        <v>0</v>
      </c>
      <c r="H66" s="7">
        <f t="shared" si="0"/>
        <v>43377.29</v>
      </c>
      <c r="I66" s="6">
        <f t="shared" si="1"/>
        <v>832.51516822209487</v>
      </c>
      <c r="J66" s="6">
        <f t="shared" si="7"/>
        <v>832.51516822209487</v>
      </c>
      <c r="K66" s="5">
        <f t="shared" si="8"/>
        <v>43377.29</v>
      </c>
      <c r="L66" s="4">
        <f t="shared" si="2"/>
        <v>0</v>
      </c>
      <c r="M66" s="2">
        <f t="shared" si="9"/>
        <v>637.30255139727626</v>
      </c>
      <c r="N66" s="1" cm="1">
        <f t="array" ref="N66">SUMPRODUCT(--($L$6:$L$300&lt;&gt;1),--($C$6:$C$300=$C66))</f>
        <v>45</v>
      </c>
      <c r="O66" s="3">
        <f t="shared" si="3"/>
        <v>38107.96576759345</v>
      </c>
      <c r="P66" s="2">
        <f t="shared" si="4"/>
        <v>314.95448373149139</v>
      </c>
      <c r="Q66" s="2">
        <f t="shared" ref="Q66:R85" si="12">NORMINV(Q$4,$M66,$P66)</f>
        <v>233.67213969589204</v>
      </c>
      <c r="R66" s="2">
        <f t="shared" si="12"/>
        <v>1040.9329630986604</v>
      </c>
      <c r="S66" s="2">
        <f t="shared" si="6"/>
        <v>832.51516822209487</v>
      </c>
    </row>
    <row r="67" spans="2:19" x14ac:dyDescent="0.25">
      <c r="B67" s="10">
        <v>603</v>
      </c>
      <c r="C67" s="10">
        <v>6</v>
      </c>
      <c r="D67" s="9" t="s">
        <v>123</v>
      </c>
      <c r="E67" s="154">
        <f>INDEX('Revised 2017 Lockdown'!H$5:H$249,MATCH(B67,'Revised 2017 Lockdown'!B$5:B$249,0))</f>
        <v>94.022299065256178</v>
      </c>
      <c r="F67" s="7">
        <f>INDEX('Revised 2017 Lockdown'!E$5:E$249,MATCH(B67,'Revised 2017 Lockdown'!B$5:B$249,0))</f>
        <v>85468.56</v>
      </c>
      <c r="G67" s="7">
        <f>INDEX('Revised 2017 Lockdown'!F$5:F$249,MATCH(B67,'Revised 2017 Lockdown'!B$5:B$249,0))</f>
        <v>0</v>
      </c>
      <c r="H67" s="7">
        <f t="shared" si="0"/>
        <v>85468.56</v>
      </c>
      <c r="I67" s="6">
        <f t="shared" si="1"/>
        <v>909.02435751630094</v>
      </c>
      <c r="J67" s="6">
        <f t="shared" si="7"/>
        <v>909.02435751630094</v>
      </c>
      <c r="K67" s="5">
        <f t="shared" si="8"/>
        <v>85468.56</v>
      </c>
      <c r="L67" s="4">
        <f t="shared" si="2"/>
        <v>0</v>
      </c>
      <c r="M67" s="2">
        <f t="shared" si="9"/>
        <v>637.30255139727626</v>
      </c>
      <c r="N67" s="1" cm="1">
        <f t="array" ref="N67">SUMPRODUCT(--($L$6:$L$300&lt;&gt;1),--($C$6:$C$300=$C67))</f>
        <v>45</v>
      </c>
      <c r="O67" s="3">
        <f t="shared" si="3"/>
        <v>73832.739920584834</v>
      </c>
      <c r="P67" s="2">
        <f t="shared" si="4"/>
        <v>314.95448373149139</v>
      </c>
      <c r="Q67" s="2">
        <f t="shared" si="12"/>
        <v>233.67213969589204</v>
      </c>
      <c r="R67" s="2">
        <f t="shared" si="12"/>
        <v>1040.9329630986604</v>
      </c>
      <c r="S67" s="2">
        <f t="shared" si="6"/>
        <v>909.02435751630094</v>
      </c>
    </row>
    <row r="68" spans="2:19" x14ac:dyDescent="0.25">
      <c r="B68" s="10">
        <v>618</v>
      </c>
      <c r="C68" s="10">
        <v>6</v>
      </c>
      <c r="D68" s="9" t="s">
        <v>124</v>
      </c>
      <c r="E68" s="154">
        <f>INDEX('Revised 2017 Lockdown'!H$5:H$249,MATCH(B68,'Revised 2017 Lockdown'!B$5:B$249,0))</f>
        <v>17.150356288495274</v>
      </c>
      <c r="F68" s="7">
        <f>INDEX('Revised 2017 Lockdown'!E$5:E$249,MATCH(B68,'Revised 2017 Lockdown'!B$5:B$249,0))</f>
        <v>16015.47</v>
      </c>
      <c r="G68" s="7">
        <f>INDEX('Revised 2017 Lockdown'!F$5:F$249,MATCH(B68,'Revised 2017 Lockdown'!B$5:B$249,0))</f>
        <v>0</v>
      </c>
      <c r="H68" s="7">
        <f t="shared" si="0"/>
        <v>16015.47</v>
      </c>
      <c r="I68" s="6">
        <f t="shared" si="1"/>
        <v>933.82724711925812</v>
      </c>
      <c r="J68" s="6">
        <f t="shared" si="7"/>
        <v>933.82724711925812</v>
      </c>
      <c r="K68" s="5">
        <f t="shared" si="8"/>
        <v>16015.47</v>
      </c>
      <c r="L68" s="4">
        <f t="shared" si="2"/>
        <v>0</v>
      </c>
      <c r="M68" s="2">
        <f t="shared" si="9"/>
        <v>637.30255139727626</v>
      </c>
      <c r="N68" s="1" cm="1">
        <f t="array" ref="N68">SUMPRODUCT(--($L$6:$L$300&lt;&gt;1),--($C$6:$C$300=$C68))</f>
        <v>45</v>
      </c>
      <c r="O68" s="3">
        <f t="shared" si="3"/>
        <v>87926.895173013923</v>
      </c>
      <c r="P68" s="2">
        <f t="shared" si="4"/>
        <v>314.95448373149139</v>
      </c>
      <c r="Q68" s="2">
        <f t="shared" si="12"/>
        <v>233.67213969589204</v>
      </c>
      <c r="R68" s="2">
        <f t="shared" si="12"/>
        <v>1040.9329630986604</v>
      </c>
      <c r="S68" s="2">
        <f t="shared" si="6"/>
        <v>933.82724711925812</v>
      </c>
    </row>
    <row r="69" spans="2:19" x14ac:dyDescent="0.25">
      <c r="B69" s="10">
        <v>620</v>
      </c>
      <c r="C69" s="10">
        <v>6</v>
      </c>
      <c r="D69" s="9" t="s">
        <v>125</v>
      </c>
      <c r="E69" s="154">
        <f>INDEX('Revised 2017 Lockdown'!H$5:H$249,MATCH(B69,'Revised 2017 Lockdown'!B$5:B$249,0))</f>
        <v>236.62386999831702</v>
      </c>
      <c r="F69" s="7">
        <f>INDEX('Revised 2017 Lockdown'!E$5:E$249,MATCH(B69,'Revised 2017 Lockdown'!B$5:B$249,0))</f>
        <v>117371.79</v>
      </c>
      <c r="G69" s="7">
        <f>INDEX('Revised 2017 Lockdown'!F$5:F$249,MATCH(B69,'Revised 2017 Lockdown'!B$5:B$249,0))</f>
        <v>0</v>
      </c>
      <c r="H69" s="7">
        <f t="shared" si="0"/>
        <v>117371.79</v>
      </c>
      <c r="I69" s="6">
        <f t="shared" si="1"/>
        <v>496.02683787073045</v>
      </c>
      <c r="J69" s="6">
        <f t="shared" si="7"/>
        <v>496.02683787073045</v>
      </c>
      <c r="K69" s="5">
        <f t="shared" si="8"/>
        <v>117371.79</v>
      </c>
      <c r="L69" s="4">
        <f t="shared" si="2"/>
        <v>0</v>
      </c>
      <c r="M69" s="2">
        <f t="shared" si="9"/>
        <v>637.30255139727626</v>
      </c>
      <c r="N69" s="1" cm="1">
        <f t="array" ref="N69">SUMPRODUCT(--($L$6:$L$300&lt;&gt;1),--($C$6:$C$300=$C69))</f>
        <v>45</v>
      </c>
      <c r="O69" s="3">
        <f t="shared" si="3"/>
        <v>19958.82723243464</v>
      </c>
      <c r="P69" s="2">
        <f t="shared" si="4"/>
        <v>314.95448373149139</v>
      </c>
      <c r="Q69" s="2">
        <f t="shared" si="12"/>
        <v>233.67213969589204</v>
      </c>
      <c r="R69" s="2">
        <f t="shared" si="12"/>
        <v>1040.9329630986604</v>
      </c>
      <c r="S69" s="2">
        <f t="shared" si="6"/>
        <v>496.02683787073045</v>
      </c>
    </row>
    <row r="70" spans="2:19" x14ac:dyDescent="0.25">
      <c r="B70" s="10">
        <v>622</v>
      </c>
      <c r="C70" s="10">
        <v>6</v>
      </c>
      <c r="D70" s="9" t="s">
        <v>126</v>
      </c>
      <c r="E70" s="154">
        <f>INDEX('Revised 2017 Lockdown'!H$5:H$249,MATCH(B70,'Revised 2017 Lockdown'!B$5:B$249,0))</f>
        <v>117.57960527770567</v>
      </c>
      <c r="F70" s="7">
        <f>INDEX('Revised 2017 Lockdown'!E$5:E$249,MATCH(B70,'Revised 2017 Lockdown'!B$5:B$249,0))</f>
        <v>78014.31</v>
      </c>
      <c r="G70" s="7">
        <f>INDEX('Revised 2017 Lockdown'!F$5:F$249,MATCH(B70,'Revised 2017 Lockdown'!B$5:B$249,0))</f>
        <v>228</v>
      </c>
      <c r="H70" s="7">
        <f t="shared" ref="H70:H133" si="13">F70-G70</f>
        <v>77786.31</v>
      </c>
      <c r="I70" s="6">
        <f t="shared" ref="I70:I133" si="14">H70/E70</f>
        <v>661.56294551491487</v>
      </c>
      <c r="J70" s="6">
        <f t="shared" si="7"/>
        <v>661.56294551491487</v>
      </c>
      <c r="K70" s="5">
        <f t="shared" ref="K70:K133" si="15">J70*E70</f>
        <v>77786.31</v>
      </c>
      <c r="L70" s="4">
        <f t="shared" ref="L70:L133" si="16">IF(ISERROR(I70),1,0)</f>
        <v>0</v>
      </c>
      <c r="M70" s="2">
        <f t="shared" ref="M70:M133" si="17">SUMPRODUCT(--($L$6:$L$300&lt;&gt;1),--($C$6:$C$300=$C70),$H$6:$H$300)/SUMPRODUCT(--($L$6:$L$300&lt;&gt;1),--($C$6:$C$300=$C70),$E$6:$E$300)</f>
        <v>637.30255139727626</v>
      </c>
      <c r="N70" s="1" cm="1">
        <f t="array" ref="N70">SUMPRODUCT(--($L$6:$L$300&lt;&gt;1),--($C$6:$C$300=$C70))</f>
        <v>45</v>
      </c>
      <c r="O70" s="3">
        <f t="shared" ref="O70:O133" si="18">IF(ISERROR((I70-M70)^2),0,(I70-M70)^2)</f>
        <v>588.56672274315417</v>
      </c>
      <c r="P70" s="2">
        <f t="shared" ref="P70:P133" si="19">SQRT(SUMPRODUCT(--($L$6:$L$300&lt;&gt;1),--($C$6:$C$300=$C70),$E$6:$E$300,$O$6:$O$300)/((N70-1)*SUMPRODUCT(--($L$6:$L$300&lt;&gt;1),--($C$6:$C$300=$C70),$E$6:$E$300)/N70))</f>
        <v>314.95448373149139</v>
      </c>
      <c r="Q70" s="2">
        <f t="shared" si="12"/>
        <v>233.67213969589204</v>
      </c>
      <c r="R70" s="2">
        <f t="shared" si="12"/>
        <v>1040.9329630986604</v>
      </c>
      <c r="S70" s="2">
        <f t="shared" ref="S70:S133" si="20">IF(ISERROR(MAX(MIN(I70,R70),Q70)),R70,MAX(MIN(I70,R70),Q70))</f>
        <v>661.56294551491487</v>
      </c>
    </row>
    <row r="71" spans="2:19" x14ac:dyDescent="0.25">
      <c r="B71" s="10">
        <v>623</v>
      </c>
      <c r="C71" s="10">
        <v>6</v>
      </c>
      <c r="D71" s="9" t="s">
        <v>127</v>
      </c>
      <c r="E71" s="154">
        <f>INDEX('Revised 2017 Lockdown'!H$5:H$249,MATCH(B71,'Revised 2017 Lockdown'!B$5:B$249,0))</f>
        <v>232.45591936140642</v>
      </c>
      <c r="F71" s="7">
        <f>INDEX('Revised 2017 Lockdown'!E$5:E$249,MATCH(B71,'Revised 2017 Lockdown'!B$5:B$249,0))</f>
        <v>84819.42</v>
      </c>
      <c r="G71" s="7">
        <f>INDEX('Revised 2017 Lockdown'!F$5:F$249,MATCH(B71,'Revised 2017 Lockdown'!B$5:B$249,0))</f>
        <v>0</v>
      </c>
      <c r="H71" s="7">
        <f t="shared" si="13"/>
        <v>84819.42</v>
      </c>
      <c r="I71" s="6">
        <f t="shared" si="14"/>
        <v>364.88388952629174</v>
      </c>
      <c r="J71" s="6">
        <f t="shared" ref="J71:J134" si="21">IF(ISERROR(IF($J$2=1,MAX(MIN(I71,R71),Q71),MIN(I71,R71))),R71,IF($J$2=1,MAX(MIN(I71,R71),Q71),MIN(I71,R71)))</f>
        <v>364.88388952629174</v>
      </c>
      <c r="K71" s="5">
        <f t="shared" si="15"/>
        <v>84819.42</v>
      </c>
      <c r="L71" s="4">
        <f t="shared" si="16"/>
        <v>0</v>
      </c>
      <c r="M71" s="2">
        <f t="shared" si="17"/>
        <v>637.30255139727626</v>
      </c>
      <c r="N71" s="1" cm="1">
        <f t="array" ref="N71">SUMPRODUCT(--($L$6:$L$300&lt;&gt;1),--($C$6:$C$300=$C71))</f>
        <v>45</v>
      </c>
      <c r="O71" s="3">
        <f t="shared" si="18"/>
        <v>74211.927335577799</v>
      </c>
      <c r="P71" s="2">
        <f t="shared" si="19"/>
        <v>314.95448373149139</v>
      </c>
      <c r="Q71" s="2">
        <f t="shared" si="12"/>
        <v>233.67213969589204</v>
      </c>
      <c r="R71" s="2">
        <f t="shared" si="12"/>
        <v>1040.9329630986604</v>
      </c>
      <c r="S71" s="2">
        <f t="shared" si="20"/>
        <v>364.88388952629174</v>
      </c>
    </row>
    <row r="72" spans="2:19" x14ac:dyDescent="0.25">
      <c r="B72" s="10">
        <v>626</v>
      </c>
      <c r="C72" s="10">
        <v>6</v>
      </c>
      <c r="D72" s="9" t="s">
        <v>128</v>
      </c>
      <c r="E72" s="154">
        <f>INDEX('Revised 2017 Lockdown'!H$5:H$249,MATCH(B72,'Revised 2017 Lockdown'!B$5:B$249,0))</f>
        <v>21.725781736434193</v>
      </c>
      <c r="F72" s="7">
        <f>INDEX('Revised 2017 Lockdown'!E$5:E$249,MATCH(B72,'Revised 2017 Lockdown'!B$5:B$249,0))</f>
        <v>17580.990000000002</v>
      </c>
      <c r="G72" s="7">
        <f>INDEX('Revised 2017 Lockdown'!F$5:F$249,MATCH(B72,'Revised 2017 Lockdown'!B$5:B$249,0))</f>
        <v>0</v>
      </c>
      <c r="H72" s="7">
        <f t="shared" si="13"/>
        <v>17580.990000000002</v>
      </c>
      <c r="I72" s="6">
        <f t="shared" si="14"/>
        <v>809.22243504438029</v>
      </c>
      <c r="J72" s="6">
        <f t="shared" si="21"/>
        <v>809.22243504438029</v>
      </c>
      <c r="K72" s="5">
        <f t="shared" si="15"/>
        <v>17580.990000000002</v>
      </c>
      <c r="L72" s="4">
        <f t="shared" si="16"/>
        <v>0</v>
      </c>
      <c r="M72" s="2">
        <f t="shared" si="17"/>
        <v>637.30255139727626</v>
      </c>
      <c r="N72" s="1" cm="1">
        <f t="array" ref="N72">SUMPRODUCT(--($L$6:$L$300&lt;&gt;1),--($C$6:$C$300=$C72))</f>
        <v>45</v>
      </c>
      <c r="O72" s="3">
        <f t="shared" si="18"/>
        <v>29556.446393233786</v>
      </c>
      <c r="P72" s="2">
        <f t="shared" si="19"/>
        <v>314.95448373149139</v>
      </c>
      <c r="Q72" s="2">
        <f t="shared" si="12"/>
        <v>233.67213969589204</v>
      </c>
      <c r="R72" s="2">
        <f t="shared" si="12"/>
        <v>1040.9329630986604</v>
      </c>
      <c r="S72" s="2">
        <f t="shared" si="20"/>
        <v>809.22243504438029</v>
      </c>
    </row>
    <row r="73" spans="2:19" x14ac:dyDescent="0.25">
      <c r="B73" s="10">
        <v>627</v>
      </c>
      <c r="C73" s="10">
        <v>6</v>
      </c>
      <c r="D73" s="9" t="s">
        <v>129</v>
      </c>
      <c r="E73" s="154">
        <f>INDEX('Revised 2017 Lockdown'!H$5:H$249,MATCH(B73,'Revised 2017 Lockdown'!B$5:B$249,0))</f>
        <v>163.57172000647836</v>
      </c>
      <c r="F73" s="7">
        <f>INDEX('Revised 2017 Lockdown'!E$5:E$249,MATCH(B73,'Revised 2017 Lockdown'!B$5:B$249,0))</f>
        <v>80106.67</v>
      </c>
      <c r="G73" s="7">
        <f>INDEX('Revised 2017 Lockdown'!F$5:F$249,MATCH(B73,'Revised 2017 Lockdown'!B$5:B$249,0))</f>
        <v>21.24</v>
      </c>
      <c r="H73" s="7">
        <f t="shared" si="13"/>
        <v>80085.429999999993</v>
      </c>
      <c r="I73" s="6">
        <f t="shared" si="14"/>
        <v>489.6043765806715</v>
      </c>
      <c r="J73" s="6">
        <f t="shared" si="21"/>
        <v>489.6043765806715</v>
      </c>
      <c r="K73" s="5">
        <f t="shared" si="15"/>
        <v>80085.429999999993</v>
      </c>
      <c r="L73" s="4">
        <f t="shared" si="16"/>
        <v>0</v>
      </c>
      <c r="M73" s="2">
        <f t="shared" si="17"/>
        <v>637.30255139727626</v>
      </c>
      <c r="N73" s="1" cm="1">
        <f t="array" ref="N73">SUMPRODUCT(--($L$6:$L$300&lt;&gt;1),--($C$6:$C$300=$C73))</f>
        <v>45</v>
      </c>
      <c r="O73" s="3">
        <f t="shared" si="18"/>
        <v>21814.75084415634</v>
      </c>
      <c r="P73" s="2">
        <f t="shared" si="19"/>
        <v>314.95448373149139</v>
      </c>
      <c r="Q73" s="2">
        <f t="shared" si="12"/>
        <v>233.67213969589204</v>
      </c>
      <c r="R73" s="2">
        <f t="shared" si="12"/>
        <v>1040.9329630986604</v>
      </c>
      <c r="S73" s="2">
        <f t="shared" si="20"/>
        <v>489.6043765806715</v>
      </c>
    </row>
    <row r="74" spans="2:19" x14ac:dyDescent="0.25">
      <c r="B74" s="10">
        <v>634</v>
      </c>
      <c r="C74" s="10">
        <v>6</v>
      </c>
      <c r="D74" s="9" t="s">
        <v>130</v>
      </c>
      <c r="E74" s="154">
        <f>INDEX('Revised 2017 Lockdown'!H$5:H$249,MATCH(B74,'Revised 2017 Lockdown'!B$5:B$249,0))</f>
        <v>626.47952350471223</v>
      </c>
      <c r="F74" s="7">
        <f>INDEX('Revised 2017 Lockdown'!E$5:E$249,MATCH(B74,'Revised 2017 Lockdown'!B$5:B$249,0))</f>
        <v>571666.62</v>
      </c>
      <c r="G74" s="7">
        <f>INDEX('Revised 2017 Lockdown'!F$5:F$249,MATCH(B74,'Revised 2017 Lockdown'!B$5:B$249,0))</f>
        <v>0</v>
      </c>
      <c r="H74" s="7">
        <f t="shared" si="13"/>
        <v>571666.62</v>
      </c>
      <c r="I74" s="6">
        <f t="shared" si="14"/>
        <v>912.50647236150257</v>
      </c>
      <c r="J74" s="6">
        <f t="shared" si="21"/>
        <v>912.50647236150257</v>
      </c>
      <c r="K74" s="5">
        <f t="shared" si="15"/>
        <v>571666.62</v>
      </c>
      <c r="L74" s="4">
        <f t="shared" si="16"/>
        <v>0</v>
      </c>
      <c r="M74" s="2">
        <f t="shared" si="17"/>
        <v>637.30255139727626</v>
      </c>
      <c r="N74" s="1" cm="1">
        <f t="array" ref="N74">SUMPRODUCT(--($L$6:$L$300&lt;&gt;1),--($C$6:$C$300=$C74))</f>
        <v>45</v>
      </c>
      <c r="O74" s="3">
        <f t="shared" si="18"/>
        <v>75737.198114084124</v>
      </c>
      <c r="P74" s="2">
        <f t="shared" si="19"/>
        <v>314.95448373149139</v>
      </c>
      <c r="Q74" s="2">
        <f t="shared" si="12"/>
        <v>233.67213969589204</v>
      </c>
      <c r="R74" s="2">
        <f t="shared" si="12"/>
        <v>1040.9329630986604</v>
      </c>
      <c r="S74" s="2">
        <f t="shared" si="20"/>
        <v>912.50647236150257</v>
      </c>
    </row>
    <row r="75" spans="2:19" x14ac:dyDescent="0.25">
      <c r="B75" s="10">
        <v>694</v>
      </c>
      <c r="C75" s="10">
        <v>6</v>
      </c>
      <c r="D75" s="9" t="s">
        <v>131</v>
      </c>
      <c r="E75" s="154">
        <f>INDEX('Revised 2017 Lockdown'!H$5:H$249,MATCH(B75,'Revised 2017 Lockdown'!B$5:B$249,0))</f>
        <v>14.249988124121606</v>
      </c>
      <c r="F75" s="7">
        <f>INDEX('Revised 2017 Lockdown'!E$5:E$249,MATCH(B75,'Revised 2017 Lockdown'!B$5:B$249,0))</f>
        <v>48928.97</v>
      </c>
      <c r="G75" s="7">
        <f>INDEX('Revised 2017 Lockdown'!F$5:F$249,MATCH(B75,'Revised 2017 Lockdown'!B$5:B$249,0))</f>
        <v>0</v>
      </c>
      <c r="H75" s="7">
        <f t="shared" si="13"/>
        <v>48928.97</v>
      </c>
      <c r="I75" s="6">
        <f t="shared" si="14"/>
        <v>3433.614791381875</v>
      </c>
      <c r="J75" s="6">
        <f t="shared" si="21"/>
        <v>1040.9329630986604</v>
      </c>
      <c r="K75" s="5">
        <f t="shared" si="15"/>
        <v>14833.282362162623</v>
      </c>
      <c r="L75" s="4">
        <f t="shared" si="16"/>
        <v>0</v>
      </c>
      <c r="M75" s="2">
        <f t="shared" si="17"/>
        <v>637.30255139727626</v>
      </c>
      <c r="N75" s="1" cm="1">
        <f t="array" ref="N75">SUMPRODUCT(--($L$6:$L$300&lt;&gt;1),--($C$6:$C$300=$C75))</f>
        <v>45</v>
      </c>
      <c r="O75" s="3">
        <f t="shared" si="18"/>
        <v>7819362.1434876844</v>
      </c>
      <c r="P75" s="2">
        <f t="shared" si="19"/>
        <v>314.95448373149139</v>
      </c>
      <c r="Q75" s="2">
        <f t="shared" si="12"/>
        <v>233.67213969589204</v>
      </c>
      <c r="R75" s="2">
        <f t="shared" si="12"/>
        <v>1040.9329630986604</v>
      </c>
      <c r="S75" s="2">
        <f t="shared" si="20"/>
        <v>1040.9329630986604</v>
      </c>
    </row>
    <row r="76" spans="2:19" x14ac:dyDescent="0.25">
      <c r="B76" s="10">
        <v>697</v>
      </c>
      <c r="C76" s="10">
        <v>6</v>
      </c>
      <c r="D76" s="9" t="s">
        <v>132</v>
      </c>
      <c r="E76" s="154">
        <f>INDEX('Revised 2017 Lockdown'!H$5:H$249,MATCH(B76,'Revised 2017 Lockdown'!B$5:B$249,0))</f>
        <v>62.556960408059503</v>
      </c>
      <c r="F76" s="7">
        <f>INDEX('Revised 2017 Lockdown'!E$5:E$249,MATCH(B76,'Revised 2017 Lockdown'!B$5:B$249,0))</f>
        <v>100771.09</v>
      </c>
      <c r="G76" s="7">
        <f>INDEX('Revised 2017 Lockdown'!F$5:F$249,MATCH(B76,'Revised 2017 Lockdown'!B$5:B$249,0))</f>
        <v>0</v>
      </c>
      <c r="H76" s="7">
        <f t="shared" si="13"/>
        <v>100771.09</v>
      </c>
      <c r="I76" s="6">
        <f t="shared" si="14"/>
        <v>1610.8693475940879</v>
      </c>
      <c r="J76" s="6">
        <f t="shared" si="21"/>
        <v>1040.9329630986604</v>
      </c>
      <c r="K76" s="5">
        <f t="shared" si="15"/>
        <v>65117.602160006958</v>
      </c>
      <c r="L76" s="4">
        <f t="shared" si="16"/>
        <v>0</v>
      </c>
      <c r="M76" s="2">
        <f t="shared" si="17"/>
        <v>637.30255139727626</v>
      </c>
      <c r="N76" s="1" cm="1">
        <f t="array" ref="N76">SUMPRODUCT(--($L$6:$L$300&lt;&gt;1),--($C$6:$C$300=$C76))</f>
        <v>45</v>
      </c>
      <c r="O76" s="3">
        <f t="shared" si="18"/>
        <v>947832.30665692419</v>
      </c>
      <c r="P76" s="2">
        <f t="shared" si="19"/>
        <v>314.95448373149139</v>
      </c>
      <c r="Q76" s="2">
        <f t="shared" si="12"/>
        <v>233.67213969589204</v>
      </c>
      <c r="R76" s="2">
        <f t="shared" si="12"/>
        <v>1040.9329630986604</v>
      </c>
      <c r="S76" s="2">
        <f t="shared" si="20"/>
        <v>1040.9329630986604</v>
      </c>
    </row>
    <row r="77" spans="2:19" x14ac:dyDescent="0.25">
      <c r="B77" s="10">
        <v>710</v>
      </c>
      <c r="C77" s="10">
        <v>6</v>
      </c>
      <c r="D77" s="9" t="s">
        <v>133</v>
      </c>
      <c r="E77" s="154">
        <f>INDEX('Revised 2017 Lockdown'!H$5:H$249,MATCH(B77,'Revised 2017 Lockdown'!B$5:B$249,0))</f>
        <v>43.94</v>
      </c>
      <c r="F77" s="7">
        <f>INDEX('Revised 2017 Lockdown'!E$5:E$249,MATCH(B77,'Revised 2017 Lockdown'!B$5:B$249,0))</f>
        <v>46102.8</v>
      </c>
      <c r="G77" s="7">
        <f>INDEX('Revised 2017 Lockdown'!F$5:F$249,MATCH(B77,'Revised 2017 Lockdown'!B$5:B$249,0))</f>
        <v>0</v>
      </c>
      <c r="H77" s="7">
        <f t="shared" si="13"/>
        <v>46102.8</v>
      </c>
      <c r="I77" s="6">
        <f t="shared" si="14"/>
        <v>1049.2216659080566</v>
      </c>
      <c r="J77" s="6">
        <f t="shared" si="21"/>
        <v>1040.9329630986604</v>
      </c>
      <c r="K77" s="5">
        <f t="shared" si="15"/>
        <v>45738.594398555135</v>
      </c>
      <c r="L77" s="4">
        <f t="shared" si="16"/>
        <v>0</v>
      </c>
      <c r="M77" s="2">
        <f t="shared" si="17"/>
        <v>637.30255139727626</v>
      </c>
      <c r="N77" s="1" cm="1">
        <f t="array" ref="N77">SUMPRODUCT(--($L$6:$L$300&lt;&gt;1),--($C$6:$C$300=$C77))</f>
        <v>45</v>
      </c>
      <c r="O77" s="3">
        <f t="shared" si="18"/>
        <v>169677.35689934535</v>
      </c>
      <c r="P77" s="2">
        <f t="shared" si="19"/>
        <v>314.95448373149139</v>
      </c>
      <c r="Q77" s="2">
        <f t="shared" si="12"/>
        <v>233.67213969589204</v>
      </c>
      <c r="R77" s="2">
        <f t="shared" si="12"/>
        <v>1040.9329630986604</v>
      </c>
      <c r="S77" s="2">
        <f t="shared" si="20"/>
        <v>1040.9329630986604</v>
      </c>
    </row>
    <row r="78" spans="2:19" x14ac:dyDescent="0.25">
      <c r="B78" s="10">
        <v>743</v>
      </c>
      <c r="C78" s="10">
        <v>6</v>
      </c>
      <c r="D78" s="9" t="s">
        <v>134</v>
      </c>
      <c r="E78" s="154">
        <f>INDEX('Revised 2017 Lockdown'!H$5:H$249,MATCH(B78,'Revised 2017 Lockdown'!B$5:B$249,0))</f>
        <v>87.262897628956765</v>
      </c>
      <c r="F78" s="7">
        <f>INDEX('Revised 2017 Lockdown'!E$5:E$249,MATCH(B78,'Revised 2017 Lockdown'!B$5:B$249,0))</f>
        <v>135598.5</v>
      </c>
      <c r="G78" s="7">
        <f>INDEX('Revised 2017 Lockdown'!F$5:F$249,MATCH(B78,'Revised 2017 Lockdown'!B$5:B$249,0))</f>
        <v>0</v>
      </c>
      <c r="H78" s="7">
        <f t="shared" si="13"/>
        <v>135598.5</v>
      </c>
      <c r="I78" s="6">
        <f t="shared" si="14"/>
        <v>1553.9078312132951</v>
      </c>
      <c r="J78" s="6">
        <f t="shared" si="21"/>
        <v>1040.9329630986604</v>
      </c>
      <c r="K78" s="5">
        <f t="shared" si="15"/>
        <v>90834.826597485022</v>
      </c>
      <c r="L78" s="4">
        <f t="shared" si="16"/>
        <v>0</v>
      </c>
      <c r="M78" s="2">
        <f t="shared" si="17"/>
        <v>637.30255139727626</v>
      </c>
      <c r="N78" s="1" cm="1">
        <f t="array" ref="N78">SUMPRODUCT(--($L$6:$L$300&lt;&gt;1),--($C$6:$C$300=$C78))</f>
        <v>45</v>
      </c>
      <c r="O78" s="3">
        <f t="shared" si="18"/>
        <v>840165.23898660229</v>
      </c>
      <c r="P78" s="2">
        <f t="shared" si="19"/>
        <v>314.95448373149139</v>
      </c>
      <c r="Q78" s="2">
        <f t="shared" si="12"/>
        <v>233.67213969589204</v>
      </c>
      <c r="R78" s="2">
        <f t="shared" si="12"/>
        <v>1040.9329630986604</v>
      </c>
      <c r="S78" s="2">
        <f t="shared" si="20"/>
        <v>1040.9329630986604</v>
      </c>
    </row>
    <row r="79" spans="2:19" x14ac:dyDescent="0.25">
      <c r="B79" s="10">
        <v>747</v>
      </c>
      <c r="C79" s="10">
        <v>6</v>
      </c>
      <c r="D79" s="9" t="s">
        <v>135</v>
      </c>
      <c r="E79" s="154">
        <f>INDEX('Revised 2017 Lockdown'!H$5:H$249,MATCH(B79,'Revised 2017 Lockdown'!B$5:B$249,0))</f>
        <v>33.619999999999997</v>
      </c>
      <c r="F79" s="7">
        <f>INDEX('Revised 2017 Lockdown'!E$5:E$249,MATCH(B79,'Revised 2017 Lockdown'!B$5:B$249,0))</f>
        <v>57407.45</v>
      </c>
      <c r="G79" s="7">
        <f>INDEX('Revised 2017 Lockdown'!F$5:F$249,MATCH(B79,'Revised 2017 Lockdown'!B$5:B$249,0))</f>
        <v>0</v>
      </c>
      <c r="H79" s="7">
        <f t="shared" si="13"/>
        <v>57407.45</v>
      </c>
      <c r="I79" s="6">
        <f t="shared" si="14"/>
        <v>1707.5386674598453</v>
      </c>
      <c r="J79" s="6">
        <f t="shared" si="21"/>
        <v>1040.9329630986604</v>
      </c>
      <c r="K79" s="5">
        <f t="shared" si="15"/>
        <v>34996.166219376959</v>
      </c>
      <c r="L79" s="4">
        <f t="shared" si="16"/>
        <v>0</v>
      </c>
      <c r="M79" s="2">
        <f t="shared" si="17"/>
        <v>637.30255139727626</v>
      </c>
      <c r="N79" s="1" cm="1">
        <f t="array" ref="N79">SUMPRODUCT(--($L$6:$L$300&lt;&gt;1),--($C$6:$C$300=$C79))</f>
        <v>45</v>
      </c>
      <c r="O79" s="3">
        <f t="shared" si="18"/>
        <v>1145405.344124693</v>
      </c>
      <c r="P79" s="2">
        <f t="shared" si="19"/>
        <v>314.95448373149139</v>
      </c>
      <c r="Q79" s="2">
        <f t="shared" si="12"/>
        <v>233.67213969589204</v>
      </c>
      <c r="R79" s="2">
        <f t="shared" si="12"/>
        <v>1040.9329630986604</v>
      </c>
      <c r="S79" s="2">
        <f t="shared" si="20"/>
        <v>1040.9329630986604</v>
      </c>
    </row>
    <row r="80" spans="2:19" x14ac:dyDescent="0.25">
      <c r="B80" s="10">
        <v>758</v>
      </c>
      <c r="C80" s="10">
        <v>6</v>
      </c>
      <c r="D80" s="9" t="s">
        <v>136</v>
      </c>
      <c r="E80" s="154">
        <f>INDEX('Revised 2017 Lockdown'!H$5:H$249,MATCH(B80,'Revised 2017 Lockdown'!B$5:B$249,0))</f>
        <v>337.19826516058561</v>
      </c>
      <c r="F80" s="7">
        <f>INDEX('Revised 2017 Lockdown'!E$5:E$249,MATCH(B80,'Revised 2017 Lockdown'!B$5:B$249,0))</f>
        <v>290135.25</v>
      </c>
      <c r="G80" s="7">
        <f>INDEX('Revised 2017 Lockdown'!F$5:F$249,MATCH(B80,'Revised 2017 Lockdown'!B$5:B$249,0))</f>
        <v>1630.1100000000001</v>
      </c>
      <c r="H80" s="7">
        <f t="shared" si="13"/>
        <v>288505.14</v>
      </c>
      <c r="I80" s="6">
        <f t="shared" si="14"/>
        <v>855.5949712926423</v>
      </c>
      <c r="J80" s="6">
        <f t="shared" si="21"/>
        <v>855.5949712926423</v>
      </c>
      <c r="K80" s="5">
        <f t="shared" si="15"/>
        <v>288505.14</v>
      </c>
      <c r="L80" s="4">
        <f t="shared" si="16"/>
        <v>0</v>
      </c>
      <c r="M80" s="2">
        <f t="shared" si="17"/>
        <v>637.30255139727626</v>
      </c>
      <c r="N80" s="1" cm="1">
        <f t="array" ref="N80">SUMPRODUCT(--($L$6:$L$300&lt;&gt;1),--($C$6:$C$300=$C80))</f>
        <v>45</v>
      </c>
      <c r="O80" s="3">
        <f t="shared" si="18"/>
        <v>47651.580583774798</v>
      </c>
      <c r="P80" s="2">
        <f t="shared" si="19"/>
        <v>314.95448373149139</v>
      </c>
      <c r="Q80" s="2">
        <f t="shared" si="12"/>
        <v>233.67213969589204</v>
      </c>
      <c r="R80" s="2">
        <f t="shared" si="12"/>
        <v>1040.9329630986604</v>
      </c>
      <c r="S80" s="2">
        <f t="shared" si="20"/>
        <v>855.5949712926423</v>
      </c>
    </row>
    <row r="81" spans="2:19" x14ac:dyDescent="0.25">
      <c r="B81" s="10">
        <v>765</v>
      </c>
      <c r="C81" s="10">
        <v>6</v>
      </c>
      <c r="D81" s="9" t="s">
        <v>137</v>
      </c>
      <c r="E81" s="154">
        <f>INDEX('Revised 2017 Lockdown'!H$5:H$249,MATCH(B81,'Revised 2017 Lockdown'!B$5:B$249,0))</f>
        <v>80.350199999999987</v>
      </c>
      <c r="F81" s="7">
        <f>INDEX('Revised 2017 Lockdown'!E$5:E$249,MATCH(B81,'Revised 2017 Lockdown'!B$5:B$249,0))</f>
        <v>86841.69</v>
      </c>
      <c r="G81" s="7">
        <f>INDEX('Revised 2017 Lockdown'!F$5:F$249,MATCH(B81,'Revised 2017 Lockdown'!B$5:B$249,0))</f>
        <v>0</v>
      </c>
      <c r="H81" s="7">
        <f t="shared" si="13"/>
        <v>86841.69</v>
      </c>
      <c r="I81" s="6">
        <f t="shared" si="14"/>
        <v>1080.7899669198086</v>
      </c>
      <c r="J81" s="6">
        <f t="shared" si="21"/>
        <v>1040.9329630986604</v>
      </c>
      <c r="K81" s="5">
        <f t="shared" si="15"/>
        <v>83639.171771569963</v>
      </c>
      <c r="L81" s="4">
        <f t="shared" si="16"/>
        <v>0</v>
      </c>
      <c r="M81" s="2">
        <f t="shared" si="17"/>
        <v>637.30255139727626</v>
      </c>
      <c r="N81" s="1" cm="1">
        <f t="array" ref="N81">SUMPRODUCT(--($L$6:$L$300&lt;&gt;1),--($C$6:$C$300=$C81))</f>
        <v>45</v>
      </c>
      <c r="O81" s="3">
        <f t="shared" si="18"/>
        <v>196681.0877268553</v>
      </c>
      <c r="P81" s="2">
        <f t="shared" si="19"/>
        <v>314.95448373149139</v>
      </c>
      <c r="Q81" s="2">
        <f t="shared" si="12"/>
        <v>233.67213969589204</v>
      </c>
      <c r="R81" s="2">
        <f t="shared" si="12"/>
        <v>1040.9329630986604</v>
      </c>
      <c r="S81" s="2">
        <f t="shared" si="20"/>
        <v>1040.9329630986604</v>
      </c>
    </row>
    <row r="82" spans="2:19" x14ac:dyDescent="0.25">
      <c r="B82" s="10">
        <v>770</v>
      </c>
      <c r="C82" s="10">
        <v>6</v>
      </c>
      <c r="D82" s="9" t="s">
        <v>138</v>
      </c>
      <c r="E82" s="154">
        <f>INDEX('Revised 2017 Lockdown'!H$5:H$249,MATCH(B82,'Revised 2017 Lockdown'!B$5:B$249,0))</f>
        <v>25.493992436427366</v>
      </c>
      <c r="F82" s="7">
        <f>INDEX('Revised 2017 Lockdown'!E$5:E$249,MATCH(B82,'Revised 2017 Lockdown'!B$5:B$249,0))</f>
        <v>24693.97</v>
      </c>
      <c r="G82" s="7">
        <f>INDEX('Revised 2017 Lockdown'!F$5:F$249,MATCH(B82,'Revised 2017 Lockdown'!B$5:B$249,0))</f>
        <v>0</v>
      </c>
      <c r="H82" s="7">
        <f t="shared" si="13"/>
        <v>24693.97</v>
      </c>
      <c r="I82" s="6">
        <f t="shared" si="14"/>
        <v>968.61917808980581</v>
      </c>
      <c r="J82" s="6">
        <f t="shared" si="21"/>
        <v>968.61917808980581</v>
      </c>
      <c r="K82" s="5">
        <f t="shared" si="15"/>
        <v>24693.97</v>
      </c>
      <c r="L82" s="4">
        <f t="shared" si="16"/>
        <v>0</v>
      </c>
      <c r="M82" s="2">
        <f t="shared" si="17"/>
        <v>637.30255139727626</v>
      </c>
      <c r="N82" s="1" cm="1">
        <f t="array" ref="N82">SUMPRODUCT(--($L$6:$L$300&lt;&gt;1),--($C$6:$C$300=$C82))</f>
        <v>45</v>
      </c>
      <c r="O82" s="3">
        <f t="shared" si="18"/>
        <v>109770.70712291698</v>
      </c>
      <c r="P82" s="2">
        <f t="shared" si="19"/>
        <v>314.95448373149139</v>
      </c>
      <c r="Q82" s="2">
        <f t="shared" si="12"/>
        <v>233.67213969589204</v>
      </c>
      <c r="R82" s="2">
        <f t="shared" si="12"/>
        <v>1040.9329630986604</v>
      </c>
      <c r="S82" s="2">
        <f t="shared" si="20"/>
        <v>968.61917808980581</v>
      </c>
    </row>
    <row r="83" spans="2:19" x14ac:dyDescent="0.25">
      <c r="B83" s="10">
        <v>774</v>
      </c>
      <c r="C83" s="10">
        <v>6</v>
      </c>
      <c r="D83" s="9" t="s">
        <v>139</v>
      </c>
      <c r="E83" s="154">
        <f>INDEX('Revised 2017 Lockdown'!H$5:H$249,MATCH(B83,'Revised 2017 Lockdown'!B$5:B$249,0))</f>
        <v>421.00021926566802</v>
      </c>
      <c r="F83" s="7">
        <f>INDEX('Revised 2017 Lockdown'!E$5:E$249,MATCH(B83,'Revised 2017 Lockdown'!B$5:B$249,0))</f>
        <v>279347.78000000003</v>
      </c>
      <c r="G83" s="7">
        <f>INDEX('Revised 2017 Lockdown'!F$5:F$249,MATCH(B83,'Revised 2017 Lockdown'!B$5:B$249,0))</f>
        <v>0</v>
      </c>
      <c r="H83" s="7">
        <f t="shared" si="13"/>
        <v>279347.78000000003</v>
      </c>
      <c r="I83" s="6">
        <f t="shared" si="14"/>
        <v>663.53357365764305</v>
      </c>
      <c r="J83" s="6">
        <f t="shared" si="21"/>
        <v>663.53357365764305</v>
      </c>
      <c r="K83" s="5">
        <f t="shared" si="15"/>
        <v>279347.78000000003</v>
      </c>
      <c r="L83" s="4">
        <f t="shared" si="16"/>
        <v>0</v>
      </c>
      <c r="M83" s="2">
        <f t="shared" si="17"/>
        <v>637.30255139727626</v>
      </c>
      <c r="N83" s="1" cm="1">
        <f t="array" ref="N83">SUMPRODUCT(--($L$6:$L$300&lt;&gt;1),--($C$6:$C$300=$C83))</f>
        <v>45</v>
      </c>
      <c r="O83" s="3">
        <f t="shared" si="18"/>
        <v>688.06652882385777</v>
      </c>
      <c r="P83" s="2">
        <f t="shared" si="19"/>
        <v>314.95448373149139</v>
      </c>
      <c r="Q83" s="2">
        <f t="shared" si="12"/>
        <v>233.67213969589204</v>
      </c>
      <c r="R83" s="2">
        <f t="shared" si="12"/>
        <v>1040.9329630986604</v>
      </c>
      <c r="S83" s="2">
        <f t="shared" si="20"/>
        <v>663.53357365764305</v>
      </c>
    </row>
    <row r="84" spans="2:19" x14ac:dyDescent="0.25">
      <c r="B84" s="10">
        <v>794</v>
      </c>
      <c r="C84" s="10">
        <v>6</v>
      </c>
      <c r="D84" s="9" t="s">
        <v>140</v>
      </c>
      <c r="E84" s="154">
        <f>INDEX('Revised 2017 Lockdown'!H$5:H$249,MATCH(B84,'Revised 2017 Lockdown'!B$5:B$249,0))</f>
        <v>18.66988734321124</v>
      </c>
      <c r="F84" s="7">
        <f>INDEX('Revised 2017 Lockdown'!E$5:E$249,MATCH(B84,'Revised 2017 Lockdown'!B$5:B$249,0))</f>
        <v>39895.620000000003</v>
      </c>
      <c r="G84" s="7">
        <f>INDEX('Revised 2017 Lockdown'!F$5:F$249,MATCH(B84,'Revised 2017 Lockdown'!B$5:B$249,0))</f>
        <v>0</v>
      </c>
      <c r="H84" s="7">
        <f t="shared" si="13"/>
        <v>39895.620000000003</v>
      </c>
      <c r="I84" s="6">
        <f t="shared" si="14"/>
        <v>2136.8966650196139</v>
      </c>
      <c r="J84" s="6">
        <f t="shared" si="21"/>
        <v>1040.9329630986604</v>
      </c>
      <c r="K84" s="5">
        <f t="shared" si="15"/>
        <v>19434.101152887051</v>
      </c>
      <c r="L84" s="4">
        <f t="shared" si="16"/>
        <v>0</v>
      </c>
      <c r="M84" s="2">
        <f t="shared" si="17"/>
        <v>637.30255139727626</v>
      </c>
      <c r="N84" s="1" cm="1">
        <f t="array" ref="N84">SUMPRODUCT(--($L$6:$L$300&lt;&gt;1),--($C$6:$C$300=$C84))</f>
        <v>45</v>
      </c>
      <c r="O84" s="3">
        <f t="shared" si="18"/>
        <v>2248782.505610765</v>
      </c>
      <c r="P84" s="2">
        <f t="shared" si="19"/>
        <v>314.95448373149139</v>
      </c>
      <c r="Q84" s="2">
        <f t="shared" si="12"/>
        <v>233.67213969589204</v>
      </c>
      <c r="R84" s="2">
        <f t="shared" si="12"/>
        <v>1040.9329630986604</v>
      </c>
      <c r="S84" s="2">
        <f t="shared" si="20"/>
        <v>1040.9329630986604</v>
      </c>
    </row>
    <row r="85" spans="2:19" x14ac:dyDescent="0.25">
      <c r="B85" s="10">
        <v>806</v>
      </c>
      <c r="C85" s="10">
        <v>6</v>
      </c>
      <c r="D85" s="9" t="s">
        <v>141</v>
      </c>
      <c r="E85" s="154">
        <f>INDEX('Revised 2017 Lockdown'!H$5:H$249,MATCH(B85,'Revised 2017 Lockdown'!B$5:B$249,0))</f>
        <v>27</v>
      </c>
      <c r="F85" s="7">
        <f>INDEX('Revised 2017 Lockdown'!E$5:E$249,MATCH(B85,'Revised 2017 Lockdown'!B$5:B$249,0))</f>
        <v>38615.089999999997</v>
      </c>
      <c r="G85" s="7">
        <f>INDEX('Revised 2017 Lockdown'!F$5:F$249,MATCH(B85,'Revised 2017 Lockdown'!B$5:B$249,0))</f>
        <v>0</v>
      </c>
      <c r="H85" s="7">
        <f t="shared" si="13"/>
        <v>38615.089999999997</v>
      </c>
      <c r="I85" s="6">
        <f t="shared" si="14"/>
        <v>1430.1885185185183</v>
      </c>
      <c r="J85" s="6">
        <f t="shared" si="21"/>
        <v>1040.9329630986604</v>
      </c>
      <c r="K85" s="5">
        <f t="shared" si="15"/>
        <v>28105.190003663829</v>
      </c>
      <c r="L85" s="4">
        <f t="shared" si="16"/>
        <v>0</v>
      </c>
      <c r="M85" s="2">
        <f t="shared" si="17"/>
        <v>637.30255139727626</v>
      </c>
      <c r="N85" s="1" cm="1">
        <f t="array" ref="N85">SUMPRODUCT(--($L$6:$L$300&lt;&gt;1),--($C$6:$C$300=$C85))</f>
        <v>45</v>
      </c>
      <c r="O85" s="3">
        <f t="shared" si="18"/>
        <v>628668.1568577874</v>
      </c>
      <c r="P85" s="2">
        <f t="shared" si="19"/>
        <v>314.95448373149139</v>
      </c>
      <c r="Q85" s="2">
        <f t="shared" si="12"/>
        <v>233.67213969589204</v>
      </c>
      <c r="R85" s="2">
        <f t="shared" si="12"/>
        <v>1040.9329630986604</v>
      </c>
      <c r="S85" s="2">
        <f t="shared" si="20"/>
        <v>1040.9329630986604</v>
      </c>
    </row>
    <row r="86" spans="2:19" x14ac:dyDescent="0.25">
      <c r="B86" s="10">
        <v>811</v>
      </c>
      <c r="C86" s="10">
        <v>6</v>
      </c>
      <c r="D86" s="9" t="s">
        <v>142</v>
      </c>
      <c r="E86" s="154">
        <f>INDEX('Revised 2017 Lockdown'!H$5:H$249,MATCH(B86,'Revised 2017 Lockdown'!B$5:B$249,0))</f>
        <v>804.4337651642104</v>
      </c>
      <c r="F86" s="7">
        <f>INDEX('Revised 2017 Lockdown'!E$5:E$249,MATCH(B86,'Revised 2017 Lockdown'!B$5:B$249,0))</f>
        <v>471184.23</v>
      </c>
      <c r="G86" s="7">
        <f>INDEX('Revised 2017 Lockdown'!F$5:F$249,MATCH(B86,'Revised 2017 Lockdown'!B$5:B$249,0))</f>
        <v>11327.71</v>
      </c>
      <c r="H86" s="7">
        <f t="shared" si="13"/>
        <v>459856.51999999996</v>
      </c>
      <c r="I86" s="6">
        <f t="shared" si="14"/>
        <v>571.6524341890705</v>
      </c>
      <c r="J86" s="6">
        <f t="shared" si="21"/>
        <v>571.6524341890705</v>
      </c>
      <c r="K86" s="5">
        <f t="shared" si="15"/>
        <v>459856.51999999996</v>
      </c>
      <c r="L86" s="4">
        <f t="shared" si="16"/>
        <v>0</v>
      </c>
      <c r="M86" s="2">
        <f t="shared" si="17"/>
        <v>637.30255139727626</v>
      </c>
      <c r="N86" s="1" cm="1">
        <f t="array" ref="N86">SUMPRODUCT(--($L$6:$L$300&lt;&gt;1),--($C$6:$C$300=$C86))</f>
        <v>45</v>
      </c>
      <c r="O86" s="3">
        <f t="shared" si="18"/>
        <v>4309.9378894511538</v>
      </c>
      <c r="P86" s="2">
        <f t="shared" si="19"/>
        <v>314.95448373149139</v>
      </c>
      <c r="Q86" s="2">
        <f t="shared" ref="Q86:R105" si="22">NORMINV(Q$4,$M86,$P86)</f>
        <v>233.67213969589204</v>
      </c>
      <c r="R86" s="2">
        <f t="shared" si="22"/>
        <v>1040.9329630986604</v>
      </c>
      <c r="S86" s="2">
        <f t="shared" si="20"/>
        <v>571.6524341890705</v>
      </c>
    </row>
    <row r="87" spans="2:19" x14ac:dyDescent="0.25">
      <c r="B87" s="10">
        <v>824</v>
      </c>
      <c r="C87" s="10">
        <v>6</v>
      </c>
      <c r="D87" s="9" t="s">
        <v>143</v>
      </c>
      <c r="E87" s="154">
        <f>INDEX('Revised 2017 Lockdown'!H$5:H$249,MATCH(B87,'Revised 2017 Lockdown'!B$5:B$249,0))</f>
        <v>31.519999999999996</v>
      </c>
      <c r="F87" s="7">
        <f>INDEX('Revised 2017 Lockdown'!E$5:E$249,MATCH(B87,'Revised 2017 Lockdown'!B$5:B$249,0))</f>
        <v>54441.32</v>
      </c>
      <c r="G87" s="7">
        <f>INDEX('Revised 2017 Lockdown'!F$5:F$249,MATCH(B87,'Revised 2017 Lockdown'!B$5:B$249,0))</f>
        <v>0</v>
      </c>
      <c r="H87" s="7">
        <f t="shared" si="13"/>
        <v>54441.32</v>
      </c>
      <c r="I87" s="6">
        <f t="shared" si="14"/>
        <v>1727.1992385786805</v>
      </c>
      <c r="J87" s="6">
        <f t="shared" si="21"/>
        <v>1040.9329630986604</v>
      </c>
      <c r="K87" s="5">
        <f t="shared" si="15"/>
        <v>32810.206996869769</v>
      </c>
      <c r="L87" s="4">
        <f t="shared" si="16"/>
        <v>0</v>
      </c>
      <c r="M87" s="2">
        <f t="shared" si="17"/>
        <v>637.30255139727626</v>
      </c>
      <c r="N87" s="1" cm="1">
        <f t="array" ref="N87">SUMPRODUCT(--($L$6:$L$300&lt;&gt;1),--($C$6:$C$300=$C87))</f>
        <v>45</v>
      </c>
      <c r="O87" s="3">
        <f t="shared" si="18"/>
        <v>1187874.7887289994</v>
      </c>
      <c r="P87" s="2">
        <f t="shared" si="19"/>
        <v>314.95448373149139</v>
      </c>
      <c r="Q87" s="2">
        <f t="shared" si="22"/>
        <v>233.67213969589204</v>
      </c>
      <c r="R87" s="2">
        <f t="shared" si="22"/>
        <v>1040.9329630986604</v>
      </c>
      <c r="S87" s="2">
        <f t="shared" si="20"/>
        <v>1040.9329630986604</v>
      </c>
    </row>
    <row r="88" spans="2:19" x14ac:dyDescent="0.25">
      <c r="B88" s="10">
        <v>826</v>
      </c>
      <c r="C88" s="10">
        <v>6</v>
      </c>
      <c r="D88" s="9" t="s">
        <v>144</v>
      </c>
      <c r="E88" s="154">
        <f>INDEX('Revised 2017 Lockdown'!H$5:H$249,MATCH(B88,'Revised 2017 Lockdown'!B$5:B$249,0))</f>
        <v>37.220399999999998</v>
      </c>
      <c r="F88" s="7">
        <f>INDEX('Revised 2017 Lockdown'!E$5:E$249,MATCH(B88,'Revised 2017 Lockdown'!B$5:B$249,0))</f>
        <v>28069.94</v>
      </c>
      <c r="G88" s="7">
        <f>INDEX('Revised 2017 Lockdown'!F$5:F$249,MATCH(B88,'Revised 2017 Lockdown'!B$5:B$249,0))</f>
        <v>0</v>
      </c>
      <c r="H88" s="7">
        <f t="shared" si="13"/>
        <v>28069.94</v>
      </c>
      <c r="I88" s="6">
        <f t="shared" si="14"/>
        <v>754.15471085748675</v>
      </c>
      <c r="J88" s="6">
        <f t="shared" si="21"/>
        <v>754.15471085748675</v>
      </c>
      <c r="K88" s="5">
        <f t="shared" si="15"/>
        <v>28069.94</v>
      </c>
      <c r="L88" s="4">
        <f t="shared" si="16"/>
        <v>0</v>
      </c>
      <c r="M88" s="2">
        <f t="shared" si="17"/>
        <v>637.30255139727626</v>
      </c>
      <c r="N88" s="1" cm="1">
        <f t="array" ref="N88">SUMPRODUCT(--($L$6:$L$300&lt;&gt;1),--($C$6:$C$300=$C88))</f>
        <v>45</v>
      </c>
      <c r="O88" s="3">
        <f t="shared" si="18"/>
        <v>13654.427170514458</v>
      </c>
      <c r="P88" s="2">
        <f t="shared" si="19"/>
        <v>314.95448373149139</v>
      </c>
      <c r="Q88" s="2">
        <f t="shared" si="22"/>
        <v>233.67213969589204</v>
      </c>
      <c r="R88" s="2">
        <f t="shared" si="22"/>
        <v>1040.9329630986604</v>
      </c>
      <c r="S88" s="2">
        <f t="shared" si="20"/>
        <v>754.15471085748675</v>
      </c>
    </row>
    <row r="89" spans="2:19" x14ac:dyDescent="0.25">
      <c r="B89" s="10">
        <v>840</v>
      </c>
      <c r="C89" s="10">
        <v>6</v>
      </c>
      <c r="D89" s="9" t="s">
        <v>145</v>
      </c>
      <c r="E89" s="154">
        <f>INDEX('Revised 2017 Lockdown'!H$5:H$249,MATCH(B89,'Revised 2017 Lockdown'!B$5:B$249,0))</f>
        <v>134.24236671767576</v>
      </c>
      <c r="F89" s="7">
        <f>INDEX('Revised 2017 Lockdown'!E$5:E$249,MATCH(B89,'Revised 2017 Lockdown'!B$5:B$249,0))</f>
        <v>88471.82</v>
      </c>
      <c r="G89" s="7">
        <f>INDEX('Revised 2017 Lockdown'!F$5:F$249,MATCH(B89,'Revised 2017 Lockdown'!B$5:B$249,0))</f>
        <v>0</v>
      </c>
      <c r="H89" s="7">
        <f t="shared" si="13"/>
        <v>88471.82</v>
      </c>
      <c r="I89" s="6">
        <f t="shared" si="14"/>
        <v>659.04544268103155</v>
      </c>
      <c r="J89" s="6">
        <f t="shared" si="21"/>
        <v>659.04544268103155</v>
      </c>
      <c r="K89" s="5">
        <f t="shared" si="15"/>
        <v>88471.82</v>
      </c>
      <c r="L89" s="4">
        <f t="shared" si="16"/>
        <v>0</v>
      </c>
      <c r="M89" s="2">
        <f t="shared" si="17"/>
        <v>637.30255139727626</v>
      </c>
      <c r="N89" s="1" cm="1">
        <f t="array" ref="N89">SUMPRODUCT(--($L$6:$L$300&lt;&gt;1),--($C$6:$C$300=$C89))</f>
        <v>45</v>
      </c>
      <c r="O89" s="3">
        <f t="shared" si="18"/>
        <v>472.75332137720153</v>
      </c>
      <c r="P89" s="2">
        <f t="shared" si="19"/>
        <v>314.95448373149139</v>
      </c>
      <c r="Q89" s="2">
        <f t="shared" si="22"/>
        <v>233.67213969589204</v>
      </c>
      <c r="R89" s="2">
        <f t="shared" si="22"/>
        <v>1040.9329630986604</v>
      </c>
      <c r="S89" s="2">
        <f t="shared" si="20"/>
        <v>659.04544268103155</v>
      </c>
    </row>
    <row r="90" spans="2:19" x14ac:dyDescent="0.25">
      <c r="B90" s="10">
        <v>843</v>
      </c>
      <c r="C90" s="10">
        <v>6</v>
      </c>
      <c r="D90" s="9" t="s">
        <v>146</v>
      </c>
      <c r="E90" s="154">
        <f>INDEX('Revised 2017 Lockdown'!H$5:H$249,MATCH(B90,'Revised 2017 Lockdown'!B$5:B$249,0))</f>
        <v>19.498273373940624</v>
      </c>
      <c r="F90" s="7">
        <f>INDEX('Revised 2017 Lockdown'!E$5:E$249,MATCH(B90,'Revised 2017 Lockdown'!B$5:B$249,0))</f>
        <v>32653.86</v>
      </c>
      <c r="G90" s="7">
        <f>INDEX('Revised 2017 Lockdown'!F$5:F$249,MATCH(B90,'Revised 2017 Lockdown'!B$5:B$249,0))</f>
        <v>0</v>
      </c>
      <c r="H90" s="7">
        <f t="shared" si="13"/>
        <v>32653.86</v>
      </c>
      <c r="I90" s="6">
        <f t="shared" si="14"/>
        <v>1674.7052097259941</v>
      </c>
      <c r="J90" s="6">
        <f t="shared" si="21"/>
        <v>1040.9329630986604</v>
      </c>
      <c r="K90" s="5">
        <f t="shared" si="15"/>
        <v>20296.395478443726</v>
      </c>
      <c r="L90" s="4">
        <f t="shared" si="16"/>
        <v>0</v>
      </c>
      <c r="M90" s="2">
        <f t="shared" si="17"/>
        <v>637.30255139727626</v>
      </c>
      <c r="N90" s="1" cm="1">
        <f t="array" ref="N90">SUMPRODUCT(--($L$6:$L$300&lt;&gt;1),--($C$6:$C$300=$C90))</f>
        <v>45</v>
      </c>
      <c r="O90" s="3">
        <f t="shared" si="18"/>
        <v>1076204.2755074904</v>
      </c>
      <c r="P90" s="2">
        <f t="shared" si="19"/>
        <v>314.95448373149139</v>
      </c>
      <c r="Q90" s="2">
        <f t="shared" si="22"/>
        <v>233.67213969589204</v>
      </c>
      <c r="R90" s="2">
        <f t="shared" si="22"/>
        <v>1040.9329630986604</v>
      </c>
      <c r="S90" s="2">
        <f t="shared" si="20"/>
        <v>1040.9329630986604</v>
      </c>
    </row>
    <row r="91" spans="2:19" x14ac:dyDescent="0.25">
      <c r="B91" s="10">
        <v>846</v>
      </c>
      <c r="C91" s="10">
        <v>6</v>
      </c>
      <c r="D91" s="9" t="s">
        <v>147</v>
      </c>
      <c r="E91" s="154">
        <f>INDEX('Revised 2017 Lockdown'!H$5:H$249,MATCH(B91,'Revised 2017 Lockdown'!B$5:B$249,0))</f>
        <v>20.237582906035872</v>
      </c>
      <c r="F91" s="7">
        <f>INDEX('Revised 2017 Lockdown'!E$5:E$249,MATCH(B91,'Revised 2017 Lockdown'!B$5:B$249,0))</f>
        <v>39845.980000000003</v>
      </c>
      <c r="G91" s="7">
        <f>INDEX('Revised 2017 Lockdown'!F$5:F$249,MATCH(B91,'Revised 2017 Lockdown'!B$5:B$249,0))</f>
        <v>0</v>
      </c>
      <c r="H91" s="7">
        <f t="shared" si="13"/>
        <v>39845.980000000003</v>
      </c>
      <c r="I91" s="6">
        <f t="shared" si="14"/>
        <v>1968.9100316478957</v>
      </c>
      <c r="J91" s="6">
        <f t="shared" si="21"/>
        <v>1040.9329630986604</v>
      </c>
      <c r="K91" s="5">
        <f t="shared" si="15"/>
        <v>21065.967140334717</v>
      </c>
      <c r="L91" s="4">
        <f t="shared" si="16"/>
        <v>0</v>
      </c>
      <c r="M91" s="2">
        <f t="shared" si="17"/>
        <v>637.30255139727626</v>
      </c>
      <c r="N91" s="1" cm="1">
        <f t="array" ref="N91">SUMPRODUCT(--($L$6:$L$300&lt;&gt;1),--($C$6:$C$300=$C91))</f>
        <v>45</v>
      </c>
      <c r="O91" s="3">
        <f t="shared" si="18"/>
        <v>1773178.4814594041</v>
      </c>
      <c r="P91" s="2">
        <f t="shared" si="19"/>
        <v>314.95448373149139</v>
      </c>
      <c r="Q91" s="2">
        <f t="shared" si="22"/>
        <v>233.67213969589204</v>
      </c>
      <c r="R91" s="2">
        <f t="shared" si="22"/>
        <v>1040.9329630986604</v>
      </c>
      <c r="S91" s="2">
        <f t="shared" si="20"/>
        <v>1040.9329630986604</v>
      </c>
    </row>
    <row r="92" spans="2:19" x14ac:dyDescent="0.25">
      <c r="B92" s="10">
        <v>888</v>
      </c>
      <c r="C92" s="10">
        <v>6</v>
      </c>
      <c r="D92" s="9" t="s">
        <v>148</v>
      </c>
      <c r="E92" s="154">
        <f>INDEX('Revised 2017 Lockdown'!H$5:H$249,MATCH(B92,'Revised 2017 Lockdown'!B$5:B$249,0))</f>
        <v>96.531906616690762</v>
      </c>
      <c r="F92" s="7">
        <f>INDEX('Revised 2017 Lockdown'!E$5:E$249,MATCH(B92,'Revised 2017 Lockdown'!B$5:B$249,0))</f>
        <v>45506.29</v>
      </c>
      <c r="G92" s="7">
        <f>INDEX('Revised 2017 Lockdown'!F$5:F$249,MATCH(B92,'Revised 2017 Lockdown'!B$5:B$249,0))</f>
        <v>0</v>
      </c>
      <c r="H92" s="7">
        <f t="shared" si="13"/>
        <v>45506.29</v>
      </c>
      <c r="I92" s="6">
        <f t="shared" si="14"/>
        <v>471.41190508850656</v>
      </c>
      <c r="J92" s="6">
        <f t="shared" si="21"/>
        <v>471.41190508850656</v>
      </c>
      <c r="K92" s="5">
        <f t="shared" si="15"/>
        <v>45506.29</v>
      </c>
      <c r="L92" s="4">
        <f t="shared" si="16"/>
        <v>0</v>
      </c>
      <c r="M92" s="2">
        <f t="shared" si="17"/>
        <v>637.30255139727626</v>
      </c>
      <c r="N92" s="1" cm="1">
        <f t="array" ref="N92">SUMPRODUCT(--($L$6:$L$300&lt;&gt;1),--($C$6:$C$300=$C92))</f>
        <v>45</v>
      </c>
      <c r="O92" s="3">
        <f t="shared" si="18"/>
        <v>27519.706532741326</v>
      </c>
      <c r="P92" s="2">
        <f t="shared" si="19"/>
        <v>314.95448373149139</v>
      </c>
      <c r="Q92" s="2">
        <f t="shared" si="22"/>
        <v>233.67213969589204</v>
      </c>
      <c r="R92" s="2">
        <f t="shared" si="22"/>
        <v>1040.9329630986604</v>
      </c>
      <c r="S92" s="2">
        <f t="shared" si="20"/>
        <v>471.41190508850656</v>
      </c>
    </row>
    <row r="93" spans="2:19" x14ac:dyDescent="0.25">
      <c r="B93" s="10">
        <v>889</v>
      </c>
      <c r="C93" s="10">
        <v>6</v>
      </c>
      <c r="D93" s="9" t="s">
        <v>149</v>
      </c>
      <c r="E93" s="154">
        <f>INDEX('Revised 2017 Lockdown'!H$5:H$249,MATCH(B93,'Revised 2017 Lockdown'!B$5:B$249,0))</f>
        <v>28.142507903054302</v>
      </c>
      <c r="F93" s="7">
        <f>INDEX('Revised 2017 Lockdown'!E$5:E$249,MATCH(B93,'Revised 2017 Lockdown'!B$5:B$249,0))</f>
        <v>49421.78</v>
      </c>
      <c r="G93" s="7">
        <f>INDEX('Revised 2017 Lockdown'!F$5:F$249,MATCH(B93,'Revised 2017 Lockdown'!B$5:B$249,0))</f>
        <v>0</v>
      </c>
      <c r="H93" s="7">
        <f t="shared" si="13"/>
        <v>49421.78</v>
      </c>
      <c r="I93" s="6">
        <f t="shared" si="14"/>
        <v>1756.1256505727501</v>
      </c>
      <c r="J93" s="6">
        <f t="shared" si="21"/>
        <v>1040.9329630986604</v>
      </c>
      <c r="K93" s="5">
        <f t="shared" si="15"/>
        <v>29294.46414055378</v>
      </c>
      <c r="L93" s="4">
        <f t="shared" si="16"/>
        <v>0</v>
      </c>
      <c r="M93" s="2">
        <f t="shared" si="17"/>
        <v>637.30255139727626</v>
      </c>
      <c r="N93" s="1" cm="1">
        <f t="array" ref="N93">SUMPRODUCT(--($L$6:$L$300&lt;&gt;1),--($C$6:$C$300=$C93))</f>
        <v>45</v>
      </c>
      <c r="O93" s="3">
        <f t="shared" si="18"/>
        <v>1251765.1272486125</v>
      </c>
      <c r="P93" s="2">
        <f t="shared" si="19"/>
        <v>314.95448373149139</v>
      </c>
      <c r="Q93" s="2">
        <f t="shared" si="22"/>
        <v>233.67213969589204</v>
      </c>
      <c r="R93" s="2">
        <f t="shared" si="22"/>
        <v>1040.9329630986604</v>
      </c>
      <c r="S93" s="2">
        <f t="shared" si="20"/>
        <v>1040.9329630986604</v>
      </c>
    </row>
    <row r="94" spans="2:19" x14ac:dyDescent="0.25">
      <c r="B94" s="10">
        <v>891</v>
      </c>
      <c r="C94" s="10">
        <v>6</v>
      </c>
      <c r="D94" s="9" t="s">
        <v>150</v>
      </c>
      <c r="E94" s="154">
        <f>INDEX('Revised 2017 Lockdown'!H$5:H$249,MATCH(B94,'Revised 2017 Lockdown'!B$5:B$249,0))</f>
        <v>364.17087666120352</v>
      </c>
      <c r="F94" s="7">
        <f>INDEX('Revised 2017 Lockdown'!E$5:E$249,MATCH(B94,'Revised 2017 Lockdown'!B$5:B$249,0))</f>
        <v>86921.99</v>
      </c>
      <c r="G94" s="7">
        <f>INDEX('Revised 2017 Lockdown'!F$5:F$249,MATCH(B94,'Revised 2017 Lockdown'!B$5:B$249,0))</f>
        <v>0</v>
      </c>
      <c r="H94" s="7">
        <f t="shared" si="13"/>
        <v>86921.99</v>
      </c>
      <c r="I94" s="6">
        <f t="shared" si="14"/>
        <v>238.68462738404398</v>
      </c>
      <c r="J94" s="6">
        <f t="shared" si="21"/>
        <v>238.68462738404398</v>
      </c>
      <c r="K94" s="5">
        <f t="shared" si="15"/>
        <v>86921.99</v>
      </c>
      <c r="L94" s="4">
        <f t="shared" si="16"/>
        <v>0</v>
      </c>
      <c r="M94" s="2">
        <f t="shared" si="17"/>
        <v>637.30255139727626</v>
      </c>
      <c r="N94" s="1" cm="1">
        <f t="array" ref="N94">SUMPRODUCT(--($L$6:$L$300&lt;&gt;1),--($C$6:$C$300=$C94))</f>
        <v>45</v>
      </c>
      <c r="O94" s="3">
        <f t="shared" si="18"/>
        <v>158896.24934461899</v>
      </c>
      <c r="P94" s="2">
        <f t="shared" si="19"/>
        <v>314.95448373149139</v>
      </c>
      <c r="Q94" s="2">
        <f t="shared" si="22"/>
        <v>233.67213969589204</v>
      </c>
      <c r="R94" s="2">
        <f t="shared" si="22"/>
        <v>1040.9329630986604</v>
      </c>
      <c r="S94" s="2">
        <f t="shared" si="20"/>
        <v>238.68462738404398</v>
      </c>
    </row>
    <row r="95" spans="2:19" x14ac:dyDescent="0.25">
      <c r="B95" s="10">
        <v>904</v>
      </c>
      <c r="C95" s="10">
        <v>6</v>
      </c>
      <c r="D95" s="9" t="s">
        <v>151</v>
      </c>
      <c r="E95" s="154">
        <f>INDEX('Revised 2017 Lockdown'!H$5:H$249,MATCH(B95,'Revised 2017 Lockdown'!B$5:B$249,0))</f>
        <v>25.493992436427366</v>
      </c>
      <c r="F95" s="7">
        <f>INDEX('Revised 2017 Lockdown'!E$5:E$249,MATCH(B95,'Revised 2017 Lockdown'!B$5:B$249,0))</f>
        <v>13685.12</v>
      </c>
      <c r="G95" s="7">
        <f>INDEX('Revised 2017 Lockdown'!F$5:F$249,MATCH(B95,'Revised 2017 Lockdown'!B$5:B$249,0))</f>
        <v>0</v>
      </c>
      <c r="H95" s="7">
        <f t="shared" si="13"/>
        <v>13685.12</v>
      </c>
      <c r="I95" s="6">
        <f t="shared" si="14"/>
        <v>536.79783714244263</v>
      </c>
      <c r="J95" s="6">
        <f t="shared" si="21"/>
        <v>536.79783714244263</v>
      </c>
      <c r="K95" s="5">
        <f t="shared" si="15"/>
        <v>13685.12</v>
      </c>
      <c r="L95" s="4">
        <f t="shared" si="16"/>
        <v>0</v>
      </c>
      <c r="M95" s="2">
        <f t="shared" si="17"/>
        <v>637.30255139727626</v>
      </c>
      <c r="N95" s="1" cm="1">
        <f t="array" ref="N95">SUMPRODUCT(--($L$6:$L$300&lt;&gt;1),--($C$6:$C$300=$C95))</f>
        <v>45</v>
      </c>
      <c r="O95" s="3">
        <f t="shared" si="18"/>
        <v>10101.197587445758</v>
      </c>
      <c r="P95" s="2">
        <f t="shared" si="19"/>
        <v>314.95448373149139</v>
      </c>
      <c r="Q95" s="2">
        <f t="shared" si="22"/>
        <v>233.67213969589204</v>
      </c>
      <c r="R95" s="2">
        <f t="shared" si="22"/>
        <v>1040.9329630986604</v>
      </c>
      <c r="S95" s="2">
        <f t="shared" si="20"/>
        <v>536.79783714244263</v>
      </c>
    </row>
    <row r="96" spans="2:19" ht="28.55" x14ac:dyDescent="0.25">
      <c r="B96" s="10">
        <v>906</v>
      </c>
      <c r="C96" s="10">
        <v>6</v>
      </c>
      <c r="D96" s="9" t="s">
        <v>152</v>
      </c>
      <c r="E96" s="154">
        <f>INDEX('Revised 2017 Lockdown'!H$5:H$249,MATCH(B96,'Revised 2017 Lockdown'!B$5:B$249,0))</f>
        <v>223.33999999999997</v>
      </c>
      <c r="F96" s="7">
        <f>INDEX('Revised 2017 Lockdown'!E$5:E$249,MATCH(B96,'Revised 2017 Lockdown'!B$5:B$249,0))</f>
        <v>119241.63</v>
      </c>
      <c r="G96" s="7">
        <f>INDEX('Revised 2017 Lockdown'!F$5:F$249,MATCH(B96,'Revised 2017 Lockdown'!B$5:B$249,0))</f>
        <v>36</v>
      </c>
      <c r="H96" s="7">
        <f t="shared" si="13"/>
        <v>119205.63</v>
      </c>
      <c r="I96" s="6">
        <f t="shared" si="14"/>
        <v>533.74061968299463</v>
      </c>
      <c r="J96" s="6">
        <f t="shared" si="21"/>
        <v>533.74061968299463</v>
      </c>
      <c r="K96" s="5">
        <f t="shared" si="15"/>
        <v>119205.63</v>
      </c>
      <c r="L96" s="4">
        <f t="shared" si="16"/>
        <v>0</v>
      </c>
      <c r="M96" s="2">
        <f t="shared" si="17"/>
        <v>637.30255139727626</v>
      </c>
      <c r="N96" s="1" cm="1">
        <f t="array" ref="N96">SUMPRODUCT(--($L$6:$L$300&lt;&gt;1),--($C$6:$C$300=$C96))</f>
        <v>45</v>
      </c>
      <c r="O96" s="3">
        <f t="shared" si="18"/>
        <v>10725.07370039353</v>
      </c>
      <c r="P96" s="2">
        <f t="shared" si="19"/>
        <v>314.95448373149139</v>
      </c>
      <c r="Q96" s="2">
        <f t="shared" si="22"/>
        <v>233.67213969589204</v>
      </c>
      <c r="R96" s="2">
        <f t="shared" si="22"/>
        <v>1040.9329630986604</v>
      </c>
      <c r="S96" s="2">
        <f t="shared" si="20"/>
        <v>533.74061968299463</v>
      </c>
    </row>
    <row r="97" spans="2:19" x14ac:dyDescent="0.25">
      <c r="B97" s="10">
        <v>917</v>
      </c>
      <c r="C97" s="10">
        <v>6</v>
      </c>
      <c r="D97" s="9" t="s">
        <v>153</v>
      </c>
      <c r="E97" s="154">
        <f>INDEX('Revised 2017 Lockdown'!H$5:H$249,MATCH(B97,'Revised 2017 Lockdown'!B$5:B$249,0))</f>
        <v>83.135763098139336</v>
      </c>
      <c r="F97" s="7">
        <f>INDEX('Revised 2017 Lockdown'!E$5:E$249,MATCH(B97,'Revised 2017 Lockdown'!B$5:B$249,0))</f>
        <v>58138.080000000002</v>
      </c>
      <c r="G97" s="7">
        <f>INDEX('Revised 2017 Lockdown'!F$5:F$249,MATCH(B97,'Revised 2017 Lockdown'!B$5:B$249,0))</f>
        <v>0</v>
      </c>
      <c r="H97" s="7">
        <f t="shared" si="13"/>
        <v>58138.080000000002</v>
      </c>
      <c r="I97" s="6">
        <f t="shared" si="14"/>
        <v>699.31492577231415</v>
      </c>
      <c r="J97" s="6">
        <f t="shared" si="21"/>
        <v>699.31492577231415</v>
      </c>
      <c r="K97" s="5">
        <f t="shared" si="15"/>
        <v>58138.080000000002</v>
      </c>
      <c r="L97" s="4">
        <f t="shared" si="16"/>
        <v>0</v>
      </c>
      <c r="M97" s="2">
        <f t="shared" si="17"/>
        <v>637.30255139727626</v>
      </c>
      <c r="N97" s="1" cm="1">
        <f t="array" ref="N97">SUMPRODUCT(--($L$6:$L$300&lt;&gt;1),--($C$6:$C$300=$C97))</f>
        <v>45</v>
      </c>
      <c r="O97" s="3">
        <f t="shared" si="18"/>
        <v>3845.5345756298566</v>
      </c>
      <c r="P97" s="2">
        <f t="shared" si="19"/>
        <v>314.95448373149139</v>
      </c>
      <c r="Q97" s="2">
        <f t="shared" si="22"/>
        <v>233.67213969589204</v>
      </c>
      <c r="R97" s="2">
        <f t="shared" si="22"/>
        <v>1040.9329630986604</v>
      </c>
      <c r="S97" s="2">
        <f t="shared" si="20"/>
        <v>699.31492577231415</v>
      </c>
    </row>
    <row r="98" spans="2:19" x14ac:dyDescent="0.25">
      <c r="B98" s="10">
        <v>957</v>
      </c>
      <c r="C98" s="10">
        <v>6</v>
      </c>
      <c r="D98" s="9" t="s">
        <v>154</v>
      </c>
      <c r="E98" s="154">
        <f>INDEX('Revised 2017 Lockdown'!H$5:H$249,MATCH(B98,'Revised 2017 Lockdown'!B$5:B$249,0))</f>
        <v>102.78835312589278</v>
      </c>
      <c r="F98" s="7">
        <f>INDEX('Revised 2017 Lockdown'!E$5:E$249,MATCH(B98,'Revised 2017 Lockdown'!B$5:B$249,0))</f>
        <v>36361.17</v>
      </c>
      <c r="G98" s="7">
        <f>INDEX('Revised 2017 Lockdown'!F$5:F$249,MATCH(B98,'Revised 2017 Lockdown'!B$5:B$249,0))</f>
        <v>0</v>
      </c>
      <c r="H98" s="7">
        <f t="shared" si="13"/>
        <v>36361.17</v>
      </c>
      <c r="I98" s="6">
        <f t="shared" si="14"/>
        <v>353.74795776196243</v>
      </c>
      <c r="J98" s="6">
        <f t="shared" si="21"/>
        <v>353.74795776196243</v>
      </c>
      <c r="K98" s="5">
        <f t="shared" si="15"/>
        <v>36361.17</v>
      </c>
      <c r="L98" s="4">
        <f t="shared" si="16"/>
        <v>0</v>
      </c>
      <c r="M98" s="2">
        <f t="shared" si="17"/>
        <v>637.30255139727626</v>
      </c>
      <c r="N98" s="1" cm="1">
        <f t="array" ref="N98">SUMPRODUCT(--($L$6:$L$300&lt;&gt;1),--($C$6:$C$300=$C98))</f>
        <v>45</v>
      </c>
      <c r="O98" s="3">
        <f t="shared" si="18"/>
        <v>80403.207571687963</v>
      </c>
      <c r="P98" s="2">
        <f t="shared" si="19"/>
        <v>314.95448373149139</v>
      </c>
      <c r="Q98" s="2">
        <f t="shared" si="22"/>
        <v>233.67213969589204</v>
      </c>
      <c r="R98" s="2">
        <f t="shared" si="22"/>
        <v>1040.9329630986604</v>
      </c>
      <c r="S98" s="2">
        <f t="shared" si="20"/>
        <v>353.74795776196243</v>
      </c>
    </row>
    <row r="99" spans="2:19" x14ac:dyDescent="0.25">
      <c r="B99" s="10">
        <v>959</v>
      </c>
      <c r="C99" s="10">
        <v>6</v>
      </c>
      <c r="D99" s="9" t="s">
        <v>155</v>
      </c>
      <c r="E99" s="154">
        <f>INDEX('Revised 2017 Lockdown'!H$5:H$249,MATCH(B99,'Revised 2017 Lockdown'!B$5:B$249,0))</f>
        <v>350.17274123482861</v>
      </c>
      <c r="F99" s="7">
        <f>INDEX('Revised 2017 Lockdown'!E$5:E$249,MATCH(B99,'Revised 2017 Lockdown'!B$5:B$249,0))</f>
        <v>116846.11</v>
      </c>
      <c r="G99" s="7">
        <f>INDEX('Revised 2017 Lockdown'!F$5:F$249,MATCH(B99,'Revised 2017 Lockdown'!B$5:B$249,0))</f>
        <v>434.45</v>
      </c>
      <c r="H99" s="7">
        <f t="shared" si="13"/>
        <v>116411.66</v>
      </c>
      <c r="I99" s="6">
        <f t="shared" si="14"/>
        <v>332.44066796716601</v>
      </c>
      <c r="J99" s="6">
        <f t="shared" si="21"/>
        <v>332.44066796716601</v>
      </c>
      <c r="K99" s="5">
        <f t="shared" si="15"/>
        <v>116411.66</v>
      </c>
      <c r="L99" s="4">
        <f t="shared" si="16"/>
        <v>0</v>
      </c>
      <c r="M99" s="2">
        <f t="shared" si="17"/>
        <v>637.30255139727626</v>
      </c>
      <c r="N99" s="1" cm="1">
        <f t="array" ref="N99">SUMPRODUCT(--($L$6:$L$300&lt;&gt;1),--($C$6:$C$300=$C99))</f>
        <v>45</v>
      </c>
      <c r="O99" s="3">
        <f t="shared" si="18"/>
        <v>92940.767968554137</v>
      </c>
      <c r="P99" s="2">
        <f t="shared" si="19"/>
        <v>314.95448373149139</v>
      </c>
      <c r="Q99" s="2">
        <f t="shared" si="22"/>
        <v>233.67213969589204</v>
      </c>
      <c r="R99" s="2">
        <f t="shared" si="22"/>
        <v>1040.9329630986604</v>
      </c>
      <c r="S99" s="2">
        <f t="shared" si="20"/>
        <v>332.44066796716601</v>
      </c>
    </row>
    <row r="100" spans="2:19" x14ac:dyDescent="0.25">
      <c r="B100" s="10">
        <v>969</v>
      </c>
      <c r="C100" s="10">
        <v>6</v>
      </c>
      <c r="D100" s="9" t="s">
        <v>156</v>
      </c>
      <c r="E100" s="154">
        <f>INDEX('Revised 2017 Lockdown'!H$5:H$249,MATCH(B100,'Revised 2017 Lockdown'!B$5:B$249,0))</f>
        <v>20.31070143118815</v>
      </c>
      <c r="F100" s="7">
        <f>INDEX('Revised 2017 Lockdown'!E$5:E$249,MATCH(B100,'Revised 2017 Lockdown'!B$5:B$249,0))</f>
        <v>38489.4</v>
      </c>
      <c r="G100" s="7">
        <f>INDEX('Revised 2017 Lockdown'!F$5:F$249,MATCH(B100,'Revised 2017 Lockdown'!B$5:B$249,0))</f>
        <v>0</v>
      </c>
      <c r="H100" s="7">
        <f t="shared" si="13"/>
        <v>38489.4</v>
      </c>
      <c r="I100" s="6">
        <f t="shared" si="14"/>
        <v>1895.030564572108</v>
      </c>
      <c r="J100" s="6">
        <f t="shared" si="21"/>
        <v>1040.9329630986604</v>
      </c>
      <c r="K100" s="5">
        <f t="shared" si="15"/>
        <v>21142.078623378882</v>
      </c>
      <c r="L100" s="4">
        <f t="shared" si="16"/>
        <v>0</v>
      </c>
      <c r="M100" s="2">
        <f t="shared" si="17"/>
        <v>637.30255139727626</v>
      </c>
      <c r="N100" s="1" cm="1">
        <f t="array" ref="N100">SUMPRODUCT(--($L$6:$L$300&lt;&gt;1),--($C$6:$C$300=$C100))</f>
        <v>45</v>
      </c>
      <c r="O100" s="3">
        <f t="shared" si="18"/>
        <v>1581879.7551247093</v>
      </c>
      <c r="P100" s="2">
        <f t="shared" si="19"/>
        <v>314.95448373149139</v>
      </c>
      <c r="Q100" s="2">
        <f t="shared" si="22"/>
        <v>233.67213969589204</v>
      </c>
      <c r="R100" s="2">
        <f t="shared" si="22"/>
        <v>1040.9329630986604</v>
      </c>
      <c r="S100" s="2">
        <f t="shared" si="20"/>
        <v>1040.9329630986604</v>
      </c>
    </row>
    <row r="101" spans="2:19" x14ac:dyDescent="0.25">
      <c r="B101" s="10">
        <v>970</v>
      </c>
      <c r="C101" s="10">
        <v>6</v>
      </c>
      <c r="D101" s="9" t="s">
        <v>157</v>
      </c>
      <c r="E101" s="154">
        <f>INDEX('Revised 2017 Lockdown'!H$5:H$249,MATCH(B101,'Revised 2017 Lockdown'!B$5:B$249,0))</f>
        <v>175.80943158836462</v>
      </c>
      <c r="F101" s="7">
        <f>INDEX('Revised 2017 Lockdown'!E$5:E$249,MATCH(B101,'Revised 2017 Lockdown'!B$5:B$249,0))</f>
        <v>60933.56</v>
      </c>
      <c r="G101" s="7">
        <f>INDEX('Revised 2017 Lockdown'!F$5:F$249,MATCH(B101,'Revised 2017 Lockdown'!B$5:B$249,0))</f>
        <v>134.5</v>
      </c>
      <c r="H101" s="7">
        <f t="shared" si="13"/>
        <v>60799.06</v>
      </c>
      <c r="I101" s="6">
        <f t="shared" si="14"/>
        <v>345.82365377503322</v>
      </c>
      <c r="J101" s="6">
        <f t="shared" si="21"/>
        <v>345.82365377503322</v>
      </c>
      <c r="K101" s="5">
        <f t="shared" si="15"/>
        <v>60799.06</v>
      </c>
      <c r="L101" s="4">
        <f t="shared" si="16"/>
        <v>0</v>
      </c>
      <c r="M101" s="2">
        <f t="shared" si="17"/>
        <v>637.30255139727626</v>
      </c>
      <c r="N101" s="1" cm="1">
        <f t="array" ref="N101">SUMPRODUCT(--($L$6:$L$300&lt;&gt;1),--($C$6:$C$300=$C101))</f>
        <v>45</v>
      </c>
      <c r="O101" s="3">
        <f t="shared" si="18"/>
        <v>84959.947759078044</v>
      </c>
      <c r="P101" s="2">
        <f t="shared" si="19"/>
        <v>314.95448373149139</v>
      </c>
      <c r="Q101" s="2">
        <f t="shared" si="22"/>
        <v>233.67213969589204</v>
      </c>
      <c r="R101" s="2">
        <f t="shared" si="22"/>
        <v>1040.9329630986604</v>
      </c>
      <c r="S101" s="2">
        <f t="shared" si="20"/>
        <v>345.82365377503322</v>
      </c>
    </row>
    <row r="102" spans="2:19" x14ac:dyDescent="0.25">
      <c r="B102" s="39">
        <v>980</v>
      </c>
      <c r="C102" s="39">
        <v>6</v>
      </c>
      <c r="D102" s="40" t="s">
        <v>158</v>
      </c>
      <c r="E102" s="154">
        <f>INDEX('Revised 2017 Lockdown'!H$5:H$249,MATCH(B102,'Revised 2017 Lockdown'!B$5:B$249,0))</f>
        <v>24.35659315628083</v>
      </c>
      <c r="F102" s="7">
        <f>INDEX('Revised 2017 Lockdown'!E$5:E$249,MATCH(B102,'Revised 2017 Lockdown'!B$5:B$249,0))</f>
        <v>27355.57</v>
      </c>
      <c r="G102" s="7">
        <f>INDEX('Revised 2017 Lockdown'!F$5:F$249,MATCH(B102,'Revised 2017 Lockdown'!B$5:B$249,0))</f>
        <v>0</v>
      </c>
      <c r="H102" s="7">
        <f t="shared" si="13"/>
        <v>27355.57</v>
      </c>
      <c r="I102" s="6">
        <f t="shared" si="14"/>
        <v>1123.1279278048714</v>
      </c>
      <c r="J102" s="6">
        <f t="shared" si="21"/>
        <v>1040.9329630986604</v>
      </c>
      <c r="K102" s="5">
        <f t="shared" si="15"/>
        <v>25353.580685155957</v>
      </c>
      <c r="L102" s="4">
        <f t="shared" si="16"/>
        <v>0</v>
      </c>
      <c r="M102" s="2">
        <f t="shared" si="17"/>
        <v>637.30255139727626</v>
      </c>
      <c r="N102" s="1" cm="1">
        <f t="array" ref="N102">SUMPRODUCT(--($L$6:$L$300&lt;&gt;1),--($C$6:$C$300=$C102))</f>
        <v>45</v>
      </c>
      <c r="O102" s="3">
        <f t="shared" si="18"/>
        <v>236026.29636158154</v>
      </c>
      <c r="P102" s="2">
        <f t="shared" si="19"/>
        <v>314.95448373149139</v>
      </c>
      <c r="Q102" s="2">
        <f t="shared" si="22"/>
        <v>233.67213969589204</v>
      </c>
      <c r="R102" s="2">
        <f t="shared" si="22"/>
        <v>1040.9329630986604</v>
      </c>
      <c r="S102" s="2">
        <f t="shared" si="20"/>
        <v>1040.9329630986604</v>
      </c>
    </row>
    <row r="103" spans="2:19" x14ac:dyDescent="0.25">
      <c r="B103" s="39">
        <v>986</v>
      </c>
      <c r="C103" s="39">
        <v>6</v>
      </c>
      <c r="D103" s="40" t="s">
        <v>159</v>
      </c>
      <c r="E103" s="154">
        <f>INDEX('Revised 2017 Lockdown'!H$5:H$249,MATCH(B103,'Revised 2017 Lockdown'!B$5:B$249,0))</f>
        <v>8.1405291336202108</v>
      </c>
      <c r="F103" s="7">
        <f>INDEX('Revised 2017 Lockdown'!E$5:E$249,MATCH(B103,'Revised 2017 Lockdown'!B$5:B$249,0))</f>
        <v>38850.550000000003</v>
      </c>
      <c r="G103" s="7">
        <f>INDEX('Revised 2017 Lockdown'!F$5:F$249,MATCH(B103,'Revised 2017 Lockdown'!B$5:B$249,0))</f>
        <v>0</v>
      </c>
      <c r="H103" s="7">
        <f t="shared" si="13"/>
        <v>38850.550000000003</v>
      </c>
      <c r="I103" s="6">
        <f t="shared" si="14"/>
        <v>4772.48460908371</v>
      </c>
      <c r="J103" s="6">
        <f t="shared" si="21"/>
        <v>1040.9329630986604</v>
      </c>
      <c r="K103" s="5">
        <f t="shared" si="15"/>
        <v>8473.7451122502571</v>
      </c>
      <c r="L103" s="4">
        <f t="shared" si="16"/>
        <v>0</v>
      </c>
      <c r="M103" s="2">
        <f t="shared" si="17"/>
        <v>637.30255139727626</v>
      </c>
      <c r="N103" s="1" cm="1">
        <f t="array" ref="N103">SUMPRODUCT(--($L$6:$L$300&lt;&gt;1),--($C$6:$C$300=$C103))</f>
        <v>45</v>
      </c>
      <c r="O103" s="3">
        <f t="shared" si="18"/>
        <v>17099730.650211807</v>
      </c>
      <c r="P103" s="2">
        <f t="shared" si="19"/>
        <v>314.95448373149139</v>
      </c>
      <c r="Q103" s="2">
        <f t="shared" si="22"/>
        <v>233.67213969589204</v>
      </c>
      <c r="R103" s="2">
        <f t="shared" si="22"/>
        <v>1040.9329630986604</v>
      </c>
      <c r="S103" s="2">
        <f t="shared" si="20"/>
        <v>1040.9329630986604</v>
      </c>
    </row>
    <row r="104" spans="2:19" x14ac:dyDescent="0.25">
      <c r="B104" s="39">
        <v>988</v>
      </c>
      <c r="C104" s="39">
        <v>6</v>
      </c>
      <c r="D104" s="40" t="s">
        <v>160</v>
      </c>
      <c r="E104" s="154">
        <f>INDEX('Revised 2017 Lockdown'!H$5:H$249,MATCH(B104,'Revised 2017 Lockdown'!B$5:B$249,0))</f>
        <v>136.34894480531173</v>
      </c>
      <c r="F104" s="7">
        <f>INDEX('Revised 2017 Lockdown'!E$5:E$249,MATCH(B104,'Revised 2017 Lockdown'!B$5:B$249,0))</f>
        <v>73398.22</v>
      </c>
      <c r="G104" s="7">
        <f>INDEX('Revised 2017 Lockdown'!F$5:F$249,MATCH(B104,'Revised 2017 Lockdown'!B$5:B$249,0))</f>
        <v>0</v>
      </c>
      <c r="H104" s="7">
        <f t="shared" si="13"/>
        <v>73398.22</v>
      </c>
      <c r="I104" s="6">
        <f t="shared" si="14"/>
        <v>538.31161000037775</v>
      </c>
      <c r="J104" s="6">
        <f t="shared" si="21"/>
        <v>538.31161000037775</v>
      </c>
      <c r="K104" s="5">
        <f t="shared" si="15"/>
        <v>73398.22</v>
      </c>
      <c r="L104" s="4">
        <f t="shared" si="16"/>
        <v>0</v>
      </c>
      <c r="M104" s="2">
        <f t="shared" si="17"/>
        <v>637.30255139727626</v>
      </c>
      <c r="N104" s="1" cm="1">
        <f t="array" ref="N104">SUMPRODUCT(--($L$6:$L$300&lt;&gt;1),--($C$6:$C$300=$C104))</f>
        <v>45</v>
      </c>
      <c r="O104" s="3">
        <f t="shared" si="18"/>
        <v>9799.2064786441952</v>
      </c>
      <c r="P104" s="2">
        <f t="shared" si="19"/>
        <v>314.95448373149139</v>
      </c>
      <c r="Q104" s="2">
        <f t="shared" si="22"/>
        <v>233.67213969589204</v>
      </c>
      <c r="R104" s="2">
        <f t="shared" si="22"/>
        <v>1040.9329630986604</v>
      </c>
      <c r="S104" s="2">
        <f t="shared" si="20"/>
        <v>538.31161000037775</v>
      </c>
    </row>
    <row r="105" spans="2:19" x14ac:dyDescent="0.25">
      <c r="B105" s="39">
        <v>989</v>
      </c>
      <c r="C105" s="39">
        <v>6</v>
      </c>
      <c r="D105" s="40" t="s">
        <v>161</v>
      </c>
      <c r="E105" s="154">
        <f>INDEX('Revised 2017 Lockdown'!H$5:H$249,MATCH(B105,'Revised 2017 Lockdown'!B$5:B$249,0))</f>
        <v>440.04353292754996</v>
      </c>
      <c r="F105" s="7">
        <f>INDEX('Revised 2017 Lockdown'!E$5:E$249,MATCH(B105,'Revised 2017 Lockdown'!B$5:B$249,0))</f>
        <v>332675.46000000002</v>
      </c>
      <c r="G105" s="7">
        <f>INDEX('Revised 2017 Lockdown'!F$5:F$249,MATCH(B105,'Revised 2017 Lockdown'!B$5:B$249,0))</f>
        <v>32018.95</v>
      </c>
      <c r="H105" s="7">
        <f t="shared" si="13"/>
        <v>300656.51</v>
      </c>
      <c r="I105" s="6">
        <f t="shared" si="14"/>
        <v>683.24265101630522</v>
      </c>
      <c r="J105" s="6">
        <f t="shared" si="21"/>
        <v>683.24265101630522</v>
      </c>
      <c r="K105" s="5">
        <f t="shared" si="15"/>
        <v>300656.51</v>
      </c>
      <c r="L105" s="4">
        <f t="shared" si="16"/>
        <v>0</v>
      </c>
      <c r="M105" s="2">
        <f t="shared" si="17"/>
        <v>637.30255139727626</v>
      </c>
      <c r="N105" s="1" cm="1">
        <f t="array" ref="N105">SUMPRODUCT(--($L$6:$L$300&lt;&gt;1),--($C$6:$C$300=$C105))</f>
        <v>45</v>
      </c>
      <c r="O105" s="3">
        <f t="shared" si="18"/>
        <v>2110.4927530063046</v>
      </c>
      <c r="P105" s="2">
        <f t="shared" si="19"/>
        <v>314.95448373149139</v>
      </c>
      <c r="Q105" s="2">
        <f t="shared" si="22"/>
        <v>233.67213969589204</v>
      </c>
      <c r="R105" s="2">
        <f t="shared" si="22"/>
        <v>1040.9329630986604</v>
      </c>
      <c r="S105" s="2">
        <f t="shared" si="20"/>
        <v>683.24265101630522</v>
      </c>
    </row>
    <row r="106" spans="2:19" x14ac:dyDescent="0.25">
      <c r="B106" s="10">
        <v>39</v>
      </c>
      <c r="C106" s="10">
        <v>7</v>
      </c>
      <c r="D106" s="9" t="s">
        <v>162</v>
      </c>
      <c r="E106" s="154">
        <f>INDEX('Revised 2017 Lockdown'!H$5:H$249,MATCH(B106,'Revised 2017 Lockdown'!B$5:B$249,0))</f>
        <v>410.4</v>
      </c>
      <c r="F106" s="7">
        <f>INDEX('Revised 2017 Lockdown'!E$5:E$249,MATCH(B106,'Revised 2017 Lockdown'!B$5:B$249,0))</f>
        <v>115923.68</v>
      </c>
      <c r="G106" s="7">
        <f>INDEX('Revised 2017 Lockdown'!F$5:F$249,MATCH(B106,'Revised 2017 Lockdown'!B$5:B$249,0))</f>
        <v>480</v>
      </c>
      <c r="H106" s="7">
        <f t="shared" si="13"/>
        <v>115443.68</v>
      </c>
      <c r="I106" s="6">
        <f t="shared" si="14"/>
        <v>281.2955165692008</v>
      </c>
      <c r="J106" s="6">
        <f t="shared" si="21"/>
        <v>281.2955165692008</v>
      </c>
      <c r="K106" s="5">
        <f t="shared" si="15"/>
        <v>115443.68000000001</v>
      </c>
      <c r="L106" s="4">
        <f t="shared" si="16"/>
        <v>0</v>
      </c>
      <c r="M106" s="2">
        <f t="shared" si="17"/>
        <v>433.66463751068204</v>
      </c>
      <c r="N106" s="1" cm="1">
        <f t="array" ref="N106">SUMPRODUCT(--($L$6:$L$300&lt;&gt;1),--($C$6:$C$300=$C106))</f>
        <v>61</v>
      </c>
      <c r="O106" s="3">
        <f t="shared" si="18"/>
        <v>23216.349016479737</v>
      </c>
      <c r="P106" s="2">
        <f t="shared" si="19"/>
        <v>132.80809027687923</v>
      </c>
      <c r="Q106" s="2">
        <f t="shared" ref="Q106:R125" si="23">NORMINV(Q$4,$M106,$P106)</f>
        <v>263.46422149935881</v>
      </c>
      <c r="R106" s="2">
        <f t="shared" si="23"/>
        <v>603.86505352200527</v>
      </c>
      <c r="S106" s="2">
        <f t="shared" si="20"/>
        <v>281.2955165692008</v>
      </c>
    </row>
    <row r="107" spans="2:19" x14ac:dyDescent="0.25">
      <c r="B107" s="10">
        <v>59</v>
      </c>
      <c r="C107" s="10">
        <v>7</v>
      </c>
      <c r="D107" s="9" t="s">
        <v>163</v>
      </c>
      <c r="E107" s="154">
        <f>INDEX('Revised 2017 Lockdown'!H$5:H$249,MATCH(B107,'Revised 2017 Lockdown'!B$5:B$249,0))</f>
        <v>270.47377712324817</v>
      </c>
      <c r="F107" s="7">
        <f>INDEX('Revised 2017 Lockdown'!E$5:E$249,MATCH(B107,'Revised 2017 Lockdown'!B$5:B$249,0))</f>
        <v>160123.23000000001</v>
      </c>
      <c r="G107" s="7">
        <f>INDEX('Revised 2017 Lockdown'!F$5:F$249,MATCH(B107,'Revised 2017 Lockdown'!B$5:B$249,0))</f>
        <v>0</v>
      </c>
      <c r="H107" s="7">
        <f t="shared" si="13"/>
        <v>160123.23000000001</v>
      </c>
      <c r="I107" s="6">
        <f t="shared" si="14"/>
        <v>592.01018192250058</v>
      </c>
      <c r="J107" s="6">
        <f t="shared" si="21"/>
        <v>592.01018192250058</v>
      </c>
      <c r="K107" s="5">
        <f t="shared" si="15"/>
        <v>160123.23000000001</v>
      </c>
      <c r="L107" s="4">
        <f t="shared" si="16"/>
        <v>0</v>
      </c>
      <c r="M107" s="2">
        <f t="shared" si="17"/>
        <v>433.66463751068204</v>
      </c>
      <c r="N107" s="1" cm="1">
        <f t="array" ref="N107">SUMPRODUCT(--($L$6:$L$300&lt;&gt;1),--($C$6:$C$300=$C107))</f>
        <v>61</v>
      </c>
      <c r="O107" s="3">
        <f t="shared" si="18"/>
        <v>25073.311435075197</v>
      </c>
      <c r="P107" s="2">
        <f t="shared" si="19"/>
        <v>132.80809027687923</v>
      </c>
      <c r="Q107" s="2">
        <f t="shared" si="23"/>
        <v>263.46422149935881</v>
      </c>
      <c r="R107" s="2">
        <f t="shared" si="23"/>
        <v>603.86505352200527</v>
      </c>
      <c r="S107" s="2">
        <f t="shared" si="20"/>
        <v>592.01018192250058</v>
      </c>
    </row>
    <row r="108" spans="2:19" x14ac:dyDescent="0.25">
      <c r="B108" s="10">
        <v>128</v>
      </c>
      <c r="C108" s="10">
        <v>7</v>
      </c>
      <c r="D108" s="9" t="s">
        <v>164</v>
      </c>
      <c r="E108" s="154">
        <f>INDEX('Revised 2017 Lockdown'!H$5:H$249,MATCH(B108,'Revised 2017 Lockdown'!B$5:B$249,0))</f>
        <v>162.90807403927388</v>
      </c>
      <c r="F108" s="7">
        <f>INDEX('Revised 2017 Lockdown'!E$5:E$249,MATCH(B108,'Revised 2017 Lockdown'!B$5:B$249,0))</f>
        <v>97728.05</v>
      </c>
      <c r="G108" s="7">
        <f>INDEX('Revised 2017 Lockdown'!F$5:F$249,MATCH(B108,'Revised 2017 Lockdown'!B$5:B$249,0))</f>
        <v>305.20999999999998</v>
      </c>
      <c r="H108" s="7">
        <f t="shared" si="13"/>
        <v>97422.84</v>
      </c>
      <c r="I108" s="6">
        <f t="shared" si="14"/>
        <v>598.02339800858056</v>
      </c>
      <c r="J108" s="6">
        <f t="shared" si="21"/>
        <v>598.02339800858056</v>
      </c>
      <c r="K108" s="5">
        <f t="shared" si="15"/>
        <v>97422.84</v>
      </c>
      <c r="L108" s="4">
        <f t="shared" si="16"/>
        <v>0</v>
      </c>
      <c r="M108" s="2">
        <f t="shared" si="17"/>
        <v>433.66463751068204</v>
      </c>
      <c r="N108" s="1" cm="1">
        <f t="array" ref="N108">SUMPRODUCT(--($L$6:$L$300&lt;&gt;1),--($C$6:$C$300=$C108))</f>
        <v>61</v>
      </c>
      <c r="O108" s="3">
        <f t="shared" si="18"/>
        <v>27013.802152405566</v>
      </c>
      <c r="P108" s="2">
        <f t="shared" si="19"/>
        <v>132.80809027687923</v>
      </c>
      <c r="Q108" s="2">
        <f t="shared" si="23"/>
        <v>263.46422149935881</v>
      </c>
      <c r="R108" s="2">
        <f t="shared" si="23"/>
        <v>603.86505352200527</v>
      </c>
      <c r="S108" s="2">
        <f t="shared" si="20"/>
        <v>598.02339800858056</v>
      </c>
    </row>
    <row r="109" spans="2:19" x14ac:dyDescent="0.25">
      <c r="B109" s="10">
        <v>152</v>
      </c>
      <c r="C109" s="10">
        <v>7</v>
      </c>
      <c r="D109" s="9" t="s">
        <v>165</v>
      </c>
      <c r="E109" s="154">
        <f>INDEX('Revised 2017 Lockdown'!H$5:H$249,MATCH(B109,'Revised 2017 Lockdown'!B$5:B$249,0))</f>
        <v>349.11658476040691</v>
      </c>
      <c r="F109" s="7">
        <f>INDEX('Revised 2017 Lockdown'!E$5:E$249,MATCH(B109,'Revised 2017 Lockdown'!B$5:B$249,0))</f>
        <v>154963.87</v>
      </c>
      <c r="G109" s="7">
        <f>INDEX('Revised 2017 Lockdown'!F$5:F$249,MATCH(B109,'Revised 2017 Lockdown'!B$5:B$249,0))</f>
        <v>38032.97</v>
      </c>
      <c r="H109" s="7">
        <f t="shared" si="13"/>
        <v>116930.9</v>
      </c>
      <c r="I109" s="6">
        <f t="shared" si="14"/>
        <v>334.93367288823526</v>
      </c>
      <c r="J109" s="6">
        <f t="shared" si="21"/>
        <v>334.93367288823526</v>
      </c>
      <c r="K109" s="5">
        <f t="shared" si="15"/>
        <v>116930.9</v>
      </c>
      <c r="L109" s="4">
        <f t="shared" si="16"/>
        <v>0</v>
      </c>
      <c r="M109" s="2">
        <f t="shared" si="17"/>
        <v>433.66463751068204</v>
      </c>
      <c r="N109" s="1" cm="1">
        <f t="array" ref="N109">SUMPRODUCT(--($L$6:$L$300&lt;&gt;1),--($C$6:$C$300=$C109))</f>
        <v>61</v>
      </c>
      <c r="O109" s="3">
        <f t="shared" si="18"/>
        <v>9747.8033752788378</v>
      </c>
      <c r="P109" s="2">
        <f t="shared" si="19"/>
        <v>132.80809027687923</v>
      </c>
      <c r="Q109" s="2">
        <f t="shared" si="23"/>
        <v>263.46422149935881</v>
      </c>
      <c r="R109" s="2">
        <f t="shared" si="23"/>
        <v>603.86505352200527</v>
      </c>
      <c r="S109" s="2">
        <f t="shared" si="20"/>
        <v>334.93367288823526</v>
      </c>
    </row>
    <row r="110" spans="2:19" x14ac:dyDescent="0.25">
      <c r="B110" s="10">
        <v>162</v>
      </c>
      <c r="C110" s="10">
        <v>7</v>
      </c>
      <c r="D110" s="9" t="s">
        <v>166</v>
      </c>
      <c r="E110" s="154">
        <f>INDEX('Revised 2017 Lockdown'!H$5:H$249,MATCH(B110,'Revised 2017 Lockdown'!B$5:B$249,0))</f>
        <v>801.95999999999992</v>
      </c>
      <c r="F110" s="7">
        <f>INDEX('Revised 2017 Lockdown'!E$5:E$249,MATCH(B110,'Revised 2017 Lockdown'!B$5:B$249,0))</f>
        <v>369094.26</v>
      </c>
      <c r="G110" s="7">
        <f>INDEX('Revised 2017 Lockdown'!F$5:F$249,MATCH(B110,'Revised 2017 Lockdown'!B$5:B$249,0))</f>
        <v>31965.68</v>
      </c>
      <c r="H110" s="7">
        <f t="shared" si="13"/>
        <v>337128.58</v>
      </c>
      <c r="I110" s="6">
        <f t="shared" si="14"/>
        <v>420.38079205945439</v>
      </c>
      <c r="J110" s="6">
        <f t="shared" si="21"/>
        <v>420.38079205945439</v>
      </c>
      <c r="K110" s="5">
        <f t="shared" si="15"/>
        <v>337128.58</v>
      </c>
      <c r="L110" s="4">
        <f t="shared" si="16"/>
        <v>0</v>
      </c>
      <c r="M110" s="2">
        <f t="shared" si="17"/>
        <v>433.66463751068204</v>
      </c>
      <c r="N110" s="1" cm="1">
        <f t="array" ref="N110">SUMPRODUCT(--($L$6:$L$300&lt;&gt;1),--($C$6:$C$300=$C110))</f>
        <v>61</v>
      </c>
      <c r="O110" s="3">
        <f t="shared" si="18"/>
        <v>176.46054997210149</v>
      </c>
      <c r="P110" s="2">
        <f t="shared" si="19"/>
        <v>132.80809027687923</v>
      </c>
      <c r="Q110" s="2">
        <f t="shared" si="23"/>
        <v>263.46422149935881</v>
      </c>
      <c r="R110" s="2">
        <f t="shared" si="23"/>
        <v>603.86505352200527</v>
      </c>
      <c r="S110" s="2">
        <f t="shared" si="20"/>
        <v>420.38079205945439</v>
      </c>
    </row>
    <row r="111" spans="2:19" x14ac:dyDescent="0.25">
      <c r="B111" s="10">
        <v>166</v>
      </c>
      <c r="C111" s="10">
        <v>7</v>
      </c>
      <c r="D111" s="9" t="s">
        <v>167</v>
      </c>
      <c r="E111" s="154">
        <f>INDEX('Revised 2017 Lockdown'!H$5:H$249,MATCH(B111,'Revised 2017 Lockdown'!B$5:B$249,0))</f>
        <v>890.20999999999981</v>
      </c>
      <c r="F111" s="7">
        <f>INDEX('Revised 2017 Lockdown'!E$5:E$249,MATCH(B111,'Revised 2017 Lockdown'!B$5:B$249,0))</f>
        <v>426068.96</v>
      </c>
      <c r="G111" s="7">
        <f>INDEX('Revised 2017 Lockdown'!F$5:F$249,MATCH(B111,'Revised 2017 Lockdown'!B$5:B$249,0))</f>
        <v>137468.31999999998</v>
      </c>
      <c r="H111" s="7">
        <f t="shared" si="13"/>
        <v>288600.64</v>
      </c>
      <c r="I111" s="6">
        <f t="shared" si="14"/>
        <v>324.19388683569053</v>
      </c>
      <c r="J111" s="6">
        <f t="shared" si="21"/>
        <v>324.19388683569053</v>
      </c>
      <c r="K111" s="5">
        <f t="shared" si="15"/>
        <v>288600.64</v>
      </c>
      <c r="L111" s="4">
        <f t="shared" si="16"/>
        <v>0</v>
      </c>
      <c r="M111" s="2">
        <f t="shared" si="17"/>
        <v>433.66463751068204</v>
      </c>
      <c r="N111" s="1" cm="1">
        <f t="array" ref="N111">SUMPRODUCT(--($L$6:$L$300&lt;&gt;1),--($C$6:$C$300=$C111))</f>
        <v>61</v>
      </c>
      <c r="O111" s="3">
        <f t="shared" si="18"/>
        <v>11983.845253346153</v>
      </c>
      <c r="P111" s="2">
        <f t="shared" si="19"/>
        <v>132.80809027687923</v>
      </c>
      <c r="Q111" s="2">
        <f t="shared" si="23"/>
        <v>263.46422149935881</v>
      </c>
      <c r="R111" s="2">
        <f t="shared" si="23"/>
        <v>603.86505352200527</v>
      </c>
      <c r="S111" s="2">
        <f t="shared" si="20"/>
        <v>324.19388683569053</v>
      </c>
    </row>
    <row r="112" spans="2:19" x14ac:dyDescent="0.25">
      <c r="B112" s="10">
        <v>192</v>
      </c>
      <c r="C112" s="10">
        <v>7</v>
      </c>
      <c r="D112" s="9" t="s">
        <v>168</v>
      </c>
      <c r="E112" s="154">
        <f>INDEX('Revised 2017 Lockdown'!H$5:H$249,MATCH(B112,'Revised 2017 Lockdown'!B$5:B$249,0))</f>
        <v>179.21000000000006</v>
      </c>
      <c r="F112" s="7">
        <f>INDEX('Revised 2017 Lockdown'!E$5:E$249,MATCH(B112,'Revised 2017 Lockdown'!B$5:B$249,0))</f>
        <v>96817.45</v>
      </c>
      <c r="G112" s="7">
        <f>INDEX('Revised 2017 Lockdown'!F$5:F$249,MATCH(B112,'Revised 2017 Lockdown'!B$5:B$249,0))</f>
        <v>28148.03</v>
      </c>
      <c r="H112" s="7">
        <f t="shared" si="13"/>
        <v>68669.42</v>
      </c>
      <c r="I112" s="6">
        <f t="shared" si="14"/>
        <v>383.17850566374631</v>
      </c>
      <c r="J112" s="6">
        <f t="shared" si="21"/>
        <v>383.17850566374631</v>
      </c>
      <c r="K112" s="5">
        <f t="shared" si="15"/>
        <v>68669.42</v>
      </c>
      <c r="L112" s="4">
        <f t="shared" si="16"/>
        <v>0</v>
      </c>
      <c r="M112" s="2">
        <f t="shared" si="17"/>
        <v>433.66463751068204</v>
      </c>
      <c r="N112" s="1" cm="1">
        <f t="array" ref="N112">SUMPRODUCT(--($L$6:$L$300&lt;&gt;1),--($C$6:$C$300=$C112))</f>
        <v>61</v>
      </c>
      <c r="O112" s="3">
        <f t="shared" si="18"/>
        <v>2548.8495088661784</v>
      </c>
      <c r="P112" s="2">
        <f t="shared" si="19"/>
        <v>132.80809027687923</v>
      </c>
      <c r="Q112" s="2">
        <f t="shared" si="23"/>
        <v>263.46422149935881</v>
      </c>
      <c r="R112" s="2">
        <f t="shared" si="23"/>
        <v>603.86505352200527</v>
      </c>
      <c r="S112" s="2">
        <f t="shared" si="20"/>
        <v>383.17850566374631</v>
      </c>
    </row>
    <row r="113" spans="2:19" x14ac:dyDescent="0.25">
      <c r="B113" s="10">
        <v>205</v>
      </c>
      <c r="C113" s="10">
        <v>7</v>
      </c>
      <c r="D113" s="9" t="s">
        <v>169</v>
      </c>
      <c r="E113" s="154">
        <f>INDEX('Revised 2017 Lockdown'!H$5:H$249,MATCH(B113,'Revised 2017 Lockdown'!B$5:B$249,0))</f>
        <v>697.88310122153791</v>
      </c>
      <c r="F113" s="7">
        <f>INDEX('Revised 2017 Lockdown'!E$5:E$249,MATCH(B113,'Revised 2017 Lockdown'!B$5:B$249,0))</f>
        <v>396318.41</v>
      </c>
      <c r="G113" s="7">
        <f>INDEX('Revised 2017 Lockdown'!F$5:F$249,MATCH(B113,'Revised 2017 Lockdown'!B$5:B$249,0))</f>
        <v>15454.5</v>
      </c>
      <c r="H113" s="7">
        <f t="shared" si="13"/>
        <v>380863.91</v>
      </c>
      <c r="I113" s="6">
        <f t="shared" si="14"/>
        <v>545.74169991128281</v>
      </c>
      <c r="J113" s="6">
        <f t="shared" si="21"/>
        <v>545.74169991128281</v>
      </c>
      <c r="K113" s="5">
        <f t="shared" si="15"/>
        <v>380863.91</v>
      </c>
      <c r="L113" s="4">
        <f t="shared" si="16"/>
        <v>0</v>
      </c>
      <c r="M113" s="2">
        <f t="shared" si="17"/>
        <v>433.66463751068204</v>
      </c>
      <c r="N113" s="1" cm="1">
        <f t="array" ref="N113">SUMPRODUCT(--($L$6:$L$300&lt;&gt;1),--($C$6:$C$300=$C113))</f>
        <v>61</v>
      </c>
      <c r="O113" s="3">
        <f t="shared" si="18"/>
        <v>12561.267916348159</v>
      </c>
      <c r="P113" s="2">
        <f t="shared" si="19"/>
        <v>132.80809027687923</v>
      </c>
      <c r="Q113" s="2">
        <f t="shared" si="23"/>
        <v>263.46422149935881</v>
      </c>
      <c r="R113" s="2">
        <f t="shared" si="23"/>
        <v>603.86505352200527</v>
      </c>
      <c r="S113" s="2">
        <f t="shared" si="20"/>
        <v>545.74169991128281</v>
      </c>
    </row>
    <row r="114" spans="2:19" x14ac:dyDescent="0.25">
      <c r="B114" s="10">
        <v>212</v>
      </c>
      <c r="C114" s="10">
        <v>7</v>
      </c>
      <c r="D114" s="9" t="s">
        <v>170</v>
      </c>
      <c r="E114" s="154">
        <f>INDEX('Revised 2017 Lockdown'!H$5:H$249,MATCH(B114,'Revised 2017 Lockdown'!B$5:B$249,0))</f>
        <v>463.08399263108981</v>
      </c>
      <c r="F114" s="7">
        <f>INDEX('Revised 2017 Lockdown'!E$5:E$249,MATCH(B114,'Revised 2017 Lockdown'!B$5:B$249,0))</f>
        <v>240439.65</v>
      </c>
      <c r="G114" s="7">
        <f>INDEX('Revised 2017 Lockdown'!F$5:F$249,MATCH(B114,'Revised 2017 Lockdown'!B$5:B$249,0))</f>
        <v>909</v>
      </c>
      <c r="H114" s="7">
        <f t="shared" si="13"/>
        <v>239530.65</v>
      </c>
      <c r="I114" s="6">
        <f t="shared" si="14"/>
        <v>517.25098213623448</v>
      </c>
      <c r="J114" s="6">
        <f t="shared" si="21"/>
        <v>517.25098213623448</v>
      </c>
      <c r="K114" s="5">
        <f t="shared" si="15"/>
        <v>239530.64999999997</v>
      </c>
      <c r="L114" s="4">
        <f t="shared" si="16"/>
        <v>0</v>
      </c>
      <c r="M114" s="2">
        <f t="shared" si="17"/>
        <v>433.66463751068204</v>
      </c>
      <c r="N114" s="1" cm="1">
        <f t="array" ref="N114">SUMPRODUCT(--($L$6:$L$300&lt;&gt;1),--($C$6:$C$300=$C114))</f>
        <v>61</v>
      </c>
      <c r="O114" s="3">
        <f t="shared" si="18"/>
        <v>6986.67700786162</v>
      </c>
      <c r="P114" s="2">
        <f t="shared" si="19"/>
        <v>132.80809027687923</v>
      </c>
      <c r="Q114" s="2">
        <f t="shared" si="23"/>
        <v>263.46422149935881</v>
      </c>
      <c r="R114" s="2">
        <f t="shared" si="23"/>
        <v>603.86505352200527</v>
      </c>
      <c r="S114" s="2">
        <f t="shared" si="20"/>
        <v>517.25098213623448</v>
      </c>
    </row>
    <row r="115" spans="2:19" x14ac:dyDescent="0.25">
      <c r="B115" s="10">
        <v>216</v>
      </c>
      <c r="C115" s="10">
        <v>7</v>
      </c>
      <c r="D115" s="9" t="s">
        <v>171</v>
      </c>
      <c r="E115" s="154">
        <f>INDEX('Revised 2017 Lockdown'!H$5:H$249,MATCH(B115,'Revised 2017 Lockdown'!B$5:B$249,0))</f>
        <v>764.29003707426727</v>
      </c>
      <c r="F115" s="7">
        <f>INDEX('Revised 2017 Lockdown'!E$5:E$249,MATCH(B115,'Revised 2017 Lockdown'!B$5:B$249,0))</f>
        <v>336769.59</v>
      </c>
      <c r="G115" s="7">
        <f>INDEX('Revised 2017 Lockdown'!F$5:F$249,MATCH(B115,'Revised 2017 Lockdown'!B$5:B$249,0))</f>
        <v>500</v>
      </c>
      <c r="H115" s="7">
        <f t="shared" si="13"/>
        <v>336269.59</v>
      </c>
      <c r="I115" s="6">
        <f t="shared" si="14"/>
        <v>439.97641430372875</v>
      </c>
      <c r="J115" s="6">
        <f t="shared" si="21"/>
        <v>439.97641430372875</v>
      </c>
      <c r="K115" s="5">
        <f t="shared" si="15"/>
        <v>336269.59</v>
      </c>
      <c r="L115" s="4">
        <f t="shared" si="16"/>
        <v>0</v>
      </c>
      <c r="M115" s="2">
        <f t="shared" si="17"/>
        <v>433.66463751068204</v>
      </c>
      <c r="N115" s="1" cm="1">
        <f t="array" ref="N115">SUMPRODUCT(--($L$6:$L$300&lt;&gt;1),--($C$6:$C$300=$C115))</f>
        <v>61</v>
      </c>
      <c r="O115" s="3">
        <f t="shared" si="18"/>
        <v>39.838526285242935</v>
      </c>
      <c r="P115" s="2">
        <f t="shared" si="19"/>
        <v>132.80809027687923</v>
      </c>
      <c r="Q115" s="2">
        <f t="shared" si="23"/>
        <v>263.46422149935881</v>
      </c>
      <c r="R115" s="2">
        <f t="shared" si="23"/>
        <v>603.86505352200527</v>
      </c>
      <c r="S115" s="2">
        <f t="shared" si="20"/>
        <v>439.97641430372875</v>
      </c>
    </row>
    <row r="116" spans="2:19" x14ac:dyDescent="0.25">
      <c r="B116" s="10">
        <v>229</v>
      </c>
      <c r="C116" s="10">
        <v>7</v>
      </c>
      <c r="D116" s="9" t="s">
        <v>172</v>
      </c>
      <c r="E116" s="154">
        <f>INDEX('Revised 2017 Lockdown'!H$5:H$249,MATCH(B116,'Revised 2017 Lockdown'!B$5:B$249,0))</f>
        <v>820.78999999999985</v>
      </c>
      <c r="F116" s="7">
        <f>INDEX('Revised 2017 Lockdown'!E$5:E$249,MATCH(B116,'Revised 2017 Lockdown'!B$5:B$249,0))</f>
        <v>433626.26</v>
      </c>
      <c r="G116" s="7">
        <f>INDEX('Revised 2017 Lockdown'!F$5:F$249,MATCH(B116,'Revised 2017 Lockdown'!B$5:B$249,0))</f>
        <v>126732.33000000002</v>
      </c>
      <c r="H116" s="7">
        <f t="shared" si="13"/>
        <v>306893.93</v>
      </c>
      <c r="I116" s="6">
        <f t="shared" si="14"/>
        <v>373.90066886779817</v>
      </c>
      <c r="J116" s="6">
        <f t="shared" si="21"/>
        <v>373.90066886779817</v>
      </c>
      <c r="K116" s="5">
        <f t="shared" si="15"/>
        <v>306893.93</v>
      </c>
      <c r="L116" s="4">
        <f t="shared" si="16"/>
        <v>0</v>
      </c>
      <c r="M116" s="2">
        <f t="shared" si="17"/>
        <v>433.66463751068204</v>
      </c>
      <c r="N116" s="1" cm="1">
        <f t="array" ref="N116">SUMPRODUCT(--($L$6:$L$300&lt;&gt;1),--($C$6:$C$300=$C116))</f>
        <v>61</v>
      </c>
      <c r="O116" s="3">
        <f t="shared" si="18"/>
        <v>3571.7319479476059</v>
      </c>
      <c r="P116" s="2">
        <f t="shared" si="19"/>
        <v>132.80809027687923</v>
      </c>
      <c r="Q116" s="2">
        <f t="shared" si="23"/>
        <v>263.46422149935881</v>
      </c>
      <c r="R116" s="2">
        <f t="shared" si="23"/>
        <v>603.86505352200527</v>
      </c>
      <c r="S116" s="2">
        <f t="shared" si="20"/>
        <v>373.90066886779817</v>
      </c>
    </row>
    <row r="117" spans="2:19" x14ac:dyDescent="0.25">
      <c r="B117" s="10">
        <v>236</v>
      </c>
      <c r="C117" s="10">
        <v>7</v>
      </c>
      <c r="D117" s="9" t="s">
        <v>173</v>
      </c>
      <c r="E117" s="154">
        <f>INDEX('Revised 2017 Lockdown'!H$5:H$249,MATCH(B117,'Revised 2017 Lockdown'!B$5:B$249,0))</f>
        <v>1079.3800000000001</v>
      </c>
      <c r="F117" s="7">
        <f>INDEX('Revised 2017 Lockdown'!E$5:E$249,MATCH(B117,'Revised 2017 Lockdown'!B$5:B$249,0))</f>
        <v>596827.42000000004</v>
      </c>
      <c r="G117" s="7">
        <f>INDEX('Revised 2017 Lockdown'!F$5:F$249,MATCH(B117,'Revised 2017 Lockdown'!B$5:B$249,0))</f>
        <v>137001.84999999998</v>
      </c>
      <c r="H117" s="7">
        <f t="shared" si="13"/>
        <v>459825.57000000007</v>
      </c>
      <c r="I117" s="6">
        <f t="shared" si="14"/>
        <v>426.008977375901</v>
      </c>
      <c r="J117" s="6">
        <f t="shared" si="21"/>
        <v>426.008977375901</v>
      </c>
      <c r="K117" s="5">
        <f t="shared" si="15"/>
        <v>459825.57000000007</v>
      </c>
      <c r="L117" s="4">
        <f t="shared" si="16"/>
        <v>0</v>
      </c>
      <c r="M117" s="2">
        <f t="shared" si="17"/>
        <v>433.66463751068204</v>
      </c>
      <c r="N117" s="1" cm="1">
        <f t="array" ref="N117">SUMPRODUCT(--($L$6:$L$300&lt;&gt;1),--($C$6:$C$300=$C117))</f>
        <v>61</v>
      </c>
      <c r="O117" s="3">
        <f t="shared" si="18"/>
        <v>58.609132099275719</v>
      </c>
      <c r="P117" s="2">
        <f t="shared" si="19"/>
        <v>132.80809027687923</v>
      </c>
      <c r="Q117" s="2">
        <f t="shared" si="23"/>
        <v>263.46422149935881</v>
      </c>
      <c r="R117" s="2">
        <f t="shared" si="23"/>
        <v>603.86505352200527</v>
      </c>
      <c r="S117" s="2">
        <f t="shared" si="20"/>
        <v>426.008977375901</v>
      </c>
    </row>
    <row r="118" spans="2:19" x14ac:dyDescent="0.25">
      <c r="B118" s="10">
        <v>239</v>
      </c>
      <c r="C118" s="10">
        <v>7</v>
      </c>
      <c r="D118" s="9" t="s">
        <v>174</v>
      </c>
      <c r="E118" s="154">
        <f>INDEX('Revised 2017 Lockdown'!H$5:H$249,MATCH(B118,'Revised 2017 Lockdown'!B$5:B$249,0))</f>
        <v>3332.4437947019587</v>
      </c>
      <c r="F118" s="7">
        <f>INDEX('Revised 2017 Lockdown'!E$5:E$249,MATCH(B118,'Revised 2017 Lockdown'!B$5:B$249,0))</f>
        <v>1716224.8</v>
      </c>
      <c r="G118" s="7">
        <f>INDEX('Revised 2017 Lockdown'!F$5:F$249,MATCH(B118,'Revised 2017 Lockdown'!B$5:B$249,0))</f>
        <v>526079.6</v>
      </c>
      <c r="H118" s="7">
        <f t="shared" si="13"/>
        <v>1190145.2000000002</v>
      </c>
      <c r="I118" s="6">
        <f t="shared" si="14"/>
        <v>357.13886664559402</v>
      </c>
      <c r="J118" s="6">
        <f t="shared" si="21"/>
        <v>357.13886664559402</v>
      </c>
      <c r="K118" s="5">
        <f t="shared" si="15"/>
        <v>1190145.2000000002</v>
      </c>
      <c r="L118" s="4">
        <f t="shared" si="16"/>
        <v>0</v>
      </c>
      <c r="M118" s="2">
        <f t="shared" si="17"/>
        <v>433.66463751068204</v>
      </c>
      <c r="N118" s="1" cm="1">
        <f t="array" ref="N118">SUMPRODUCT(--($L$6:$L$300&lt;&gt;1),--($C$6:$C$300=$C118))</f>
        <v>61</v>
      </c>
      <c r="O118" s="3">
        <f t="shared" si="18"/>
        <v>5856.1936064959546</v>
      </c>
      <c r="P118" s="2">
        <f t="shared" si="19"/>
        <v>132.80809027687923</v>
      </c>
      <c r="Q118" s="2">
        <f t="shared" si="23"/>
        <v>263.46422149935881</v>
      </c>
      <c r="R118" s="2">
        <f t="shared" si="23"/>
        <v>603.86505352200527</v>
      </c>
      <c r="S118" s="2">
        <f t="shared" si="20"/>
        <v>357.13886664559402</v>
      </c>
    </row>
    <row r="119" spans="2:19" x14ac:dyDescent="0.25">
      <c r="B119" s="10">
        <v>249</v>
      </c>
      <c r="C119" s="10">
        <v>7</v>
      </c>
      <c r="D119" s="9" t="s">
        <v>175</v>
      </c>
      <c r="E119" s="154">
        <f>INDEX('Revised 2017 Lockdown'!H$5:H$249,MATCH(B119,'Revised 2017 Lockdown'!B$5:B$249,0))</f>
        <v>1232.5183570890767</v>
      </c>
      <c r="F119" s="7">
        <f>INDEX('Revised 2017 Lockdown'!E$5:E$249,MATCH(B119,'Revised 2017 Lockdown'!B$5:B$249,0))</f>
        <v>536656.37</v>
      </c>
      <c r="G119" s="7">
        <f>INDEX('Revised 2017 Lockdown'!F$5:F$249,MATCH(B119,'Revised 2017 Lockdown'!B$5:B$249,0))</f>
        <v>0</v>
      </c>
      <c r="H119" s="7">
        <f t="shared" si="13"/>
        <v>536656.37</v>
      </c>
      <c r="I119" s="6">
        <f t="shared" si="14"/>
        <v>435.41450471168497</v>
      </c>
      <c r="J119" s="6">
        <f t="shared" si="21"/>
        <v>435.41450471168497</v>
      </c>
      <c r="K119" s="5">
        <f t="shared" si="15"/>
        <v>536656.37</v>
      </c>
      <c r="L119" s="4">
        <f t="shared" si="16"/>
        <v>0</v>
      </c>
      <c r="M119" s="2">
        <f t="shared" si="17"/>
        <v>433.66463751068204</v>
      </c>
      <c r="N119" s="1" cm="1">
        <f t="array" ref="N119">SUMPRODUCT(--($L$6:$L$300&lt;&gt;1),--($C$6:$C$300=$C119))</f>
        <v>61</v>
      </c>
      <c r="O119" s="3">
        <f t="shared" si="18"/>
        <v>3.0620352211458219</v>
      </c>
      <c r="P119" s="2">
        <f t="shared" si="19"/>
        <v>132.80809027687923</v>
      </c>
      <c r="Q119" s="2">
        <f t="shared" si="23"/>
        <v>263.46422149935881</v>
      </c>
      <c r="R119" s="2">
        <f t="shared" si="23"/>
        <v>603.86505352200527</v>
      </c>
      <c r="S119" s="2">
        <f t="shared" si="20"/>
        <v>435.41450471168497</v>
      </c>
    </row>
    <row r="120" spans="2:19" x14ac:dyDescent="0.25">
      <c r="B120" s="10">
        <v>271</v>
      </c>
      <c r="C120" s="10">
        <v>7</v>
      </c>
      <c r="D120" s="9" t="s">
        <v>176</v>
      </c>
      <c r="E120" s="154">
        <f>INDEX('Revised 2017 Lockdown'!H$5:H$249,MATCH(B120,'Revised 2017 Lockdown'!B$5:B$249,0))</f>
        <v>877.30000000000018</v>
      </c>
      <c r="F120" s="7">
        <f>INDEX('Revised 2017 Lockdown'!E$5:E$249,MATCH(B120,'Revised 2017 Lockdown'!B$5:B$249,0))</f>
        <v>606427.9</v>
      </c>
      <c r="G120" s="7">
        <f>INDEX('Revised 2017 Lockdown'!F$5:F$249,MATCH(B120,'Revised 2017 Lockdown'!B$5:B$249,0))</f>
        <v>147638.22</v>
      </c>
      <c r="H120" s="7">
        <f t="shared" si="13"/>
        <v>458789.68000000005</v>
      </c>
      <c r="I120" s="6">
        <f t="shared" si="14"/>
        <v>522.95643451498916</v>
      </c>
      <c r="J120" s="6">
        <f t="shared" si="21"/>
        <v>522.95643451498916</v>
      </c>
      <c r="K120" s="5">
        <f t="shared" si="15"/>
        <v>458789.68000000011</v>
      </c>
      <c r="L120" s="4">
        <f t="shared" si="16"/>
        <v>0</v>
      </c>
      <c r="M120" s="2">
        <f t="shared" si="17"/>
        <v>433.66463751068204</v>
      </c>
      <c r="N120" s="1" cm="1">
        <f t="array" ref="N120">SUMPRODUCT(--($L$6:$L$300&lt;&gt;1),--($C$6:$C$300=$C120))</f>
        <v>61</v>
      </c>
      <c r="O120" s="3">
        <f t="shared" si="18"/>
        <v>7973.0250122583884</v>
      </c>
      <c r="P120" s="2">
        <f t="shared" si="19"/>
        <v>132.80809027687923</v>
      </c>
      <c r="Q120" s="2">
        <f t="shared" si="23"/>
        <v>263.46422149935881</v>
      </c>
      <c r="R120" s="2">
        <f t="shared" si="23"/>
        <v>603.86505352200527</v>
      </c>
      <c r="S120" s="2">
        <f t="shared" si="20"/>
        <v>522.95643451498916</v>
      </c>
    </row>
    <row r="121" spans="2:19" x14ac:dyDescent="0.25">
      <c r="B121" s="10">
        <v>275</v>
      </c>
      <c r="C121" s="10">
        <v>7</v>
      </c>
      <c r="D121" s="9" t="s">
        <v>177</v>
      </c>
      <c r="E121" s="154">
        <f>INDEX('Revised 2017 Lockdown'!H$5:H$249,MATCH(B121,'Revised 2017 Lockdown'!B$5:B$249,0))</f>
        <v>688.04999999999984</v>
      </c>
      <c r="F121" s="7">
        <f>INDEX('Revised 2017 Lockdown'!E$5:E$249,MATCH(B121,'Revised 2017 Lockdown'!B$5:B$249,0))</f>
        <v>307156.09999999998</v>
      </c>
      <c r="G121" s="7">
        <f>INDEX('Revised 2017 Lockdown'!F$5:F$249,MATCH(B121,'Revised 2017 Lockdown'!B$5:B$249,0))</f>
        <v>62551.649999999994</v>
      </c>
      <c r="H121" s="7">
        <f t="shared" si="13"/>
        <v>244604.44999999998</v>
      </c>
      <c r="I121" s="6">
        <f t="shared" si="14"/>
        <v>355.50388779885191</v>
      </c>
      <c r="J121" s="6">
        <f t="shared" si="21"/>
        <v>355.50388779885191</v>
      </c>
      <c r="K121" s="5">
        <f t="shared" si="15"/>
        <v>244604.45</v>
      </c>
      <c r="L121" s="4">
        <f t="shared" si="16"/>
        <v>0</v>
      </c>
      <c r="M121" s="2">
        <f t="shared" si="17"/>
        <v>433.66463751068204</v>
      </c>
      <c r="N121" s="1" cm="1">
        <f t="array" ref="N121">SUMPRODUCT(--($L$6:$L$300&lt;&gt;1),--($C$6:$C$300=$C121))</f>
        <v>61</v>
      </c>
      <c r="O121" s="3">
        <f t="shared" si="18"/>
        <v>6109.102795515355</v>
      </c>
      <c r="P121" s="2">
        <f t="shared" si="19"/>
        <v>132.80809027687923</v>
      </c>
      <c r="Q121" s="2">
        <f t="shared" si="23"/>
        <v>263.46422149935881</v>
      </c>
      <c r="R121" s="2">
        <f t="shared" si="23"/>
        <v>603.86505352200527</v>
      </c>
      <c r="S121" s="2">
        <f t="shared" si="20"/>
        <v>355.50388779885191</v>
      </c>
    </row>
    <row r="122" spans="2:19" x14ac:dyDescent="0.25">
      <c r="B122" s="10">
        <v>282</v>
      </c>
      <c r="C122" s="10">
        <v>7</v>
      </c>
      <c r="D122" s="9" t="s">
        <v>178</v>
      </c>
      <c r="E122" s="154">
        <f>INDEX('Revised 2017 Lockdown'!H$5:H$249,MATCH(B122,'Revised 2017 Lockdown'!B$5:B$249,0))</f>
        <v>157.14795911338896</v>
      </c>
      <c r="F122" s="7">
        <f>INDEX('Revised 2017 Lockdown'!E$5:E$249,MATCH(B122,'Revised 2017 Lockdown'!B$5:B$249,0))</f>
        <v>53696.52</v>
      </c>
      <c r="G122" s="7">
        <f>INDEX('Revised 2017 Lockdown'!F$5:F$249,MATCH(B122,'Revised 2017 Lockdown'!B$5:B$249,0))</f>
        <v>0</v>
      </c>
      <c r="H122" s="7">
        <f t="shared" si="13"/>
        <v>53696.52</v>
      </c>
      <c r="I122" s="6">
        <f t="shared" si="14"/>
        <v>341.69403346342961</v>
      </c>
      <c r="J122" s="6">
        <f t="shared" si="21"/>
        <v>341.69403346342961</v>
      </c>
      <c r="K122" s="5">
        <f t="shared" si="15"/>
        <v>53696.52</v>
      </c>
      <c r="L122" s="4">
        <f t="shared" si="16"/>
        <v>0</v>
      </c>
      <c r="M122" s="2">
        <f t="shared" si="17"/>
        <v>433.66463751068204</v>
      </c>
      <c r="N122" s="1" cm="1">
        <f t="array" ref="N122">SUMPRODUCT(--($L$6:$L$300&lt;&gt;1),--($C$6:$C$300=$C122))</f>
        <v>61</v>
      </c>
      <c r="O122" s="3">
        <f t="shared" si="18"/>
        <v>8458.5920088164858</v>
      </c>
      <c r="P122" s="2">
        <f t="shared" si="19"/>
        <v>132.80809027687923</v>
      </c>
      <c r="Q122" s="2">
        <f t="shared" si="23"/>
        <v>263.46422149935881</v>
      </c>
      <c r="R122" s="2">
        <f t="shared" si="23"/>
        <v>603.86505352200527</v>
      </c>
      <c r="S122" s="2">
        <f t="shared" si="20"/>
        <v>341.69403346342961</v>
      </c>
    </row>
    <row r="123" spans="2:19" x14ac:dyDescent="0.25">
      <c r="B123" s="10">
        <v>287</v>
      </c>
      <c r="C123" s="10">
        <v>7</v>
      </c>
      <c r="D123" s="9" t="s">
        <v>179</v>
      </c>
      <c r="E123" s="154">
        <f>INDEX('Revised 2017 Lockdown'!H$5:H$249,MATCH(B123,'Revised 2017 Lockdown'!B$5:B$249,0))</f>
        <v>197.77748625633771</v>
      </c>
      <c r="F123" s="7">
        <f>INDEX('Revised 2017 Lockdown'!E$5:E$249,MATCH(B123,'Revised 2017 Lockdown'!B$5:B$249,0))</f>
        <v>120033.56</v>
      </c>
      <c r="G123" s="7">
        <f>INDEX('Revised 2017 Lockdown'!F$5:F$249,MATCH(B123,'Revised 2017 Lockdown'!B$5:B$249,0))</f>
        <v>0</v>
      </c>
      <c r="H123" s="7">
        <f t="shared" si="13"/>
        <v>120033.56</v>
      </c>
      <c r="I123" s="6">
        <f t="shared" si="14"/>
        <v>606.91215300626038</v>
      </c>
      <c r="J123" s="6">
        <f t="shared" si="21"/>
        <v>603.86505352200527</v>
      </c>
      <c r="K123" s="5">
        <f t="shared" si="15"/>
        <v>119430.91232363103</v>
      </c>
      <c r="L123" s="4">
        <f t="shared" si="16"/>
        <v>0</v>
      </c>
      <c r="M123" s="2">
        <f t="shared" si="17"/>
        <v>433.66463751068204</v>
      </c>
      <c r="N123" s="1" cm="1">
        <f t="array" ref="N123">SUMPRODUCT(--($L$6:$L$300&lt;&gt;1),--($C$6:$C$300=$C123))</f>
        <v>61</v>
      </c>
      <c r="O123" s="3">
        <f t="shared" si="18"/>
        <v>30014.701625390659</v>
      </c>
      <c r="P123" s="2">
        <f t="shared" si="19"/>
        <v>132.80809027687923</v>
      </c>
      <c r="Q123" s="2">
        <f t="shared" si="23"/>
        <v>263.46422149935881</v>
      </c>
      <c r="R123" s="2">
        <f t="shared" si="23"/>
        <v>603.86505352200527</v>
      </c>
      <c r="S123" s="2">
        <f t="shared" si="20"/>
        <v>603.86505352200527</v>
      </c>
    </row>
    <row r="124" spans="2:19" x14ac:dyDescent="0.25">
      <c r="B124" s="10">
        <v>290</v>
      </c>
      <c r="C124" s="10">
        <v>7</v>
      </c>
      <c r="D124" s="9" t="s">
        <v>180</v>
      </c>
      <c r="E124" s="154">
        <f>INDEX('Revised 2017 Lockdown'!H$5:H$249,MATCH(B124,'Revised 2017 Lockdown'!B$5:B$249,0))</f>
        <v>355.11230382289364</v>
      </c>
      <c r="F124" s="7">
        <f>INDEX('Revised 2017 Lockdown'!E$5:E$249,MATCH(B124,'Revised 2017 Lockdown'!B$5:B$249,0))</f>
        <v>175443.77</v>
      </c>
      <c r="G124" s="7">
        <f>INDEX('Revised 2017 Lockdown'!F$5:F$249,MATCH(B124,'Revised 2017 Lockdown'!B$5:B$249,0))</f>
        <v>210</v>
      </c>
      <c r="H124" s="7">
        <f t="shared" si="13"/>
        <v>175233.77</v>
      </c>
      <c r="I124" s="6">
        <f t="shared" si="14"/>
        <v>493.46014799699793</v>
      </c>
      <c r="J124" s="6">
        <f t="shared" si="21"/>
        <v>493.46014799699793</v>
      </c>
      <c r="K124" s="5">
        <f t="shared" si="15"/>
        <v>175233.77</v>
      </c>
      <c r="L124" s="4">
        <f t="shared" si="16"/>
        <v>0</v>
      </c>
      <c r="M124" s="2">
        <f t="shared" si="17"/>
        <v>433.66463751068204</v>
      </c>
      <c r="N124" s="1" cm="1">
        <f t="array" ref="N124">SUMPRODUCT(--($L$6:$L$300&lt;&gt;1),--($C$6:$C$300=$C124))</f>
        <v>61</v>
      </c>
      <c r="O124" s="3">
        <f t="shared" si="18"/>
        <v>3575.5030743191137</v>
      </c>
      <c r="P124" s="2">
        <f t="shared" si="19"/>
        <v>132.80809027687923</v>
      </c>
      <c r="Q124" s="2">
        <f t="shared" si="23"/>
        <v>263.46422149935881</v>
      </c>
      <c r="R124" s="2">
        <f t="shared" si="23"/>
        <v>603.86505352200527</v>
      </c>
      <c r="S124" s="2">
        <f t="shared" si="20"/>
        <v>493.46014799699793</v>
      </c>
    </row>
    <row r="125" spans="2:19" x14ac:dyDescent="0.25">
      <c r="B125" s="10">
        <v>294</v>
      </c>
      <c r="C125" s="10">
        <v>7</v>
      </c>
      <c r="D125" s="9" t="s">
        <v>181</v>
      </c>
      <c r="E125" s="154">
        <f>INDEX('Revised 2017 Lockdown'!H$5:H$249,MATCH(B125,'Revised 2017 Lockdown'!B$5:B$249,0))</f>
        <v>1263.4393689479177</v>
      </c>
      <c r="F125" s="7">
        <f>INDEX('Revised 2017 Lockdown'!E$5:E$249,MATCH(B125,'Revised 2017 Lockdown'!B$5:B$249,0))</f>
        <v>609291.72</v>
      </c>
      <c r="G125" s="7">
        <f>INDEX('Revised 2017 Lockdown'!F$5:F$249,MATCH(B125,'Revised 2017 Lockdown'!B$5:B$249,0))</f>
        <v>700</v>
      </c>
      <c r="H125" s="7">
        <f t="shared" si="13"/>
        <v>608591.72</v>
      </c>
      <c r="I125" s="6">
        <f t="shared" si="14"/>
        <v>481.69444055458092</v>
      </c>
      <c r="J125" s="6">
        <f t="shared" si="21"/>
        <v>481.69444055458092</v>
      </c>
      <c r="K125" s="5">
        <f t="shared" si="15"/>
        <v>608591.72</v>
      </c>
      <c r="L125" s="4">
        <f t="shared" si="16"/>
        <v>0</v>
      </c>
      <c r="M125" s="2">
        <f t="shared" si="17"/>
        <v>433.66463751068204</v>
      </c>
      <c r="N125" s="1" cm="1">
        <f t="array" ref="N125">SUMPRODUCT(--($L$6:$L$300&lt;&gt;1),--($C$6:$C$300=$C125))</f>
        <v>61</v>
      </c>
      <c r="O125" s="3">
        <f t="shared" si="18"/>
        <v>2306.8619804357181</v>
      </c>
      <c r="P125" s="2">
        <f t="shared" si="19"/>
        <v>132.80809027687923</v>
      </c>
      <c r="Q125" s="2">
        <f t="shared" si="23"/>
        <v>263.46422149935881</v>
      </c>
      <c r="R125" s="2">
        <f t="shared" si="23"/>
        <v>603.86505352200527</v>
      </c>
      <c r="S125" s="2">
        <f t="shared" si="20"/>
        <v>481.69444055458092</v>
      </c>
    </row>
    <row r="126" spans="2:19" x14ac:dyDescent="0.25">
      <c r="B126" s="10">
        <v>296</v>
      </c>
      <c r="C126" s="10">
        <v>7</v>
      </c>
      <c r="D126" s="9" t="s">
        <v>182</v>
      </c>
      <c r="E126" s="154">
        <f>INDEX('Revised 2017 Lockdown'!H$5:H$249,MATCH(B126,'Revised 2017 Lockdown'!B$5:B$249,0))</f>
        <v>884.62</v>
      </c>
      <c r="F126" s="7">
        <f>INDEX('Revised 2017 Lockdown'!E$5:E$249,MATCH(B126,'Revised 2017 Lockdown'!B$5:B$249,0))</f>
        <v>788176.46</v>
      </c>
      <c r="G126" s="7">
        <f>INDEX('Revised 2017 Lockdown'!F$5:F$249,MATCH(B126,'Revised 2017 Lockdown'!B$5:B$249,0))</f>
        <v>204908.74000000002</v>
      </c>
      <c r="H126" s="7">
        <f t="shared" si="13"/>
        <v>583267.72</v>
      </c>
      <c r="I126" s="6">
        <f t="shared" si="14"/>
        <v>659.3426782121137</v>
      </c>
      <c r="J126" s="6">
        <f t="shared" si="21"/>
        <v>603.86505352200527</v>
      </c>
      <c r="K126" s="5">
        <f t="shared" si="15"/>
        <v>534191.10364663636</v>
      </c>
      <c r="L126" s="4">
        <f t="shared" si="16"/>
        <v>0</v>
      </c>
      <c r="M126" s="2">
        <f t="shared" si="17"/>
        <v>433.66463751068204</v>
      </c>
      <c r="N126" s="1" cm="1">
        <f t="array" ref="N126">SUMPRODUCT(--($L$6:$L$300&lt;&gt;1),--($C$6:$C$300=$C126))</f>
        <v>61</v>
      </c>
      <c r="O126" s="3">
        <f t="shared" si="18"/>
        <v>50930.578054837046</v>
      </c>
      <c r="P126" s="2">
        <f t="shared" si="19"/>
        <v>132.80809027687923</v>
      </c>
      <c r="Q126" s="2">
        <f t="shared" ref="Q126:R145" si="24">NORMINV(Q$4,$M126,$P126)</f>
        <v>263.46422149935881</v>
      </c>
      <c r="R126" s="2">
        <f t="shared" si="24"/>
        <v>603.86505352200527</v>
      </c>
      <c r="S126" s="2">
        <f t="shared" si="20"/>
        <v>603.86505352200527</v>
      </c>
    </row>
    <row r="127" spans="2:19" x14ac:dyDescent="0.25">
      <c r="B127" s="10">
        <v>301</v>
      </c>
      <c r="C127" s="10">
        <v>7</v>
      </c>
      <c r="D127" s="9" t="s">
        <v>183</v>
      </c>
      <c r="E127" s="154">
        <f>INDEX('Revised 2017 Lockdown'!H$5:H$249,MATCH(B127,'Revised 2017 Lockdown'!B$5:B$249,0))</f>
        <v>640.13643914704323</v>
      </c>
      <c r="F127" s="7">
        <f>INDEX('Revised 2017 Lockdown'!E$5:E$249,MATCH(B127,'Revised 2017 Lockdown'!B$5:B$249,0))</f>
        <v>219085.76</v>
      </c>
      <c r="G127" s="7">
        <f>INDEX('Revised 2017 Lockdown'!F$5:F$249,MATCH(B127,'Revised 2017 Lockdown'!B$5:B$249,0))</f>
        <v>380.36</v>
      </c>
      <c r="H127" s="7">
        <f t="shared" si="13"/>
        <v>218705.40000000002</v>
      </c>
      <c r="I127" s="6">
        <f t="shared" si="14"/>
        <v>341.65435151827387</v>
      </c>
      <c r="J127" s="6">
        <f t="shared" si="21"/>
        <v>341.65435151827387</v>
      </c>
      <c r="K127" s="5">
        <f t="shared" si="15"/>
        <v>218705.40000000005</v>
      </c>
      <c r="L127" s="4">
        <f t="shared" si="16"/>
        <v>0</v>
      </c>
      <c r="M127" s="2">
        <f t="shared" si="17"/>
        <v>433.66463751068204</v>
      </c>
      <c r="N127" s="1" cm="1">
        <f t="array" ref="N127">SUMPRODUCT(--($L$6:$L$300&lt;&gt;1),--($C$6:$C$300=$C127))</f>
        <v>61</v>
      </c>
      <c r="O127" s="3">
        <f t="shared" si="18"/>
        <v>8465.892728404744</v>
      </c>
      <c r="P127" s="2">
        <f t="shared" si="19"/>
        <v>132.80809027687923</v>
      </c>
      <c r="Q127" s="2">
        <f t="shared" si="24"/>
        <v>263.46422149935881</v>
      </c>
      <c r="R127" s="2">
        <f t="shared" si="24"/>
        <v>603.86505352200527</v>
      </c>
      <c r="S127" s="2">
        <f t="shared" si="20"/>
        <v>341.65435151827387</v>
      </c>
    </row>
    <row r="128" spans="2:19" x14ac:dyDescent="0.25">
      <c r="B128" s="10">
        <v>321</v>
      </c>
      <c r="C128" s="10">
        <v>7</v>
      </c>
      <c r="D128" s="9" t="s">
        <v>184</v>
      </c>
      <c r="E128" s="154">
        <f>INDEX('Revised 2017 Lockdown'!H$5:H$249,MATCH(B128,'Revised 2017 Lockdown'!B$5:B$249,0))</f>
        <v>443.10000000000008</v>
      </c>
      <c r="F128" s="7">
        <f>INDEX('Revised 2017 Lockdown'!E$5:E$249,MATCH(B128,'Revised 2017 Lockdown'!B$5:B$249,0))</f>
        <v>430321.48</v>
      </c>
      <c r="G128" s="7">
        <f>INDEX('Revised 2017 Lockdown'!F$5:F$249,MATCH(B128,'Revised 2017 Lockdown'!B$5:B$249,0))</f>
        <v>59452.28</v>
      </c>
      <c r="H128" s="7">
        <f t="shared" si="13"/>
        <v>370869.19999999995</v>
      </c>
      <c r="I128" s="6">
        <f t="shared" si="14"/>
        <v>836.98758745204213</v>
      </c>
      <c r="J128" s="6">
        <f t="shared" si="21"/>
        <v>603.86505352200527</v>
      </c>
      <c r="K128" s="5">
        <f t="shared" si="15"/>
        <v>267572.60521560058</v>
      </c>
      <c r="L128" s="4">
        <f t="shared" si="16"/>
        <v>0</v>
      </c>
      <c r="M128" s="2">
        <f t="shared" si="17"/>
        <v>433.66463751068204</v>
      </c>
      <c r="N128" s="1" cm="1">
        <f t="array" ref="N128">SUMPRODUCT(--($L$6:$L$300&lt;&gt;1),--($C$6:$C$300=$C128))</f>
        <v>61</v>
      </c>
      <c r="O128" s="3">
        <f t="shared" si="18"/>
        <v>162669.40194940087</v>
      </c>
      <c r="P128" s="2">
        <f t="shared" si="19"/>
        <v>132.80809027687923</v>
      </c>
      <c r="Q128" s="2">
        <f t="shared" si="24"/>
        <v>263.46422149935881</v>
      </c>
      <c r="R128" s="2">
        <f t="shared" si="24"/>
        <v>603.86505352200527</v>
      </c>
      <c r="S128" s="2">
        <f t="shared" si="20"/>
        <v>603.86505352200527</v>
      </c>
    </row>
    <row r="129" spans="2:19" x14ac:dyDescent="0.25">
      <c r="B129" s="10">
        <v>325</v>
      </c>
      <c r="C129" s="10">
        <v>7</v>
      </c>
      <c r="D129" s="9" t="s">
        <v>185</v>
      </c>
      <c r="E129" s="154">
        <f>INDEX('Revised 2017 Lockdown'!H$5:H$249,MATCH(B129,'Revised 2017 Lockdown'!B$5:B$249,0))</f>
        <v>400.69285092676949</v>
      </c>
      <c r="F129" s="7">
        <f>INDEX('Revised 2017 Lockdown'!E$5:E$249,MATCH(B129,'Revised 2017 Lockdown'!B$5:B$249,0))</f>
        <v>173160.4</v>
      </c>
      <c r="G129" s="7">
        <f>INDEX('Revised 2017 Lockdown'!F$5:F$249,MATCH(B129,'Revised 2017 Lockdown'!B$5:B$249,0))</f>
        <v>1356</v>
      </c>
      <c r="H129" s="7">
        <f t="shared" si="13"/>
        <v>171804.4</v>
      </c>
      <c r="I129" s="6">
        <f t="shared" si="14"/>
        <v>428.76831868257841</v>
      </c>
      <c r="J129" s="6">
        <f t="shared" si="21"/>
        <v>428.76831868257841</v>
      </c>
      <c r="K129" s="5">
        <f t="shared" si="15"/>
        <v>171804.4</v>
      </c>
      <c r="L129" s="4">
        <f t="shared" si="16"/>
        <v>0</v>
      </c>
      <c r="M129" s="2">
        <f t="shared" si="17"/>
        <v>433.66463751068204</v>
      </c>
      <c r="N129" s="1" cm="1">
        <f t="array" ref="N129">SUMPRODUCT(--($L$6:$L$300&lt;&gt;1),--($C$6:$C$300=$C129))</f>
        <v>61</v>
      </c>
      <c r="O129" s="3">
        <f t="shared" si="18"/>
        <v>23.973938066442113</v>
      </c>
      <c r="P129" s="2">
        <f t="shared" si="19"/>
        <v>132.80809027687923</v>
      </c>
      <c r="Q129" s="2">
        <f t="shared" si="24"/>
        <v>263.46422149935881</v>
      </c>
      <c r="R129" s="2">
        <f t="shared" si="24"/>
        <v>603.86505352200527</v>
      </c>
      <c r="S129" s="2">
        <f t="shared" si="20"/>
        <v>428.76831868257841</v>
      </c>
    </row>
    <row r="130" spans="2:19" x14ac:dyDescent="0.25">
      <c r="B130" s="10">
        <v>346</v>
      </c>
      <c r="C130" s="10">
        <v>7</v>
      </c>
      <c r="D130" s="9" t="s">
        <v>186</v>
      </c>
      <c r="E130" s="154">
        <f>INDEX('Revised 2017 Lockdown'!H$5:H$249,MATCH(B130,'Revised 2017 Lockdown'!B$5:B$249,0))</f>
        <v>177.69000000000003</v>
      </c>
      <c r="F130" s="7">
        <f>INDEX('Revised 2017 Lockdown'!E$5:E$249,MATCH(B130,'Revised 2017 Lockdown'!B$5:B$249,0))</f>
        <v>112381.75999999999</v>
      </c>
      <c r="G130" s="7">
        <f>INDEX('Revised 2017 Lockdown'!F$5:F$249,MATCH(B130,'Revised 2017 Lockdown'!B$5:B$249,0))</f>
        <v>26716.230000000003</v>
      </c>
      <c r="H130" s="7">
        <f t="shared" si="13"/>
        <v>85665.53</v>
      </c>
      <c r="I130" s="6">
        <f t="shared" si="14"/>
        <v>482.10664640666323</v>
      </c>
      <c r="J130" s="6">
        <f t="shared" si="21"/>
        <v>482.10664640666323</v>
      </c>
      <c r="K130" s="5">
        <f t="shared" si="15"/>
        <v>85665.53</v>
      </c>
      <c r="L130" s="4">
        <f t="shared" si="16"/>
        <v>0</v>
      </c>
      <c r="M130" s="2">
        <f t="shared" si="17"/>
        <v>433.66463751068204</v>
      </c>
      <c r="N130" s="1" cm="1">
        <f t="array" ref="N130">SUMPRODUCT(--($L$6:$L$300&lt;&gt;1),--($C$6:$C$300=$C130))</f>
        <v>61</v>
      </c>
      <c r="O130" s="3">
        <f t="shared" si="18"/>
        <v>2346.6282258783208</v>
      </c>
      <c r="P130" s="2">
        <f t="shared" si="19"/>
        <v>132.80809027687923</v>
      </c>
      <c r="Q130" s="2">
        <f t="shared" si="24"/>
        <v>263.46422149935881</v>
      </c>
      <c r="R130" s="2">
        <f t="shared" si="24"/>
        <v>603.86505352200527</v>
      </c>
      <c r="S130" s="2">
        <f t="shared" si="20"/>
        <v>482.10664640666323</v>
      </c>
    </row>
    <row r="131" spans="2:19" x14ac:dyDescent="0.25">
      <c r="B131" s="10">
        <v>358</v>
      </c>
      <c r="C131" s="10">
        <v>7</v>
      </c>
      <c r="D131" s="9" t="s">
        <v>187</v>
      </c>
      <c r="E131" s="154">
        <f>INDEX('Revised 2017 Lockdown'!H$5:H$249,MATCH(B131,'Revised 2017 Lockdown'!B$5:B$249,0))</f>
        <v>418.90000000000003</v>
      </c>
      <c r="F131" s="7">
        <f>INDEX('Revised 2017 Lockdown'!E$5:E$249,MATCH(B131,'Revised 2017 Lockdown'!B$5:B$249,0))</f>
        <v>233117</v>
      </c>
      <c r="G131" s="7">
        <f>INDEX('Revised 2017 Lockdown'!F$5:F$249,MATCH(B131,'Revised 2017 Lockdown'!B$5:B$249,0))</f>
        <v>65089.860000000008</v>
      </c>
      <c r="H131" s="7">
        <f t="shared" si="13"/>
        <v>168027.13999999998</v>
      </c>
      <c r="I131" s="6">
        <f t="shared" si="14"/>
        <v>401.11515874910475</v>
      </c>
      <c r="J131" s="6">
        <f t="shared" si="21"/>
        <v>401.11515874910475</v>
      </c>
      <c r="K131" s="5">
        <f t="shared" si="15"/>
        <v>168027.13999999998</v>
      </c>
      <c r="L131" s="4">
        <f t="shared" si="16"/>
        <v>0</v>
      </c>
      <c r="M131" s="2">
        <f t="shared" si="17"/>
        <v>433.66463751068204</v>
      </c>
      <c r="N131" s="1" cm="1">
        <f t="array" ref="N131">SUMPRODUCT(--($L$6:$L$300&lt;&gt;1),--($C$6:$C$300=$C131))</f>
        <v>61</v>
      </c>
      <c r="O131" s="3">
        <f t="shared" si="18"/>
        <v>1059.4685676503711</v>
      </c>
      <c r="P131" s="2">
        <f t="shared" si="19"/>
        <v>132.80809027687923</v>
      </c>
      <c r="Q131" s="2">
        <f t="shared" si="24"/>
        <v>263.46422149935881</v>
      </c>
      <c r="R131" s="2">
        <f t="shared" si="24"/>
        <v>603.86505352200527</v>
      </c>
      <c r="S131" s="2">
        <f t="shared" si="20"/>
        <v>401.11515874910475</v>
      </c>
    </row>
    <row r="132" spans="2:19" x14ac:dyDescent="0.25">
      <c r="B132" s="10">
        <v>361</v>
      </c>
      <c r="C132" s="10">
        <v>7</v>
      </c>
      <c r="D132" s="9" t="s">
        <v>188</v>
      </c>
      <c r="E132" s="154">
        <f>INDEX('Revised 2017 Lockdown'!H$5:H$249,MATCH(B132,'Revised 2017 Lockdown'!B$5:B$249,0))</f>
        <v>1508.942788284392</v>
      </c>
      <c r="F132" s="7">
        <f>INDEX('Revised 2017 Lockdown'!E$5:E$249,MATCH(B132,'Revised 2017 Lockdown'!B$5:B$249,0))</f>
        <v>891571.84</v>
      </c>
      <c r="G132" s="7">
        <f>INDEX('Revised 2017 Lockdown'!F$5:F$249,MATCH(B132,'Revised 2017 Lockdown'!B$5:B$249,0))</f>
        <v>7476</v>
      </c>
      <c r="H132" s="7">
        <f t="shared" si="13"/>
        <v>884095.84</v>
      </c>
      <c r="I132" s="6">
        <f t="shared" si="14"/>
        <v>585.9041488280559</v>
      </c>
      <c r="J132" s="6">
        <f t="shared" si="21"/>
        <v>585.9041488280559</v>
      </c>
      <c r="K132" s="5">
        <f t="shared" si="15"/>
        <v>884095.84000000008</v>
      </c>
      <c r="L132" s="4">
        <f t="shared" si="16"/>
        <v>0</v>
      </c>
      <c r="M132" s="2">
        <f t="shared" si="17"/>
        <v>433.66463751068204</v>
      </c>
      <c r="N132" s="1" cm="1">
        <f t="array" ref="N132">SUMPRODUCT(--($L$6:$L$300&lt;&gt;1),--($C$6:$C$300=$C132))</f>
        <v>61</v>
      </c>
      <c r="O132" s="3">
        <f t="shared" si="18"/>
        <v>23176.868806152801</v>
      </c>
      <c r="P132" s="2">
        <f t="shared" si="19"/>
        <v>132.80809027687923</v>
      </c>
      <c r="Q132" s="2">
        <f t="shared" si="24"/>
        <v>263.46422149935881</v>
      </c>
      <c r="R132" s="2">
        <f t="shared" si="24"/>
        <v>603.86505352200527</v>
      </c>
      <c r="S132" s="2">
        <f t="shared" si="20"/>
        <v>585.9041488280559</v>
      </c>
    </row>
    <row r="133" spans="2:19" x14ac:dyDescent="0.25">
      <c r="B133" s="10">
        <v>376</v>
      </c>
      <c r="C133" s="10">
        <v>7</v>
      </c>
      <c r="D133" s="9" t="s">
        <v>189</v>
      </c>
      <c r="E133" s="154">
        <f>INDEX('Revised 2017 Lockdown'!H$5:H$249,MATCH(B133,'Revised 2017 Lockdown'!B$5:B$249,0))</f>
        <v>785.0248588765669</v>
      </c>
      <c r="F133" s="7">
        <f>INDEX('Revised 2017 Lockdown'!E$5:E$249,MATCH(B133,'Revised 2017 Lockdown'!B$5:B$249,0))</f>
        <v>270593.59000000003</v>
      </c>
      <c r="G133" s="7">
        <f>INDEX('Revised 2017 Lockdown'!F$5:F$249,MATCH(B133,'Revised 2017 Lockdown'!B$5:B$249,0))</f>
        <v>205</v>
      </c>
      <c r="H133" s="7">
        <f t="shared" si="13"/>
        <v>270388.59000000003</v>
      </c>
      <c r="I133" s="6">
        <f t="shared" si="14"/>
        <v>344.43315640596097</v>
      </c>
      <c r="J133" s="6">
        <f t="shared" si="21"/>
        <v>344.43315640596097</v>
      </c>
      <c r="K133" s="5">
        <f t="shared" si="15"/>
        <v>270388.59000000003</v>
      </c>
      <c r="L133" s="4">
        <f t="shared" si="16"/>
        <v>0</v>
      </c>
      <c r="M133" s="2">
        <f t="shared" si="17"/>
        <v>433.66463751068204</v>
      </c>
      <c r="N133" s="1" cm="1">
        <f t="array" ref="N133">SUMPRODUCT(--($L$6:$L$300&lt;&gt;1),--($C$6:$C$300=$C133))</f>
        <v>61</v>
      </c>
      <c r="O133" s="3">
        <f t="shared" si="18"/>
        <v>7962.2572201421935</v>
      </c>
      <c r="P133" s="2">
        <f t="shared" si="19"/>
        <v>132.80809027687923</v>
      </c>
      <c r="Q133" s="2">
        <f t="shared" si="24"/>
        <v>263.46422149935881</v>
      </c>
      <c r="R133" s="2">
        <f t="shared" si="24"/>
        <v>603.86505352200527</v>
      </c>
      <c r="S133" s="2">
        <f t="shared" si="20"/>
        <v>344.43315640596097</v>
      </c>
    </row>
    <row r="134" spans="2:19" x14ac:dyDescent="0.25">
      <c r="B134" s="10">
        <v>382</v>
      </c>
      <c r="C134" s="10">
        <v>7</v>
      </c>
      <c r="D134" s="9" t="s">
        <v>190</v>
      </c>
      <c r="E134" s="154">
        <f>INDEX('Revised 2017 Lockdown'!H$5:H$249,MATCH(B134,'Revised 2017 Lockdown'!B$5:B$249,0))</f>
        <v>177.19</v>
      </c>
      <c r="F134" s="7">
        <f>INDEX('Revised 2017 Lockdown'!E$5:E$249,MATCH(B134,'Revised 2017 Lockdown'!B$5:B$249,0))</f>
        <v>106501.09</v>
      </c>
      <c r="G134" s="7">
        <f>INDEX('Revised 2017 Lockdown'!F$5:F$249,MATCH(B134,'Revised 2017 Lockdown'!B$5:B$249,0))</f>
        <v>27668.13</v>
      </c>
      <c r="H134" s="7">
        <f t="shared" ref="H134:H197" si="25">F134-G134</f>
        <v>78832.959999999992</v>
      </c>
      <c r="I134" s="6">
        <f t="shared" ref="I134:I197" si="26">H134/E134</f>
        <v>444.90637169140467</v>
      </c>
      <c r="J134" s="6">
        <f t="shared" si="21"/>
        <v>444.90637169140467</v>
      </c>
      <c r="K134" s="5">
        <f t="shared" ref="K134:K197" si="27">J134*E134</f>
        <v>78832.959999999992</v>
      </c>
      <c r="L134" s="4">
        <f t="shared" ref="L134:L197" si="28">IF(ISERROR(I134),1,0)</f>
        <v>0</v>
      </c>
      <c r="M134" s="2">
        <f t="shared" ref="M134:M197" si="29">SUMPRODUCT(--($L$6:$L$300&lt;&gt;1),--($C$6:$C$300=$C134),$H$6:$H$300)/SUMPRODUCT(--($L$6:$L$300&lt;&gt;1),--($C$6:$C$300=$C134),$E$6:$E$300)</f>
        <v>433.66463751068204</v>
      </c>
      <c r="N134" s="1" cm="1">
        <f t="array" ref="N134">SUMPRODUCT(--($L$6:$L$300&lt;&gt;1),--($C$6:$C$300=$C134))</f>
        <v>61</v>
      </c>
      <c r="O134" s="3">
        <f t="shared" ref="O134:O197" si="30">IF(ISERROR((I134-M134)^2),0,(I134-M134)^2)</f>
        <v>126.37658739002752</v>
      </c>
      <c r="P134" s="2">
        <f t="shared" ref="P134:P197" si="31">SQRT(SUMPRODUCT(--($L$6:$L$300&lt;&gt;1),--($C$6:$C$300=$C134),$E$6:$E$300,$O$6:$O$300)/((N134-1)*SUMPRODUCT(--($L$6:$L$300&lt;&gt;1),--($C$6:$C$300=$C134),$E$6:$E$300)/N134))</f>
        <v>132.80809027687923</v>
      </c>
      <c r="Q134" s="2">
        <f t="shared" si="24"/>
        <v>263.46422149935881</v>
      </c>
      <c r="R134" s="2">
        <f t="shared" si="24"/>
        <v>603.86505352200527</v>
      </c>
      <c r="S134" s="2">
        <f t="shared" ref="S134:S197" si="32">IF(ISERROR(MAX(MIN(I134,R134),Q134)),R134,MAX(MIN(I134,R134),Q134))</f>
        <v>444.90637169140467</v>
      </c>
    </row>
    <row r="135" spans="2:19" x14ac:dyDescent="0.25">
      <c r="B135" s="10">
        <v>389</v>
      </c>
      <c r="C135" s="10">
        <v>7</v>
      </c>
      <c r="D135" s="9" t="s">
        <v>191</v>
      </c>
      <c r="E135" s="154">
        <f>INDEX('Revised 2017 Lockdown'!H$5:H$249,MATCH(B135,'Revised 2017 Lockdown'!B$5:B$249,0))</f>
        <v>909.4811851830467</v>
      </c>
      <c r="F135" s="7">
        <f>INDEX('Revised 2017 Lockdown'!E$5:E$249,MATCH(B135,'Revised 2017 Lockdown'!B$5:B$249,0))</f>
        <v>148142.21</v>
      </c>
      <c r="G135" s="7">
        <f>INDEX('Revised 2017 Lockdown'!F$5:F$249,MATCH(B135,'Revised 2017 Lockdown'!B$5:B$249,0))</f>
        <v>987</v>
      </c>
      <c r="H135" s="7">
        <f t="shared" si="25"/>
        <v>147155.21</v>
      </c>
      <c r="I135" s="6">
        <f t="shared" si="26"/>
        <v>161.80126911628503</v>
      </c>
      <c r="J135" s="6">
        <f t="shared" ref="J135:J198" si="33">IF(ISERROR(IF($J$2=1,MAX(MIN(I135,R135),Q135),MIN(I135,R135))),R135,IF($J$2=1,MAX(MIN(I135,R135),Q135),MIN(I135,R135)))</f>
        <v>161.80126911628503</v>
      </c>
      <c r="K135" s="5">
        <f t="shared" si="27"/>
        <v>147155.21</v>
      </c>
      <c r="L135" s="4">
        <f t="shared" si="28"/>
        <v>0</v>
      </c>
      <c r="M135" s="2">
        <f t="shared" si="29"/>
        <v>433.66463751068204</v>
      </c>
      <c r="N135" s="1" cm="1">
        <f t="array" ref="N135">SUMPRODUCT(--($L$6:$L$300&lt;&gt;1),--($C$6:$C$300=$C135))</f>
        <v>61</v>
      </c>
      <c r="O135" s="3">
        <f t="shared" si="30"/>
        <v>73909.691074747621</v>
      </c>
      <c r="P135" s="2">
        <f t="shared" si="31"/>
        <v>132.80809027687923</v>
      </c>
      <c r="Q135" s="2">
        <f t="shared" si="24"/>
        <v>263.46422149935881</v>
      </c>
      <c r="R135" s="2">
        <f t="shared" si="24"/>
        <v>603.86505352200527</v>
      </c>
      <c r="S135" s="2">
        <f t="shared" si="32"/>
        <v>263.46422149935881</v>
      </c>
    </row>
    <row r="136" spans="2:19" x14ac:dyDescent="0.25">
      <c r="B136" s="10">
        <v>434</v>
      </c>
      <c r="C136" s="10">
        <v>7</v>
      </c>
      <c r="D136" s="9" t="s">
        <v>192</v>
      </c>
      <c r="E136" s="154">
        <f>INDEX('Revised 2017 Lockdown'!H$5:H$249,MATCH(B136,'Revised 2017 Lockdown'!B$5:B$249,0))</f>
        <v>342.03221210120842</v>
      </c>
      <c r="F136" s="7">
        <f>INDEX('Revised 2017 Lockdown'!E$5:E$249,MATCH(B136,'Revised 2017 Lockdown'!B$5:B$249,0))</f>
        <v>128474.53</v>
      </c>
      <c r="G136" s="7">
        <f>INDEX('Revised 2017 Lockdown'!F$5:F$249,MATCH(B136,'Revised 2017 Lockdown'!B$5:B$249,0))</f>
        <v>0</v>
      </c>
      <c r="H136" s="7">
        <f t="shared" si="25"/>
        <v>128474.53</v>
      </c>
      <c r="I136" s="6">
        <f t="shared" si="26"/>
        <v>375.62114167768499</v>
      </c>
      <c r="J136" s="6">
        <f t="shared" si="33"/>
        <v>375.62114167768499</v>
      </c>
      <c r="K136" s="5">
        <f t="shared" si="27"/>
        <v>128474.53000000001</v>
      </c>
      <c r="L136" s="4">
        <f t="shared" si="28"/>
        <v>0</v>
      </c>
      <c r="M136" s="2">
        <f t="shared" si="29"/>
        <v>433.66463751068204</v>
      </c>
      <c r="N136" s="1" cm="1">
        <f t="array" ref="N136">SUMPRODUCT(--($L$6:$L$300&lt;&gt;1),--($C$6:$C$300=$C136))</f>
        <v>61</v>
      </c>
      <c r="O136" s="3">
        <f t="shared" si="30"/>
        <v>3369.0474085151463</v>
      </c>
      <c r="P136" s="2">
        <f t="shared" si="31"/>
        <v>132.80809027687923</v>
      </c>
      <c r="Q136" s="2">
        <f t="shared" si="24"/>
        <v>263.46422149935881</v>
      </c>
      <c r="R136" s="2">
        <f t="shared" si="24"/>
        <v>603.86505352200527</v>
      </c>
      <c r="S136" s="2">
        <f t="shared" si="32"/>
        <v>375.62114167768499</v>
      </c>
    </row>
    <row r="137" spans="2:19" x14ac:dyDescent="0.25">
      <c r="B137" s="10">
        <v>437</v>
      </c>
      <c r="C137" s="10">
        <v>7</v>
      </c>
      <c r="D137" s="9" t="s">
        <v>193</v>
      </c>
      <c r="E137" s="154">
        <f>INDEX('Revised 2017 Lockdown'!H$5:H$249,MATCH(B137,'Revised 2017 Lockdown'!B$5:B$249,0))</f>
        <v>349.75027864505995</v>
      </c>
      <c r="F137" s="7">
        <f>INDEX('Revised 2017 Lockdown'!E$5:E$249,MATCH(B137,'Revised 2017 Lockdown'!B$5:B$249,0))</f>
        <v>225876.05</v>
      </c>
      <c r="G137" s="7">
        <f>INDEX('Revised 2017 Lockdown'!F$5:F$249,MATCH(B137,'Revised 2017 Lockdown'!B$5:B$249,0))</f>
        <v>0</v>
      </c>
      <c r="H137" s="7">
        <f t="shared" si="25"/>
        <v>225876.05</v>
      </c>
      <c r="I137" s="6">
        <f t="shared" si="26"/>
        <v>645.82092936437004</v>
      </c>
      <c r="J137" s="6">
        <f t="shared" si="33"/>
        <v>603.86505352200527</v>
      </c>
      <c r="K137" s="5">
        <f t="shared" si="27"/>
        <v>211201.97073333539</v>
      </c>
      <c r="L137" s="4">
        <f t="shared" si="28"/>
        <v>0</v>
      </c>
      <c r="M137" s="2">
        <f t="shared" si="29"/>
        <v>433.66463751068204</v>
      </c>
      <c r="N137" s="1" cm="1">
        <f t="array" ref="N137">SUMPRODUCT(--($L$6:$L$300&lt;&gt;1),--($C$6:$C$300=$C137))</f>
        <v>61</v>
      </c>
      <c r="O137" s="3">
        <f t="shared" si="30"/>
        <v>45010.292173107242</v>
      </c>
      <c r="P137" s="2">
        <f t="shared" si="31"/>
        <v>132.80809027687923</v>
      </c>
      <c r="Q137" s="2">
        <f t="shared" si="24"/>
        <v>263.46422149935881</v>
      </c>
      <c r="R137" s="2">
        <f t="shared" si="24"/>
        <v>603.86505352200527</v>
      </c>
      <c r="S137" s="2">
        <f t="shared" si="32"/>
        <v>603.86505352200527</v>
      </c>
    </row>
    <row r="138" spans="2:19" x14ac:dyDescent="0.25">
      <c r="B138" s="10">
        <v>502</v>
      </c>
      <c r="C138" s="10">
        <v>7</v>
      </c>
      <c r="D138" s="9" t="s">
        <v>194</v>
      </c>
      <c r="E138" s="154">
        <f>INDEX('Revised 2017 Lockdown'!H$5:H$249,MATCH(B138,'Revised 2017 Lockdown'!B$5:B$249,0))</f>
        <v>616.38916703369796</v>
      </c>
      <c r="F138" s="7">
        <f>INDEX('Revised 2017 Lockdown'!E$5:E$249,MATCH(B138,'Revised 2017 Lockdown'!B$5:B$249,0))</f>
        <v>297076.51</v>
      </c>
      <c r="G138" s="7">
        <f>INDEX('Revised 2017 Lockdown'!F$5:F$249,MATCH(B138,'Revised 2017 Lockdown'!B$5:B$249,0))</f>
        <v>0</v>
      </c>
      <c r="H138" s="7">
        <f t="shared" si="25"/>
        <v>297076.51</v>
      </c>
      <c r="I138" s="6">
        <f t="shared" si="26"/>
        <v>481.96257476367822</v>
      </c>
      <c r="J138" s="6">
        <f t="shared" si="33"/>
        <v>481.96257476367822</v>
      </c>
      <c r="K138" s="5">
        <f t="shared" si="27"/>
        <v>297076.51</v>
      </c>
      <c r="L138" s="4">
        <f t="shared" si="28"/>
        <v>0</v>
      </c>
      <c r="M138" s="2">
        <f t="shared" si="29"/>
        <v>433.66463751068204</v>
      </c>
      <c r="N138" s="1" cm="1">
        <f t="array" ref="N138">SUMPRODUCT(--($L$6:$L$300&lt;&gt;1),--($C$6:$C$300=$C138))</f>
        <v>61</v>
      </c>
      <c r="O138" s="3">
        <f t="shared" si="30"/>
        <v>2332.6907428943559</v>
      </c>
      <c r="P138" s="2">
        <f t="shared" si="31"/>
        <v>132.80809027687923</v>
      </c>
      <c r="Q138" s="2">
        <f t="shared" si="24"/>
        <v>263.46422149935881</v>
      </c>
      <c r="R138" s="2">
        <f t="shared" si="24"/>
        <v>603.86505352200527</v>
      </c>
      <c r="S138" s="2">
        <f t="shared" si="32"/>
        <v>481.96257476367822</v>
      </c>
    </row>
    <row r="139" spans="2:19" x14ac:dyDescent="0.25">
      <c r="B139" s="10">
        <v>503</v>
      </c>
      <c r="C139" s="10">
        <v>7</v>
      </c>
      <c r="D139" s="9" t="s">
        <v>195</v>
      </c>
      <c r="E139" s="154">
        <f>INDEX('Revised 2017 Lockdown'!H$5:H$249,MATCH(B139,'Revised 2017 Lockdown'!B$5:B$249,0))</f>
        <v>360.0499999999999</v>
      </c>
      <c r="F139" s="7">
        <f>INDEX('Revised 2017 Lockdown'!E$5:E$249,MATCH(B139,'Revised 2017 Lockdown'!B$5:B$249,0))</f>
        <v>197273.02</v>
      </c>
      <c r="G139" s="7">
        <f>INDEX('Revised 2017 Lockdown'!F$5:F$249,MATCH(B139,'Revised 2017 Lockdown'!B$5:B$249,0))</f>
        <v>62642.149999999994</v>
      </c>
      <c r="H139" s="7">
        <f t="shared" si="25"/>
        <v>134630.87</v>
      </c>
      <c r="I139" s="6">
        <f t="shared" si="26"/>
        <v>373.92270517983621</v>
      </c>
      <c r="J139" s="6">
        <f t="shared" si="33"/>
        <v>373.92270517983621</v>
      </c>
      <c r="K139" s="5">
        <f t="shared" si="27"/>
        <v>134630.87</v>
      </c>
      <c r="L139" s="4">
        <f t="shared" si="28"/>
        <v>0</v>
      </c>
      <c r="M139" s="2">
        <f t="shared" si="29"/>
        <v>433.66463751068204</v>
      </c>
      <c r="N139" s="1" cm="1">
        <f t="array" ref="N139">SUMPRODUCT(--($L$6:$L$300&lt;&gt;1),--($C$6:$C$300=$C139))</f>
        <v>61</v>
      </c>
      <c r="O139" s="3">
        <f t="shared" si="30"/>
        <v>3569.0984786233621</v>
      </c>
      <c r="P139" s="2">
        <f t="shared" si="31"/>
        <v>132.80809027687923</v>
      </c>
      <c r="Q139" s="2">
        <f t="shared" si="24"/>
        <v>263.46422149935881</v>
      </c>
      <c r="R139" s="2">
        <f t="shared" si="24"/>
        <v>603.86505352200527</v>
      </c>
      <c r="S139" s="2">
        <f t="shared" si="32"/>
        <v>373.92270517983621</v>
      </c>
    </row>
    <row r="140" spans="2:19" x14ac:dyDescent="0.25">
      <c r="B140" s="10">
        <v>510</v>
      </c>
      <c r="C140" s="10">
        <v>7</v>
      </c>
      <c r="D140" s="9" t="s">
        <v>196</v>
      </c>
      <c r="E140" s="154">
        <f>INDEX('Revised 2017 Lockdown'!H$5:H$249,MATCH(B140,'Revised 2017 Lockdown'!B$5:B$249,0))</f>
        <v>476.19514109778987</v>
      </c>
      <c r="F140" s="7">
        <f>INDEX('Revised 2017 Lockdown'!E$5:E$249,MATCH(B140,'Revised 2017 Lockdown'!B$5:B$249,0))</f>
        <v>221305.23</v>
      </c>
      <c r="G140" s="7">
        <f>INDEX('Revised 2017 Lockdown'!F$5:F$249,MATCH(B140,'Revised 2017 Lockdown'!B$5:B$249,0))</f>
        <v>819</v>
      </c>
      <c r="H140" s="7">
        <f t="shared" si="25"/>
        <v>220486.23</v>
      </c>
      <c r="I140" s="6">
        <f t="shared" si="26"/>
        <v>463.01654714851799</v>
      </c>
      <c r="J140" s="6">
        <f t="shared" si="33"/>
        <v>463.01654714851799</v>
      </c>
      <c r="K140" s="5">
        <f t="shared" si="27"/>
        <v>220486.23</v>
      </c>
      <c r="L140" s="4">
        <f t="shared" si="28"/>
        <v>0</v>
      </c>
      <c r="M140" s="2">
        <f t="shared" si="29"/>
        <v>433.66463751068204</v>
      </c>
      <c r="N140" s="1" cm="1">
        <f t="array" ref="N140">SUMPRODUCT(--($L$6:$L$300&lt;&gt;1),--($C$6:$C$300=$C140))</f>
        <v>61</v>
      </c>
      <c r="O140" s="3">
        <f t="shared" si="30"/>
        <v>861.53459938768663</v>
      </c>
      <c r="P140" s="2">
        <f t="shared" si="31"/>
        <v>132.80809027687923</v>
      </c>
      <c r="Q140" s="2">
        <f t="shared" si="24"/>
        <v>263.46422149935881</v>
      </c>
      <c r="R140" s="2">
        <f t="shared" si="24"/>
        <v>603.86505352200527</v>
      </c>
      <c r="S140" s="2">
        <f t="shared" si="32"/>
        <v>463.01654714851799</v>
      </c>
    </row>
    <row r="141" spans="2:19" x14ac:dyDescent="0.25">
      <c r="B141" s="10">
        <v>531</v>
      </c>
      <c r="C141" s="10">
        <v>7</v>
      </c>
      <c r="D141" s="9" t="s">
        <v>197</v>
      </c>
      <c r="E141" s="154">
        <f>INDEX('Revised 2017 Lockdown'!H$5:H$249,MATCH(B141,'Revised 2017 Lockdown'!B$5:B$249,0))</f>
        <v>2029.4400000000003</v>
      </c>
      <c r="F141" s="7">
        <f>INDEX('Revised 2017 Lockdown'!E$5:E$249,MATCH(B141,'Revised 2017 Lockdown'!B$5:B$249,0))</f>
        <v>856693.39</v>
      </c>
      <c r="G141" s="7">
        <f>INDEX('Revised 2017 Lockdown'!F$5:F$249,MATCH(B141,'Revised 2017 Lockdown'!B$5:B$249,0))</f>
        <v>7890.9400000000005</v>
      </c>
      <c r="H141" s="7">
        <f t="shared" si="25"/>
        <v>848802.45000000007</v>
      </c>
      <c r="I141" s="6">
        <f t="shared" si="26"/>
        <v>418.24466355250706</v>
      </c>
      <c r="J141" s="6">
        <f t="shared" si="33"/>
        <v>418.24466355250706</v>
      </c>
      <c r="K141" s="5">
        <f t="shared" si="27"/>
        <v>848802.45000000007</v>
      </c>
      <c r="L141" s="4">
        <f t="shared" si="28"/>
        <v>0</v>
      </c>
      <c r="M141" s="2">
        <f t="shared" si="29"/>
        <v>433.66463751068204</v>
      </c>
      <c r="N141" s="1" cm="1">
        <f t="array" ref="N141">SUMPRODUCT(--($L$6:$L$300&lt;&gt;1),--($C$6:$C$300=$C141))</f>
        <v>61</v>
      </c>
      <c r="O141" s="3">
        <f t="shared" si="30"/>
        <v>237.77559687079452</v>
      </c>
      <c r="P141" s="2">
        <f t="shared" si="31"/>
        <v>132.80809027687923</v>
      </c>
      <c r="Q141" s="2">
        <f t="shared" si="24"/>
        <v>263.46422149935881</v>
      </c>
      <c r="R141" s="2">
        <f t="shared" si="24"/>
        <v>603.86505352200527</v>
      </c>
      <c r="S141" s="2">
        <f t="shared" si="32"/>
        <v>418.24466355250706</v>
      </c>
    </row>
    <row r="142" spans="2:19" x14ac:dyDescent="0.25">
      <c r="B142" s="10">
        <v>550</v>
      </c>
      <c r="C142" s="10">
        <v>7</v>
      </c>
      <c r="D142" s="9" t="s">
        <v>198</v>
      </c>
      <c r="E142" s="154">
        <f>INDEX('Revised 2017 Lockdown'!H$5:H$249,MATCH(B142,'Revised 2017 Lockdown'!B$5:B$249,0))</f>
        <v>277.95981427587719</v>
      </c>
      <c r="F142" s="7">
        <f>INDEX('Revised 2017 Lockdown'!E$5:E$249,MATCH(B142,'Revised 2017 Lockdown'!B$5:B$249,0))</f>
        <v>135191.09</v>
      </c>
      <c r="G142" s="7">
        <f>INDEX('Revised 2017 Lockdown'!F$5:F$249,MATCH(B142,'Revised 2017 Lockdown'!B$5:B$249,0))</f>
        <v>0</v>
      </c>
      <c r="H142" s="7">
        <f t="shared" si="25"/>
        <v>135191.09</v>
      </c>
      <c r="I142" s="6">
        <f t="shared" si="26"/>
        <v>486.3691910004726</v>
      </c>
      <c r="J142" s="6">
        <f t="shared" si="33"/>
        <v>486.3691910004726</v>
      </c>
      <c r="K142" s="5">
        <f t="shared" si="27"/>
        <v>135191.09</v>
      </c>
      <c r="L142" s="4">
        <f t="shared" si="28"/>
        <v>0</v>
      </c>
      <c r="M142" s="2">
        <f t="shared" si="29"/>
        <v>433.66463751068204</v>
      </c>
      <c r="N142" s="1" cm="1">
        <f t="array" ref="N142">SUMPRODUCT(--($L$6:$L$300&lt;&gt;1),--($C$6:$C$300=$C142))</f>
        <v>61</v>
      </c>
      <c r="O142" s="3">
        <f t="shared" si="30"/>
        <v>2777.7699585581936</v>
      </c>
      <c r="P142" s="2">
        <f t="shared" si="31"/>
        <v>132.80809027687923</v>
      </c>
      <c r="Q142" s="2">
        <f t="shared" si="24"/>
        <v>263.46422149935881</v>
      </c>
      <c r="R142" s="2">
        <f t="shared" si="24"/>
        <v>603.86505352200527</v>
      </c>
      <c r="S142" s="2">
        <f t="shared" si="32"/>
        <v>486.3691910004726</v>
      </c>
    </row>
    <row r="143" spans="2:19" x14ac:dyDescent="0.25">
      <c r="B143" s="10">
        <v>551</v>
      </c>
      <c r="C143" s="10">
        <v>7</v>
      </c>
      <c r="D143" s="9" t="s">
        <v>199</v>
      </c>
      <c r="E143" s="154">
        <f>INDEX('Revised 2017 Lockdown'!H$5:H$249,MATCH(B143,'Revised 2017 Lockdown'!B$5:B$249,0))</f>
        <v>165.07</v>
      </c>
      <c r="F143" s="7">
        <f>INDEX('Revised 2017 Lockdown'!E$5:E$249,MATCH(B143,'Revised 2017 Lockdown'!B$5:B$249,0))</f>
        <v>86625.43</v>
      </c>
      <c r="G143" s="7">
        <f>INDEX('Revised 2017 Lockdown'!F$5:F$249,MATCH(B143,'Revised 2017 Lockdown'!B$5:B$249,0))</f>
        <v>246</v>
      </c>
      <c r="H143" s="7">
        <f t="shared" si="25"/>
        <v>86379.43</v>
      </c>
      <c r="I143" s="6">
        <f t="shared" si="26"/>
        <v>523.28969528078994</v>
      </c>
      <c r="J143" s="6">
        <f t="shared" si="33"/>
        <v>523.28969528078994</v>
      </c>
      <c r="K143" s="5">
        <f t="shared" si="27"/>
        <v>86379.43</v>
      </c>
      <c r="L143" s="4">
        <f t="shared" si="28"/>
        <v>0</v>
      </c>
      <c r="M143" s="2">
        <f t="shared" si="29"/>
        <v>433.66463751068204</v>
      </c>
      <c r="N143" s="1" cm="1">
        <f t="array" ref="N143">SUMPRODUCT(--($L$6:$L$300&lt;&gt;1),--($C$6:$C$300=$C143))</f>
        <v>61</v>
      </c>
      <c r="O143" s="3">
        <f t="shared" si="30"/>
        <v>8032.6509802951787</v>
      </c>
      <c r="P143" s="2">
        <f t="shared" si="31"/>
        <v>132.80809027687923</v>
      </c>
      <c r="Q143" s="2">
        <f t="shared" si="24"/>
        <v>263.46422149935881</v>
      </c>
      <c r="R143" s="2">
        <f t="shared" si="24"/>
        <v>603.86505352200527</v>
      </c>
      <c r="S143" s="2">
        <f t="shared" si="32"/>
        <v>523.28969528078994</v>
      </c>
    </row>
    <row r="144" spans="2:19" x14ac:dyDescent="0.25">
      <c r="B144" s="10">
        <v>555</v>
      </c>
      <c r="C144" s="10">
        <v>7</v>
      </c>
      <c r="D144" s="9" t="s">
        <v>200</v>
      </c>
      <c r="E144" s="154">
        <f>INDEX('Revised 2017 Lockdown'!H$5:H$249,MATCH(B144,'Revised 2017 Lockdown'!B$5:B$249,0))</f>
        <v>705.82</v>
      </c>
      <c r="F144" s="7">
        <f>INDEX('Revised 2017 Lockdown'!E$5:E$249,MATCH(B144,'Revised 2017 Lockdown'!B$5:B$249,0))</f>
        <v>467594.79</v>
      </c>
      <c r="G144" s="7">
        <f>INDEX('Revised 2017 Lockdown'!F$5:F$249,MATCH(B144,'Revised 2017 Lockdown'!B$5:B$249,0))</f>
        <v>774.21</v>
      </c>
      <c r="H144" s="7">
        <f t="shared" si="25"/>
        <v>466820.57999999996</v>
      </c>
      <c r="I144" s="6">
        <f t="shared" si="26"/>
        <v>661.38757756935183</v>
      </c>
      <c r="J144" s="6">
        <f t="shared" si="33"/>
        <v>603.86505352200527</v>
      </c>
      <c r="K144" s="5">
        <f t="shared" si="27"/>
        <v>426220.03207690181</v>
      </c>
      <c r="L144" s="4">
        <f t="shared" si="28"/>
        <v>0</v>
      </c>
      <c r="M144" s="2">
        <f t="shared" si="29"/>
        <v>433.66463751068204</v>
      </c>
      <c r="N144" s="1" cm="1">
        <f t="array" ref="N144">SUMPRODUCT(--($L$6:$L$300&lt;&gt;1),--($C$6:$C$300=$C144))</f>
        <v>61</v>
      </c>
      <c r="O144" s="3">
        <f t="shared" si="30"/>
        <v>51857.737428964516</v>
      </c>
      <c r="P144" s="2">
        <f t="shared" si="31"/>
        <v>132.80809027687923</v>
      </c>
      <c r="Q144" s="2">
        <f t="shared" si="24"/>
        <v>263.46422149935881</v>
      </c>
      <c r="R144" s="2">
        <f t="shared" si="24"/>
        <v>603.86505352200527</v>
      </c>
      <c r="S144" s="2">
        <f t="shared" si="32"/>
        <v>603.86505352200527</v>
      </c>
    </row>
    <row r="145" spans="2:19" x14ac:dyDescent="0.25">
      <c r="B145" s="10">
        <v>556</v>
      </c>
      <c r="C145" s="10">
        <v>7</v>
      </c>
      <c r="D145" s="9" t="s">
        <v>201</v>
      </c>
      <c r="E145" s="154">
        <f>INDEX('Revised 2017 Lockdown'!H$5:H$249,MATCH(B145,'Revised 2017 Lockdown'!B$5:B$249,0))</f>
        <v>399.46326028334249</v>
      </c>
      <c r="F145" s="7">
        <f>INDEX('Revised 2017 Lockdown'!E$5:E$249,MATCH(B145,'Revised 2017 Lockdown'!B$5:B$249,0))</f>
        <v>156309.14000000001</v>
      </c>
      <c r="G145" s="7">
        <f>INDEX('Revised 2017 Lockdown'!F$5:F$249,MATCH(B145,'Revised 2017 Lockdown'!B$5:B$249,0))</f>
        <v>427</v>
      </c>
      <c r="H145" s="7">
        <f t="shared" si="25"/>
        <v>155882.14000000001</v>
      </c>
      <c r="I145" s="6">
        <f t="shared" si="26"/>
        <v>390.22897847835009</v>
      </c>
      <c r="J145" s="6">
        <f t="shared" si="33"/>
        <v>390.22897847835009</v>
      </c>
      <c r="K145" s="5">
        <f t="shared" si="27"/>
        <v>155882.14000000001</v>
      </c>
      <c r="L145" s="4">
        <f t="shared" si="28"/>
        <v>0</v>
      </c>
      <c r="M145" s="2">
        <f t="shared" si="29"/>
        <v>433.66463751068204</v>
      </c>
      <c r="N145" s="1" cm="1">
        <f t="array" ref="N145">SUMPRODUCT(--($L$6:$L$300&lt;&gt;1),--($C$6:$C$300=$C145))</f>
        <v>61</v>
      </c>
      <c r="O145" s="3">
        <f t="shared" si="30"/>
        <v>1886.6564755730005</v>
      </c>
      <c r="P145" s="2">
        <f t="shared" si="31"/>
        <v>132.80809027687923</v>
      </c>
      <c r="Q145" s="2">
        <f t="shared" si="24"/>
        <v>263.46422149935881</v>
      </c>
      <c r="R145" s="2">
        <f t="shared" si="24"/>
        <v>603.86505352200527</v>
      </c>
      <c r="S145" s="2">
        <f t="shared" si="32"/>
        <v>390.22897847835009</v>
      </c>
    </row>
    <row r="146" spans="2:19" x14ac:dyDescent="0.25">
      <c r="B146" s="10">
        <v>558</v>
      </c>
      <c r="C146" s="10">
        <v>7</v>
      </c>
      <c r="D146" s="9" t="s">
        <v>202</v>
      </c>
      <c r="E146" s="154">
        <f>INDEX('Revised 2017 Lockdown'!H$5:H$249,MATCH(B146,'Revised 2017 Lockdown'!B$5:B$249,0))</f>
        <v>305.78979646739623</v>
      </c>
      <c r="F146" s="7">
        <f>INDEX('Revised 2017 Lockdown'!E$5:E$249,MATCH(B146,'Revised 2017 Lockdown'!B$5:B$249,0))</f>
        <v>165308.60999999999</v>
      </c>
      <c r="G146" s="7">
        <f>INDEX('Revised 2017 Lockdown'!F$5:F$249,MATCH(B146,'Revised 2017 Lockdown'!B$5:B$249,0))</f>
        <v>22409</v>
      </c>
      <c r="H146" s="7">
        <f t="shared" si="25"/>
        <v>142899.60999999999</v>
      </c>
      <c r="I146" s="6">
        <f t="shared" si="26"/>
        <v>467.31320551186593</v>
      </c>
      <c r="J146" s="6">
        <f t="shared" si="33"/>
        <v>467.31320551186593</v>
      </c>
      <c r="K146" s="5">
        <f t="shared" si="27"/>
        <v>142899.60999999999</v>
      </c>
      <c r="L146" s="4">
        <f t="shared" si="28"/>
        <v>0</v>
      </c>
      <c r="M146" s="2">
        <f t="shared" si="29"/>
        <v>433.66463751068204</v>
      </c>
      <c r="N146" s="1" cm="1">
        <f t="array" ref="N146">SUMPRODUCT(--($L$6:$L$300&lt;&gt;1),--($C$6:$C$300=$C146))</f>
        <v>61</v>
      </c>
      <c r="O146" s="3">
        <f t="shared" si="30"/>
        <v>1132.2261285302964</v>
      </c>
      <c r="P146" s="2">
        <f t="shared" si="31"/>
        <v>132.80809027687923</v>
      </c>
      <c r="Q146" s="2">
        <f t="shared" ref="Q146:R165" si="34">NORMINV(Q$4,$M146,$P146)</f>
        <v>263.46422149935881</v>
      </c>
      <c r="R146" s="2">
        <f t="shared" si="34"/>
        <v>603.86505352200527</v>
      </c>
      <c r="S146" s="2">
        <f t="shared" si="32"/>
        <v>467.31320551186593</v>
      </c>
    </row>
    <row r="147" spans="2:19" x14ac:dyDescent="0.25">
      <c r="B147" s="10">
        <v>600</v>
      </c>
      <c r="C147" s="10">
        <v>7</v>
      </c>
      <c r="D147" s="9" t="s">
        <v>203</v>
      </c>
      <c r="E147" s="154">
        <f>INDEX('Revised 2017 Lockdown'!H$5:H$249,MATCH(B147,'Revised 2017 Lockdown'!B$5:B$249,0))</f>
        <v>741.18</v>
      </c>
      <c r="F147" s="7">
        <f>INDEX('Revised 2017 Lockdown'!E$5:E$249,MATCH(B147,'Revised 2017 Lockdown'!B$5:B$249,0))</f>
        <v>238860.15</v>
      </c>
      <c r="G147" s="7">
        <f>INDEX('Revised 2017 Lockdown'!F$5:F$249,MATCH(B147,'Revised 2017 Lockdown'!B$5:B$249,0))</f>
        <v>10</v>
      </c>
      <c r="H147" s="7">
        <f t="shared" si="25"/>
        <v>238850.15</v>
      </c>
      <c r="I147" s="6">
        <f t="shared" si="26"/>
        <v>322.25660433363015</v>
      </c>
      <c r="J147" s="6">
        <f t="shared" si="33"/>
        <v>322.25660433363015</v>
      </c>
      <c r="K147" s="5">
        <f t="shared" si="27"/>
        <v>238850.14999999997</v>
      </c>
      <c r="L147" s="4">
        <f t="shared" si="28"/>
        <v>0</v>
      </c>
      <c r="M147" s="2">
        <f t="shared" si="29"/>
        <v>433.66463751068204</v>
      </c>
      <c r="N147" s="1" cm="1">
        <f t="array" ref="N147">SUMPRODUCT(--($L$6:$L$300&lt;&gt;1),--($C$6:$C$300=$C147))</f>
        <v>61</v>
      </c>
      <c r="O147" s="3">
        <f t="shared" si="30"/>
        <v>12411.749856379094</v>
      </c>
      <c r="P147" s="2">
        <f t="shared" si="31"/>
        <v>132.80809027687923</v>
      </c>
      <c r="Q147" s="2">
        <f t="shared" si="34"/>
        <v>263.46422149935881</v>
      </c>
      <c r="R147" s="2">
        <f t="shared" si="34"/>
        <v>603.86505352200527</v>
      </c>
      <c r="S147" s="2">
        <f t="shared" si="32"/>
        <v>322.25660433363015</v>
      </c>
    </row>
    <row r="148" spans="2:19" x14ac:dyDescent="0.25">
      <c r="B148" s="10">
        <v>604</v>
      </c>
      <c r="C148" s="10">
        <v>7</v>
      </c>
      <c r="D148" s="9" t="s">
        <v>204</v>
      </c>
      <c r="E148" s="154">
        <f>INDEX('Revised 2017 Lockdown'!H$5:H$249,MATCH(B148,'Revised 2017 Lockdown'!B$5:B$249,0))</f>
        <v>663.01441323913355</v>
      </c>
      <c r="F148" s="7">
        <f>INDEX('Revised 2017 Lockdown'!E$5:E$249,MATCH(B148,'Revised 2017 Lockdown'!B$5:B$249,0))</f>
        <v>218649.53</v>
      </c>
      <c r="G148" s="7">
        <f>INDEX('Revised 2017 Lockdown'!F$5:F$249,MATCH(B148,'Revised 2017 Lockdown'!B$5:B$249,0))</f>
        <v>40098.400000000001</v>
      </c>
      <c r="H148" s="7">
        <f t="shared" si="25"/>
        <v>178551.13</v>
      </c>
      <c r="I148" s="6">
        <f t="shared" si="26"/>
        <v>269.30203391460941</v>
      </c>
      <c r="J148" s="6">
        <f t="shared" si="33"/>
        <v>269.30203391460941</v>
      </c>
      <c r="K148" s="5">
        <f t="shared" si="27"/>
        <v>178551.13</v>
      </c>
      <c r="L148" s="4">
        <f t="shared" si="28"/>
        <v>0</v>
      </c>
      <c r="M148" s="2">
        <f t="shared" si="29"/>
        <v>433.66463751068204</v>
      </c>
      <c r="N148" s="1" cm="1">
        <f t="array" ref="N148">SUMPRODUCT(--($L$6:$L$300&lt;&gt;1),--($C$6:$C$300=$C148))</f>
        <v>61</v>
      </c>
      <c r="O148" s="3">
        <f t="shared" si="30"/>
        <v>27015.065460879709</v>
      </c>
      <c r="P148" s="2">
        <f t="shared" si="31"/>
        <v>132.80809027687923</v>
      </c>
      <c r="Q148" s="2">
        <f t="shared" si="34"/>
        <v>263.46422149935881</v>
      </c>
      <c r="R148" s="2">
        <f t="shared" si="34"/>
        <v>603.86505352200527</v>
      </c>
      <c r="S148" s="2">
        <f t="shared" si="32"/>
        <v>269.30203391460941</v>
      </c>
    </row>
    <row r="149" spans="2:19" x14ac:dyDescent="0.25">
      <c r="B149" s="10">
        <v>612</v>
      </c>
      <c r="C149" s="10">
        <v>7</v>
      </c>
      <c r="D149" s="9" t="s">
        <v>205</v>
      </c>
      <c r="E149" s="154">
        <f>INDEX('Revised 2017 Lockdown'!H$5:H$249,MATCH(B149,'Revised 2017 Lockdown'!B$5:B$249,0))</f>
        <v>520.57952624249731</v>
      </c>
      <c r="F149" s="7">
        <f>INDEX('Revised 2017 Lockdown'!E$5:E$249,MATCH(B149,'Revised 2017 Lockdown'!B$5:B$249,0))</f>
        <v>194053.99</v>
      </c>
      <c r="G149" s="7">
        <f>INDEX('Revised 2017 Lockdown'!F$5:F$249,MATCH(B149,'Revised 2017 Lockdown'!B$5:B$249,0))</f>
        <v>1285.3399999999999</v>
      </c>
      <c r="H149" s="7">
        <f t="shared" si="25"/>
        <v>192768.65</v>
      </c>
      <c r="I149" s="6">
        <f t="shared" si="26"/>
        <v>370.29625692617839</v>
      </c>
      <c r="J149" s="6">
        <f t="shared" si="33"/>
        <v>370.29625692617839</v>
      </c>
      <c r="K149" s="5">
        <f t="shared" si="27"/>
        <v>192768.65</v>
      </c>
      <c r="L149" s="4">
        <f t="shared" si="28"/>
        <v>0</v>
      </c>
      <c r="M149" s="2">
        <f t="shared" si="29"/>
        <v>433.66463751068204</v>
      </c>
      <c r="N149" s="1" cm="1">
        <f t="array" ref="N149">SUMPRODUCT(--($L$6:$L$300&lt;&gt;1),--($C$6:$C$300=$C149))</f>
        <v>61</v>
      </c>
      <c r="O149" s="3">
        <f t="shared" si="30"/>
        <v>4015.5516579024998</v>
      </c>
      <c r="P149" s="2">
        <f t="shared" si="31"/>
        <v>132.80809027687923</v>
      </c>
      <c r="Q149" s="2">
        <f t="shared" si="34"/>
        <v>263.46422149935881</v>
      </c>
      <c r="R149" s="2">
        <f t="shared" si="34"/>
        <v>603.86505352200527</v>
      </c>
      <c r="S149" s="2">
        <f t="shared" si="32"/>
        <v>370.29625692617839</v>
      </c>
    </row>
    <row r="150" spans="2:19" x14ac:dyDescent="0.25">
      <c r="B150" s="10">
        <v>711</v>
      </c>
      <c r="C150" s="10">
        <v>7</v>
      </c>
      <c r="D150" s="9" t="s">
        <v>206</v>
      </c>
      <c r="E150" s="154">
        <f>INDEX('Revised 2017 Lockdown'!H$5:H$249,MATCH(B150,'Revised 2017 Lockdown'!B$5:B$249,0))</f>
        <v>383.03000000000003</v>
      </c>
      <c r="F150" s="7">
        <f>INDEX('Revised 2017 Lockdown'!E$5:E$249,MATCH(B150,'Revised 2017 Lockdown'!B$5:B$249,0))</f>
        <v>210277.86</v>
      </c>
      <c r="G150" s="7">
        <f>INDEX('Revised 2017 Lockdown'!F$5:F$249,MATCH(B150,'Revised 2017 Lockdown'!B$5:B$249,0))</f>
        <v>25071.68</v>
      </c>
      <c r="H150" s="7">
        <f t="shared" si="25"/>
        <v>185206.18</v>
      </c>
      <c r="I150" s="6">
        <f t="shared" si="26"/>
        <v>483.52917526042341</v>
      </c>
      <c r="J150" s="6">
        <f t="shared" si="33"/>
        <v>483.52917526042341</v>
      </c>
      <c r="K150" s="5">
        <f t="shared" si="27"/>
        <v>185206.18</v>
      </c>
      <c r="L150" s="4">
        <f t="shared" si="28"/>
        <v>0</v>
      </c>
      <c r="M150" s="2">
        <f t="shared" si="29"/>
        <v>433.66463751068204</v>
      </c>
      <c r="N150" s="1" cm="1">
        <f t="array" ref="N150">SUMPRODUCT(--($L$6:$L$300&lt;&gt;1),--($C$6:$C$300=$C150))</f>
        <v>61</v>
      </c>
      <c r="O150" s="3">
        <f t="shared" si="30"/>
        <v>2486.4721249953823</v>
      </c>
      <c r="P150" s="2">
        <f t="shared" si="31"/>
        <v>132.80809027687923</v>
      </c>
      <c r="Q150" s="2">
        <f t="shared" si="34"/>
        <v>263.46422149935881</v>
      </c>
      <c r="R150" s="2">
        <f t="shared" si="34"/>
        <v>603.86505352200527</v>
      </c>
      <c r="S150" s="2">
        <f t="shared" si="32"/>
        <v>483.52917526042341</v>
      </c>
    </row>
    <row r="151" spans="2:19" x14ac:dyDescent="0.25">
      <c r="B151" s="10">
        <v>712</v>
      </c>
      <c r="C151" s="10">
        <v>7</v>
      </c>
      <c r="D151" s="9" t="s">
        <v>207</v>
      </c>
      <c r="E151" s="154">
        <f>INDEX('Revised 2017 Lockdown'!H$5:H$249,MATCH(B151,'Revised 2017 Lockdown'!B$5:B$249,0))</f>
        <v>577.44136596925159</v>
      </c>
      <c r="F151" s="7">
        <f>INDEX('Revised 2017 Lockdown'!E$5:E$249,MATCH(B151,'Revised 2017 Lockdown'!B$5:B$249,0))</f>
        <v>276945.74</v>
      </c>
      <c r="G151" s="7">
        <f>INDEX('Revised 2017 Lockdown'!F$5:F$249,MATCH(B151,'Revised 2017 Lockdown'!B$5:B$249,0))</f>
        <v>0</v>
      </c>
      <c r="H151" s="7">
        <f t="shared" si="25"/>
        <v>276945.74</v>
      </c>
      <c r="I151" s="6">
        <f t="shared" si="26"/>
        <v>479.60841796489376</v>
      </c>
      <c r="J151" s="6">
        <f t="shared" si="33"/>
        <v>479.60841796489376</v>
      </c>
      <c r="K151" s="5">
        <f t="shared" si="27"/>
        <v>276945.74</v>
      </c>
      <c r="L151" s="4">
        <f t="shared" si="28"/>
        <v>0</v>
      </c>
      <c r="M151" s="2">
        <f t="shared" si="29"/>
        <v>433.66463751068204</v>
      </c>
      <c r="N151" s="1" cm="1">
        <f t="array" ref="N151">SUMPRODUCT(--($L$6:$L$300&lt;&gt;1),--($C$6:$C$300=$C151))</f>
        <v>61</v>
      </c>
      <c r="O151" s="3">
        <f t="shared" si="30"/>
        <v>2110.8309624248068</v>
      </c>
      <c r="P151" s="2">
        <f t="shared" si="31"/>
        <v>132.80809027687923</v>
      </c>
      <c r="Q151" s="2">
        <f t="shared" si="34"/>
        <v>263.46422149935881</v>
      </c>
      <c r="R151" s="2">
        <f t="shared" si="34"/>
        <v>603.86505352200527</v>
      </c>
      <c r="S151" s="2">
        <f t="shared" si="32"/>
        <v>479.60841796489376</v>
      </c>
    </row>
    <row r="152" spans="2:19" x14ac:dyDescent="0.25">
      <c r="B152" s="10">
        <v>718</v>
      </c>
      <c r="C152" s="10">
        <v>7</v>
      </c>
      <c r="D152" s="9" t="s">
        <v>208</v>
      </c>
      <c r="E152" s="154">
        <f>INDEX('Revised 2017 Lockdown'!H$5:H$249,MATCH(B152,'Revised 2017 Lockdown'!B$5:B$249,0))</f>
        <v>41.596316531073334</v>
      </c>
      <c r="F152" s="7">
        <f>INDEX('Revised 2017 Lockdown'!E$5:E$249,MATCH(B152,'Revised 2017 Lockdown'!B$5:B$249,0))</f>
        <v>21138.42</v>
      </c>
      <c r="G152" s="7">
        <f>INDEX('Revised 2017 Lockdown'!F$5:F$249,MATCH(B152,'Revised 2017 Lockdown'!B$5:B$249,0))</f>
        <v>0</v>
      </c>
      <c r="H152" s="7">
        <f t="shared" si="25"/>
        <v>21138.42</v>
      </c>
      <c r="I152" s="6">
        <f t="shared" si="26"/>
        <v>508.18009292263048</v>
      </c>
      <c r="J152" s="6">
        <f t="shared" si="33"/>
        <v>508.18009292263048</v>
      </c>
      <c r="K152" s="5">
        <f t="shared" si="27"/>
        <v>21138.42</v>
      </c>
      <c r="L152" s="4">
        <f t="shared" si="28"/>
        <v>0</v>
      </c>
      <c r="M152" s="2">
        <f t="shared" si="29"/>
        <v>433.66463751068204</v>
      </c>
      <c r="N152" s="1" cm="1">
        <f t="array" ref="N152">SUMPRODUCT(--($L$6:$L$300&lt;&gt;1),--($C$6:$C$300=$C152))</f>
        <v>61</v>
      </c>
      <c r="O152" s="3">
        <f t="shared" si="30"/>
        <v>5552.5530952500758</v>
      </c>
      <c r="P152" s="2">
        <f t="shared" si="31"/>
        <v>132.80809027687923</v>
      </c>
      <c r="Q152" s="2">
        <f t="shared" si="34"/>
        <v>263.46422149935881</v>
      </c>
      <c r="R152" s="2">
        <f t="shared" si="34"/>
        <v>603.86505352200527</v>
      </c>
      <c r="S152" s="2">
        <f t="shared" si="32"/>
        <v>508.18009292263048</v>
      </c>
    </row>
    <row r="153" spans="2:19" x14ac:dyDescent="0.25">
      <c r="B153" s="10">
        <v>736</v>
      </c>
      <c r="C153" s="10">
        <v>7</v>
      </c>
      <c r="D153" s="9" t="s">
        <v>209</v>
      </c>
      <c r="E153" s="154">
        <f>INDEX('Revised 2017 Lockdown'!H$5:H$249,MATCH(B153,'Revised 2017 Lockdown'!B$5:B$249,0))</f>
        <v>139.26018147577855</v>
      </c>
      <c r="F153" s="7">
        <f>INDEX('Revised 2017 Lockdown'!E$5:E$249,MATCH(B153,'Revised 2017 Lockdown'!B$5:B$249,0))</f>
        <v>50940.17</v>
      </c>
      <c r="G153" s="7">
        <f>INDEX('Revised 2017 Lockdown'!F$5:F$249,MATCH(B153,'Revised 2017 Lockdown'!B$5:B$249,0))</f>
        <v>0</v>
      </c>
      <c r="H153" s="7">
        <f t="shared" si="25"/>
        <v>50940.17</v>
      </c>
      <c r="I153" s="6">
        <f t="shared" si="26"/>
        <v>365.79135155629535</v>
      </c>
      <c r="J153" s="6">
        <f t="shared" si="33"/>
        <v>365.79135155629535</v>
      </c>
      <c r="K153" s="5">
        <f t="shared" si="27"/>
        <v>50940.170000000006</v>
      </c>
      <c r="L153" s="4">
        <f t="shared" si="28"/>
        <v>0</v>
      </c>
      <c r="M153" s="2">
        <f t="shared" si="29"/>
        <v>433.66463751068204</v>
      </c>
      <c r="N153" s="1" cm="1">
        <f t="array" ref="N153">SUMPRODUCT(--($L$6:$L$300&lt;&gt;1),--($C$6:$C$300=$C153))</f>
        <v>61</v>
      </c>
      <c r="O153" s="3">
        <f t="shared" si="30"/>
        <v>4606.7829462459449</v>
      </c>
      <c r="P153" s="2">
        <f t="shared" si="31"/>
        <v>132.80809027687923</v>
      </c>
      <c r="Q153" s="2">
        <f t="shared" si="34"/>
        <v>263.46422149935881</v>
      </c>
      <c r="R153" s="2">
        <f t="shared" si="34"/>
        <v>603.86505352200527</v>
      </c>
      <c r="S153" s="2">
        <f t="shared" si="32"/>
        <v>365.79135155629535</v>
      </c>
    </row>
    <row r="154" spans="2:19" x14ac:dyDescent="0.25">
      <c r="B154" s="10">
        <v>757</v>
      </c>
      <c r="C154" s="10">
        <v>7</v>
      </c>
      <c r="D154" s="9" t="s">
        <v>210</v>
      </c>
      <c r="E154" s="154">
        <f>INDEX('Revised 2017 Lockdown'!H$5:H$249,MATCH(B154,'Revised 2017 Lockdown'!B$5:B$249,0))</f>
        <v>451.19999999999993</v>
      </c>
      <c r="F154" s="7">
        <f>INDEX('Revised 2017 Lockdown'!E$5:E$249,MATCH(B154,'Revised 2017 Lockdown'!B$5:B$249,0))</f>
        <v>297694.98</v>
      </c>
      <c r="G154" s="7">
        <f>INDEX('Revised 2017 Lockdown'!F$5:F$249,MATCH(B154,'Revised 2017 Lockdown'!B$5:B$249,0))</f>
        <v>55134</v>
      </c>
      <c r="H154" s="7">
        <f t="shared" si="25"/>
        <v>242560.97999999998</v>
      </c>
      <c r="I154" s="6">
        <f t="shared" si="26"/>
        <v>537.5908244680852</v>
      </c>
      <c r="J154" s="6">
        <f t="shared" si="33"/>
        <v>537.5908244680852</v>
      </c>
      <c r="K154" s="5">
        <f t="shared" si="27"/>
        <v>242560.98</v>
      </c>
      <c r="L154" s="4">
        <f t="shared" si="28"/>
        <v>0</v>
      </c>
      <c r="M154" s="2">
        <f t="shared" si="29"/>
        <v>433.66463751068204</v>
      </c>
      <c r="N154" s="1" cm="1">
        <f t="array" ref="N154">SUMPRODUCT(--($L$6:$L$300&lt;&gt;1),--($C$6:$C$300=$C154))</f>
        <v>61</v>
      </c>
      <c r="O154" s="3">
        <f t="shared" si="30"/>
        <v>10800.652335505114</v>
      </c>
      <c r="P154" s="2">
        <f t="shared" si="31"/>
        <v>132.80809027687923</v>
      </c>
      <c r="Q154" s="2">
        <f t="shared" si="34"/>
        <v>263.46422149935881</v>
      </c>
      <c r="R154" s="2">
        <f t="shared" si="34"/>
        <v>603.86505352200527</v>
      </c>
      <c r="S154" s="2">
        <f t="shared" si="32"/>
        <v>537.5908244680852</v>
      </c>
    </row>
    <row r="155" spans="2:19" x14ac:dyDescent="0.25">
      <c r="B155" s="10">
        <v>786</v>
      </c>
      <c r="C155" s="10">
        <v>7</v>
      </c>
      <c r="D155" s="9" t="s">
        <v>211</v>
      </c>
      <c r="E155" s="154">
        <f>INDEX('Revised 2017 Lockdown'!H$5:H$249,MATCH(B155,'Revised 2017 Lockdown'!B$5:B$249,0))</f>
        <v>3074.88</v>
      </c>
      <c r="F155" s="7">
        <f>INDEX('Revised 2017 Lockdown'!E$5:E$249,MATCH(B155,'Revised 2017 Lockdown'!B$5:B$249,0))</f>
        <v>1542106.66</v>
      </c>
      <c r="G155" s="7">
        <f>INDEX('Revised 2017 Lockdown'!F$5:F$249,MATCH(B155,'Revised 2017 Lockdown'!B$5:B$249,0))</f>
        <v>369767.38</v>
      </c>
      <c r="H155" s="7">
        <f t="shared" si="25"/>
        <v>1172339.2799999998</v>
      </c>
      <c r="I155" s="6">
        <f t="shared" si="26"/>
        <v>381.26342491414289</v>
      </c>
      <c r="J155" s="6">
        <f t="shared" si="33"/>
        <v>381.26342491414289</v>
      </c>
      <c r="K155" s="5">
        <f t="shared" si="27"/>
        <v>1172339.2799999998</v>
      </c>
      <c r="L155" s="4">
        <f t="shared" si="28"/>
        <v>0</v>
      </c>
      <c r="M155" s="2">
        <f t="shared" si="29"/>
        <v>433.66463751068204</v>
      </c>
      <c r="N155" s="1" cm="1">
        <f t="array" ref="N155">SUMPRODUCT(--($L$6:$L$300&lt;&gt;1),--($C$6:$C$300=$C155))</f>
        <v>61</v>
      </c>
      <c r="O155" s="3">
        <f t="shared" si="30"/>
        <v>2745.8870815876935</v>
      </c>
      <c r="P155" s="2">
        <f t="shared" si="31"/>
        <v>132.80809027687923</v>
      </c>
      <c r="Q155" s="2">
        <f t="shared" si="34"/>
        <v>263.46422149935881</v>
      </c>
      <c r="R155" s="2">
        <f t="shared" si="34"/>
        <v>603.86505352200527</v>
      </c>
      <c r="S155" s="2">
        <f t="shared" si="32"/>
        <v>381.26342491414289</v>
      </c>
    </row>
    <row r="156" spans="2:19" x14ac:dyDescent="0.25">
      <c r="B156" s="10">
        <v>854</v>
      </c>
      <c r="C156" s="10">
        <v>7</v>
      </c>
      <c r="D156" s="9" t="s">
        <v>212</v>
      </c>
      <c r="E156" s="154">
        <f>INDEX('Revised 2017 Lockdown'!H$5:H$249,MATCH(B156,'Revised 2017 Lockdown'!B$5:B$249,0))</f>
        <v>831.67</v>
      </c>
      <c r="F156" s="7">
        <f>INDEX('Revised 2017 Lockdown'!E$5:E$249,MATCH(B156,'Revised 2017 Lockdown'!B$5:B$249,0))</f>
        <v>485829.07</v>
      </c>
      <c r="G156" s="7">
        <f>INDEX('Revised 2017 Lockdown'!F$5:F$249,MATCH(B156,'Revised 2017 Lockdown'!B$5:B$249,0))</f>
        <v>31273.13</v>
      </c>
      <c r="H156" s="7">
        <f t="shared" si="25"/>
        <v>454555.94</v>
      </c>
      <c r="I156" s="6">
        <f t="shared" si="26"/>
        <v>546.55805788353553</v>
      </c>
      <c r="J156" s="6">
        <f t="shared" si="33"/>
        <v>546.55805788353553</v>
      </c>
      <c r="K156" s="5">
        <f t="shared" si="27"/>
        <v>454555.93999999994</v>
      </c>
      <c r="L156" s="4">
        <f t="shared" si="28"/>
        <v>0</v>
      </c>
      <c r="M156" s="2">
        <f t="shared" si="29"/>
        <v>433.66463751068204</v>
      </c>
      <c r="N156" s="1" cm="1">
        <f t="array" ref="N156">SUMPRODUCT(--($L$6:$L$300&lt;&gt;1),--($C$6:$C$300=$C156))</f>
        <v>61</v>
      </c>
      <c r="O156" s="3">
        <f t="shared" si="30"/>
        <v>12744.92436348181</v>
      </c>
      <c r="P156" s="2">
        <f t="shared" si="31"/>
        <v>132.80809027687923</v>
      </c>
      <c r="Q156" s="2">
        <f t="shared" si="34"/>
        <v>263.46422149935881</v>
      </c>
      <c r="R156" s="2">
        <f t="shared" si="34"/>
        <v>603.86505352200527</v>
      </c>
      <c r="S156" s="2">
        <f t="shared" si="32"/>
        <v>546.55805788353553</v>
      </c>
    </row>
    <row r="157" spans="2:19" x14ac:dyDescent="0.25">
      <c r="B157" s="10">
        <v>855</v>
      </c>
      <c r="C157" s="10">
        <v>7</v>
      </c>
      <c r="D157" s="9" t="s">
        <v>213</v>
      </c>
      <c r="E157" s="154">
        <f>INDEX('Revised 2017 Lockdown'!H$5:H$249,MATCH(B157,'Revised 2017 Lockdown'!B$5:B$249,0))</f>
        <v>235.38</v>
      </c>
      <c r="F157" s="7">
        <f>INDEX('Revised 2017 Lockdown'!E$5:E$249,MATCH(B157,'Revised 2017 Lockdown'!B$5:B$249,0))</f>
        <v>130165.58</v>
      </c>
      <c r="G157" s="7">
        <f>INDEX('Revised 2017 Lockdown'!F$5:F$249,MATCH(B157,'Revised 2017 Lockdown'!B$5:B$249,0))</f>
        <v>8084</v>
      </c>
      <c r="H157" s="7">
        <f t="shared" si="25"/>
        <v>122081.58</v>
      </c>
      <c r="I157" s="6">
        <f t="shared" si="26"/>
        <v>518.65740504715779</v>
      </c>
      <c r="J157" s="6">
        <f t="shared" si="33"/>
        <v>518.65740504715779</v>
      </c>
      <c r="K157" s="5">
        <f t="shared" si="27"/>
        <v>122081.58</v>
      </c>
      <c r="L157" s="4">
        <f t="shared" si="28"/>
        <v>0</v>
      </c>
      <c r="M157" s="2">
        <f t="shared" si="29"/>
        <v>433.66463751068204</v>
      </c>
      <c r="N157" s="1" cm="1">
        <f t="array" ref="N157">SUMPRODUCT(--($L$6:$L$300&lt;&gt;1),--($C$6:$C$300=$C157))</f>
        <v>61</v>
      </c>
      <c r="O157" s="3">
        <f t="shared" si="30"/>
        <v>7223.770533509407</v>
      </c>
      <c r="P157" s="2">
        <f t="shared" si="31"/>
        <v>132.80809027687923</v>
      </c>
      <c r="Q157" s="2">
        <f t="shared" si="34"/>
        <v>263.46422149935881</v>
      </c>
      <c r="R157" s="2">
        <f t="shared" si="34"/>
        <v>603.86505352200527</v>
      </c>
      <c r="S157" s="2">
        <f t="shared" si="32"/>
        <v>518.65740504715779</v>
      </c>
    </row>
    <row r="158" spans="2:19" x14ac:dyDescent="0.25">
      <c r="B158" s="10">
        <v>862</v>
      </c>
      <c r="C158" s="10">
        <v>7</v>
      </c>
      <c r="D158" s="9" t="s">
        <v>214</v>
      </c>
      <c r="E158" s="154">
        <f>INDEX('Revised 2017 Lockdown'!H$5:H$249,MATCH(B158,'Revised 2017 Lockdown'!B$5:B$249,0))</f>
        <v>13.661113692780718</v>
      </c>
      <c r="F158" s="7">
        <f>INDEX('Revised 2017 Lockdown'!E$5:E$249,MATCH(B158,'Revised 2017 Lockdown'!B$5:B$249,0))</f>
        <v>10279.34</v>
      </c>
      <c r="G158" s="7">
        <f>INDEX('Revised 2017 Lockdown'!F$5:F$249,MATCH(B158,'Revised 2017 Lockdown'!B$5:B$249,0))</f>
        <v>7583.34</v>
      </c>
      <c r="H158" s="7">
        <f t="shared" si="25"/>
        <v>2696</v>
      </c>
      <c r="I158" s="6">
        <f t="shared" si="26"/>
        <v>197.3484783619592</v>
      </c>
      <c r="J158" s="6">
        <f t="shared" si="33"/>
        <v>197.3484783619592</v>
      </c>
      <c r="K158" s="5">
        <f t="shared" si="27"/>
        <v>2696</v>
      </c>
      <c r="L158" s="4">
        <f t="shared" si="28"/>
        <v>0</v>
      </c>
      <c r="M158" s="2">
        <f t="shared" si="29"/>
        <v>433.66463751068204</v>
      </c>
      <c r="N158" s="1" cm="1">
        <f t="array" ref="N158">SUMPRODUCT(--($L$6:$L$300&lt;&gt;1),--($C$6:$C$300=$C158))</f>
        <v>61</v>
      </c>
      <c r="O158" s="3">
        <f t="shared" si="30"/>
        <v>55845.327074804503</v>
      </c>
      <c r="P158" s="2">
        <f t="shared" si="31"/>
        <v>132.80809027687923</v>
      </c>
      <c r="Q158" s="2">
        <f t="shared" si="34"/>
        <v>263.46422149935881</v>
      </c>
      <c r="R158" s="2">
        <f t="shared" si="34"/>
        <v>603.86505352200527</v>
      </c>
      <c r="S158" s="2">
        <f t="shared" si="32"/>
        <v>263.46422149935881</v>
      </c>
    </row>
    <row r="159" spans="2:19" x14ac:dyDescent="0.25">
      <c r="B159" s="10">
        <v>958</v>
      </c>
      <c r="C159" s="10">
        <v>7</v>
      </c>
      <c r="D159" s="9" t="s">
        <v>215</v>
      </c>
      <c r="E159" s="154">
        <f>INDEX('Revised 2017 Lockdown'!H$5:H$249,MATCH(B159,'Revised 2017 Lockdown'!B$5:B$249,0))</f>
        <v>546.78810980277444</v>
      </c>
      <c r="F159" s="7">
        <f>INDEX('Revised 2017 Lockdown'!E$5:E$249,MATCH(B159,'Revised 2017 Lockdown'!B$5:B$249,0))</f>
        <v>140218.67000000001</v>
      </c>
      <c r="G159" s="7">
        <f>INDEX('Revised 2017 Lockdown'!F$5:F$249,MATCH(B159,'Revised 2017 Lockdown'!B$5:B$249,0))</f>
        <v>354.28</v>
      </c>
      <c r="H159" s="7">
        <f t="shared" si="25"/>
        <v>139864.39000000001</v>
      </c>
      <c r="I159" s="6">
        <f t="shared" si="26"/>
        <v>255.7926690294141</v>
      </c>
      <c r="J159" s="6">
        <f t="shared" si="33"/>
        <v>255.7926690294141</v>
      </c>
      <c r="K159" s="5">
        <f t="shared" si="27"/>
        <v>139864.39000000001</v>
      </c>
      <c r="L159" s="4">
        <f t="shared" si="28"/>
        <v>0</v>
      </c>
      <c r="M159" s="2">
        <f t="shared" si="29"/>
        <v>433.66463751068204</v>
      </c>
      <c r="N159" s="1" cm="1">
        <f t="array" ref="N159">SUMPRODUCT(--($L$6:$L$300&lt;&gt;1),--($C$6:$C$300=$C159))</f>
        <v>61</v>
      </c>
      <c r="O159" s="3">
        <f t="shared" si="30"/>
        <v>31638.437171401176</v>
      </c>
      <c r="P159" s="2">
        <f t="shared" si="31"/>
        <v>132.80809027687923</v>
      </c>
      <c r="Q159" s="2">
        <f t="shared" si="34"/>
        <v>263.46422149935881</v>
      </c>
      <c r="R159" s="2">
        <f t="shared" si="34"/>
        <v>603.86505352200527</v>
      </c>
      <c r="S159" s="2">
        <f t="shared" si="32"/>
        <v>263.46422149935881</v>
      </c>
    </row>
    <row r="160" spans="2:19" x14ac:dyDescent="0.25">
      <c r="B160" s="10">
        <v>967</v>
      </c>
      <c r="C160" s="10">
        <v>7</v>
      </c>
      <c r="D160" s="9" t="s">
        <v>216</v>
      </c>
      <c r="E160" s="154">
        <f>INDEX('Revised 2017 Lockdown'!H$5:H$249,MATCH(B160,'Revised 2017 Lockdown'!B$5:B$249,0))</f>
        <v>164.34925526629246</v>
      </c>
      <c r="F160" s="7">
        <f>INDEX('Revised 2017 Lockdown'!E$5:E$249,MATCH(B160,'Revised 2017 Lockdown'!B$5:B$249,0))</f>
        <v>78031.91</v>
      </c>
      <c r="G160" s="7">
        <f>INDEX('Revised 2017 Lockdown'!F$5:F$249,MATCH(B160,'Revised 2017 Lockdown'!B$5:B$249,0))</f>
        <v>0</v>
      </c>
      <c r="H160" s="7">
        <f t="shared" si="25"/>
        <v>78031.91</v>
      </c>
      <c r="I160" s="6">
        <f t="shared" si="26"/>
        <v>474.79320714636737</v>
      </c>
      <c r="J160" s="6">
        <f t="shared" si="33"/>
        <v>474.79320714636737</v>
      </c>
      <c r="K160" s="5">
        <f t="shared" si="27"/>
        <v>78031.91</v>
      </c>
      <c r="L160" s="4">
        <f t="shared" si="28"/>
        <v>0</v>
      </c>
      <c r="M160" s="2">
        <f t="shared" si="29"/>
        <v>433.66463751068204</v>
      </c>
      <c r="N160" s="1" cm="1">
        <f t="array" ref="N160">SUMPRODUCT(--($L$6:$L$300&lt;&gt;1),--($C$6:$C$300=$C160))</f>
        <v>61</v>
      </c>
      <c r="O160" s="3">
        <f t="shared" si="30"/>
        <v>1691.5592402774168</v>
      </c>
      <c r="P160" s="2">
        <f t="shared" si="31"/>
        <v>132.80809027687923</v>
      </c>
      <c r="Q160" s="2">
        <f t="shared" si="34"/>
        <v>263.46422149935881</v>
      </c>
      <c r="R160" s="2">
        <f t="shared" si="34"/>
        <v>603.86505352200527</v>
      </c>
      <c r="S160" s="2">
        <f t="shared" si="32"/>
        <v>474.79320714636737</v>
      </c>
    </row>
    <row r="161" spans="2:19" x14ac:dyDescent="0.25">
      <c r="B161" s="10">
        <v>971</v>
      </c>
      <c r="C161" s="10">
        <v>7</v>
      </c>
      <c r="D161" s="9" t="s">
        <v>217</v>
      </c>
      <c r="E161" s="154">
        <f>INDEX('Revised 2017 Lockdown'!H$5:H$249,MATCH(B161,'Revised 2017 Lockdown'!B$5:B$249,0))</f>
        <v>998.46</v>
      </c>
      <c r="F161" s="7">
        <f>INDEX('Revised 2017 Lockdown'!E$5:E$249,MATCH(B161,'Revised 2017 Lockdown'!B$5:B$249,0))</f>
        <v>514125.27</v>
      </c>
      <c r="G161" s="7">
        <f>INDEX('Revised 2017 Lockdown'!F$5:F$249,MATCH(B161,'Revised 2017 Lockdown'!B$5:B$249,0))</f>
        <v>183938.21</v>
      </c>
      <c r="H161" s="7">
        <f t="shared" si="25"/>
        <v>330187.06000000006</v>
      </c>
      <c r="I161" s="6">
        <f t="shared" si="26"/>
        <v>330.69633235182187</v>
      </c>
      <c r="J161" s="6">
        <f t="shared" si="33"/>
        <v>330.69633235182187</v>
      </c>
      <c r="K161" s="5">
        <f t="shared" si="27"/>
        <v>330187.06000000006</v>
      </c>
      <c r="L161" s="4">
        <f t="shared" si="28"/>
        <v>0</v>
      </c>
      <c r="M161" s="2">
        <f t="shared" si="29"/>
        <v>433.66463751068204</v>
      </c>
      <c r="N161" s="1" cm="1">
        <f t="array" ref="N161">SUMPRODUCT(--($L$6:$L$300&lt;&gt;1),--($C$6:$C$300=$C161))</f>
        <v>61</v>
      </c>
      <c r="O161" s="3">
        <f t="shared" si="30"/>
        <v>10602.471867288152</v>
      </c>
      <c r="P161" s="2">
        <f t="shared" si="31"/>
        <v>132.80809027687923</v>
      </c>
      <c r="Q161" s="2">
        <f t="shared" si="34"/>
        <v>263.46422149935881</v>
      </c>
      <c r="R161" s="2">
        <f t="shared" si="34"/>
        <v>603.86505352200527</v>
      </c>
      <c r="S161" s="2">
        <f t="shared" si="32"/>
        <v>330.69633235182187</v>
      </c>
    </row>
    <row r="162" spans="2:19" x14ac:dyDescent="0.25">
      <c r="B162" s="10">
        <v>975</v>
      </c>
      <c r="C162" s="10">
        <v>7</v>
      </c>
      <c r="D162" s="9" t="s">
        <v>218</v>
      </c>
      <c r="E162" s="154">
        <f>INDEX('Revised 2017 Lockdown'!H$5:H$249,MATCH(B162,'Revised 2017 Lockdown'!B$5:B$249,0))</f>
        <v>44.57792750117175</v>
      </c>
      <c r="F162" s="7">
        <f>INDEX('Revised 2017 Lockdown'!E$5:E$249,MATCH(B162,'Revised 2017 Lockdown'!B$5:B$249,0))</f>
        <v>28116.78</v>
      </c>
      <c r="G162" s="7">
        <f>INDEX('Revised 2017 Lockdown'!F$5:F$249,MATCH(B162,'Revised 2017 Lockdown'!B$5:B$249,0))</f>
        <v>0</v>
      </c>
      <c r="H162" s="7">
        <f t="shared" si="25"/>
        <v>28116.78</v>
      </c>
      <c r="I162" s="6">
        <f t="shared" si="26"/>
        <v>630.73322552424486</v>
      </c>
      <c r="J162" s="6">
        <f t="shared" si="33"/>
        <v>603.86505352200527</v>
      </c>
      <c r="K162" s="5">
        <f t="shared" si="27"/>
        <v>26919.052576395148</v>
      </c>
      <c r="L162" s="4">
        <f t="shared" si="28"/>
        <v>0</v>
      </c>
      <c r="M162" s="2">
        <f t="shared" si="29"/>
        <v>433.66463751068204</v>
      </c>
      <c r="N162" s="1" cm="1">
        <f t="array" ref="N162">SUMPRODUCT(--($L$6:$L$300&lt;&gt;1),--($C$6:$C$300=$C162))</f>
        <v>61</v>
      </c>
      <c r="O162" s="3">
        <f t="shared" si="30"/>
        <v>38836.028381659351</v>
      </c>
      <c r="P162" s="2">
        <f t="shared" si="31"/>
        <v>132.80809027687923</v>
      </c>
      <c r="Q162" s="2">
        <f t="shared" si="34"/>
        <v>263.46422149935881</v>
      </c>
      <c r="R162" s="2">
        <f t="shared" si="34"/>
        <v>603.86505352200527</v>
      </c>
      <c r="S162" s="2">
        <f t="shared" si="32"/>
        <v>603.86505352200527</v>
      </c>
    </row>
    <row r="163" spans="2:19" x14ac:dyDescent="0.25">
      <c r="B163" s="10">
        <v>976</v>
      </c>
      <c r="C163" s="10">
        <v>7</v>
      </c>
      <c r="D163" s="35" t="s">
        <v>219</v>
      </c>
      <c r="E163" s="154">
        <f>INDEX('Revised 2017 Lockdown'!H$5:H$249,MATCH(B163,'Revised 2017 Lockdown'!B$5:B$249,0))</f>
        <v>26.241426249095088</v>
      </c>
      <c r="F163" s="7">
        <f>INDEX('Revised 2017 Lockdown'!E$5:E$249,MATCH(B163,'Revised 2017 Lockdown'!B$5:B$249,0))</f>
        <v>18946.21</v>
      </c>
      <c r="G163" s="7">
        <f>INDEX('Revised 2017 Lockdown'!F$5:F$249,MATCH(B163,'Revised 2017 Lockdown'!B$5:B$249,0))</f>
        <v>0</v>
      </c>
      <c r="H163" s="7">
        <f t="shared" si="25"/>
        <v>18946.21</v>
      </c>
      <c r="I163" s="6">
        <f t="shared" si="26"/>
        <v>721.99619868807019</v>
      </c>
      <c r="J163" s="6">
        <f t="shared" si="33"/>
        <v>603.86505352200527</v>
      </c>
      <c r="K163" s="5">
        <f t="shared" si="27"/>
        <v>15846.280266403559</v>
      </c>
      <c r="L163" s="4">
        <f t="shared" si="28"/>
        <v>0</v>
      </c>
      <c r="M163" s="2">
        <f t="shared" si="29"/>
        <v>433.66463751068204</v>
      </c>
      <c r="N163" s="1" cm="1">
        <f t="array" ref="N163">SUMPRODUCT(--($L$6:$L$300&lt;&gt;1),--($C$6:$C$300=$C163))</f>
        <v>61</v>
      </c>
      <c r="O163" s="3">
        <f t="shared" si="30"/>
        <v>83135.08917098993</v>
      </c>
      <c r="P163" s="2">
        <f t="shared" si="31"/>
        <v>132.80809027687923</v>
      </c>
      <c r="Q163" s="2">
        <f t="shared" si="34"/>
        <v>263.46422149935881</v>
      </c>
      <c r="R163" s="2">
        <f t="shared" si="34"/>
        <v>603.86505352200527</v>
      </c>
      <c r="S163" s="2">
        <f t="shared" si="32"/>
        <v>603.86505352200527</v>
      </c>
    </row>
    <row r="164" spans="2:19" x14ac:dyDescent="0.25">
      <c r="B164" s="10">
        <v>977</v>
      </c>
      <c r="C164" s="10">
        <v>7</v>
      </c>
      <c r="D164" s="9" t="s">
        <v>220</v>
      </c>
      <c r="E164" s="154">
        <f>INDEX('Revised 2017 Lockdown'!H$5:H$249,MATCH(B164,'Revised 2017 Lockdown'!B$5:B$249,0))</f>
        <v>38.56595987754006</v>
      </c>
      <c r="F164" s="7">
        <f>INDEX('Revised 2017 Lockdown'!E$5:E$249,MATCH(B164,'Revised 2017 Lockdown'!B$5:B$249,0))</f>
        <v>31092.49</v>
      </c>
      <c r="G164" s="7">
        <f>INDEX('Revised 2017 Lockdown'!F$5:F$249,MATCH(B164,'Revised 2017 Lockdown'!B$5:B$249,0))</f>
        <v>0</v>
      </c>
      <c r="H164" s="7">
        <f t="shared" si="25"/>
        <v>31092.49</v>
      </c>
      <c r="I164" s="6">
        <f t="shared" si="26"/>
        <v>806.21589865075714</v>
      </c>
      <c r="J164" s="6">
        <f t="shared" si="33"/>
        <v>603.86505352200527</v>
      </c>
      <c r="K164" s="5">
        <f t="shared" si="27"/>
        <v>23288.635425578235</v>
      </c>
      <c r="L164" s="4">
        <f t="shared" si="28"/>
        <v>0</v>
      </c>
      <c r="M164" s="2">
        <f t="shared" si="29"/>
        <v>433.66463751068204</v>
      </c>
      <c r="N164" s="1" cm="1">
        <f t="array" ref="N164">SUMPRODUCT(--($L$6:$L$300&lt;&gt;1),--($C$6:$C$300=$C164))</f>
        <v>61</v>
      </c>
      <c r="O164" s="3">
        <f t="shared" si="30"/>
        <v>138794.44217706044</v>
      </c>
      <c r="P164" s="2">
        <f t="shared" si="31"/>
        <v>132.80809027687923</v>
      </c>
      <c r="Q164" s="2">
        <f t="shared" si="34"/>
        <v>263.46422149935881</v>
      </c>
      <c r="R164" s="2">
        <f t="shared" si="34"/>
        <v>603.86505352200527</v>
      </c>
      <c r="S164" s="2">
        <f t="shared" si="32"/>
        <v>603.86505352200527</v>
      </c>
    </row>
    <row r="165" spans="2:19" x14ac:dyDescent="0.25">
      <c r="B165" s="39">
        <v>981</v>
      </c>
      <c r="C165" s="39">
        <v>7</v>
      </c>
      <c r="D165" s="40" t="s">
        <v>221</v>
      </c>
      <c r="E165" s="154">
        <f>INDEX('Revised 2017 Lockdown'!H$5:H$249,MATCH(B165,'Revised 2017 Lockdown'!B$5:B$249,0))</f>
        <v>106.73027607099695</v>
      </c>
      <c r="F165" s="7">
        <f>INDEX('Revised 2017 Lockdown'!E$5:E$249,MATCH(B165,'Revised 2017 Lockdown'!B$5:B$249,0))</f>
        <v>175857.35</v>
      </c>
      <c r="G165" s="7">
        <f>INDEX('Revised 2017 Lockdown'!F$5:F$249,MATCH(B165,'Revised 2017 Lockdown'!B$5:B$249,0))</f>
        <v>0</v>
      </c>
      <c r="H165" s="7">
        <f t="shared" si="25"/>
        <v>175857.35</v>
      </c>
      <c r="I165" s="6">
        <f t="shared" si="26"/>
        <v>1647.68008173257</v>
      </c>
      <c r="J165" s="6">
        <f t="shared" si="33"/>
        <v>603.86505352200527</v>
      </c>
      <c r="K165" s="5">
        <f t="shared" si="27"/>
        <v>64450.683872030975</v>
      </c>
      <c r="L165" s="4">
        <f t="shared" si="28"/>
        <v>0</v>
      </c>
      <c r="M165" s="2">
        <f t="shared" si="29"/>
        <v>433.66463751068204</v>
      </c>
      <c r="N165" s="1" cm="1">
        <f t="array" ref="N165">SUMPRODUCT(--($L$6:$L$300&lt;&gt;1),--($C$6:$C$300=$C165))</f>
        <v>61</v>
      </c>
      <c r="O165" s="3">
        <f t="shared" si="30"/>
        <v>1473833.498809268</v>
      </c>
      <c r="P165" s="2">
        <f t="shared" si="31"/>
        <v>132.80809027687923</v>
      </c>
      <c r="Q165" s="2">
        <f t="shared" si="34"/>
        <v>263.46422149935881</v>
      </c>
      <c r="R165" s="2">
        <f t="shared" si="34"/>
        <v>603.86505352200527</v>
      </c>
      <c r="S165" s="2">
        <f t="shared" si="32"/>
        <v>603.86505352200527</v>
      </c>
    </row>
    <row r="166" spans="2:19" x14ac:dyDescent="0.25">
      <c r="B166" s="39">
        <v>983</v>
      </c>
      <c r="C166" s="39">
        <v>7</v>
      </c>
      <c r="D166" s="40" t="s">
        <v>222</v>
      </c>
      <c r="E166" s="154">
        <f>INDEX('Revised 2017 Lockdown'!H$5:H$249,MATCH(B166,'Revised 2017 Lockdown'!B$5:B$249,0))</f>
        <v>130.98756795566317</v>
      </c>
      <c r="F166" s="7">
        <f>INDEX('Revised 2017 Lockdown'!E$5:E$249,MATCH(B166,'Revised 2017 Lockdown'!B$5:B$249,0))</f>
        <v>30365.53</v>
      </c>
      <c r="G166" s="7">
        <f>INDEX('Revised 2017 Lockdown'!F$5:F$249,MATCH(B166,'Revised 2017 Lockdown'!B$5:B$249,0))</f>
        <v>300</v>
      </c>
      <c r="H166" s="7">
        <f t="shared" si="25"/>
        <v>30065.53</v>
      </c>
      <c r="I166" s="6">
        <f t="shared" si="26"/>
        <v>229.52964521164799</v>
      </c>
      <c r="J166" s="6">
        <f t="shared" si="33"/>
        <v>229.52964521164799</v>
      </c>
      <c r="K166" s="5">
        <f t="shared" si="27"/>
        <v>30065.53</v>
      </c>
      <c r="L166" s="4">
        <f t="shared" si="28"/>
        <v>0</v>
      </c>
      <c r="M166" s="2">
        <f t="shared" si="29"/>
        <v>433.66463751068204</v>
      </c>
      <c r="N166" s="1" cm="1">
        <f t="array" ref="N166">SUMPRODUCT(--($L$6:$L$300&lt;&gt;1),--($C$6:$C$300=$C166))</f>
        <v>61</v>
      </c>
      <c r="O166" s="3">
        <f t="shared" si="30"/>
        <v>41671.095080926694</v>
      </c>
      <c r="P166" s="2">
        <f t="shared" si="31"/>
        <v>132.80809027687923</v>
      </c>
      <c r="Q166" s="2">
        <f t="shared" ref="Q166:R185" si="35">NORMINV(Q$4,$M166,$P166)</f>
        <v>263.46422149935881</v>
      </c>
      <c r="R166" s="2">
        <f t="shared" si="35"/>
        <v>603.86505352200527</v>
      </c>
      <c r="S166" s="2">
        <f t="shared" si="32"/>
        <v>263.46422149935881</v>
      </c>
    </row>
    <row r="167" spans="2:19" x14ac:dyDescent="0.25">
      <c r="B167" s="39">
        <v>188</v>
      </c>
      <c r="C167" s="39">
        <v>8</v>
      </c>
      <c r="D167" s="40" t="s">
        <v>223</v>
      </c>
      <c r="E167" s="154">
        <f>INDEX('Revised 2017 Lockdown'!H$5:H$249,MATCH(B167,'Revised 2017 Lockdown'!B$5:B$249,0))</f>
        <v>291.43</v>
      </c>
      <c r="F167" s="7">
        <f>INDEX('Revised 2017 Lockdown'!E$5:E$249,MATCH(B167,'Revised 2017 Lockdown'!B$5:B$249,0))</f>
        <v>224188.27</v>
      </c>
      <c r="G167" s="7">
        <f>INDEX('Revised 2017 Lockdown'!F$5:F$249,MATCH(B167,'Revised 2017 Lockdown'!B$5:B$249,0))</f>
        <v>33999</v>
      </c>
      <c r="H167" s="7">
        <f t="shared" si="25"/>
        <v>190189.27</v>
      </c>
      <c r="I167" s="6">
        <f t="shared" si="26"/>
        <v>652.60704114195516</v>
      </c>
      <c r="J167" s="6">
        <f t="shared" si="33"/>
        <v>652.60704114195516</v>
      </c>
      <c r="K167" s="5">
        <f t="shared" si="27"/>
        <v>190189.27</v>
      </c>
      <c r="L167" s="4">
        <f t="shared" si="28"/>
        <v>0</v>
      </c>
      <c r="M167" s="2">
        <f t="shared" si="29"/>
        <v>799.19769378052001</v>
      </c>
      <c r="N167" s="1" cm="1">
        <f t="array" ref="N167">SUMPRODUCT(--($L$6:$L$300&lt;&gt;1),--($C$6:$C$300=$C167))</f>
        <v>52</v>
      </c>
      <c r="O167" s="3">
        <f t="shared" si="30"/>
        <v>21488.819441000378</v>
      </c>
      <c r="P167" s="2">
        <f t="shared" si="31"/>
        <v>741.85787725071805</v>
      </c>
      <c r="Q167" s="2">
        <f t="shared" si="35"/>
        <v>-151.53143022173185</v>
      </c>
      <c r="R167" s="2">
        <f t="shared" si="35"/>
        <v>1749.9268177827719</v>
      </c>
      <c r="S167" s="2">
        <f t="shared" si="32"/>
        <v>652.60704114195516</v>
      </c>
    </row>
    <row r="168" spans="2:19" x14ac:dyDescent="0.25">
      <c r="B168" s="10">
        <v>232</v>
      </c>
      <c r="C168" s="10">
        <v>8</v>
      </c>
      <c r="D168" s="9" t="s">
        <v>224</v>
      </c>
      <c r="E168" s="154">
        <f>INDEX('Revised 2017 Lockdown'!H$5:H$249,MATCH(B168,'Revised 2017 Lockdown'!B$5:B$249,0))</f>
        <v>100.04889750119882</v>
      </c>
      <c r="F168" s="7">
        <f>INDEX('Revised 2017 Lockdown'!E$5:E$249,MATCH(B168,'Revised 2017 Lockdown'!B$5:B$249,0))</f>
        <v>85300.54</v>
      </c>
      <c r="G168" s="7">
        <f>INDEX('Revised 2017 Lockdown'!F$5:F$249,MATCH(B168,'Revised 2017 Lockdown'!B$5:B$249,0))</f>
        <v>0</v>
      </c>
      <c r="H168" s="7">
        <f t="shared" si="25"/>
        <v>85300.54</v>
      </c>
      <c r="I168" s="6">
        <f t="shared" si="26"/>
        <v>852.58850552528963</v>
      </c>
      <c r="J168" s="6">
        <f t="shared" si="33"/>
        <v>852.58850552528963</v>
      </c>
      <c r="K168" s="5">
        <f t="shared" si="27"/>
        <v>85300.54</v>
      </c>
      <c r="L168" s="4">
        <f t="shared" si="28"/>
        <v>0</v>
      </c>
      <c r="M168" s="2">
        <f t="shared" si="29"/>
        <v>799.19769378052001</v>
      </c>
      <c r="N168" s="1" cm="1">
        <f t="array" ref="N168">SUMPRODUCT(--($L$6:$L$300&lt;&gt;1),--($C$6:$C$300=$C168))</f>
        <v>52</v>
      </c>
      <c r="O168" s="3">
        <f t="shared" si="30"/>
        <v>2850.5787787654299</v>
      </c>
      <c r="P168" s="2">
        <f t="shared" si="31"/>
        <v>741.85787725071805</v>
      </c>
      <c r="Q168" s="2">
        <f t="shared" si="35"/>
        <v>-151.53143022173185</v>
      </c>
      <c r="R168" s="2">
        <f t="shared" si="35"/>
        <v>1749.9268177827719</v>
      </c>
      <c r="S168" s="2">
        <f t="shared" si="32"/>
        <v>852.58850552528963</v>
      </c>
    </row>
    <row r="169" spans="2:19" x14ac:dyDescent="0.25">
      <c r="B169" s="10">
        <v>245</v>
      </c>
      <c r="C169" s="10">
        <v>8</v>
      </c>
      <c r="D169" s="9" t="s">
        <v>225</v>
      </c>
      <c r="E169" s="154">
        <f>INDEX('Revised 2017 Lockdown'!H$5:H$249,MATCH(B169,'Revised 2017 Lockdown'!B$5:B$249,0))</f>
        <v>192.11449692779453</v>
      </c>
      <c r="F169" s="7">
        <f>INDEX('Revised 2017 Lockdown'!E$5:E$249,MATCH(B169,'Revised 2017 Lockdown'!B$5:B$249,0))</f>
        <v>634489.53</v>
      </c>
      <c r="G169" s="7">
        <f>INDEX('Revised 2017 Lockdown'!F$5:F$249,MATCH(B169,'Revised 2017 Lockdown'!B$5:B$249,0))</f>
        <v>0</v>
      </c>
      <c r="H169" s="7">
        <f t="shared" si="25"/>
        <v>634489.53</v>
      </c>
      <c r="I169" s="6">
        <f t="shared" si="26"/>
        <v>3302.6634644780106</v>
      </c>
      <c r="J169" s="6">
        <f t="shared" si="33"/>
        <v>1749.9268177827719</v>
      </c>
      <c r="K169" s="5">
        <f t="shared" si="27"/>
        <v>336186.31025879359</v>
      </c>
      <c r="L169" s="4">
        <f t="shared" si="28"/>
        <v>0</v>
      </c>
      <c r="M169" s="2">
        <f t="shared" si="29"/>
        <v>799.19769378052001</v>
      </c>
      <c r="N169" s="1" cm="1">
        <f t="array" ref="N169">SUMPRODUCT(--($L$6:$L$300&lt;&gt;1),--($C$6:$C$300=$C169))</f>
        <v>52</v>
      </c>
      <c r="O169" s="3">
        <f t="shared" si="30"/>
        <v>6267340.8650539797</v>
      </c>
      <c r="P169" s="2">
        <f t="shared" si="31"/>
        <v>741.85787725071805</v>
      </c>
      <c r="Q169" s="2">
        <f t="shared" si="35"/>
        <v>-151.53143022173185</v>
      </c>
      <c r="R169" s="2">
        <f t="shared" si="35"/>
        <v>1749.9268177827719</v>
      </c>
      <c r="S169" s="2">
        <f t="shared" si="32"/>
        <v>1749.9268177827719</v>
      </c>
    </row>
    <row r="170" spans="2:19" x14ac:dyDescent="0.25">
      <c r="B170" s="10">
        <v>372</v>
      </c>
      <c r="C170" s="10">
        <v>8</v>
      </c>
      <c r="D170" s="9" t="s">
        <v>226</v>
      </c>
      <c r="E170" s="154">
        <f>INDEX('Revised 2017 Lockdown'!H$5:H$249,MATCH(B170,'Revised 2017 Lockdown'!B$5:B$249,0))</f>
        <v>125.81000000000002</v>
      </c>
      <c r="F170" s="7">
        <f>INDEX('Revised 2017 Lockdown'!E$5:E$249,MATCH(B170,'Revised 2017 Lockdown'!B$5:B$249,0))</f>
        <v>75377.2</v>
      </c>
      <c r="G170" s="7">
        <f>INDEX('Revised 2017 Lockdown'!F$5:F$249,MATCH(B170,'Revised 2017 Lockdown'!B$5:B$249,0))</f>
        <v>0</v>
      </c>
      <c r="H170" s="7">
        <f t="shared" si="25"/>
        <v>75377.2</v>
      </c>
      <c r="I170" s="6">
        <f t="shared" si="26"/>
        <v>599.1352038788649</v>
      </c>
      <c r="J170" s="6">
        <f t="shared" si="33"/>
        <v>599.1352038788649</v>
      </c>
      <c r="K170" s="5">
        <f t="shared" si="27"/>
        <v>75377.2</v>
      </c>
      <c r="L170" s="4">
        <f t="shared" si="28"/>
        <v>0</v>
      </c>
      <c r="M170" s="2">
        <f t="shared" si="29"/>
        <v>799.19769378052001</v>
      </c>
      <c r="N170" s="1" cm="1">
        <f t="array" ref="N170">SUMPRODUCT(--($L$6:$L$300&lt;&gt;1),--($C$6:$C$300=$C170))</f>
        <v>52</v>
      </c>
      <c r="O170" s="3">
        <f t="shared" si="30"/>
        <v>40024.999865649857</v>
      </c>
      <c r="P170" s="2">
        <f t="shared" si="31"/>
        <v>741.85787725071805</v>
      </c>
      <c r="Q170" s="2">
        <f t="shared" si="35"/>
        <v>-151.53143022173185</v>
      </c>
      <c r="R170" s="2">
        <f t="shared" si="35"/>
        <v>1749.9268177827719</v>
      </c>
      <c r="S170" s="2">
        <f t="shared" si="32"/>
        <v>599.1352038788649</v>
      </c>
    </row>
    <row r="171" spans="2:19" x14ac:dyDescent="0.25">
      <c r="B171" s="10">
        <v>375</v>
      </c>
      <c r="C171" s="10">
        <v>8</v>
      </c>
      <c r="D171" s="9" t="s">
        <v>227</v>
      </c>
      <c r="E171" s="154">
        <f>INDEX('Revised 2017 Lockdown'!H$5:H$249,MATCH(B171,'Revised 2017 Lockdown'!B$5:B$249,0))</f>
        <v>176.49</v>
      </c>
      <c r="F171" s="7">
        <f>INDEX('Revised 2017 Lockdown'!E$5:E$249,MATCH(B171,'Revised 2017 Lockdown'!B$5:B$249,0))</f>
        <v>216301.79</v>
      </c>
      <c r="G171" s="7">
        <f>INDEX('Revised 2017 Lockdown'!F$5:F$249,MATCH(B171,'Revised 2017 Lockdown'!B$5:B$249,0))</f>
        <v>0</v>
      </c>
      <c r="H171" s="7">
        <f t="shared" si="25"/>
        <v>216301.79</v>
      </c>
      <c r="I171" s="6">
        <f t="shared" si="26"/>
        <v>1225.575330047028</v>
      </c>
      <c r="J171" s="6">
        <f t="shared" si="33"/>
        <v>1225.575330047028</v>
      </c>
      <c r="K171" s="5">
        <f t="shared" si="27"/>
        <v>216301.78999999998</v>
      </c>
      <c r="L171" s="4">
        <f t="shared" si="28"/>
        <v>0</v>
      </c>
      <c r="M171" s="2">
        <f t="shared" si="29"/>
        <v>799.19769378052001</v>
      </c>
      <c r="N171" s="1" cm="1">
        <f t="array" ref="N171">SUMPRODUCT(--($L$6:$L$300&lt;&gt;1),--($C$6:$C$300=$C171))</f>
        <v>52</v>
      </c>
      <c r="O171" s="3">
        <f t="shared" si="30"/>
        <v>181797.88870821462</v>
      </c>
      <c r="P171" s="2">
        <f t="shared" si="31"/>
        <v>741.85787725071805</v>
      </c>
      <c r="Q171" s="2">
        <f t="shared" si="35"/>
        <v>-151.53143022173185</v>
      </c>
      <c r="R171" s="2">
        <f t="shared" si="35"/>
        <v>1749.9268177827719</v>
      </c>
      <c r="S171" s="2">
        <f t="shared" si="32"/>
        <v>1225.575330047028</v>
      </c>
    </row>
    <row r="172" spans="2:19" x14ac:dyDescent="0.25">
      <c r="B172" s="10">
        <v>404</v>
      </c>
      <c r="C172" s="10">
        <v>8</v>
      </c>
      <c r="D172" s="9" t="s">
        <v>228</v>
      </c>
      <c r="E172" s="154">
        <f>INDEX('Revised 2017 Lockdown'!H$5:H$249,MATCH(B172,'Revised 2017 Lockdown'!B$5:B$249,0))</f>
        <v>464.38745447782185</v>
      </c>
      <c r="F172" s="7">
        <f>INDEX('Revised 2017 Lockdown'!E$5:E$249,MATCH(B172,'Revised 2017 Lockdown'!B$5:B$249,0))</f>
        <v>227998.07999999999</v>
      </c>
      <c r="G172" s="7">
        <f>INDEX('Revised 2017 Lockdown'!F$5:F$249,MATCH(B172,'Revised 2017 Lockdown'!B$5:B$249,0))</f>
        <v>8.66</v>
      </c>
      <c r="H172" s="7">
        <f t="shared" si="25"/>
        <v>227989.41999999998</v>
      </c>
      <c r="I172" s="6">
        <f t="shared" si="26"/>
        <v>490.94655293037908</v>
      </c>
      <c r="J172" s="6">
        <f t="shared" si="33"/>
        <v>490.94655293037908</v>
      </c>
      <c r="K172" s="5">
        <f t="shared" si="27"/>
        <v>227989.41999999998</v>
      </c>
      <c r="L172" s="4">
        <f t="shared" si="28"/>
        <v>0</v>
      </c>
      <c r="M172" s="2">
        <f t="shared" si="29"/>
        <v>799.19769378052001</v>
      </c>
      <c r="N172" s="1" cm="1">
        <f t="array" ref="N172">SUMPRODUCT(--($L$6:$L$300&lt;&gt;1),--($C$6:$C$300=$C172))</f>
        <v>52</v>
      </c>
      <c r="O172" s="3">
        <f t="shared" si="30"/>
        <v>95018.765835413418</v>
      </c>
      <c r="P172" s="2">
        <f t="shared" si="31"/>
        <v>741.85787725071805</v>
      </c>
      <c r="Q172" s="2">
        <f t="shared" si="35"/>
        <v>-151.53143022173185</v>
      </c>
      <c r="R172" s="2">
        <f t="shared" si="35"/>
        <v>1749.9268177827719</v>
      </c>
      <c r="S172" s="2">
        <f t="shared" si="32"/>
        <v>490.94655293037908</v>
      </c>
    </row>
    <row r="173" spans="2:19" x14ac:dyDescent="0.25">
      <c r="B173" s="10">
        <v>413</v>
      </c>
      <c r="C173" s="10">
        <v>8</v>
      </c>
      <c r="D173" s="9" t="s">
        <v>229</v>
      </c>
      <c r="E173" s="154">
        <f>INDEX('Revised 2017 Lockdown'!H$5:H$249,MATCH(B173,'Revised 2017 Lockdown'!B$5:B$249,0))</f>
        <v>86.789999999999992</v>
      </c>
      <c r="F173" s="7">
        <f>INDEX('Revised 2017 Lockdown'!E$5:E$249,MATCH(B173,'Revised 2017 Lockdown'!B$5:B$249,0))</f>
        <v>54520.28</v>
      </c>
      <c r="G173" s="7">
        <f>INDEX('Revised 2017 Lockdown'!F$5:F$249,MATCH(B173,'Revised 2017 Lockdown'!B$5:B$249,0))</f>
        <v>115</v>
      </c>
      <c r="H173" s="7">
        <f t="shared" si="25"/>
        <v>54405.279999999999</v>
      </c>
      <c r="I173" s="6">
        <f t="shared" si="26"/>
        <v>626.86115911971433</v>
      </c>
      <c r="J173" s="6">
        <f t="shared" si="33"/>
        <v>626.86115911971433</v>
      </c>
      <c r="K173" s="5">
        <f t="shared" si="27"/>
        <v>54405.279999999999</v>
      </c>
      <c r="L173" s="4">
        <f t="shared" si="28"/>
        <v>0</v>
      </c>
      <c r="M173" s="2">
        <f t="shared" si="29"/>
        <v>799.19769378052001</v>
      </c>
      <c r="N173" s="1" cm="1">
        <f t="array" ref="N173">SUMPRODUCT(--($L$6:$L$300&lt;&gt;1),--($C$6:$C$300=$C173))</f>
        <v>52</v>
      </c>
      <c r="O173" s="3">
        <f t="shared" si="30"/>
        <v>29699.881178895077</v>
      </c>
      <c r="P173" s="2">
        <f t="shared" si="31"/>
        <v>741.85787725071805</v>
      </c>
      <c r="Q173" s="2">
        <f t="shared" si="35"/>
        <v>-151.53143022173185</v>
      </c>
      <c r="R173" s="2">
        <f t="shared" si="35"/>
        <v>1749.9268177827719</v>
      </c>
      <c r="S173" s="2">
        <f t="shared" si="32"/>
        <v>626.86115911971433</v>
      </c>
    </row>
    <row r="174" spans="2:19" x14ac:dyDescent="0.25">
      <c r="B174" s="10">
        <v>537</v>
      </c>
      <c r="C174" s="10">
        <v>8</v>
      </c>
      <c r="D174" s="9" t="s">
        <v>230</v>
      </c>
      <c r="E174" s="154">
        <f>INDEX('Revised 2017 Lockdown'!H$5:H$249,MATCH(B174,'Revised 2017 Lockdown'!B$5:B$249,0))</f>
        <v>19.904487402564385</v>
      </c>
      <c r="F174" s="7">
        <f>INDEX('Revised 2017 Lockdown'!E$5:E$249,MATCH(B174,'Revised 2017 Lockdown'!B$5:B$249,0))</f>
        <v>11142.79</v>
      </c>
      <c r="G174" s="7">
        <f>INDEX('Revised 2017 Lockdown'!F$5:F$249,MATCH(B174,'Revised 2017 Lockdown'!B$5:B$249,0))</f>
        <v>0</v>
      </c>
      <c r="H174" s="7">
        <f t="shared" si="25"/>
        <v>11142.79</v>
      </c>
      <c r="I174" s="6">
        <f t="shared" si="26"/>
        <v>559.81295949195987</v>
      </c>
      <c r="J174" s="6">
        <f t="shared" si="33"/>
        <v>559.81295949195987</v>
      </c>
      <c r="K174" s="5">
        <f t="shared" si="27"/>
        <v>11142.79</v>
      </c>
      <c r="L174" s="4">
        <f t="shared" si="28"/>
        <v>0</v>
      </c>
      <c r="M174" s="2">
        <f t="shared" si="29"/>
        <v>799.19769378052001</v>
      </c>
      <c r="N174" s="1" cm="1">
        <f t="array" ref="N174">SUMPRODUCT(--($L$6:$L$300&lt;&gt;1),--($C$6:$C$300=$C174))</f>
        <v>52</v>
      </c>
      <c r="O174" s="3">
        <f t="shared" si="30"/>
        <v>57305.051010404539</v>
      </c>
      <c r="P174" s="2">
        <f t="shared" si="31"/>
        <v>741.85787725071805</v>
      </c>
      <c r="Q174" s="2">
        <f t="shared" si="35"/>
        <v>-151.53143022173185</v>
      </c>
      <c r="R174" s="2">
        <f t="shared" si="35"/>
        <v>1749.9268177827719</v>
      </c>
      <c r="S174" s="2">
        <f t="shared" si="32"/>
        <v>559.81295949195987</v>
      </c>
    </row>
    <row r="175" spans="2:19" x14ac:dyDescent="0.25">
      <c r="B175" s="10">
        <v>545</v>
      </c>
      <c r="C175" s="10">
        <v>8</v>
      </c>
      <c r="D175" s="9" t="s">
        <v>231</v>
      </c>
      <c r="E175" s="154">
        <f>INDEX('Revised 2017 Lockdown'!H$5:H$249,MATCH(B175,'Revised 2017 Lockdown'!B$5:B$249,0))</f>
        <v>16.281058267240422</v>
      </c>
      <c r="F175" s="7">
        <f>INDEX('Revised 2017 Lockdown'!E$5:E$249,MATCH(B175,'Revised 2017 Lockdown'!B$5:B$249,0))</f>
        <v>6076.64</v>
      </c>
      <c r="G175" s="7">
        <f>INDEX('Revised 2017 Lockdown'!F$5:F$249,MATCH(B175,'Revised 2017 Lockdown'!B$5:B$249,0))</f>
        <v>0</v>
      </c>
      <c r="H175" s="7">
        <f t="shared" si="25"/>
        <v>6076.64</v>
      </c>
      <c r="I175" s="6">
        <f t="shared" si="26"/>
        <v>373.23372352440873</v>
      </c>
      <c r="J175" s="6">
        <f t="shared" si="33"/>
        <v>373.23372352440873</v>
      </c>
      <c r="K175" s="5">
        <f t="shared" si="27"/>
        <v>6076.64</v>
      </c>
      <c r="L175" s="4">
        <f t="shared" si="28"/>
        <v>0</v>
      </c>
      <c r="M175" s="2">
        <f t="shared" si="29"/>
        <v>799.19769378052001</v>
      </c>
      <c r="N175" s="1" cm="1">
        <f t="array" ref="N175">SUMPRODUCT(--($L$6:$L$300&lt;&gt;1),--($C$6:$C$300=$C175))</f>
        <v>52</v>
      </c>
      <c r="O175" s="3">
        <f t="shared" si="30"/>
        <v>181445.30395634926</v>
      </c>
      <c r="P175" s="2">
        <f t="shared" si="31"/>
        <v>741.85787725071805</v>
      </c>
      <c r="Q175" s="2">
        <f t="shared" si="35"/>
        <v>-151.53143022173185</v>
      </c>
      <c r="R175" s="2">
        <f t="shared" si="35"/>
        <v>1749.9268177827719</v>
      </c>
      <c r="S175" s="2">
        <f t="shared" si="32"/>
        <v>373.23372352440873</v>
      </c>
    </row>
    <row r="176" spans="2:19" x14ac:dyDescent="0.25">
      <c r="B176" s="10">
        <v>602</v>
      </c>
      <c r="C176" s="10">
        <v>8</v>
      </c>
      <c r="D176" s="9" t="s">
        <v>232</v>
      </c>
      <c r="E176" s="154">
        <f>INDEX('Revised 2017 Lockdown'!H$5:H$249,MATCH(B176,'Revised 2017 Lockdown'!B$5:B$249,0))</f>
        <v>10.602186147080214</v>
      </c>
      <c r="F176" s="7">
        <f>INDEX('Revised 2017 Lockdown'!E$5:E$249,MATCH(B176,'Revised 2017 Lockdown'!B$5:B$249,0))</f>
        <v>12099.67</v>
      </c>
      <c r="G176" s="7">
        <f>INDEX('Revised 2017 Lockdown'!F$5:F$249,MATCH(B176,'Revised 2017 Lockdown'!B$5:B$249,0))</f>
        <v>0</v>
      </c>
      <c r="H176" s="7">
        <f t="shared" si="25"/>
        <v>12099.67</v>
      </c>
      <c r="I176" s="6">
        <f t="shared" si="26"/>
        <v>1141.2429316129471</v>
      </c>
      <c r="J176" s="6">
        <f t="shared" si="33"/>
        <v>1141.2429316129471</v>
      </c>
      <c r="K176" s="5">
        <f t="shared" si="27"/>
        <v>12099.67</v>
      </c>
      <c r="L176" s="4">
        <f t="shared" si="28"/>
        <v>0</v>
      </c>
      <c r="M176" s="2">
        <f t="shared" si="29"/>
        <v>799.19769378052001</v>
      </c>
      <c r="N176" s="1" cm="1">
        <f t="array" ref="N176">SUMPRODUCT(--($L$6:$L$300&lt;&gt;1),--($C$6:$C$300=$C176))</f>
        <v>52</v>
      </c>
      <c r="O176" s="3">
        <f t="shared" si="30"/>
        <v>116994.94472384163</v>
      </c>
      <c r="P176" s="2">
        <f t="shared" si="31"/>
        <v>741.85787725071805</v>
      </c>
      <c r="Q176" s="2">
        <f t="shared" si="35"/>
        <v>-151.53143022173185</v>
      </c>
      <c r="R176" s="2">
        <f t="shared" si="35"/>
        <v>1749.9268177827719</v>
      </c>
      <c r="S176" s="2">
        <f t="shared" si="32"/>
        <v>1141.2429316129471</v>
      </c>
    </row>
    <row r="177" spans="2:19" x14ac:dyDescent="0.25">
      <c r="B177" s="10">
        <v>605</v>
      </c>
      <c r="C177" s="10">
        <v>8</v>
      </c>
      <c r="D177" s="9" t="s">
        <v>233</v>
      </c>
      <c r="E177" s="154">
        <f>INDEX('Revised 2017 Lockdown'!H$5:H$249,MATCH(B177,'Revised 2017 Lockdown'!B$5:B$249,0))</f>
        <v>17.987157187460227</v>
      </c>
      <c r="F177" s="7">
        <f>INDEX('Revised 2017 Lockdown'!E$5:E$249,MATCH(B177,'Revised 2017 Lockdown'!B$5:B$249,0))</f>
        <v>9953.11</v>
      </c>
      <c r="G177" s="7">
        <f>INDEX('Revised 2017 Lockdown'!F$5:F$249,MATCH(B177,'Revised 2017 Lockdown'!B$5:B$249,0))</f>
        <v>0</v>
      </c>
      <c r="H177" s="7">
        <f t="shared" si="25"/>
        <v>9953.11</v>
      </c>
      <c r="I177" s="6">
        <f t="shared" si="26"/>
        <v>553.34536170834303</v>
      </c>
      <c r="J177" s="6">
        <f t="shared" si="33"/>
        <v>553.34536170834303</v>
      </c>
      <c r="K177" s="5">
        <f t="shared" si="27"/>
        <v>9953.11</v>
      </c>
      <c r="L177" s="4">
        <f t="shared" si="28"/>
        <v>0</v>
      </c>
      <c r="M177" s="2">
        <f t="shared" si="29"/>
        <v>799.19769378052001</v>
      </c>
      <c r="N177" s="1" cm="1">
        <f t="array" ref="N177">SUMPRODUCT(--($L$6:$L$300&lt;&gt;1),--($C$6:$C$300=$C177))</f>
        <v>52</v>
      </c>
      <c r="O177" s="3">
        <f t="shared" si="30"/>
        <v>60443.369185327982</v>
      </c>
      <c r="P177" s="2">
        <f t="shared" si="31"/>
        <v>741.85787725071805</v>
      </c>
      <c r="Q177" s="2">
        <f t="shared" si="35"/>
        <v>-151.53143022173185</v>
      </c>
      <c r="R177" s="2">
        <f t="shared" si="35"/>
        <v>1749.9268177827719</v>
      </c>
      <c r="S177" s="2">
        <f t="shared" si="32"/>
        <v>553.34536170834303</v>
      </c>
    </row>
    <row r="178" spans="2:19" x14ac:dyDescent="0.25">
      <c r="B178" s="10">
        <v>607</v>
      </c>
      <c r="C178" s="10">
        <v>8</v>
      </c>
      <c r="D178" s="9" t="s">
        <v>234</v>
      </c>
      <c r="E178" s="154">
        <f>INDEX('Revised 2017 Lockdown'!H$5:H$249,MATCH(B178,'Revised 2017 Lockdown'!B$5:B$249,0))</f>
        <v>26.988860061762811</v>
      </c>
      <c r="F178" s="7">
        <f>INDEX('Revised 2017 Lockdown'!E$5:E$249,MATCH(B178,'Revised 2017 Lockdown'!B$5:B$249,0))</f>
        <v>15112.39</v>
      </c>
      <c r="G178" s="7">
        <f>INDEX('Revised 2017 Lockdown'!F$5:F$249,MATCH(B178,'Revised 2017 Lockdown'!B$5:B$249,0))</f>
        <v>0</v>
      </c>
      <c r="H178" s="7">
        <f t="shared" si="25"/>
        <v>15112.39</v>
      </c>
      <c r="I178" s="6">
        <f t="shared" si="26"/>
        <v>559.949177750226</v>
      </c>
      <c r="J178" s="6">
        <f t="shared" si="33"/>
        <v>559.949177750226</v>
      </c>
      <c r="K178" s="5">
        <f t="shared" si="27"/>
        <v>15112.39</v>
      </c>
      <c r="L178" s="4">
        <f t="shared" si="28"/>
        <v>0</v>
      </c>
      <c r="M178" s="2">
        <f t="shared" si="29"/>
        <v>799.19769378052001</v>
      </c>
      <c r="N178" s="1" cm="1">
        <f t="array" ref="N178">SUMPRODUCT(--($L$6:$L$300&lt;&gt;1),--($C$6:$C$300=$C178))</f>
        <v>52</v>
      </c>
      <c r="O178" s="3">
        <f t="shared" si="30"/>
        <v>57239.852422697848</v>
      </c>
      <c r="P178" s="2">
        <f t="shared" si="31"/>
        <v>741.85787725071805</v>
      </c>
      <c r="Q178" s="2">
        <f t="shared" si="35"/>
        <v>-151.53143022173185</v>
      </c>
      <c r="R178" s="2">
        <f t="shared" si="35"/>
        <v>1749.9268177827719</v>
      </c>
      <c r="S178" s="2">
        <f t="shared" si="32"/>
        <v>559.949177750226</v>
      </c>
    </row>
    <row r="179" spans="2:19" x14ac:dyDescent="0.25">
      <c r="B179" s="10">
        <v>610</v>
      </c>
      <c r="C179" s="10">
        <v>8</v>
      </c>
      <c r="D179" s="9" t="s">
        <v>235</v>
      </c>
      <c r="E179" s="154">
        <f>INDEX('Revised 2017 Lockdown'!H$5:H$249,MATCH(B179,'Revised 2017 Lockdown'!B$5:B$249,0))</f>
        <v>66.425018068074081</v>
      </c>
      <c r="F179" s="7">
        <f>INDEX('Revised 2017 Lockdown'!E$5:E$249,MATCH(B179,'Revised 2017 Lockdown'!B$5:B$249,0))</f>
        <v>26597.53</v>
      </c>
      <c r="G179" s="7">
        <f>INDEX('Revised 2017 Lockdown'!F$5:F$249,MATCH(B179,'Revised 2017 Lockdown'!B$5:B$249,0))</f>
        <v>0</v>
      </c>
      <c r="H179" s="7">
        <f t="shared" si="25"/>
        <v>26597.53</v>
      </c>
      <c r="I179" s="6">
        <f t="shared" si="26"/>
        <v>400.41434347435421</v>
      </c>
      <c r="J179" s="6">
        <f t="shared" si="33"/>
        <v>400.41434347435421</v>
      </c>
      <c r="K179" s="5">
        <f t="shared" si="27"/>
        <v>26597.53</v>
      </c>
      <c r="L179" s="4">
        <f t="shared" si="28"/>
        <v>0</v>
      </c>
      <c r="M179" s="2">
        <f t="shared" si="29"/>
        <v>799.19769378052001</v>
      </c>
      <c r="N179" s="1" cm="1">
        <f t="array" ref="N179">SUMPRODUCT(--($L$6:$L$300&lt;&gt;1),--($C$6:$C$300=$C179))</f>
        <v>52</v>
      </c>
      <c r="O179" s="3">
        <f t="shared" si="30"/>
        <v>159028.16048141016</v>
      </c>
      <c r="P179" s="2">
        <f t="shared" si="31"/>
        <v>741.85787725071805</v>
      </c>
      <c r="Q179" s="2">
        <f t="shared" si="35"/>
        <v>-151.53143022173185</v>
      </c>
      <c r="R179" s="2">
        <f t="shared" si="35"/>
        <v>1749.9268177827719</v>
      </c>
      <c r="S179" s="2">
        <f t="shared" si="32"/>
        <v>400.41434347435421</v>
      </c>
    </row>
    <row r="180" spans="2:19" x14ac:dyDescent="0.25">
      <c r="B180" s="10">
        <v>611</v>
      </c>
      <c r="C180" s="10">
        <v>8</v>
      </c>
      <c r="D180" s="9" t="s">
        <v>236</v>
      </c>
      <c r="E180" s="154">
        <f>INDEX('Revised 2017 Lockdown'!H$5:H$249,MATCH(B180,'Revised 2017 Lockdown'!B$5:B$249,0))</f>
        <v>19.031531650101531</v>
      </c>
      <c r="F180" s="7">
        <f>INDEX('Revised 2017 Lockdown'!E$5:E$249,MATCH(B180,'Revised 2017 Lockdown'!B$5:B$249,0))</f>
        <v>27958.57</v>
      </c>
      <c r="G180" s="7">
        <f>INDEX('Revised 2017 Lockdown'!F$5:F$249,MATCH(B180,'Revised 2017 Lockdown'!B$5:B$249,0))</f>
        <v>0</v>
      </c>
      <c r="H180" s="7">
        <f t="shared" si="25"/>
        <v>27958.57</v>
      </c>
      <c r="I180" s="6">
        <f t="shared" si="26"/>
        <v>1469.0656807882744</v>
      </c>
      <c r="J180" s="6">
        <f t="shared" si="33"/>
        <v>1469.0656807882744</v>
      </c>
      <c r="K180" s="5">
        <f t="shared" si="27"/>
        <v>27958.569999999996</v>
      </c>
      <c r="L180" s="4">
        <f t="shared" si="28"/>
        <v>0</v>
      </c>
      <c r="M180" s="2">
        <f t="shared" si="29"/>
        <v>799.19769378052001</v>
      </c>
      <c r="N180" s="1" cm="1">
        <f t="array" ref="N180">SUMPRODUCT(--($L$6:$L$300&lt;&gt;1),--($C$6:$C$300=$C180))</f>
        <v>52</v>
      </c>
      <c r="O180" s="3">
        <f t="shared" si="30"/>
        <v>448723.12001782109</v>
      </c>
      <c r="P180" s="2">
        <f t="shared" si="31"/>
        <v>741.85787725071805</v>
      </c>
      <c r="Q180" s="2">
        <f t="shared" si="35"/>
        <v>-151.53143022173185</v>
      </c>
      <c r="R180" s="2">
        <f t="shared" si="35"/>
        <v>1749.9268177827719</v>
      </c>
      <c r="S180" s="2">
        <f t="shared" si="32"/>
        <v>1469.0656807882744</v>
      </c>
    </row>
    <row r="181" spans="2:19" x14ac:dyDescent="0.25">
      <c r="B181" s="10">
        <v>616</v>
      </c>
      <c r="C181" s="10">
        <v>8</v>
      </c>
      <c r="D181" s="9" t="s">
        <v>237</v>
      </c>
      <c r="E181" s="154">
        <f>INDEX('Revised 2017 Lockdown'!H$5:H$249,MATCH(B181,'Revised 2017 Lockdown'!B$5:B$249,0))</f>
        <v>179.09000000000003</v>
      </c>
      <c r="F181" s="7">
        <f>INDEX('Revised 2017 Lockdown'!E$5:E$249,MATCH(B181,'Revised 2017 Lockdown'!B$5:B$249,0))</f>
        <v>213811.28</v>
      </c>
      <c r="G181" s="7">
        <f>INDEX('Revised 2017 Lockdown'!F$5:F$249,MATCH(B181,'Revised 2017 Lockdown'!B$5:B$249,0))</f>
        <v>0</v>
      </c>
      <c r="H181" s="7">
        <f t="shared" si="25"/>
        <v>213811.28</v>
      </c>
      <c r="I181" s="6">
        <f t="shared" si="26"/>
        <v>1193.8761516555919</v>
      </c>
      <c r="J181" s="6">
        <f t="shared" si="33"/>
        <v>1193.8761516555919</v>
      </c>
      <c r="K181" s="5">
        <f t="shared" si="27"/>
        <v>213811.28</v>
      </c>
      <c r="L181" s="4">
        <f t="shared" si="28"/>
        <v>0</v>
      </c>
      <c r="M181" s="2">
        <f t="shared" si="29"/>
        <v>799.19769378052001</v>
      </c>
      <c r="N181" s="1" cm="1">
        <f t="array" ref="N181">SUMPRODUCT(--($L$6:$L$300&lt;&gt;1),--($C$6:$C$300=$C181))</f>
        <v>52</v>
      </c>
      <c r="O181" s="3">
        <f t="shared" si="30"/>
        <v>155771.0851106449</v>
      </c>
      <c r="P181" s="2">
        <f t="shared" si="31"/>
        <v>741.85787725071805</v>
      </c>
      <c r="Q181" s="2">
        <f t="shared" si="35"/>
        <v>-151.53143022173185</v>
      </c>
      <c r="R181" s="2">
        <f t="shared" si="35"/>
        <v>1749.9268177827719</v>
      </c>
      <c r="S181" s="2">
        <f t="shared" si="32"/>
        <v>1193.8761516555919</v>
      </c>
    </row>
    <row r="182" spans="2:19" x14ac:dyDescent="0.25">
      <c r="B182" s="10">
        <v>692</v>
      </c>
      <c r="C182" s="10">
        <v>8</v>
      </c>
      <c r="D182" s="9" t="s">
        <v>238</v>
      </c>
      <c r="E182" s="154">
        <f>INDEX('Revised 2017 Lockdown'!H$5:H$249,MATCH(B182,'Revised 2017 Lockdown'!B$5:B$249,0))</f>
        <v>324.73850537213622</v>
      </c>
      <c r="F182" s="7">
        <f>INDEX('Revised 2017 Lockdown'!E$5:E$249,MATCH(B182,'Revised 2017 Lockdown'!B$5:B$249,0))</f>
        <v>103835.41</v>
      </c>
      <c r="G182" s="7">
        <f>INDEX('Revised 2017 Lockdown'!F$5:F$249,MATCH(B182,'Revised 2017 Lockdown'!B$5:B$249,0))</f>
        <v>0</v>
      </c>
      <c r="H182" s="7">
        <f t="shared" si="25"/>
        <v>103835.41</v>
      </c>
      <c r="I182" s="6">
        <f t="shared" si="26"/>
        <v>319.75084039082196</v>
      </c>
      <c r="J182" s="6">
        <f t="shared" si="33"/>
        <v>319.75084039082196</v>
      </c>
      <c r="K182" s="5">
        <f t="shared" si="27"/>
        <v>103835.41</v>
      </c>
      <c r="L182" s="4">
        <f t="shared" si="28"/>
        <v>0</v>
      </c>
      <c r="M182" s="2">
        <f t="shared" si="29"/>
        <v>799.19769378052001</v>
      </c>
      <c r="N182" s="1" cm="1">
        <f t="array" ref="N182">SUMPRODUCT(--($L$6:$L$300&lt;&gt;1),--($C$6:$C$300=$C182))</f>
        <v>52</v>
      </c>
      <c r="O182" s="3">
        <f t="shared" si="30"/>
        <v>229869.28522528263</v>
      </c>
      <c r="P182" s="2">
        <f t="shared" si="31"/>
        <v>741.85787725071805</v>
      </c>
      <c r="Q182" s="2">
        <f t="shared" si="35"/>
        <v>-151.53143022173185</v>
      </c>
      <c r="R182" s="2">
        <f t="shared" si="35"/>
        <v>1749.9268177827719</v>
      </c>
      <c r="S182" s="2">
        <f t="shared" si="32"/>
        <v>319.75084039082196</v>
      </c>
    </row>
    <row r="183" spans="2:19" x14ac:dyDescent="0.25">
      <c r="B183" s="10">
        <v>706</v>
      </c>
      <c r="C183" s="10">
        <v>8</v>
      </c>
      <c r="D183" s="9" t="s">
        <v>239</v>
      </c>
      <c r="E183" s="154">
        <f>INDEX('Revised 2017 Lockdown'!H$5:H$249,MATCH(B183,'Revised 2017 Lockdown'!B$5:B$249,0))</f>
        <v>68.365821017379318</v>
      </c>
      <c r="F183" s="7">
        <f>INDEX('Revised 2017 Lockdown'!E$5:E$249,MATCH(B183,'Revised 2017 Lockdown'!B$5:B$249,0))</f>
        <v>62987.97</v>
      </c>
      <c r="G183" s="7">
        <f>INDEX('Revised 2017 Lockdown'!F$5:F$249,MATCH(B183,'Revised 2017 Lockdown'!B$5:B$249,0))</f>
        <v>45530</v>
      </c>
      <c r="H183" s="7">
        <f t="shared" si="25"/>
        <v>17457.97</v>
      </c>
      <c r="I183" s="6">
        <f t="shared" si="26"/>
        <v>255.36108160775251</v>
      </c>
      <c r="J183" s="6">
        <f t="shared" si="33"/>
        <v>255.36108160775251</v>
      </c>
      <c r="K183" s="5">
        <f t="shared" si="27"/>
        <v>17457.97</v>
      </c>
      <c r="L183" s="4">
        <f t="shared" si="28"/>
        <v>0</v>
      </c>
      <c r="M183" s="2">
        <f t="shared" si="29"/>
        <v>799.19769378052001</v>
      </c>
      <c r="N183" s="1" cm="1">
        <f t="array" ref="N183">SUMPRODUCT(--($L$6:$L$300&lt;&gt;1),--($C$6:$C$300=$C183))</f>
        <v>52</v>
      </c>
      <c r="O183" s="3">
        <f t="shared" si="30"/>
        <v>295758.26073955308</v>
      </c>
      <c r="P183" s="2">
        <f t="shared" si="31"/>
        <v>741.85787725071805</v>
      </c>
      <c r="Q183" s="2">
        <f t="shared" si="35"/>
        <v>-151.53143022173185</v>
      </c>
      <c r="R183" s="2">
        <f t="shared" si="35"/>
        <v>1749.9268177827719</v>
      </c>
      <c r="S183" s="2">
        <f t="shared" si="32"/>
        <v>255.36108160775251</v>
      </c>
    </row>
    <row r="184" spans="2:19" x14ac:dyDescent="0.25">
      <c r="B184" s="10">
        <v>709</v>
      </c>
      <c r="C184" s="10">
        <v>8</v>
      </c>
      <c r="D184" s="9" t="s">
        <v>240</v>
      </c>
      <c r="E184" s="154">
        <f>INDEX('Revised 2017 Lockdown'!H$5:H$249,MATCH(B184,'Revised 2017 Lockdown'!B$5:B$249,0))</f>
        <v>74.174681626699126</v>
      </c>
      <c r="F184" s="7">
        <f>INDEX('Revised 2017 Lockdown'!E$5:E$249,MATCH(B184,'Revised 2017 Lockdown'!B$5:B$249,0))</f>
        <v>48233.84</v>
      </c>
      <c r="G184" s="7">
        <f>INDEX('Revised 2017 Lockdown'!F$5:F$249,MATCH(B184,'Revised 2017 Lockdown'!B$5:B$249,0))</f>
        <v>0</v>
      </c>
      <c r="H184" s="7">
        <f t="shared" si="25"/>
        <v>48233.84</v>
      </c>
      <c r="I184" s="6">
        <f t="shared" si="26"/>
        <v>650.27363707130837</v>
      </c>
      <c r="J184" s="6">
        <f t="shared" si="33"/>
        <v>650.27363707130837</v>
      </c>
      <c r="K184" s="5">
        <f t="shared" si="27"/>
        <v>48233.839999999989</v>
      </c>
      <c r="L184" s="4">
        <f t="shared" si="28"/>
        <v>0</v>
      </c>
      <c r="M184" s="2">
        <f t="shared" si="29"/>
        <v>799.19769378052001</v>
      </c>
      <c r="N184" s="1" cm="1">
        <f t="array" ref="N184">SUMPRODUCT(--($L$6:$L$300&lt;&gt;1),--($C$6:$C$300=$C184))</f>
        <v>52</v>
      </c>
      <c r="O184" s="3">
        <f t="shared" si="30"/>
        <v>22178.374666728483</v>
      </c>
      <c r="P184" s="2">
        <f t="shared" si="31"/>
        <v>741.85787725071805</v>
      </c>
      <c r="Q184" s="2">
        <f t="shared" si="35"/>
        <v>-151.53143022173185</v>
      </c>
      <c r="R184" s="2">
        <f t="shared" si="35"/>
        <v>1749.9268177827719</v>
      </c>
      <c r="S184" s="2">
        <f t="shared" si="32"/>
        <v>650.27363707130837</v>
      </c>
    </row>
    <row r="185" spans="2:19" x14ac:dyDescent="0.25">
      <c r="B185" s="10">
        <v>714</v>
      </c>
      <c r="C185" s="10">
        <v>8</v>
      </c>
      <c r="D185" s="9" t="s">
        <v>241</v>
      </c>
      <c r="E185" s="154">
        <f>INDEX('Revised 2017 Lockdown'!H$5:H$249,MATCH(B185,'Revised 2017 Lockdown'!B$5:B$249,0))</f>
        <v>47.438691956333841</v>
      </c>
      <c r="F185" s="7">
        <f>INDEX('Revised 2017 Lockdown'!E$5:E$249,MATCH(B185,'Revised 2017 Lockdown'!B$5:B$249,0))</f>
        <v>36713.449999999997</v>
      </c>
      <c r="G185" s="7">
        <f>INDEX('Revised 2017 Lockdown'!F$5:F$249,MATCH(B185,'Revised 2017 Lockdown'!B$5:B$249,0))</f>
        <v>0</v>
      </c>
      <c r="H185" s="7">
        <f t="shared" si="25"/>
        <v>36713.449999999997</v>
      </c>
      <c r="I185" s="6">
        <f t="shared" si="26"/>
        <v>773.91362379455643</v>
      </c>
      <c r="J185" s="6">
        <f t="shared" si="33"/>
        <v>773.91362379455643</v>
      </c>
      <c r="K185" s="5">
        <f t="shared" si="27"/>
        <v>36713.449999999997</v>
      </c>
      <c r="L185" s="4">
        <f t="shared" si="28"/>
        <v>0</v>
      </c>
      <c r="M185" s="2">
        <f t="shared" si="29"/>
        <v>799.19769378052001</v>
      </c>
      <c r="N185" s="1" cm="1">
        <f t="array" ref="N185">SUMPRODUCT(--($L$6:$L$300&lt;&gt;1),--($C$6:$C$300=$C185))</f>
        <v>52</v>
      </c>
      <c r="O185" s="3">
        <f t="shared" si="30"/>
        <v>639.28419505510453</v>
      </c>
      <c r="P185" s="2">
        <f t="shared" si="31"/>
        <v>741.85787725071805</v>
      </c>
      <c r="Q185" s="2">
        <f t="shared" si="35"/>
        <v>-151.53143022173185</v>
      </c>
      <c r="R185" s="2">
        <f t="shared" si="35"/>
        <v>1749.9268177827719</v>
      </c>
      <c r="S185" s="2">
        <f t="shared" si="32"/>
        <v>773.91362379455643</v>
      </c>
    </row>
    <row r="186" spans="2:19" x14ac:dyDescent="0.25">
      <c r="B186" s="10">
        <v>749</v>
      </c>
      <c r="C186" s="10">
        <v>8</v>
      </c>
      <c r="D186" s="9" t="s">
        <v>242</v>
      </c>
      <c r="E186" s="154">
        <f>INDEX('Revised 2017 Lockdown'!H$5:H$249,MATCH(B186,'Revised 2017 Lockdown'!B$5:B$249,0))</f>
        <v>19.847617438557059</v>
      </c>
      <c r="F186" s="7">
        <f>INDEX('Revised 2017 Lockdown'!E$5:E$249,MATCH(B186,'Revised 2017 Lockdown'!B$5:B$249,0))</f>
        <v>8284.82</v>
      </c>
      <c r="G186" s="7">
        <f>INDEX('Revised 2017 Lockdown'!F$5:F$249,MATCH(B186,'Revised 2017 Lockdown'!B$5:B$249,0))</f>
        <v>0</v>
      </c>
      <c r="H186" s="7">
        <f t="shared" si="25"/>
        <v>8284.82</v>
      </c>
      <c r="I186" s="6">
        <f t="shared" si="26"/>
        <v>417.42138700766463</v>
      </c>
      <c r="J186" s="6">
        <f t="shared" si="33"/>
        <v>417.42138700766463</v>
      </c>
      <c r="K186" s="5">
        <f t="shared" si="27"/>
        <v>8284.82</v>
      </c>
      <c r="L186" s="4">
        <f t="shared" si="28"/>
        <v>0</v>
      </c>
      <c r="M186" s="2">
        <f t="shared" si="29"/>
        <v>799.19769378052001</v>
      </c>
      <c r="N186" s="1" cm="1">
        <f t="array" ref="N186">SUMPRODUCT(--($L$6:$L$300&lt;&gt;1),--($C$6:$C$300=$C186))</f>
        <v>52</v>
      </c>
      <c r="O186" s="3">
        <f t="shared" si="30"/>
        <v>145753.14841312138</v>
      </c>
      <c r="P186" s="2">
        <f t="shared" si="31"/>
        <v>741.85787725071805</v>
      </c>
      <c r="Q186" s="2">
        <f t="shared" ref="Q186:R205" si="36">NORMINV(Q$4,$M186,$P186)</f>
        <v>-151.53143022173185</v>
      </c>
      <c r="R186" s="2">
        <f t="shared" si="36"/>
        <v>1749.9268177827719</v>
      </c>
      <c r="S186" s="2">
        <f t="shared" si="32"/>
        <v>417.42138700766463</v>
      </c>
    </row>
    <row r="187" spans="2:19" x14ac:dyDescent="0.25">
      <c r="B187" s="10">
        <v>764</v>
      </c>
      <c r="C187" s="10">
        <v>8</v>
      </c>
      <c r="D187" s="9" t="s">
        <v>243</v>
      </c>
      <c r="E187" s="154">
        <f>INDEX('Revised 2017 Lockdown'!H$5:H$249,MATCH(B187,'Revised 2017 Lockdown'!B$5:B$249,0))</f>
        <v>56.099999999999994</v>
      </c>
      <c r="F187" s="7">
        <f>INDEX('Revised 2017 Lockdown'!E$5:E$249,MATCH(B187,'Revised 2017 Lockdown'!B$5:B$249,0))</f>
        <v>15230.64</v>
      </c>
      <c r="G187" s="7">
        <f>INDEX('Revised 2017 Lockdown'!F$5:F$249,MATCH(B187,'Revised 2017 Lockdown'!B$5:B$249,0))</f>
        <v>0</v>
      </c>
      <c r="H187" s="7">
        <f t="shared" si="25"/>
        <v>15230.64</v>
      </c>
      <c r="I187" s="6">
        <f t="shared" si="26"/>
        <v>271.4909090909091</v>
      </c>
      <c r="J187" s="6">
        <f t="shared" si="33"/>
        <v>271.4909090909091</v>
      </c>
      <c r="K187" s="5">
        <f t="shared" si="27"/>
        <v>15230.64</v>
      </c>
      <c r="L187" s="4">
        <f t="shared" si="28"/>
        <v>0</v>
      </c>
      <c r="M187" s="2">
        <f t="shared" si="29"/>
        <v>799.19769378052001</v>
      </c>
      <c r="N187" s="1" cm="1">
        <f t="array" ref="N187">SUMPRODUCT(--($L$6:$L$300&lt;&gt;1),--($C$6:$C$300=$C187))</f>
        <v>52</v>
      </c>
      <c r="O187" s="3">
        <f t="shared" si="30"/>
        <v>278474.45060744736</v>
      </c>
      <c r="P187" s="2">
        <f t="shared" si="31"/>
        <v>741.85787725071805</v>
      </c>
      <c r="Q187" s="2">
        <f t="shared" si="36"/>
        <v>-151.53143022173185</v>
      </c>
      <c r="R187" s="2">
        <f t="shared" si="36"/>
        <v>1749.9268177827719</v>
      </c>
      <c r="S187" s="2">
        <f t="shared" si="32"/>
        <v>271.4909090909091</v>
      </c>
    </row>
    <row r="188" spans="2:19" x14ac:dyDescent="0.25">
      <c r="B188" s="10">
        <v>775</v>
      </c>
      <c r="C188" s="10">
        <v>8</v>
      </c>
      <c r="D188" s="9" t="s">
        <v>244</v>
      </c>
      <c r="E188" s="154">
        <f>INDEX('Revised 2017 Lockdown'!H$5:H$249,MATCH(B188,'Revised 2017 Lockdown'!B$5:B$249,0))</f>
        <v>224.96988220877736</v>
      </c>
      <c r="F188" s="7">
        <f>INDEX('Revised 2017 Lockdown'!E$5:E$249,MATCH(B188,'Revised 2017 Lockdown'!B$5:B$249,0))</f>
        <v>28443.79</v>
      </c>
      <c r="G188" s="7">
        <f>INDEX('Revised 2017 Lockdown'!F$5:F$249,MATCH(B188,'Revised 2017 Lockdown'!B$5:B$249,0))</f>
        <v>0</v>
      </c>
      <c r="H188" s="7">
        <f t="shared" si="25"/>
        <v>28443.79</v>
      </c>
      <c r="I188" s="6">
        <f t="shared" si="26"/>
        <v>126.43376847041014</v>
      </c>
      <c r="J188" s="6">
        <f t="shared" si="33"/>
        <v>126.43376847041014</v>
      </c>
      <c r="K188" s="5">
        <f t="shared" si="27"/>
        <v>28443.79</v>
      </c>
      <c r="L188" s="4">
        <f t="shared" si="28"/>
        <v>0</v>
      </c>
      <c r="M188" s="2">
        <f t="shared" si="29"/>
        <v>799.19769378052001</v>
      </c>
      <c r="N188" s="1" cm="1">
        <f t="array" ref="N188">SUMPRODUCT(--($L$6:$L$300&lt;&gt;1),--($C$6:$C$300=$C188))</f>
        <v>52</v>
      </c>
      <c r="O188" s="3">
        <f t="shared" si="30"/>
        <v>452611.29919866717</v>
      </c>
      <c r="P188" s="2">
        <f t="shared" si="31"/>
        <v>741.85787725071805</v>
      </c>
      <c r="Q188" s="2">
        <f t="shared" si="36"/>
        <v>-151.53143022173185</v>
      </c>
      <c r="R188" s="2">
        <f t="shared" si="36"/>
        <v>1749.9268177827719</v>
      </c>
      <c r="S188" s="2">
        <f t="shared" si="32"/>
        <v>126.43376847041014</v>
      </c>
    </row>
    <row r="189" spans="2:19" x14ac:dyDescent="0.25">
      <c r="B189" s="10">
        <v>790</v>
      </c>
      <c r="C189" s="10">
        <v>8</v>
      </c>
      <c r="D189" s="9" t="s">
        <v>245</v>
      </c>
      <c r="E189" s="154">
        <f>INDEX('Revised 2017 Lockdown'!H$5:H$249,MATCH(B189,'Revised 2017 Lockdown'!B$5:B$249,0))</f>
        <v>19.904487402564385</v>
      </c>
      <c r="F189" s="7">
        <f>INDEX('Revised 2017 Lockdown'!E$5:E$249,MATCH(B189,'Revised 2017 Lockdown'!B$5:B$249,0))</f>
        <v>11267.83</v>
      </c>
      <c r="G189" s="7">
        <f>INDEX('Revised 2017 Lockdown'!F$5:F$249,MATCH(B189,'Revised 2017 Lockdown'!B$5:B$249,0))</f>
        <v>0</v>
      </c>
      <c r="H189" s="7">
        <f t="shared" si="25"/>
        <v>11267.83</v>
      </c>
      <c r="I189" s="6">
        <f t="shared" si="26"/>
        <v>566.09496000124648</v>
      </c>
      <c r="J189" s="6">
        <f t="shared" si="33"/>
        <v>566.09496000124648</v>
      </c>
      <c r="K189" s="5">
        <f t="shared" si="27"/>
        <v>11267.83</v>
      </c>
      <c r="L189" s="4">
        <f t="shared" si="28"/>
        <v>0</v>
      </c>
      <c r="M189" s="2">
        <f t="shared" si="29"/>
        <v>799.19769378052001</v>
      </c>
      <c r="N189" s="1" cm="1">
        <f t="array" ref="N189">SUMPRODUCT(--($L$6:$L$300&lt;&gt;1),--($C$6:$C$300=$C189))</f>
        <v>52</v>
      </c>
      <c r="O189" s="3">
        <f t="shared" si="30"/>
        <v>54336.884495370869</v>
      </c>
      <c r="P189" s="2">
        <f t="shared" si="31"/>
        <v>741.85787725071805</v>
      </c>
      <c r="Q189" s="2">
        <f t="shared" si="36"/>
        <v>-151.53143022173185</v>
      </c>
      <c r="R189" s="2">
        <f t="shared" si="36"/>
        <v>1749.9268177827719</v>
      </c>
      <c r="S189" s="2">
        <f t="shared" si="32"/>
        <v>566.09496000124648</v>
      </c>
    </row>
    <row r="190" spans="2:19" x14ac:dyDescent="0.25">
      <c r="B190" s="10">
        <v>795</v>
      </c>
      <c r="C190" s="10">
        <v>8</v>
      </c>
      <c r="D190" s="9" t="s">
        <v>364</v>
      </c>
      <c r="E190" s="154">
        <f>INDEX('Revised 2017 Lockdown'!H$5:H$249,MATCH(B190,'Revised 2017 Lockdown'!B$5:B$249,0))</f>
        <v>54.951852431979624</v>
      </c>
      <c r="F190" s="7">
        <f>INDEX('Revised 2017 Lockdown'!E$5:E$249,MATCH(B190,'Revised 2017 Lockdown'!B$5:B$249,0))</f>
        <v>115302.87</v>
      </c>
      <c r="G190" s="7">
        <f>INDEX('Revised 2017 Lockdown'!F$5:F$249,MATCH(B190,'Revised 2017 Lockdown'!B$5:B$249,0))</f>
        <v>44679.360000000001</v>
      </c>
      <c r="H190" s="7">
        <f t="shared" si="25"/>
        <v>70623.509999999995</v>
      </c>
      <c r="I190" s="6">
        <f t="shared" si="26"/>
        <v>1285.1888858054244</v>
      </c>
      <c r="J190" s="6">
        <f t="shared" si="33"/>
        <v>1285.1888858054244</v>
      </c>
      <c r="K190" s="5">
        <f t="shared" si="27"/>
        <v>70623.509999999995</v>
      </c>
      <c r="L190" s="4">
        <f t="shared" si="28"/>
        <v>0</v>
      </c>
      <c r="M190" s="2">
        <f t="shared" si="29"/>
        <v>799.19769378052001</v>
      </c>
      <c r="N190" s="1" cm="1">
        <f t="array" ref="N190">SUMPRODUCT(--($L$6:$L$300&lt;&gt;1),--($C$6:$C$300=$C190))</f>
        <v>52</v>
      </c>
      <c r="O190" s="3">
        <f t="shared" si="30"/>
        <v>236187.43872578754</v>
      </c>
      <c r="P190" s="2">
        <f t="shared" si="31"/>
        <v>741.85787725071805</v>
      </c>
      <c r="Q190" s="2">
        <f t="shared" si="36"/>
        <v>-151.53143022173185</v>
      </c>
      <c r="R190" s="2">
        <f t="shared" si="36"/>
        <v>1749.9268177827719</v>
      </c>
      <c r="S190" s="2">
        <f t="shared" si="32"/>
        <v>1285.1888858054244</v>
      </c>
    </row>
    <row r="191" spans="2:19" x14ac:dyDescent="0.25">
      <c r="B191" s="10">
        <v>796</v>
      </c>
      <c r="C191" s="10">
        <v>8</v>
      </c>
      <c r="D191" s="9" t="s">
        <v>246</v>
      </c>
      <c r="E191" s="154">
        <f>INDEX('Revised 2017 Lockdown'!H$5:H$249,MATCH(B191,'Revised 2017 Lockdown'!B$5:B$249,0))</f>
        <v>19.498273373940624</v>
      </c>
      <c r="F191" s="7">
        <f>INDEX('Revised 2017 Lockdown'!E$5:E$249,MATCH(B191,'Revised 2017 Lockdown'!B$5:B$249,0))</f>
        <v>19373.02</v>
      </c>
      <c r="G191" s="7">
        <f>INDEX('Revised 2017 Lockdown'!F$5:F$249,MATCH(B191,'Revised 2017 Lockdown'!B$5:B$249,0))</f>
        <v>0</v>
      </c>
      <c r="H191" s="7">
        <f t="shared" si="25"/>
        <v>19373.02</v>
      </c>
      <c r="I191" s="6">
        <f t="shared" si="26"/>
        <v>993.57618125777105</v>
      </c>
      <c r="J191" s="6">
        <f t="shared" si="33"/>
        <v>993.57618125777105</v>
      </c>
      <c r="K191" s="5">
        <f t="shared" si="27"/>
        <v>19373.02</v>
      </c>
      <c r="L191" s="4">
        <f t="shared" si="28"/>
        <v>0</v>
      </c>
      <c r="M191" s="2">
        <f t="shared" si="29"/>
        <v>799.19769378052001</v>
      </c>
      <c r="N191" s="1" cm="1">
        <f t="array" ref="N191">SUMPRODUCT(--($L$6:$L$300&lt;&gt;1),--($C$6:$C$300=$C191))</f>
        <v>52</v>
      </c>
      <c r="O191" s="3">
        <f t="shared" si="30"/>
        <v>37782.996393943838</v>
      </c>
      <c r="P191" s="2">
        <f t="shared" si="31"/>
        <v>741.85787725071805</v>
      </c>
      <c r="Q191" s="2">
        <f t="shared" si="36"/>
        <v>-151.53143022173185</v>
      </c>
      <c r="R191" s="2">
        <f t="shared" si="36"/>
        <v>1749.9268177827719</v>
      </c>
      <c r="S191" s="2">
        <f t="shared" si="32"/>
        <v>993.57618125777105</v>
      </c>
    </row>
    <row r="192" spans="2:19" x14ac:dyDescent="0.25">
      <c r="B192" s="10">
        <v>797</v>
      </c>
      <c r="C192" s="10">
        <v>8</v>
      </c>
      <c r="D192" s="9" t="s">
        <v>247</v>
      </c>
      <c r="E192" s="154">
        <f>INDEX('Revised 2017 Lockdown'!H$5:H$249,MATCH(B192,'Revised 2017 Lockdown'!B$5:B$249,0))</f>
        <v>30.721683870330171</v>
      </c>
      <c r="F192" s="7">
        <f>INDEX('Revised 2017 Lockdown'!E$5:E$249,MATCH(B192,'Revised 2017 Lockdown'!B$5:B$249,0))</f>
        <v>30616.75</v>
      </c>
      <c r="G192" s="7">
        <f>INDEX('Revised 2017 Lockdown'!F$5:F$249,MATCH(B192,'Revised 2017 Lockdown'!B$5:B$249,0))</f>
        <v>980</v>
      </c>
      <c r="H192" s="7">
        <f t="shared" si="25"/>
        <v>29636.75</v>
      </c>
      <c r="I192" s="6">
        <f t="shared" si="26"/>
        <v>964.68507797588666</v>
      </c>
      <c r="J192" s="6">
        <f t="shared" si="33"/>
        <v>964.68507797588666</v>
      </c>
      <c r="K192" s="5">
        <f t="shared" si="27"/>
        <v>29636.75</v>
      </c>
      <c r="L192" s="4">
        <f t="shared" si="28"/>
        <v>0</v>
      </c>
      <c r="M192" s="2">
        <f t="shared" si="29"/>
        <v>799.19769378052001</v>
      </c>
      <c r="N192" s="1" cm="1">
        <f t="array" ref="N192">SUMPRODUCT(--($L$6:$L$300&lt;&gt;1),--($C$6:$C$300=$C192))</f>
        <v>52</v>
      </c>
      <c r="O192" s="3">
        <f t="shared" si="30"/>
        <v>27386.074327824885</v>
      </c>
      <c r="P192" s="2">
        <f t="shared" si="31"/>
        <v>741.85787725071805</v>
      </c>
      <c r="Q192" s="2">
        <f t="shared" si="36"/>
        <v>-151.53143022173185</v>
      </c>
      <c r="R192" s="2">
        <f t="shared" si="36"/>
        <v>1749.9268177827719</v>
      </c>
      <c r="S192" s="2">
        <f t="shared" si="32"/>
        <v>964.68507797588666</v>
      </c>
    </row>
    <row r="193" spans="2:19" x14ac:dyDescent="0.25">
      <c r="B193" s="10">
        <v>801</v>
      </c>
      <c r="C193" s="10">
        <v>8</v>
      </c>
      <c r="D193" s="9" t="s">
        <v>248</v>
      </c>
      <c r="E193" s="154">
        <f>INDEX('Revised 2017 Lockdown'!H$5:H$249,MATCH(B193,'Revised 2017 Lockdown'!B$5:B$249,0))</f>
        <v>143.04840559045437</v>
      </c>
      <c r="F193" s="7">
        <f>INDEX('Revised 2017 Lockdown'!E$5:E$249,MATCH(B193,'Revised 2017 Lockdown'!B$5:B$249,0))</f>
        <v>96218.880000000005</v>
      </c>
      <c r="G193" s="7">
        <f>INDEX('Revised 2017 Lockdown'!F$5:F$249,MATCH(B193,'Revised 2017 Lockdown'!B$5:B$249,0))</f>
        <v>0</v>
      </c>
      <c r="H193" s="7">
        <f t="shared" si="25"/>
        <v>96218.880000000005</v>
      </c>
      <c r="I193" s="6">
        <f t="shared" si="26"/>
        <v>672.63161447233006</v>
      </c>
      <c r="J193" s="6">
        <f t="shared" si="33"/>
        <v>672.63161447233006</v>
      </c>
      <c r="K193" s="5">
        <f t="shared" si="27"/>
        <v>96218.880000000005</v>
      </c>
      <c r="L193" s="4">
        <f t="shared" si="28"/>
        <v>0</v>
      </c>
      <c r="M193" s="2">
        <f t="shared" si="29"/>
        <v>799.19769378052001</v>
      </c>
      <c r="N193" s="1" cm="1">
        <f t="array" ref="N193">SUMPRODUCT(--($L$6:$L$300&lt;&gt;1),--($C$6:$C$300=$C193))</f>
        <v>52</v>
      </c>
      <c r="O193" s="3">
        <f t="shared" si="30"/>
        <v>16018.97243144703</v>
      </c>
      <c r="P193" s="2">
        <f t="shared" si="31"/>
        <v>741.85787725071805</v>
      </c>
      <c r="Q193" s="2">
        <f t="shared" si="36"/>
        <v>-151.53143022173185</v>
      </c>
      <c r="R193" s="2">
        <f t="shared" si="36"/>
        <v>1749.9268177827719</v>
      </c>
      <c r="S193" s="2">
        <f t="shared" si="32"/>
        <v>672.63161447233006</v>
      </c>
    </row>
    <row r="194" spans="2:19" x14ac:dyDescent="0.25">
      <c r="B194" s="10">
        <v>810</v>
      </c>
      <c r="C194" s="10">
        <v>8</v>
      </c>
      <c r="D194" s="9" t="s">
        <v>249</v>
      </c>
      <c r="E194" s="154">
        <f>INDEX('Revised 2017 Lockdown'!H$5:H$249,MATCH(B194,'Revised 2017 Lockdown'!B$5:B$249,0))</f>
        <v>125.74000000000001</v>
      </c>
      <c r="F194" s="7">
        <f>INDEX('Revised 2017 Lockdown'!E$5:E$249,MATCH(B194,'Revised 2017 Lockdown'!B$5:B$249,0))</f>
        <v>111927.06</v>
      </c>
      <c r="G194" s="7">
        <f>INDEX('Revised 2017 Lockdown'!F$5:F$249,MATCH(B194,'Revised 2017 Lockdown'!B$5:B$249,0))</f>
        <v>0</v>
      </c>
      <c r="H194" s="7">
        <f t="shared" si="25"/>
        <v>111927.06</v>
      </c>
      <c r="I194" s="6">
        <f t="shared" si="26"/>
        <v>890.14681087959275</v>
      </c>
      <c r="J194" s="6">
        <f t="shared" si="33"/>
        <v>890.14681087959275</v>
      </c>
      <c r="K194" s="5">
        <f t="shared" si="27"/>
        <v>111927.06</v>
      </c>
      <c r="L194" s="4">
        <f t="shared" si="28"/>
        <v>0</v>
      </c>
      <c r="M194" s="2">
        <f t="shared" si="29"/>
        <v>799.19769378052001</v>
      </c>
      <c r="N194" s="1" cm="1">
        <f t="array" ref="N194">SUMPRODUCT(--($L$6:$L$300&lt;&gt;1),--($C$6:$C$300=$C194))</f>
        <v>52</v>
      </c>
      <c r="O194" s="3">
        <f t="shared" si="30"/>
        <v>8271.7419011008442</v>
      </c>
      <c r="P194" s="2">
        <f t="shared" si="31"/>
        <v>741.85787725071805</v>
      </c>
      <c r="Q194" s="2">
        <f t="shared" si="36"/>
        <v>-151.53143022173185</v>
      </c>
      <c r="R194" s="2">
        <f t="shared" si="36"/>
        <v>1749.9268177827719</v>
      </c>
      <c r="S194" s="2">
        <f t="shared" si="32"/>
        <v>890.14681087959275</v>
      </c>
    </row>
    <row r="195" spans="2:19" x14ac:dyDescent="0.25">
      <c r="B195" s="10">
        <v>812</v>
      </c>
      <c r="C195" s="10">
        <v>8</v>
      </c>
      <c r="D195" s="9" t="s">
        <v>250</v>
      </c>
      <c r="E195" s="154">
        <f>INDEX('Revised 2017 Lockdown'!H$5:H$249,MATCH(B195,'Revised 2017 Lockdown'!B$5:B$249,0))</f>
        <v>55.821931813477519</v>
      </c>
      <c r="F195" s="7">
        <f>INDEX('Revised 2017 Lockdown'!E$5:E$249,MATCH(B195,'Revised 2017 Lockdown'!B$5:B$249,0))</f>
        <v>82675.56</v>
      </c>
      <c r="G195" s="7">
        <f>INDEX('Revised 2017 Lockdown'!F$5:F$249,MATCH(B195,'Revised 2017 Lockdown'!B$5:B$249,0))</f>
        <v>265.60000000000002</v>
      </c>
      <c r="H195" s="7">
        <f t="shared" si="25"/>
        <v>82409.959999999992</v>
      </c>
      <c r="I195" s="6">
        <f t="shared" si="26"/>
        <v>1476.3007535347087</v>
      </c>
      <c r="J195" s="6">
        <f t="shared" si="33"/>
        <v>1476.3007535347087</v>
      </c>
      <c r="K195" s="5">
        <f t="shared" si="27"/>
        <v>82409.959999999992</v>
      </c>
      <c r="L195" s="4">
        <f t="shared" si="28"/>
        <v>0</v>
      </c>
      <c r="M195" s="2">
        <f t="shared" si="29"/>
        <v>799.19769378052001</v>
      </c>
      <c r="N195" s="1" cm="1">
        <f t="array" ref="N195">SUMPRODUCT(--($L$6:$L$300&lt;&gt;1),--($C$6:$C$300=$C195))</f>
        <v>52</v>
      </c>
      <c r="O195" s="3">
        <f t="shared" si="30"/>
        <v>458468.55352848448</v>
      </c>
      <c r="P195" s="2">
        <f t="shared" si="31"/>
        <v>741.85787725071805</v>
      </c>
      <c r="Q195" s="2">
        <f t="shared" si="36"/>
        <v>-151.53143022173185</v>
      </c>
      <c r="R195" s="2">
        <f t="shared" si="36"/>
        <v>1749.9268177827719</v>
      </c>
      <c r="S195" s="2">
        <f t="shared" si="32"/>
        <v>1476.3007535347087</v>
      </c>
    </row>
    <row r="196" spans="2:19" x14ac:dyDescent="0.25">
      <c r="B196" s="10">
        <v>818</v>
      </c>
      <c r="C196" s="10">
        <v>8</v>
      </c>
      <c r="D196" s="9" t="s">
        <v>251</v>
      </c>
      <c r="E196" s="154">
        <f>INDEX('Revised 2017 Lockdown'!H$5:H$249,MATCH(B196,'Revised 2017 Lockdown'!B$5:B$249,0))</f>
        <v>40.59703002065887</v>
      </c>
      <c r="F196" s="7">
        <f>INDEX('Revised 2017 Lockdown'!E$5:E$249,MATCH(B196,'Revised 2017 Lockdown'!B$5:B$249,0))</f>
        <v>18460.29</v>
      </c>
      <c r="G196" s="7">
        <f>INDEX('Revised 2017 Lockdown'!F$5:F$249,MATCH(B196,'Revised 2017 Lockdown'!B$5:B$249,0))</f>
        <v>0</v>
      </c>
      <c r="H196" s="7">
        <f t="shared" si="25"/>
        <v>18460.29</v>
      </c>
      <c r="I196" s="6">
        <f t="shared" si="26"/>
        <v>454.72020959676104</v>
      </c>
      <c r="J196" s="6">
        <f t="shared" si="33"/>
        <v>454.72020959676104</v>
      </c>
      <c r="K196" s="5">
        <f t="shared" si="27"/>
        <v>18460.29</v>
      </c>
      <c r="L196" s="4">
        <f t="shared" si="28"/>
        <v>0</v>
      </c>
      <c r="M196" s="2">
        <f t="shared" si="29"/>
        <v>799.19769378052001</v>
      </c>
      <c r="N196" s="1" cm="1">
        <f t="array" ref="N196">SUMPRODUCT(--($L$6:$L$300&lt;&gt;1),--($C$6:$C$300=$C196))</f>
        <v>52</v>
      </c>
      <c r="O196" s="3">
        <f t="shared" si="30"/>
        <v>118664.73710957191</v>
      </c>
      <c r="P196" s="2">
        <f t="shared" si="31"/>
        <v>741.85787725071805</v>
      </c>
      <c r="Q196" s="2">
        <f t="shared" si="36"/>
        <v>-151.53143022173185</v>
      </c>
      <c r="R196" s="2">
        <f t="shared" si="36"/>
        <v>1749.9268177827719</v>
      </c>
      <c r="S196" s="2">
        <f t="shared" si="32"/>
        <v>454.72020959676104</v>
      </c>
    </row>
    <row r="197" spans="2:19" ht="28.55" x14ac:dyDescent="0.25">
      <c r="B197" s="10">
        <v>833</v>
      </c>
      <c r="C197" s="10">
        <v>8</v>
      </c>
      <c r="D197" s="9" t="s">
        <v>252</v>
      </c>
      <c r="E197" s="154">
        <f>INDEX('Revised 2017 Lockdown'!H$5:H$249,MATCH(B197,'Revised 2017 Lockdown'!B$5:B$249,0))</f>
        <v>72.202285870646477</v>
      </c>
      <c r="F197" s="7">
        <f>INDEX('Revised 2017 Lockdown'!E$5:E$249,MATCH(B197,'Revised 2017 Lockdown'!B$5:B$249,0))</f>
        <v>37925.160000000003</v>
      </c>
      <c r="G197" s="7">
        <f>INDEX('Revised 2017 Lockdown'!F$5:F$249,MATCH(B197,'Revised 2017 Lockdown'!B$5:B$249,0))</f>
        <v>0</v>
      </c>
      <c r="H197" s="7">
        <f t="shared" si="25"/>
        <v>37925.160000000003</v>
      </c>
      <c r="I197" s="6">
        <f t="shared" si="26"/>
        <v>525.26259442733669</v>
      </c>
      <c r="J197" s="6">
        <f t="shared" si="33"/>
        <v>525.26259442733669</v>
      </c>
      <c r="K197" s="5">
        <f t="shared" si="27"/>
        <v>37925.160000000003</v>
      </c>
      <c r="L197" s="4">
        <f t="shared" si="28"/>
        <v>0</v>
      </c>
      <c r="M197" s="2">
        <f t="shared" si="29"/>
        <v>799.19769378052001</v>
      </c>
      <c r="N197" s="1" cm="1">
        <f t="array" ref="N197">SUMPRODUCT(--($L$6:$L$300&lt;&gt;1),--($C$6:$C$300=$C197))</f>
        <v>52</v>
      </c>
      <c r="O197" s="3">
        <f t="shared" si="30"/>
        <v>75040.438657638413</v>
      </c>
      <c r="P197" s="2">
        <f t="shared" si="31"/>
        <v>741.85787725071805</v>
      </c>
      <c r="Q197" s="2">
        <f t="shared" si="36"/>
        <v>-151.53143022173185</v>
      </c>
      <c r="R197" s="2">
        <f t="shared" si="36"/>
        <v>1749.9268177827719</v>
      </c>
      <c r="S197" s="2">
        <f t="shared" si="32"/>
        <v>525.26259442733669</v>
      </c>
    </row>
    <row r="198" spans="2:19" x14ac:dyDescent="0.25">
      <c r="B198" s="10">
        <v>834</v>
      </c>
      <c r="C198" s="10">
        <v>8</v>
      </c>
      <c r="D198" s="9" t="s">
        <v>253</v>
      </c>
      <c r="E198" s="154">
        <f>INDEX('Revised 2017 Lockdown'!H$5:H$249,MATCH(B198,'Revised 2017 Lockdown'!B$5:B$249,0))</f>
        <v>109.27</v>
      </c>
      <c r="F198" s="7">
        <f>INDEX('Revised 2017 Lockdown'!E$5:E$249,MATCH(B198,'Revised 2017 Lockdown'!B$5:B$249,0))</f>
        <v>49019.92</v>
      </c>
      <c r="G198" s="7">
        <f>INDEX('Revised 2017 Lockdown'!F$5:F$249,MATCH(B198,'Revised 2017 Lockdown'!B$5:B$249,0))</f>
        <v>7882.9</v>
      </c>
      <c r="H198" s="7">
        <f t="shared" ref="H198:H248" si="37">F198-G198</f>
        <v>41137.019999999997</v>
      </c>
      <c r="I198" s="6">
        <f t="shared" ref="I198:I248" si="38">H198/E198</f>
        <v>376.4713096000732</v>
      </c>
      <c r="J198" s="6">
        <f t="shared" si="33"/>
        <v>376.4713096000732</v>
      </c>
      <c r="K198" s="5">
        <f t="shared" ref="K198:K248" si="39">J198*E198</f>
        <v>41137.019999999997</v>
      </c>
      <c r="L198" s="4">
        <f t="shared" ref="L198:L248" si="40">IF(ISERROR(I198),1,0)</f>
        <v>0</v>
      </c>
      <c r="M198" s="2">
        <f t="shared" ref="M198:M250" si="41">SUMPRODUCT(--($L$6:$L$300&lt;&gt;1),--($C$6:$C$300=$C198),$H$6:$H$300)/SUMPRODUCT(--($L$6:$L$300&lt;&gt;1),--($C$6:$C$300=$C198),$E$6:$E$300)</f>
        <v>799.19769378052001</v>
      </c>
      <c r="N198" s="1" cm="1">
        <f t="array" ref="N198">SUMPRODUCT(--($L$6:$L$300&lt;&gt;1),--($C$6:$C$300=$C198))</f>
        <v>52</v>
      </c>
      <c r="O198" s="3">
        <f t="shared" ref="O198:O248" si="42">IF(ISERROR((I198-M198)^2),0,(I198-M198)^2)</f>
        <v>178697.59588227471</v>
      </c>
      <c r="P198" s="2">
        <f t="shared" ref="P198:P248" si="43">SQRT(SUMPRODUCT(--($L$6:$L$300&lt;&gt;1),--($C$6:$C$300=$C198),$E$6:$E$300,$O$6:$O$300)/((N198-1)*SUMPRODUCT(--($L$6:$L$300&lt;&gt;1),--($C$6:$C$300=$C198),$E$6:$E$300)/N198))</f>
        <v>741.85787725071805</v>
      </c>
      <c r="Q198" s="2">
        <f t="shared" si="36"/>
        <v>-151.53143022173185</v>
      </c>
      <c r="R198" s="2">
        <f t="shared" si="36"/>
        <v>1749.9268177827719</v>
      </c>
      <c r="S198" s="2">
        <f t="shared" ref="S198:S248" si="44">IF(ISERROR(MAX(MIN(I198,R198),Q198)),R198,MAX(MIN(I198,R198),Q198))</f>
        <v>376.4713096000732</v>
      </c>
    </row>
    <row r="199" spans="2:19" x14ac:dyDescent="0.25">
      <c r="B199" s="10">
        <v>837</v>
      </c>
      <c r="C199" s="10">
        <v>8</v>
      </c>
      <c r="D199" s="9" t="s">
        <v>254</v>
      </c>
      <c r="E199" s="154">
        <f>INDEX('Revised 2017 Lockdown'!H$5:H$249,MATCH(B199,'Revised 2017 Lockdown'!B$5:B$249,0))</f>
        <v>177.75</v>
      </c>
      <c r="F199" s="7">
        <f>INDEX('Revised 2017 Lockdown'!E$5:E$249,MATCH(B199,'Revised 2017 Lockdown'!B$5:B$249,0))</f>
        <v>97723.08</v>
      </c>
      <c r="G199" s="7">
        <f>INDEX('Revised 2017 Lockdown'!F$5:F$249,MATCH(B199,'Revised 2017 Lockdown'!B$5:B$249,0))</f>
        <v>0</v>
      </c>
      <c r="H199" s="7">
        <f t="shared" si="37"/>
        <v>97723.08</v>
      </c>
      <c r="I199" s="6">
        <f t="shared" si="38"/>
        <v>549.77822784810132</v>
      </c>
      <c r="J199" s="6">
        <f t="shared" ref="J199:J248" si="45">IF(ISERROR(IF($J$2=1,MAX(MIN(I199,R199),Q199),MIN(I199,R199))),R199,IF($J$2=1,MAX(MIN(I199,R199),Q199),MIN(I199,R199)))</f>
        <v>549.77822784810132</v>
      </c>
      <c r="K199" s="5">
        <f t="shared" si="39"/>
        <v>97723.080000000016</v>
      </c>
      <c r="L199" s="4">
        <f t="shared" si="40"/>
        <v>0</v>
      </c>
      <c r="M199" s="2">
        <f t="shared" si="41"/>
        <v>799.19769378052001</v>
      </c>
      <c r="N199" s="1" cm="1">
        <f t="array" ref="N199">SUMPRODUCT(--($L$6:$L$300&lt;&gt;1),--($C$6:$C$300=$C199))</f>
        <v>52</v>
      </c>
      <c r="O199" s="3">
        <f t="shared" si="42"/>
        <v>62210.069986012968</v>
      </c>
      <c r="P199" s="2">
        <f t="shared" si="43"/>
        <v>741.85787725071805</v>
      </c>
      <c r="Q199" s="2">
        <f t="shared" si="36"/>
        <v>-151.53143022173185</v>
      </c>
      <c r="R199" s="2">
        <f t="shared" si="36"/>
        <v>1749.9268177827719</v>
      </c>
      <c r="S199" s="2">
        <f t="shared" si="44"/>
        <v>549.77822784810132</v>
      </c>
    </row>
    <row r="200" spans="2:19" x14ac:dyDescent="0.25">
      <c r="B200" s="10">
        <v>845</v>
      </c>
      <c r="C200" s="10">
        <v>8</v>
      </c>
      <c r="D200" s="9" t="s">
        <v>365</v>
      </c>
      <c r="E200" s="154">
        <f>INDEX('Revised 2017 Lockdown'!H$5:H$249,MATCH(B200,'Revised 2017 Lockdown'!B$5:B$249,0))</f>
        <v>2.3479170854453502</v>
      </c>
      <c r="F200" s="7">
        <f>INDEX('Revised 2017 Lockdown'!E$5:E$249,MATCH(B200,'Revised 2017 Lockdown'!B$5:B$249,0))</f>
        <v>4119.76</v>
      </c>
      <c r="G200" s="7">
        <f>INDEX('Revised 2017 Lockdown'!F$5:F$249,MATCH(B200,'Revised 2017 Lockdown'!B$5:B$249,0))</f>
        <v>0</v>
      </c>
      <c r="H200" s="7">
        <f t="shared" si="37"/>
        <v>4119.76</v>
      </c>
      <c r="I200" s="6">
        <f t="shared" si="38"/>
        <v>1754.6445849975869</v>
      </c>
      <c r="J200" s="6">
        <f t="shared" si="45"/>
        <v>1749.9268177827719</v>
      </c>
      <c r="K200" s="5">
        <f t="shared" si="39"/>
        <v>4108.6830737511818</v>
      </c>
      <c r="L200" s="4">
        <f t="shared" si="40"/>
        <v>0</v>
      </c>
      <c r="M200" s="2">
        <f t="shared" si="41"/>
        <v>799.19769378052001</v>
      </c>
      <c r="N200" s="1" cm="1">
        <f t="array" ref="N200">SUMPRODUCT(--($L$6:$L$300&lt;&gt;1),--($C$6:$C$300=$C200))</f>
        <v>52</v>
      </c>
      <c r="O200" s="3">
        <f t="shared" si="42"/>
        <v>912878.76193635759</v>
      </c>
      <c r="P200" s="2">
        <f t="shared" si="43"/>
        <v>741.85787725071805</v>
      </c>
      <c r="Q200" s="2">
        <f t="shared" si="36"/>
        <v>-151.53143022173185</v>
      </c>
      <c r="R200" s="2">
        <f t="shared" si="36"/>
        <v>1749.9268177827719</v>
      </c>
      <c r="S200" s="2">
        <f t="shared" si="44"/>
        <v>1749.9268177827719</v>
      </c>
    </row>
    <row r="201" spans="2:19" x14ac:dyDescent="0.25">
      <c r="B201" s="10">
        <v>847</v>
      </c>
      <c r="C201" s="10">
        <v>8</v>
      </c>
      <c r="D201" s="9" t="s">
        <v>255</v>
      </c>
      <c r="E201" s="154">
        <f>INDEX('Revised 2017 Lockdown'!H$5:H$249,MATCH(B201,'Revised 2017 Lockdown'!B$5:B$249,0))</f>
        <v>69.978173383271198</v>
      </c>
      <c r="F201" s="7">
        <f>INDEX('Revised 2017 Lockdown'!E$5:E$249,MATCH(B201,'Revised 2017 Lockdown'!B$5:B$249,0))</f>
        <v>85855.54</v>
      </c>
      <c r="G201" s="7">
        <f>INDEX('Revised 2017 Lockdown'!F$5:F$249,MATCH(B201,'Revised 2017 Lockdown'!B$5:B$249,0))</f>
        <v>0</v>
      </c>
      <c r="H201" s="7">
        <f t="shared" si="37"/>
        <v>85855.54</v>
      </c>
      <c r="I201" s="6">
        <f t="shared" si="38"/>
        <v>1226.8902694811466</v>
      </c>
      <c r="J201" s="6">
        <f t="shared" si="45"/>
        <v>1226.8902694811466</v>
      </c>
      <c r="K201" s="5">
        <f t="shared" si="39"/>
        <v>85855.54</v>
      </c>
      <c r="L201" s="4">
        <f t="shared" si="40"/>
        <v>0</v>
      </c>
      <c r="M201" s="2">
        <f t="shared" si="41"/>
        <v>799.19769378052001</v>
      </c>
      <c r="N201" s="1" cm="1">
        <f t="array" ref="N201">SUMPRODUCT(--($L$6:$L$300&lt;&gt;1),--($C$6:$C$300=$C201))</f>
        <v>52</v>
      </c>
      <c r="O201" s="3">
        <f t="shared" si="42"/>
        <v>182920.93930943616</v>
      </c>
      <c r="P201" s="2">
        <f t="shared" si="43"/>
        <v>741.85787725071805</v>
      </c>
      <c r="Q201" s="2">
        <f t="shared" si="36"/>
        <v>-151.53143022173185</v>
      </c>
      <c r="R201" s="2">
        <f t="shared" si="36"/>
        <v>1749.9268177827719</v>
      </c>
      <c r="S201" s="2">
        <f t="shared" si="44"/>
        <v>1226.8902694811466</v>
      </c>
    </row>
    <row r="202" spans="2:19" x14ac:dyDescent="0.25">
      <c r="B202" s="10">
        <v>866</v>
      </c>
      <c r="C202" s="10">
        <v>8</v>
      </c>
      <c r="D202" s="9" t="s">
        <v>256</v>
      </c>
      <c r="E202" s="154">
        <f>INDEX('Revised 2017 Lockdown'!H$5:H$249,MATCH(B202,'Revised 2017 Lockdown'!B$5:B$249,0))</f>
        <v>125.71511757848218</v>
      </c>
      <c r="F202" s="7">
        <f>INDEX('Revised 2017 Lockdown'!E$5:E$249,MATCH(B202,'Revised 2017 Lockdown'!B$5:B$249,0))</f>
        <v>58460.25</v>
      </c>
      <c r="G202" s="7">
        <f>INDEX('Revised 2017 Lockdown'!F$5:F$249,MATCH(B202,'Revised 2017 Lockdown'!B$5:B$249,0))</f>
        <v>0</v>
      </c>
      <c r="H202" s="7">
        <f t="shared" si="37"/>
        <v>58460.25</v>
      </c>
      <c r="I202" s="6">
        <f t="shared" si="38"/>
        <v>465.02163881367801</v>
      </c>
      <c r="J202" s="6">
        <f t="shared" si="45"/>
        <v>465.02163881367801</v>
      </c>
      <c r="K202" s="5">
        <f t="shared" si="39"/>
        <v>58460.25</v>
      </c>
      <c r="L202" s="4">
        <f t="shared" si="40"/>
        <v>0</v>
      </c>
      <c r="M202" s="2">
        <f t="shared" si="41"/>
        <v>799.19769378052001</v>
      </c>
      <c r="N202" s="1" cm="1">
        <f t="array" ref="N202">SUMPRODUCT(--($L$6:$L$300&lt;&gt;1),--($C$6:$C$300=$C202))</f>
        <v>52</v>
      </c>
      <c r="O202" s="3">
        <f t="shared" si="42"/>
        <v>111673.6357132018</v>
      </c>
      <c r="P202" s="2">
        <f t="shared" si="43"/>
        <v>741.85787725071805</v>
      </c>
      <c r="Q202" s="2">
        <f t="shared" si="36"/>
        <v>-151.53143022173185</v>
      </c>
      <c r="R202" s="2">
        <f t="shared" si="36"/>
        <v>1749.9268177827719</v>
      </c>
      <c r="S202" s="2">
        <f t="shared" si="44"/>
        <v>465.02163881367801</v>
      </c>
    </row>
    <row r="203" spans="2:19" x14ac:dyDescent="0.25">
      <c r="B203" s="10">
        <v>871</v>
      </c>
      <c r="C203" s="10">
        <v>8</v>
      </c>
      <c r="D203" s="9" t="s">
        <v>257</v>
      </c>
      <c r="E203" s="154">
        <f>INDEX('Revised 2017 Lockdown'!H$5:H$249,MATCH(B203,'Revised 2017 Lockdown'!B$5:B$249,0))</f>
        <v>16.527144824886271</v>
      </c>
      <c r="F203" s="7">
        <f>INDEX('Revised 2017 Lockdown'!E$5:E$249,MATCH(B203,'Revised 2017 Lockdown'!B$5:B$249,0))</f>
        <v>10418.42</v>
      </c>
      <c r="G203" s="7">
        <f>INDEX('Revised 2017 Lockdown'!F$5:F$249,MATCH(B203,'Revised 2017 Lockdown'!B$5:B$249,0))</f>
        <v>0</v>
      </c>
      <c r="H203" s="7">
        <f t="shared" si="37"/>
        <v>10418.42</v>
      </c>
      <c r="I203" s="6">
        <f t="shared" si="38"/>
        <v>630.38232619055498</v>
      </c>
      <c r="J203" s="6">
        <f t="shared" si="45"/>
        <v>630.38232619055498</v>
      </c>
      <c r="K203" s="5">
        <f t="shared" si="39"/>
        <v>10418.42</v>
      </c>
      <c r="L203" s="4">
        <f t="shared" si="40"/>
        <v>0</v>
      </c>
      <c r="M203" s="2">
        <f t="shared" si="41"/>
        <v>799.19769378052001</v>
      </c>
      <c r="N203" s="1" cm="1">
        <f t="array" ref="N203">SUMPRODUCT(--($L$6:$L$300&lt;&gt;1),--($C$6:$C$300=$C203))</f>
        <v>52</v>
      </c>
      <c r="O203" s="3">
        <f t="shared" si="42"/>
        <v>28498.628334535017</v>
      </c>
      <c r="P203" s="2">
        <f t="shared" si="43"/>
        <v>741.85787725071805</v>
      </c>
      <c r="Q203" s="2">
        <f t="shared" si="36"/>
        <v>-151.53143022173185</v>
      </c>
      <c r="R203" s="2">
        <f t="shared" si="36"/>
        <v>1749.9268177827719</v>
      </c>
      <c r="S203" s="2">
        <f t="shared" si="44"/>
        <v>630.38232619055498</v>
      </c>
    </row>
    <row r="204" spans="2:19" x14ac:dyDescent="0.25">
      <c r="B204" s="10">
        <v>873</v>
      </c>
      <c r="C204" s="10">
        <v>8</v>
      </c>
      <c r="D204" s="9" t="s">
        <v>258</v>
      </c>
      <c r="E204" s="154">
        <f>INDEX('Revised 2017 Lockdown'!H$5:H$249,MATCH(B204,'Revised 2017 Lockdown'!B$5:B$249,0))</f>
        <v>163.97</v>
      </c>
      <c r="F204" s="7">
        <f>INDEX('Revised 2017 Lockdown'!E$5:E$249,MATCH(B204,'Revised 2017 Lockdown'!B$5:B$249,0))</f>
        <v>67478.509999999995</v>
      </c>
      <c r="G204" s="7">
        <f>INDEX('Revised 2017 Lockdown'!F$5:F$249,MATCH(B204,'Revised 2017 Lockdown'!B$5:B$249,0))</f>
        <v>0</v>
      </c>
      <c r="H204" s="7">
        <f t="shared" si="37"/>
        <v>67478.509999999995</v>
      </c>
      <c r="I204" s="6">
        <f t="shared" si="38"/>
        <v>411.52960907483072</v>
      </c>
      <c r="J204" s="6">
        <f t="shared" si="45"/>
        <v>411.52960907483072</v>
      </c>
      <c r="K204" s="5">
        <f t="shared" si="39"/>
        <v>67478.509999999995</v>
      </c>
      <c r="L204" s="4">
        <f t="shared" si="40"/>
        <v>0</v>
      </c>
      <c r="M204" s="2">
        <f t="shared" si="41"/>
        <v>799.19769378052001</v>
      </c>
      <c r="N204" s="1" cm="1">
        <f t="array" ref="N204">SUMPRODUCT(--($L$6:$L$300&lt;&gt;1),--($C$6:$C$300=$C204))</f>
        <v>52</v>
      </c>
      <c r="O204" s="3">
        <f t="shared" si="42"/>
        <v>150286.54389937749</v>
      </c>
      <c r="P204" s="2">
        <f t="shared" si="43"/>
        <v>741.85787725071805</v>
      </c>
      <c r="Q204" s="2">
        <f t="shared" si="36"/>
        <v>-151.53143022173185</v>
      </c>
      <c r="R204" s="2">
        <f t="shared" si="36"/>
        <v>1749.9268177827719</v>
      </c>
      <c r="S204" s="2">
        <f t="shared" si="44"/>
        <v>411.52960907483072</v>
      </c>
    </row>
    <row r="205" spans="2:19" x14ac:dyDescent="0.25">
      <c r="B205" s="10">
        <v>895</v>
      </c>
      <c r="C205" s="10">
        <v>8</v>
      </c>
      <c r="D205" s="9" t="s">
        <v>259</v>
      </c>
      <c r="E205" s="154">
        <f>INDEX('Revised 2017 Lockdown'!H$5:H$249,MATCH(B205,'Revised 2017 Lockdown'!B$5:B$249,0))</f>
        <v>33.271276233906718</v>
      </c>
      <c r="F205" s="7">
        <f>INDEX('Revised 2017 Lockdown'!E$5:E$249,MATCH(B205,'Revised 2017 Lockdown'!B$5:B$249,0))</f>
        <v>12929.53</v>
      </c>
      <c r="G205" s="7">
        <f>INDEX('Revised 2017 Lockdown'!F$5:F$249,MATCH(B205,'Revised 2017 Lockdown'!B$5:B$249,0))</f>
        <v>0</v>
      </c>
      <c r="H205" s="7">
        <f t="shared" si="37"/>
        <v>12929.53</v>
      </c>
      <c r="I205" s="6">
        <f t="shared" si="38"/>
        <v>388.60937912635683</v>
      </c>
      <c r="J205" s="6">
        <f t="shared" si="45"/>
        <v>388.60937912635683</v>
      </c>
      <c r="K205" s="5">
        <f t="shared" si="39"/>
        <v>12929.53</v>
      </c>
      <c r="L205" s="4">
        <f t="shared" si="40"/>
        <v>0</v>
      </c>
      <c r="M205" s="2">
        <f t="shared" si="41"/>
        <v>799.19769378052001</v>
      </c>
      <c r="N205" s="1" cm="1">
        <f t="array" ref="N205">SUMPRODUCT(--($L$6:$L$300&lt;&gt;1),--($C$6:$C$300=$C205))</f>
        <v>52</v>
      </c>
      <c r="O205" s="3">
        <f t="shared" si="42"/>
        <v>168582.7641305461</v>
      </c>
      <c r="P205" s="2">
        <f t="shared" si="43"/>
        <v>741.85787725071805</v>
      </c>
      <c r="Q205" s="2">
        <f t="shared" si="36"/>
        <v>-151.53143022173185</v>
      </c>
      <c r="R205" s="2">
        <f t="shared" si="36"/>
        <v>1749.9268177827719</v>
      </c>
      <c r="S205" s="2">
        <f t="shared" si="44"/>
        <v>388.60937912635683</v>
      </c>
    </row>
    <row r="206" spans="2:19" x14ac:dyDescent="0.25">
      <c r="B206" s="10">
        <v>897</v>
      </c>
      <c r="C206" s="10">
        <v>8</v>
      </c>
      <c r="D206" s="9" t="s">
        <v>260</v>
      </c>
      <c r="E206" s="154">
        <f>INDEX('Revised 2017 Lockdown'!H$5:H$249,MATCH(B206,'Revised 2017 Lockdown'!B$5:B$249,0))</f>
        <v>67.748375693871196</v>
      </c>
      <c r="F206" s="7">
        <f>INDEX('Revised 2017 Lockdown'!E$5:E$249,MATCH(B206,'Revised 2017 Lockdown'!B$5:B$249,0))</f>
        <v>261720.97</v>
      </c>
      <c r="G206" s="7">
        <f>INDEX('Revised 2017 Lockdown'!F$5:F$249,MATCH(B206,'Revised 2017 Lockdown'!B$5:B$249,0))</f>
        <v>119</v>
      </c>
      <c r="H206" s="7">
        <f t="shared" si="37"/>
        <v>261601.97</v>
      </c>
      <c r="I206" s="6">
        <f t="shared" si="38"/>
        <v>3861.3762665259828</v>
      </c>
      <c r="J206" s="6">
        <f t="shared" si="45"/>
        <v>1749.9268177827719</v>
      </c>
      <c r="K206" s="5">
        <f t="shared" si="39"/>
        <v>118554.69948792772</v>
      </c>
      <c r="L206" s="4">
        <f t="shared" si="40"/>
        <v>0</v>
      </c>
      <c r="M206" s="2">
        <f t="shared" si="41"/>
        <v>799.19769378052001</v>
      </c>
      <c r="N206" s="1" cm="1">
        <f t="array" ref="N206">SUMPRODUCT(--($L$6:$L$300&lt;&gt;1),--($C$6:$C$300=$C206))</f>
        <v>52</v>
      </c>
      <c r="O206" s="3">
        <f t="shared" si="42"/>
        <v>9376937.6113814376</v>
      </c>
      <c r="P206" s="2">
        <f t="shared" si="43"/>
        <v>741.85787725071805</v>
      </c>
      <c r="Q206" s="2">
        <f t="shared" ref="Q206:R225" si="46">NORMINV(Q$4,$M206,$P206)</f>
        <v>-151.53143022173185</v>
      </c>
      <c r="R206" s="2">
        <f t="shared" si="46"/>
        <v>1749.9268177827719</v>
      </c>
      <c r="S206" s="2">
        <f t="shared" si="44"/>
        <v>1749.9268177827719</v>
      </c>
    </row>
    <row r="207" spans="2:19" x14ac:dyDescent="0.25">
      <c r="B207" s="10">
        <v>905</v>
      </c>
      <c r="C207" s="10">
        <v>8</v>
      </c>
      <c r="D207" s="9" t="s">
        <v>261</v>
      </c>
      <c r="E207" s="154">
        <f>INDEX('Revised 2017 Lockdown'!H$5:H$249,MATCH(B207,'Revised 2017 Lockdown'!B$5:B$249,0))</f>
        <v>105.28369884343577</v>
      </c>
      <c r="F207" s="7">
        <f>INDEX('Revised 2017 Lockdown'!E$5:E$249,MATCH(B207,'Revised 2017 Lockdown'!B$5:B$249,0))</f>
        <v>52773.440000000002</v>
      </c>
      <c r="G207" s="7">
        <f>INDEX('Revised 2017 Lockdown'!F$5:F$249,MATCH(B207,'Revised 2017 Lockdown'!B$5:B$249,0))</f>
        <v>0</v>
      </c>
      <c r="H207" s="7">
        <f t="shared" si="37"/>
        <v>52773.440000000002</v>
      </c>
      <c r="I207" s="6">
        <f t="shared" si="38"/>
        <v>501.24986659594663</v>
      </c>
      <c r="J207" s="6">
        <f t="shared" si="45"/>
        <v>501.24986659594663</v>
      </c>
      <c r="K207" s="5">
        <f t="shared" si="39"/>
        <v>52773.440000000002</v>
      </c>
      <c r="L207" s="4">
        <f t="shared" si="40"/>
        <v>0</v>
      </c>
      <c r="M207" s="2">
        <f t="shared" si="41"/>
        <v>799.19769378052001</v>
      </c>
      <c r="N207" s="1" cm="1">
        <f t="array" ref="N207">SUMPRODUCT(--($L$6:$L$300&lt;&gt;1),--($C$6:$C$300=$C207))</f>
        <v>52</v>
      </c>
      <c r="O207" s="3">
        <f t="shared" si="42"/>
        <v>88772.907724008401</v>
      </c>
      <c r="P207" s="2">
        <f t="shared" si="43"/>
        <v>741.85787725071805</v>
      </c>
      <c r="Q207" s="2">
        <f t="shared" si="46"/>
        <v>-151.53143022173185</v>
      </c>
      <c r="R207" s="2">
        <f t="shared" si="46"/>
        <v>1749.9268177827719</v>
      </c>
      <c r="S207" s="2">
        <f t="shared" si="44"/>
        <v>501.24986659594663</v>
      </c>
    </row>
    <row r="208" spans="2:19" x14ac:dyDescent="0.25">
      <c r="B208" s="10">
        <v>907</v>
      </c>
      <c r="C208" s="10">
        <v>8</v>
      </c>
      <c r="D208" s="9" t="s">
        <v>262</v>
      </c>
      <c r="E208" s="154">
        <f>INDEX('Revised 2017 Lockdown'!H$5:H$249,MATCH(B208,'Revised 2017 Lockdown'!B$5:B$249,0))</f>
        <v>12.115084280824727</v>
      </c>
      <c r="F208" s="7">
        <f>INDEX('Revised 2017 Lockdown'!E$5:E$249,MATCH(B208,'Revised 2017 Lockdown'!B$5:B$249,0))</f>
        <v>18116.95</v>
      </c>
      <c r="G208" s="7">
        <f>INDEX('Revised 2017 Lockdown'!F$5:F$249,MATCH(B208,'Revised 2017 Lockdown'!B$5:B$249,0))</f>
        <v>0</v>
      </c>
      <c r="H208" s="7">
        <f t="shared" si="37"/>
        <v>18116.95</v>
      </c>
      <c r="I208" s="6">
        <f t="shared" si="38"/>
        <v>1495.404371942735</v>
      </c>
      <c r="J208" s="6">
        <f t="shared" si="45"/>
        <v>1495.404371942735</v>
      </c>
      <c r="K208" s="5">
        <f t="shared" si="39"/>
        <v>18116.95</v>
      </c>
      <c r="L208" s="4">
        <f t="shared" si="40"/>
        <v>0</v>
      </c>
      <c r="M208" s="2">
        <f t="shared" si="41"/>
        <v>799.19769378052001</v>
      </c>
      <c r="N208" s="1" cm="1">
        <f t="array" ref="N208">SUMPRODUCT(--($L$6:$L$300&lt;&gt;1),--($C$6:$C$300=$C208))</f>
        <v>52</v>
      </c>
      <c r="O208" s="3">
        <f t="shared" si="42"/>
        <v>484703.73871766601</v>
      </c>
      <c r="P208" s="2">
        <f t="shared" si="43"/>
        <v>741.85787725071805</v>
      </c>
      <c r="Q208" s="2">
        <f t="shared" si="46"/>
        <v>-151.53143022173185</v>
      </c>
      <c r="R208" s="2">
        <f t="shared" si="46"/>
        <v>1749.9268177827719</v>
      </c>
      <c r="S208" s="2">
        <f t="shared" si="44"/>
        <v>1495.404371942735</v>
      </c>
    </row>
    <row r="209" spans="2:19" x14ac:dyDescent="0.25">
      <c r="B209" s="10">
        <v>918</v>
      </c>
      <c r="C209" s="10">
        <v>8</v>
      </c>
      <c r="D209" s="9" t="s">
        <v>263</v>
      </c>
      <c r="E209" s="154">
        <f>INDEX('Revised 2017 Lockdown'!H$5:H$249,MATCH(B209,'Revised 2017 Lockdown'!B$5:B$249,0))</f>
        <v>59.047271200750195</v>
      </c>
      <c r="F209" s="7">
        <f>INDEX('Revised 2017 Lockdown'!E$5:E$249,MATCH(B209,'Revised 2017 Lockdown'!B$5:B$249,0))</f>
        <v>37834.36</v>
      </c>
      <c r="G209" s="7">
        <f>INDEX('Revised 2017 Lockdown'!F$5:F$249,MATCH(B209,'Revised 2017 Lockdown'!B$5:B$249,0))</f>
        <v>0</v>
      </c>
      <c r="H209" s="7">
        <f t="shared" si="37"/>
        <v>37834.36</v>
      </c>
      <c r="I209" s="6">
        <f t="shared" si="38"/>
        <v>640.74696815996663</v>
      </c>
      <c r="J209" s="6">
        <f t="shared" si="45"/>
        <v>640.74696815996663</v>
      </c>
      <c r="K209" s="5">
        <f t="shared" si="39"/>
        <v>37834.36</v>
      </c>
      <c r="L209" s="4">
        <f t="shared" si="40"/>
        <v>0</v>
      </c>
      <c r="M209" s="2">
        <f t="shared" si="41"/>
        <v>799.19769378052001</v>
      </c>
      <c r="N209" s="1" cm="1">
        <f t="array" ref="N209">SUMPRODUCT(--($L$6:$L$300&lt;&gt;1),--($C$6:$C$300=$C209))</f>
        <v>52</v>
      </c>
      <c r="O209" s="3">
        <f t="shared" si="42"/>
        <v>25106.632449679892</v>
      </c>
      <c r="P209" s="2">
        <f t="shared" si="43"/>
        <v>741.85787725071805</v>
      </c>
      <c r="Q209" s="2">
        <f t="shared" si="46"/>
        <v>-151.53143022173185</v>
      </c>
      <c r="R209" s="2">
        <f t="shared" si="46"/>
        <v>1749.9268177827719</v>
      </c>
      <c r="S209" s="2">
        <f t="shared" si="44"/>
        <v>640.74696815996663</v>
      </c>
    </row>
    <row r="210" spans="2:19" x14ac:dyDescent="0.25">
      <c r="B210" s="10">
        <v>922</v>
      </c>
      <c r="C210" s="10">
        <v>8</v>
      </c>
      <c r="D210" s="9" t="s">
        <v>264</v>
      </c>
      <c r="E210" s="154">
        <f>INDEX('Revised 2017 Lockdown'!H$5:H$249,MATCH(B210,'Revised 2017 Lockdown'!B$5:B$249,0))</f>
        <v>157.44</v>
      </c>
      <c r="F210" s="7">
        <f>INDEX('Revised 2017 Lockdown'!E$5:E$249,MATCH(B210,'Revised 2017 Lockdown'!B$5:B$249,0))</f>
        <v>122591.46</v>
      </c>
      <c r="G210" s="7">
        <f>INDEX('Revised 2017 Lockdown'!F$5:F$249,MATCH(B210,'Revised 2017 Lockdown'!B$5:B$249,0))</f>
        <v>18794.579999999998</v>
      </c>
      <c r="H210" s="7">
        <f t="shared" si="37"/>
        <v>103796.88</v>
      </c>
      <c r="I210" s="6">
        <f t="shared" si="38"/>
        <v>659.27896341463418</v>
      </c>
      <c r="J210" s="6">
        <f t="shared" si="45"/>
        <v>659.27896341463418</v>
      </c>
      <c r="K210" s="5">
        <f t="shared" si="39"/>
        <v>103796.88</v>
      </c>
      <c r="L210" s="4">
        <f t="shared" si="40"/>
        <v>0</v>
      </c>
      <c r="M210" s="2">
        <f t="shared" si="41"/>
        <v>799.19769378052001</v>
      </c>
      <c r="N210" s="1" cm="1">
        <f t="array" ref="N210">SUMPRODUCT(--($L$6:$L$300&lt;&gt;1),--($C$6:$C$300=$C210))</f>
        <v>52</v>
      </c>
      <c r="O210" s="3">
        <f t="shared" si="42"/>
        <v>19577.251107201464</v>
      </c>
      <c r="P210" s="2">
        <f t="shared" si="43"/>
        <v>741.85787725071805</v>
      </c>
      <c r="Q210" s="2">
        <f t="shared" si="46"/>
        <v>-151.53143022173185</v>
      </c>
      <c r="R210" s="2">
        <f t="shared" si="46"/>
        <v>1749.9268177827719</v>
      </c>
      <c r="S210" s="2">
        <f t="shared" si="44"/>
        <v>659.27896341463418</v>
      </c>
    </row>
    <row r="211" spans="2:19" x14ac:dyDescent="0.25">
      <c r="B211" s="10">
        <v>924</v>
      </c>
      <c r="C211" s="10">
        <v>8</v>
      </c>
      <c r="D211" s="9" t="s">
        <v>265</v>
      </c>
      <c r="E211" s="154">
        <f>INDEX('Revised 2017 Lockdown'!H$5:H$249,MATCH(B211,'Revised 2017 Lockdown'!B$5:B$249,0))</f>
        <v>114.91247851438976</v>
      </c>
      <c r="F211" s="7">
        <f>INDEX('Revised 2017 Lockdown'!E$5:E$249,MATCH(B211,'Revised 2017 Lockdown'!B$5:B$249,0))</f>
        <v>54438.720000000001</v>
      </c>
      <c r="G211" s="7">
        <f>INDEX('Revised 2017 Lockdown'!F$5:F$249,MATCH(B211,'Revised 2017 Lockdown'!B$5:B$249,0))</f>
        <v>0</v>
      </c>
      <c r="H211" s="7">
        <f t="shared" si="37"/>
        <v>54438.720000000001</v>
      </c>
      <c r="I211" s="6">
        <f t="shared" si="38"/>
        <v>473.74071731629203</v>
      </c>
      <c r="J211" s="6">
        <f t="shared" si="45"/>
        <v>473.74071731629203</v>
      </c>
      <c r="K211" s="5">
        <f t="shared" si="39"/>
        <v>54438.720000000001</v>
      </c>
      <c r="L211" s="4">
        <f t="shared" si="40"/>
        <v>0</v>
      </c>
      <c r="M211" s="2">
        <f t="shared" si="41"/>
        <v>799.19769378052001</v>
      </c>
      <c r="N211" s="1" cm="1">
        <f t="array" ref="N211">SUMPRODUCT(--($L$6:$L$300&lt;&gt;1),--($C$6:$C$300=$C211))</f>
        <v>52</v>
      </c>
      <c r="O211" s="3">
        <f t="shared" si="42"/>
        <v>105922.24352923705</v>
      </c>
      <c r="P211" s="2">
        <f t="shared" si="43"/>
        <v>741.85787725071805</v>
      </c>
      <c r="Q211" s="2">
        <f t="shared" si="46"/>
        <v>-151.53143022173185</v>
      </c>
      <c r="R211" s="2">
        <f t="shared" si="46"/>
        <v>1749.9268177827719</v>
      </c>
      <c r="S211" s="2">
        <f t="shared" si="44"/>
        <v>473.74071731629203</v>
      </c>
    </row>
    <row r="212" spans="2:19" x14ac:dyDescent="0.25">
      <c r="B212" s="10">
        <v>929</v>
      </c>
      <c r="C212" s="10">
        <v>8</v>
      </c>
      <c r="D212" s="9" t="s">
        <v>266</v>
      </c>
      <c r="E212" s="154">
        <f>INDEX('Revised 2017 Lockdown'!H$5:H$249,MATCH(B212,'Revised 2017 Lockdown'!B$5:B$249,0))</f>
        <v>48.975680260617573</v>
      </c>
      <c r="F212" s="7">
        <f>INDEX('Revised 2017 Lockdown'!E$5:E$249,MATCH(B212,'Revised 2017 Lockdown'!B$5:B$249,0))</f>
        <v>52171.61</v>
      </c>
      <c r="G212" s="7">
        <f>INDEX('Revised 2017 Lockdown'!F$5:F$249,MATCH(B212,'Revised 2017 Lockdown'!B$5:B$249,0))</f>
        <v>0</v>
      </c>
      <c r="H212" s="7">
        <f t="shared" si="37"/>
        <v>52171.61</v>
      </c>
      <c r="I212" s="6">
        <f t="shared" si="38"/>
        <v>1065.255443566597</v>
      </c>
      <c r="J212" s="6">
        <f t="shared" si="45"/>
        <v>1065.255443566597</v>
      </c>
      <c r="K212" s="5">
        <f t="shared" si="39"/>
        <v>52171.61</v>
      </c>
      <c r="L212" s="4">
        <f t="shared" si="40"/>
        <v>0</v>
      </c>
      <c r="M212" s="2">
        <f t="shared" si="41"/>
        <v>799.19769378052001</v>
      </c>
      <c r="N212" s="1" cm="1">
        <f t="array" ref="N212">SUMPRODUCT(--($L$6:$L$300&lt;&gt;1),--($C$6:$C$300=$C212))</f>
        <v>52</v>
      </c>
      <c r="O212" s="3">
        <f t="shared" si="42"/>
        <v>70786.726221230769</v>
      </c>
      <c r="P212" s="2">
        <f t="shared" si="43"/>
        <v>741.85787725071805</v>
      </c>
      <c r="Q212" s="2">
        <f t="shared" si="46"/>
        <v>-151.53143022173185</v>
      </c>
      <c r="R212" s="2">
        <f t="shared" si="46"/>
        <v>1749.9268177827719</v>
      </c>
      <c r="S212" s="2">
        <f t="shared" si="44"/>
        <v>1065.255443566597</v>
      </c>
    </row>
    <row r="213" spans="2:19" x14ac:dyDescent="0.25">
      <c r="B213" s="10">
        <v>955</v>
      </c>
      <c r="C213" s="10">
        <v>8</v>
      </c>
      <c r="D213" s="9" t="s">
        <v>267</v>
      </c>
      <c r="E213" s="154">
        <f>INDEX('Revised 2017 Lockdown'!H$5:H$249,MATCH(B213,'Revised 2017 Lockdown'!B$5:B$249,0))</f>
        <v>48.241978039358088</v>
      </c>
      <c r="F213" s="7">
        <f>INDEX('Revised 2017 Lockdown'!E$5:E$249,MATCH(B213,'Revised 2017 Lockdown'!B$5:B$249,0))</f>
        <v>22749.54</v>
      </c>
      <c r="G213" s="7">
        <f>INDEX('Revised 2017 Lockdown'!F$5:F$249,MATCH(B213,'Revised 2017 Lockdown'!B$5:B$249,0))</f>
        <v>0</v>
      </c>
      <c r="H213" s="7">
        <f t="shared" si="37"/>
        <v>22749.54</v>
      </c>
      <c r="I213" s="6">
        <f t="shared" si="38"/>
        <v>471.57145964122469</v>
      </c>
      <c r="J213" s="6">
        <f t="shared" si="45"/>
        <v>471.57145964122469</v>
      </c>
      <c r="K213" s="5">
        <f t="shared" si="39"/>
        <v>22749.54</v>
      </c>
      <c r="L213" s="4">
        <f t="shared" si="40"/>
        <v>0</v>
      </c>
      <c r="M213" s="2">
        <f t="shared" si="41"/>
        <v>799.19769378052001</v>
      </c>
      <c r="N213" s="1" cm="1">
        <f t="array" ref="N213">SUMPRODUCT(--($L$6:$L$300&lt;&gt;1),--($C$6:$C$300=$C213))</f>
        <v>52</v>
      </c>
      <c r="O213" s="3">
        <f t="shared" si="42"/>
        <v>107338.94929629636</v>
      </c>
      <c r="P213" s="2">
        <f t="shared" si="43"/>
        <v>741.85787725071805</v>
      </c>
      <c r="Q213" s="2">
        <f t="shared" si="46"/>
        <v>-151.53143022173185</v>
      </c>
      <c r="R213" s="2">
        <f t="shared" si="46"/>
        <v>1749.9268177827719</v>
      </c>
      <c r="S213" s="2">
        <f t="shared" si="44"/>
        <v>471.57145964122469</v>
      </c>
    </row>
    <row r="214" spans="2:19" x14ac:dyDescent="0.25">
      <c r="B214" s="10">
        <v>973</v>
      </c>
      <c r="C214" s="10">
        <v>8</v>
      </c>
      <c r="D214" s="9" t="s">
        <v>268</v>
      </c>
      <c r="E214" s="154">
        <f>INDEX('Revised 2017 Lockdown'!H$5:H$249,MATCH(B214,'Revised 2017 Lockdown'!B$5:B$249,0))</f>
        <v>7.0843726591984275</v>
      </c>
      <c r="F214" s="7">
        <f>INDEX('Revised 2017 Lockdown'!E$5:E$249,MATCH(B214,'Revised 2017 Lockdown'!B$5:B$249,0))</f>
        <v>7075.91</v>
      </c>
      <c r="G214" s="7">
        <f>INDEX('Revised 2017 Lockdown'!F$5:F$249,MATCH(B214,'Revised 2017 Lockdown'!B$5:B$249,0))</f>
        <v>0</v>
      </c>
      <c r="H214" s="7">
        <f t="shared" si="37"/>
        <v>7075.91</v>
      </c>
      <c r="I214" s="6">
        <f t="shared" si="38"/>
        <v>998.80544691738658</v>
      </c>
      <c r="J214" s="6">
        <f t="shared" si="45"/>
        <v>998.80544691738658</v>
      </c>
      <c r="K214" s="5">
        <f t="shared" si="39"/>
        <v>7075.91</v>
      </c>
      <c r="L214" s="4">
        <f t="shared" si="40"/>
        <v>0</v>
      </c>
      <c r="M214" s="2">
        <f t="shared" si="41"/>
        <v>799.19769378052001</v>
      </c>
      <c r="N214" s="1" cm="1">
        <f t="array" ref="N214">SUMPRODUCT(--($L$6:$L$300&lt;&gt;1),--($C$6:$C$300=$C214))</f>
        <v>52</v>
      </c>
      <c r="O214" s="3">
        <f t="shared" si="42"/>
        <v>39843.255112348263</v>
      </c>
      <c r="P214" s="2">
        <f t="shared" si="43"/>
        <v>741.85787725071805</v>
      </c>
      <c r="Q214" s="2">
        <f t="shared" si="46"/>
        <v>-151.53143022173185</v>
      </c>
      <c r="R214" s="2">
        <f t="shared" si="46"/>
        <v>1749.9268177827719</v>
      </c>
      <c r="S214" s="2">
        <f t="shared" si="44"/>
        <v>998.80544691738658</v>
      </c>
    </row>
    <row r="215" spans="2:19" x14ac:dyDescent="0.25">
      <c r="B215" s="39">
        <v>974</v>
      </c>
      <c r="C215" s="39">
        <v>8</v>
      </c>
      <c r="D215" s="40" t="s">
        <v>269</v>
      </c>
      <c r="E215" s="154">
        <f>INDEX('Revised 2017 Lockdown'!H$5:H$249,MATCH(B215,'Revised 2017 Lockdown'!B$5:B$249,0))</f>
        <v>19.13</v>
      </c>
      <c r="F215" s="7">
        <f>INDEX('Revised 2017 Lockdown'!E$5:E$249,MATCH(B215,'Revised 2017 Lockdown'!B$5:B$249,0))</f>
        <v>13013.02</v>
      </c>
      <c r="G215" s="7">
        <f>INDEX('Revised 2017 Lockdown'!F$5:F$249,MATCH(B215,'Revised 2017 Lockdown'!B$5:B$249,0))</f>
        <v>0</v>
      </c>
      <c r="H215" s="7">
        <f t="shared" si="37"/>
        <v>13013.02</v>
      </c>
      <c r="I215" s="6">
        <f t="shared" si="38"/>
        <v>680.24150548876116</v>
      </c>
      <c r="J215" s="6">
        <f t="shared" si="45"/>
        <v>680.24150548876116</v>
      </c>
      <c r="K215" s="5">
        <f t="shared" si="39"/>
        <v>13013.02</v>
      </c>
      <c r="L215" s="4">
        <f t="shared" si="40"/>
        <v>0</v>
      </c>
      <c r="M215" s="2">
        <f t="shared" si="41"/>
        <v>799.19769378052001</v>
      </c>
      <c r="N215" s="1" cm="1">
        <f t="array" ref="N215">SUMPRODUCT(--($L$6:$L$300&lt;&gt;1),--($C$6:$C$300=$C215))</f>
        <v>52</v>
      </c>
      <c r="O215" s="3">
        <f t="shared" si="42"/>
        <v>14150.574732904384</v>
      </c>
      <c r="P215" s="2">
        <f t="shared" si="43"/>
        <v>741.85787725071805</v>
      </c>
      <c r="Q215" s="2">
        <f t="shared" si="46"/>
        <v>-151.53143022173185</v>
      </c>
      <c r="R215" s="2">
        <f t="shared" si="46"/>
        <v>1749.9268177827719</v>
      </c>
      <c r="S215" s="2">
        <f t="shared" si="44"/>
        <v>680.24150548876116</v>
      </c>
    </row>
    <row r="216" spans="2:19" x14ac:dyDescent="0.25">
      <c r="B216" s="39">
        <v>978</v>
      </c>
      <c r="C216" s="39">
        <v>8</v>
      </c>
      <c r="D216" s="40" t="s">
        <v>270</v>
      </c>
      <c r="E216" s="154">
        <f>INDEX('Revised 2017 Lockdown'!H$5:H$249,MATCH(B216,'Revised 2017 Lockdown'!B$5:B$249,0))</f>
        <v>33.756385778634701</v>
      </c>
      <c r="F216" s="7">
        <f>INDEX('Revised 2017 Lockdown'!E$5:E$249,MATCH(B216,'Revised 2017 Lockdown'!B$5:B$249,0))</f>
        <v>53507.31</v>
      </c>
      <c r="G216" s="7">
        <f>INDEX('Revised 2017 Lockdown'!F$5:F$249,MATCH(B216,'Revised 2017 Lockdown'!B$5:B$249,0))</f>
        <v>1358.34</v>
      </c>
      <c r="H216" s="7">
        <f t="shared" si="37"/>
        <v>52148.97</v>
      </c>
      <c r="I216" s="6">
        <f t="shared" si="38"/>
        <v>1544.8623659528873</v>
      </c>
      <c r="J216" s="6">
        <f t="shared" si="45"/>
        <v>1544.8623659528873</v>
      </c>
      <c r="K216" s="5">
        <f t="shared" si="39"/>
        <v>52148.97</v>
      </c>
      <c r="L216" s="4">
        <f t="shared" si="40"/>
        <v>0</v>
      </c>
      <c r="M216" s="2">
        <f t="shared" si="41"/>
        <v>799.19769378052001</v>
      </c>
      <c r="N216" s="1" cm="1">
        <f t="array" ref="N216">SUMPRODUCT(--($L$6:$L$300&lt;&gt;1),--($C$6:$C$300=$C216))</f>
        <v>52</v>
      </c>
      <c r="O216" s="3">
        <f t="shared" si="42"/>
        <v>556015.80332592397</v>
      </c>
      <c r="P216" s="2">
        <f t="shared" si="43"/>
        <v>741.85787725071805</v>
      </c>
      <c r="Q216" s="2">
        <f t="shared" si="46"/>
        <v>-151.53143022173185</v>
      </c>
      <c r="R216" s="2">
        <f t="shared" si="46"/>
        <v>1749.9268177827719</v>
      </c>
      <c r="S216" s="2">
        <f t="shared" si="44"/>
        <v>1544.8623659528873</v>
      </c>
    </row>
    <row r="217" spans="2:19" x14ac:dyDescent="0.25">
      <c r="B217" s="10">
        <v>985</v>
      </c>
      <c r="C217" s="10">
        <v>8</v>
      </c>
      <c r="D217" s="9" t="s">
        <v>271</v>
      </c>
      <c r="E217" s="154">
        <f>INDEX('Revised 2017 Lockdown'!H$5:H$249,MATCH(B217,'Revised 2017 Lockdown'!B$5:B$249,0))</f>
        <v>19.498273373940624</v>
      </c>
      <c r="F217" s="7">
        <f>INDEX('Revised 2017 Lockdown'!E$5:E$249,MATCH(B217,'Revised 2017 Lockdown'!B$5:B$249,0))</f>
        <v>49440</v>
      </c>
      <c r="G217" s="7">
        <f>INDEX('Revised 2017 Lockdown'!F$5:F$249,MATCH(B217,'Revised 2017 Lockdown'!B$5:B$249,0))</f>
        <v>0</v>
      </c>
      <c r="H217" s="7">
        <f t="shared" si="37"/>
        <v>49440</v>
      </c>
      <c r="I217" s="6">
        <f t="shared" si="38"/>
        <v>2535.6091307077677</v>
      </c>
      <c r="J217" s="6">
        <f t="shared" si="45"/>
        <v>1749.9268177827719</v>
      </c>
      <c r="K217" s="5">
        <f t="shared" si="39"/>
        <v>34120.551477518464</v>
      </c>
      <c r="L217" s="4">
        <f t="shared" si="40"/>
        <v>0</v>
      </c>
      <c r="M217" s="2">
        <f t="shared" si="41"/>
        <v>799.19769378052001</v>
      </c>
      <c r="N217" s="1" cm="1">
        <f t="array" ref="N217">SUMPRODUCT(--($L$6:$L$300&lt;&gt;1),--($C$6:$C$300=$C217))</f>
        <v>52</v>
      </c>
      <c r="O217" s="3">
        <f t="shared" si="42"/>
        <v>3015124.6782917492</v>
      </c>
      <c r="P217" s="2">
        <f t="shared" si="43"/>
        <v>741.85787725071805</v>
      </c>
      <c r="Q217" s="2">
        <f t="shared" si="46"/>
        <v>-151.53143022173185</v>
      </c>
      <c r="R217" s="2">
        <f t="shared" si="46"/>
        <v>1749.9268177827719</v>
      </c>
      <c r="S217" s="2">
        <f t="shared" si="44"/>
        <v>1749.9268177827719</v>
      </c>
    </row>
    <row r="218" spans="2:19" x14ac:dyDescent="0.25">
      <c r="B218" s="10">
        <v>990</v>
      </c>
      <c r="C218" s="10">
        <v>8</v>
      </c>
      <c r="D218" s="9" t="s">
        <v>0</v>
      </c>
      <c r="E218" s="154">
        <f>INDEX('Revised 2017 Lockdown'!H$5:H$249,MATCH(B218,'Revised 2017 Lockdown'!B$5:B$249,0))</f>
        <v>4.3126083596667133</v>
      </c>
      <c r="F218" s="7">
        <f>INDEX('Revised 2017 Lockdown'!E$5:E$249,MATCH(B218,'Revised 2017 Lockdown'!B$5:B$249,0))</f>
        <v>4506.8</v>
      </c>
      <c r="G218" s="7">
        <f>INDEX('Revised 2017 Lockdown'!F$5:F$249,MATCH(B218,'Revised 2017 Lockdown'!B$5:B$249,0))</f>
        <v>0</v>
      </c>
      <c r="H218" s="7">
        <f t="shared" si="37"/>
        <v>4506.8</v>
      </c>
      <c r="I218" s="6">
        <f t="shared" si="38"/>
        <v>1045.028814150955</v>
      </c>
      <c r="J218" s="6">
        <f t="shared" si="45"/>
        <v>1045.028814150955</v>
      </c>
      <c r="K218" s="5">
        <f t="shared" si="39"/>
        <v>4506.8</v>
      </c>
      <c r="L218" s="4">
        <f t="shared" si="40"/>
        <v>0</v>
      </c>
      <c r="M218" s="2">
        <f t="shared" si="41"/>
        <v>799.19769378052001</v>
      </c>
      <c r="N218" s="1" cm="1">
        <f t="array" ref="N218">SUMPRODUCT(--($L$6:$L$300&lt;&gt;1),--($C$6:$C$300=$C218))</f>
        <v>52</v>
      </c>
      <c r="O218" s="3">
        <f t="shared" si="42"/>
        <v>60432.939742583287</v>
      </c>
      <c r="P218" s="2">
        <f t="shared" si="43"/>
        <v>741.85787725071805</v>
      </c>
      <c r="Q218" s="2">
        <f t="shared" si="46"/>
        <v>-151.53143022173185</v>
      </c>
      <c r="R218" s="2">
        <f t="shared" si="46"/>
        <v>1749.9268177827719</v>
      </c>
      <c r="S218" s="2">
        <f t="shared" si="44"/>
        <v>1045.028814150955</v>
      </c>
    </row>
    <row r="219" spans="2:19" x14ac:dyDescent="0.25">
      <c r="B219" s="10">
        <v>100</v>
      </c>
      <c r="C219" s="10">
        <v>9</v>
      </c>
      <c r="D219" s="9" t="s">
        <v>272</v>
      </c>
      <c r="E219" s="154">
        <f>INDEX('Revised 2017 Lockdown'!H$5:H$249,MATCH(B219,'Revised 2017 Lockdown'!B$5:B$249,0))</f>
        <v>31.847179844103021</v>
      </c>
      <c r="F219" s="7">
        <f>INDEX('Revised 2017 Lockdown'!E$5:E$249,MATCH(B219,'Revised 2017 Lockdown'!B$5:B$249,0))</f>
        <v>29893.4</v>
      </c>
      <c r="G219" s="7">
        <f>INDEX('Revised 2017 Lockdown'!F$5:F$249,MATCH(B219,'Revised 2017 Lockdown'!B$5:B$249,0))</f>
        <v>0</v>
      </c>
      <c r="H219" s="7">
        <f t="shared" si="37"/>
        <v>29893.4</v>
      </c>
      <c r="I219" s="6">
        <f t="shared" si="38"/>
        <v>938.65140167301843</v>
      </c>
      <c r="J219" s="6">
        <f t="shared" si="45"/>
        <v>938.65140167301843</v>
      </c>
      <c r="K219" s="5">
        <f t="shared" si="39"/>
        <v>29893.4</v>
      </c>
      <c r="L219" s="4">
        <f t="shared" si="40"/>
        <v>0</v>
      </c>
      <c r="M219" s="2">
        <f t="shared" si="41"/>
        <v>527.12442322472145</v>
      </c>
      <c r="N219" s="1" cm="1">
        <f t="array" ref="N219">SUMPRODUCT(--($L$6:$L$300&lt;&gt;1),--($C$6:$C$300=$C219))</f>
        <v>32</v>
      </c>
      <c r="O219" s="3">
        <f t="shared" si="42"/>
        <v>169354.45399078508</v>
      </c>
      <c r="P219" s="2">
        <f t="shared" si="43"/>
        <v>374.57354506532863</v>
      </c>
      <c r="Q219" s="2">
        <f t="shared" si="46"/>
        <v>47.08911013465854</v>
      </c>
      <c r="R219" s="2">
        <f t="shared" si="46"/>
        <v>1007.1597363147844</v>
      </c>
      <c r="S219" s="2">
        <f t="shared" si="44"/>
        <v>938.65140167301843</v>
      </c>
    </row>
    <row r="220" spans="2:19" x14ac:dyDescent="0.25">
      <c r="B220" s="10">
        <v>159</v>
      </c>
      <c r="C220" s="10">
        <v>9</v>
      </c>
      <c r="D220" s="9" t="s">
        <v>273</v>
      </c>
      <c r="E220" s="154">
        <f>INDEX('Revised 2017 Lockdown'!H$5:H$249,MATCH(B220,'Revised 2017 Lockdown'!B$5:B$249,0))</f>
        <v>827.75861293351329</v>
      </c>
      <c r="F220" s="7">
        <f>INDEX('Revised 2017 Lockdown'!E$5:E$249,MATCH(B220,'Revised 2017 Lockdown'!B$5:B$249,0))</f>
        <v>161334.24</v>
      </c>
      <c r="G220" s="7">
        <f>INDEX('Revised 2017 Lockdown'!F$5:F$249,MATCH(B220,'Revised 2017 Lockdown'!B$5:B$249,0))</f>
        <v>0</v>
      </c>
      <c r="H220" s="7">
        <f t="shared" si="37"/>
        <v>161334.24</v>
      </c>
      <c r="I220" s="6">
        <f t="shared" si="38"/>
        <v>194.90493663151841</v>
      </c>
      <c r="J220" s="6">
        <f t="shared" si="45"/>
        <v>194.90493663151841</v>
      </c>
      <c r="K220" s="5">
        <f t="shared" si="39"/>
        <v>161334.24</v>
      </c>
      <c r="L220" s="4">
        <f t="shared" si="40"/>
        <v>0</v>
      </c>
      <c r="M220" s="2">
        <f t="shared" si="41"/>
        <v>527.12442322472145</v>
      </c>
      <c r="N220" s="1" cm="1">
        <f t="array" ref="N220">SUMPRODUCT(--($L$6:$L$300&lt;&gt;1),--($C$6:$C$300=$C220))</f>
        <v>32</v>
      </c>
      <c r="O220" s="3">
        <f t="shared" si="42"/>
        <v>110369.78727225141</v>
      </c>
      <c r="P220" s="2">
        <f t="shared" si="43"/>
        <v>374.57354506532863</v>
      </c>
      <c r="Q220" s="2">
        <f t="shared" si="46"/>
        <v>47.08911013465854</v>
      </c>
      <c r="R220" s="2">
        <f t="shared" si="46"/>
        <v>1007.1597363147844</v>
      </c>
      <c r="S220" s="2">
        <f t="shared" si="44"/>
        <v>194.90493663151841</v>
      </c>
    </row>
    <row r="221" spans="2:19" x14ac:dyDescent="0.25">
      <c r="B221" s="10">
        <v>173</v>
      </c>
      <c r="C221" s="10">
        <v>9</v>
      </c>
      <c r="D221" s="9" t="s">
        <v>274</v>
      </c>
      <c r="E221" s="154">
        <f>INDEX('Revised 2017 Lockdown'!H$5:H$249,MATCH(B221,'Revised 2017 Lockdown'!B$5:B$249,0))</f>
        <v>352.88</v>
      </c>
      <c r="F221" s="7">
        <f>INDEX('Revised 2017 Lockdown'!E$5:E$249,MATCH(B221,'Revised 2017 Lockdown'!B$5:B$249,0))</f>
        <v>161973.89000000001</v>
      </c>
      <c r="G221" s="7">
        <f>INDEX('Revised 2017 Lockdown'!F$5:F$249,MATCH(B221,'Revised 2017 Lockdown'!B$5:B$249,0))</f>
        <v>80</v>
      </c>
      <c r="H221" s="7">
        <f t="shared" si="37"/>
        <v>161893.89000000001</v>
      </c>
      <c r="I221" s="6">
        <f t="shared" si="38"/>
        <v>458.77887667195654</v>
      </c>
      <c r="J221" s="6">
        <f t="shared" si="45"/>
        <v>458.77887667195654</v>
      </c>
      <c r="K221" s="5">
        <f t="shared" si="39"/>
        <v>161893.89000000001</v>
      </c>
      <c r="L221" s="4">
        <f t="shared" si="40"/>
        <v>0</v>
      </c>
      <c r="M221" s="2">
        <f t="shared" si="41"/>
        <v>527.12442322472145</v>
      </c>
      <c r="N221" s="1" cm="1">
        <f t="array" ref="N221">SUMPRODUCT(--($L$6:$L$300&lt;&gt;1),--($C$6:$C$300=$C221))</f>
        <v>32</v>
      </c>
      <c r="O221" s="3">
        <f t="shared" si="42"/>
        <v>4671.1137335961566</v>
      </c>
      <c r="P221" s="2">
        <f t="shared" si="43"/>
        <v>374.57354506532863</v>
      </c>
      <c r="Q221" s="2">
        <f t="shared" si="46"/>
        <v>47.08911013465854</v>
      </c>
      <c r="R221" s="2">
        <f t="shared" si="46"/>
        <v>1007.1597363147844</v>
      </c>
      <c r="S221" s="2">
        <f t="shared" si="44"/>
        <v>458.77887667195654</v>
      </c>
    </row>
    <row r="222" spans="2:19" x14ac:dyDescent="0.25">
      <c r="B222" s="10">
        <v>204</v>
      </c>
      <c r="C222" s="10">
        <v>9</v>
      </c>
      <c r="D222" s="9" t="s">
        <v>275</v>
      </c>
      <c r="E222" s="154">
        <f>INDEX('Revised 2017 Lockdown'!H$5:H$249,MATCH(B222,'Revised 2017 Lockdown'!B$5:B$249,0))</f>
        <v>695.26117999658322</v>
      </c>
      <c r="F222" s="7">
        <f>INDEX('Revised 2017 Lockdown'!E$5:E$249,MATCH(B222,'Revised 2017 Lockdown'!B$5:B$249,0))</f>
        <v>583867.55000000005</v>
      </c>
      <c r="G222" s="7">
        <f>INDEX('Revised 2017 Lockdown'!F$5:F$249,MATCH(B222,'Revised 2017 Lockdown'!B$5:B$249,0))</f>
        <v>36940.740000000005</v>
      </c>
      <c r="H222" s="7">
        <f t="shared" si="37"/>
        <v>546926.81000000006</v>
      </c>
      <c r="I222" s="6">
        <f t="shared" si="38"/>
        <v>786.64942864016632</v>
      </c>
      <c r="J222" s="6">
        <f t="shared" si="45"/>
        <v>786.64942864016632</v>
      </c>
      <c r="K222" s="5">
        <f t="shared" si="39"/>
        <v>546926.81000000006</v>
      </c>
      <c r="L222" s="4">
        <f t="shared" si="40"/>
        <v>0</v>
      </c>
      <c r="M222" s="2">
        <f t="shared" si="41"/>
        <v>527.12442322472145</v>
      </c>
      <c r="N222" s="1" cm="1">
        <f t="array" ref="N222">SUMPRODUCT(--($L$6:$L$300&lt;&gt;1),--($C$6:$C$300=$C222))</f>
        <v>32</v>
      </c>
      <c r="O222" s="3">
        <f t="shared" si="42"/>
        <v>67353.228435886689</v>
      </c>
      <c r="P222" s="2">
        <f t="shared" si="43"/>
        <v>374.57354506532863</v>
      </c>
      <c r="Q222" s="2">
        <f t="shared" si="46"/>
        <v>47.08911013465854</v>
      </c>
      <c r="R222" s="2">
        <f t="shared" si="46"/>
        <v>1007.1597363147844</v>
      </c>
      <c r="S222" s="2">
        <f t="shared" si="44"/>
        <v>786.64942864016632</v>
      </c>
    </row>
    <row r="223" spans="2:19" x14ac:dyDescent="0.25">
      <c r="B223" s="10">
        <v>218</v>
      </c>
      <c r="C223" s="10">
        <v>9</v>
      </c>
      <c r="D223" s="9" t="s">
        <v>276</v>
      </c>
      <c r="E223" s="154">
        <f>INDEX('Revised 2017 Lockdown'!H$5:H$249,MATCH(B223,'Revised 2017 Lockdown'!B$5:B$249,0))</f>
        <v>324.80179312584204</v>
      </c>
      <c r="F223" s="7">
        <f>INDEX('Revised 2017 Lockdown'!E$5:E$249,MATCH(B223,'Revised 2017 Lockdown'!B$5:B$249,0))</f>
        <v>203212.92</v>
      </c>
      <c r="G223" s="7">
        <f>INDEX('Revised 2017 Lockdown'!F$5:F$249,MATCH(B223,'Revised 2017 Lockdown'!B$5:B$249,0))</f>
        <v>138</v>
      </c>
      <c r="H223" s="7">
        <f t="shared" si="37"/>
        <v>203074.92</v>
      </c>
      <c r="I223" s="6">
        <f t="shared" si="38"/>
        <v>625.22721332797619</v>
      </c>
      <c r="J223" s="6">
        <f t="shared" si="45"/>
        <v>625.22721332797619</v>
      </c>
      <c r="K223" s="5">
        <f t="shared" si="39"/>
        <v>203074.92000000004</v>
      </c>
      <c r="L223" s="4">
        <f t="shared" si="40"/>
        <v>0</v>
      </c>
      <c r="M223" s="2">
        <f t="shared" si="41"/>
        <v>527.12442322472145</v>
      </c>
      <c r="N223" s="1" cm="1">
        <f t="array" ref="N223">SUMPRODUCT(--($L$6:$L$300&lt;&gt;1),--($C$6:$C$300=$C223))</f>
        <v>32</v>
      </c>
      <c r="O223" s="3">
        <f t="shared" si="42"/>
        <v>9624.1574260432553</v>
      </c>
      <c r="P223" s="2">
        <f t="shared" si="43"/>
        <v>374.57354506532863</v>
      </c>
      <c r="Q223" s="2">
        <f t="shared" si="46"/>
        <v>47.08911013465854</v>
      </c>
      <c r="R223" s="2">
        <f t="shared" si="46"/>
        <v>1007.1597363147844</v>
      </c>
      <c r="S223" s="2">
        <f t="shared" si="44"/>
        <v>625.22721332797619</v>
      </c>
    </row>
    <row r="224" spans="2:19" x14ac:dyDescent="0.25">
      <c r="B224" s="10">
        <v>230</v>
      </c>
      <c r="C224" s="10">
        <v>9</v>
      </c>
      <c r="D224" s="9" t="s">
        <v>277</v>
      </c>
      <c r="E224" s="154">
        <f>INDEX('Revised 2017 Lockdown'!H$5:H$249,MATCH(B224,'Revised 2017 Lockdown'!B$5:B$249,0))</f>
        <v>146.57443758263469</v>
      </c>
      <c r="F224" s="7">
        <f>INDEX('Revised 2017 Lockdown'!E$5:E$249,MATCH(B224,'Revised 2017 Lockdown'!B$5:B$249,0))</f>
        <v>69106.73</v>
      </c>
      <c r="G224" s="7">
        <f>INDEX('Revised 2017 Lockdown'!F$5:F$249,MATCH(B224,'Revised 2017 Lockdown'!B$5:B$249,0))</f>
        <v>4871.54</v>
      </c>
      <c r="H224" s="7">
        <f t="shared" si="37"/>
        <v>64235.189999999995</v>
      </c>
      <c r="I224" s="6">
        <f t="shared" si="38"/>
        <v>438.2427868009791</v>
      </c>
      <c r="J224" s="6">
        <f t="shared" si="45"/>
        <v>438.2427868009791</v>
      </c>
      <c r="K224" s="5">
        <f t="shared" si="39"/>
        <v>64235.189999999995</v>
      </c>
      <c r="L224" s="4">
        <f t="shared" si="40"/>
        <v>0</v>
      </c>
      <c r="M224" s="2">
        <f t="shared" si="41"/>
        <v>527.12442322472145</v>
      </c>
      <c r="N224" s="1" cm="1">
        <f t="array" ref="N224">SUMPRODUCT(--($L$6:$L$300&lt;&gt;1),--($C$6:$C$300=$C224))</f>
        <v>32</v>
      </c>
      <c r="O224" s="3">
        <f t="shared" si="42"/>
        <v>7899.9452933623224</v>
      </c>
      <c r="P224" s="2">
        <f t="shared" si="43"/>
        <v>374.57354506532863</v>
      </c>
      <c r="Q224" s="2">
        <f t="shared" si="46"/>
        <v>47.08911013465854</v>
      </c>
      <c r="R224" s="2">
        <f t="shared" si="46"/>
        <v>1007.1597363147844</v>
      </c>
      <c r="S224" s="2">
        <f t="shared" si="44"/>
        <v>438.2427868009791</v>
      </c>
    </row>
    <row r="225" spans="2:19" x14ac:dyDescent="0.25">
      <c r="B225" s="10">
        <v>277</v>
      </c>
      <c r="C225" s="10">
        <v>9</v>
      </c>
      <c r="D225" s="9" t="s">
        <v>278</v>
      </c>
      <c r="E225" s="154">
        <f>INDEX('Revised 2017 Lockdown'!H$5:H$249,MATCH(B225,'Revised 2017 Lockdown'!B$5:B$249,0))</f>
        <v>118.22152392243591</v>
      </c>
      <c r="F225" s="7">
        <f>INDEX('Revised 2017 Lockdown'!E$5:E$249,MATCH(B225,'Revised 2017 Lockdown'!B$5:B$249,0))</f>
        <v>69536.61</v>
      </c>
      <c r="G225" s="7">
        <f>INDEX('Revised 2017 Lockdown'!F$5:F$249,MATCH(B225,'Revised 2017 Lockdown'!B$5:B$249,0))</f>
        <v>0</v>
      </c>
      <c r="H225" s="7">
        <f t="shared" si="37"/>
        <v>69536.61</v>
      </c>
      <c r="I225" s="6">
        <f t="shared" si="38"/>
        <v>588.18908514174075</v>
      </c>
      <c r="J225" s="6">
        <f t="shared" si="45"/>
        <v>588.18908514174075</v>
      </c>
      <c r="K225" s="5">
        <f t="shared" si="39"/>
        <v>69536.61</v>
      </c>
      <c r="L225" s="4">
        <f t="shared" si="40"/>
        <v>0</v>
      </c>
      <c r="M225" s="2">
        <f t="shared" si="41"/>
        <v>527.12442322472145</v>
      </c>
      <c r="N225" s="1" cm="1">
        <f t="array" ref="N225">SUMPRODUCT(--($L$6:$L$300&lt;&gt;1),--($C$6:$C$300=$C225))</f>
        <v>32</v>
      </c>
      <c r="O225" s="3">
        <f t="shared" si="42"/>
        <v>3728.8929350398662</v>
      </c>
      <c r="P225" s="2">
        <f t="shared" si="43"/>
        <v>374.57354506532863</v>
      </c>
      <c r="Q225" s="2">
        <f t="shared" si="46"/>
        <v>47.08911013465854</v>
      </c>
      <c r="R225" s="2">
        <f t="shared" si="46"/>
        <v>1007.1597363147844</v>
      </c>
      <c r="S225" s="2">
        <f t="shared" si="44"/>
        <v>588.18908514174075</v>
      </c>
    </row>
    <row r="226" spans="2:19" x14ac:dyDescent="0.25">
      <c r="B226" s="10">
        <v>279</v>
      </c>
      <c r="C226" s="10">
        <v>9</v>
      </c>
      <c r="D226" s="9" t="s">
        <v>279</v>
      </c>
      <c r="E226" s="154">
        <f>INDEX('Revised 2017 Lockdown'!H$5:H$249,MATCH(B226,'Revised 2017 Lockdown'!B$5:B$249,0))</f>
        <v>540.1157723406485</v>
      </c>
      <c r="F226" s="7">
        <f>INDEX('Revised 2017 Lockdown'!E$5:E$249,MATCH(B226,'Revised 2017 Lockdown'!B$5:B$249,0))</f>
        <v>141933.18</v>
      </c>
      <c r="G226" s="7">
        <f>INDEX('Revised 2017 Lockdown'!F$5:F$249,MATCH(B226,'Revised 2017 Lockdown'!B$5:B$249,0))</f>
        <v>746</v>
      </c>
      <c r="H226" s="7">
        <f t="shared" si="37"/>
        <v>141187.18</v>
      </c>
      <c r="I226" s="6">
        <f t="shared" si="38"/>
        <v>261.40169798810075</v>
      </c>
      <c r="J226" s="6">
        <f t="shared" si="45"/>
        <v>261.40169798810075</v>
      </c>
      <c r="K226" s="5">
        <f t="shared" si="39"/>
        <v>141187.18</v>
      </c>
      <c r="L226" s="4">
        <f t="shared" si="40"/>
        <v>0</v>
      </c>
      <c r="M226" s="2">
        <f t="shared" si="41"/>
        <v>527.12442322472145</v>
      </c>
      <c r="N226" s="1" cm="1">
        <f t="array" ref="N226">SUMPRODUCT(--($L$6:$L$300&lt;&gt;1),--($C$6:$C$300=$C226))</f>
        <v>32</v>
      </c>
      <c r="O226" s="3">
        <f t="shared" si="42"/>
        <v>70608.566707176622</v>
      </c>
      <c r="P226" s="2">
        <f t="shared" si="43"/>
        <v>374.57354506532863</v>
      </c>
      <c r="Q226" s="2">
        <f t="shared" ref="Q226:R241" si="47">NORMINV(Q$4,$M226,$P226)</f>
        <v>47.08911013465854</v>
      </c>
      <c r="R226" s="2">
        <f t="shared" si="47"/>
        <v>1007.1597363147844</v>
      </c>
      <c r="S226" s="2">
        <f t="shared" si="44"/>
        <v>261.40169798810075</v>
      </c>
    </row>
    <row r="227" spans="2:19" x14ac:dyDescent="0.25">
      <c r="B227" s="10">
        <v>331</v>
      </c>
      <c r="C227" s="10">
        <v>9</v>
      </c>
      <c r="D227" s="9" t="s">
        <v>280</v>
      </c>
      <c r="E227" s="154">
        <f>INDEX('Revised 2017 Lockdown'!H$5:H$249,MATCH(B227,'Revised 2017 Lockdown'!B$5:B$249,0))</f>
        <v>398.65860170051161</v>
      </c>
      <c r="F227" s="7">
        <f>INDEX('Revised 2017 Lockdown'!E$5:E$249,MATCH(B227,'Revised 2017 Lockdown'!B$5:B$249,0))</f>
        <v>161705.39000000001</v>
      </c>
      <c r="G227" s="7">
        <f>INDEX('Revised 2017 Lockdown'!F$5:F$249,MATCH(B227,'Revised 2017 Lockdown'!B$5:B$249,0))</f>
        <v>23223.75</v>
      </c>
      <c r="H227" s="7">
        <f t="shared" si="37"/>
        <v>138481.64000000001</v>
      </c>
      <c r="I227" s="6">
        <f t="shared" si="38"/>
        <v>347.3690004663012</v>
      </c>
      <c r="J227" s="6">
        <f t="shared" si="45"/>
        <v>347.3690004663012</v>
      </c>
      <c r="K227" s="5">
        <f t="shared" si="39"/>
        <v>138481.64000000001</v>
      </c>
      <c r="L227" s="4">
        <f t="shared" si="40"/>
        <v>0</v>
      </c>
      <c r="M227" s="2">
        <f t="shared" si="41"/>
        <v>527.12442322472145</v>
      </c>
      <c r="N227" s="1" cm="1">
        <f t="array" ref="N227">SUMPRODUCT(--($L$6:$L$300&lt;&gt;1),--($C$6:$C$300=$C227))</f>
        <v>32</v>
      </c>
      <c r="O227" s="3">
        <f t="shared" si="42"/>
        <v>32312.012011058388</v>
      </c>
      <c r="P227" s="2">
        <f t="shared" si="43"/>
        <v>374.57354506532863</v>
      </c>
      <c r="Q227" s="2">
        <f t="shared" si="47"/>
        <v>47.08911013465854</v>
      </c>
      <c r="R227" s="2">
        <f t="shared" si="47"/>
        <v>1007.1597363147844</v>
      </c>
      <c r="S227" s="2">
        <f t="shared" si="44"/>
        <v>347.3690004663012</v>
      </c>
    </row>
    <row r="228" spans="2:19" x14ac:dyDescent="0.25">
      <c r="B228" s="10">
        <v>369</v>
      </c>
      <c r="C228" s="10">
        <v>9</v>
      </c>
      <c r="D228" s="9" t="s">
        <v>281</v>
      </c>
      <c r="E228" s="154">
        <f>INDEX('Revised 2017 Lockdown'!H$5:H$249,MATCH(B228,'Revised 2017 Lockdown'!B$5:B$249,0))</f>
        <v>468.64581619145497</v>
      </c>
      <c r="F228" s="7">
        <f>INDEX('Revised 2017 Lockdown'!E$5:E$249,MATCH(B228,'Revised 2017 Lockdown'!B$5:B$249,0))</f>
        <v>387832.75</v>
      </c>
      <c r="G228" s="7">
        <f>INDEX('Revised 2017 Lockdown'!F$5:F$249,MATCH(B228,'Revised 2017 Lockdown'!B$5:B$249,0))</f>
        <v>0</v>
      </c>
      <c r="H228" s="7">
        <f t="shared" si="37"/>
        <v>387832.75</v>
      </c>
      <c r="I228" s="6">
        <f t="shared" si="38"/>
        <v>827.56046592243433</v>
      </c>
      <c r="J228" s="6">
        <f t="shared" si="45"/>
        <v>827.56046592243433</v>
      </c>
      <c r="K228" s="5">
        <f t="shared" si="39"/>
        <v>387832.75</v>
      </c>
      <c r="L228" s="4">
        <f t="shared" si="40"/>
        <v>0</v>
      </c>
      <c r="M228" s="2">
        <f t="shared" si="41"/>
        <v>527.12442322472145</v>
      </c>
      <c r="N228" s="1" cm="1">
        <f t="array" ref="N228">SUMPRODUCT(--($L$6:$L$300&lt;&gt;1),--($C$6:$C$300=$C228))</f>
        <v>32</v>
      </c>
      <c r="O228" s="3">
        <f t="shared" si="42"/>
        <v>90261.815751861956</v>
      </c>
      <c r="P228" s="2">
        <f t="shared" si="43"/>
        <v>374.57354506532863</v>
      </c>
      <c r="Q228" s="2">
        <f t="shared" si="47"/>
        <v>47.08911013465854</v>
      </c>
      <c r="R228" s="2">
        <f t="shared" si="47"/>
        <v>1007.1597363147844</v>
      </c>
      <c r="S228" s="2">
        <f t="shared" si="44"/>
        <v>827.56046592243433</v>
      </c>
    </row>
    <row r="229" spans="2:19" x14ac:dyDescent="0.25">
      <c r="B229" s="10">
        <v>416</v>
      </c>
      <c r="C229" s="10">
        <v>9</v>
      </c>
      <c r="D229" s="9" t="s">
        <v>282</v>
      </c>
      <c r="E229" s="154">
        <f>INDEX('Revised 2017 Lockdown'!H$5:H$249,MATCH(B229,'Revised 2017 Lockdown'!B$5:B$249,0))</f>
        <v>79.001198840183932</v>
      </c>
      <c r="F229" s="7">
        <f>INDEX('Revised 2017 Lockdown'!E$5:E$249,MATCH(B229,'Revised 2017 Lockdown'!B$5:B$249,0))</f>
        <v>47802.65</v>
      </c>
      <c r="G229" s="7">
        <f>INDEX('Revised 2017 Lockdown'!F$5:F$249,MATCH(B229,'Revised 2017 Lockdown'!B$5:B$249,0))</f>
        <v>134.5</v>
      </c>
      <c r="H229" s="7">
        <f t="shared" si="37"/>
        <v>47668.15</v>
      </c>
      <c r="I229" s="6">
        <f t="shared" si="38"/>
        <v>603.38514731188627</v>
      </c>
      <c r="J229" s="6">
        <f t="shared" si="45"/>
        <v>603.38514731188627</v>
      </c>
      <c r="K229" s="5">
        <f t="shared" si="39"/>
        <v>47668.15</v>
      </c>
      <c r="L229" s="4">
        <f t="shared" si="40"/>
        <v>0</v>
      </c>
      <c r="M229" s="2">
        <f t="shared" si="41"/>
        <v>527.12442322472145</v>
      </c>
      <c r="N229" s="1" cm="1">
        <f t="array" ref="N229">SUMPRODUCT(--($L$6:$L$300&lt;&gt;1),--($C$6:$C$300=$C229))</f>
        <v>32</v>
      </c>
      <c r="O229" s="3">
        <f t="shared" si="42"/>
        <v>5815.6980382986803</v>
      </c>
      <c r="P229" s="2">
        <f t="shared" si="43"/>
        <v>374.57354506532863</v>
      </c>
      <c r="Q229" s="2">
        <f t="shared" si="47"/>
        <v>47.08911013465854</v>
      </c>
      <c r="R229" s="2">
        <f t="shared" si="47"/>
        <v>1007.1597363147844</v>
      </c>
      <c r="S229" s="2">
        <f t="shared" si="44"/>
        <v>603.38514731188627</v>
      </c>
    </row>
    <row r="230" spans="2:19" x14ac:dyDescent="0.25">
      <c r="B230" s="10">
        <v>420</v>
      </c>
      <c r="C230" s="10">
        <v>9</v>
      </c>
      <c r="D230" s="9" t="s">
        <v>283</v>
      </c>
      <c r="E230" s="154">
        <f>INDEX('Revised 2017 Lockdown'!H$5:H$249,MATCH(B230,'Revised 2017 Lockdown'!B$5:B$249,0))</f>
        <v>423.29939066767844</v>
      </c>
      <c r="F230" s="7">
        <f>INDEX('Revised 2017 Lockdown'!E$5:E$249,MATCH(B230,'Revised 2017 Lockdown'!B$5:B$249,0))</f>
        <v>188843.04</v>
      </c>
      <c r="G230" s="7">
        <f>INDEX('Revised 2017 Lockdown'!F$5:F$249,MATCH(B230,'Revised 2017 Lockdown'!B$5:B$249,0))</f>
        <v>627.58000000000004</v>
      </c>
      <c r="H230" s="7">
        <f t="shared" si="37"/>
        <v>188215.46000000002</v>
      </c>
      <c r="I230" s="6">
        <f t="shared" si="38"/>
        <v>444.6390997707889</v>
      </c>
      <c r="J230" s="6">
        <f t="shared" si="45"/>
        <v>444.6390997707889</v>
      </c>
      <c r="K230" s="5">
        <f t="shared" si="39"/>
        <v>188215.46000000002</v>
      </c>
      <c r="L230" s="4">
        <f t="shared" si="40"/>
        <v>0</v>
      </c>
      <c r="M230" s="2">
        <f t="shared" si="41"/>
        <v>527.12442322472145</v>
      </c>
      <c r="N230" s="1" cm="1">
        <f t="array" ref="N230">SUMPRODUCT(--($L$6:$L$300&lt;&gt;1),--($C$6:$C$300=$C230))</f>
        <v>32</v>
      </c>
      <c r="O230" s="3">
        <f t="shared" si="42"/>
        <v>6803.8285852998752</v>
      </c>
      <c r="P230" s="2">
        <f t="shared" si="43"/>
        <v>374.57354506532863</v>
      </c>
      <c r="Q230" s="2">
        <f t="shared" si="47"/>
        <v>47.08911013465854</v>
      </c>
      <c r="R230" s="2">
        <f t="shared" si="47"/>
        <v>1007.1597363147844</v>
      </c>
      <c r="S230" s="2">
        <f t="shared" si="44"/>
        <v>444.6390997707889</v>
      </c>
    </row>
    <row r="231" spans="2:19" x14ac:dyDescent="0.25">
      <c r="B231" s="10">
        <v>508</v>
      </c>
      <c r="C231" s="10">
        <v>9</v>
      </c>
      <c r="D231" s="9" t="s">
        <v>284</v>
      </c>
      <c r="E231" s="154">
        <f>INDEX('Revised 2017 Lockdown'!H$5:H$249,MATCH(B231,'Revised 2017 Lockdown'!B$5:B$249,0))</f>
        <v>96.676564339446884</v>
      </c>
      <c r="F231" s="7">
        <f>INDEX('Revised 2017 Lockdown'!E$5:E$249,MATCH(B231,'Revised 2017 Lockdown'!B$5:B$249,0))</f>
        <v>60727.65</v>
      </c>
      <c r="G231" s="7">
        <f>INDEX('Revised 2017 Lockdown'!F$5:F$249,MATCH(B231,'Revised 2017 Lockdown'!B$5:B$249,0))</f>
        <v>0</v>
      </c>
      <c r="H231" s="7">
        <f t="shared" si="37"/>
        <v>60727.65</v>
      </c>
      <c r="I231" s="6">
        <f t="shared" si="38"/>
        <v>628.15275258205816</v>
      </c>
      <c r="J231" s="6">
        <f t="shared" si="45"/>
        <v>628.15275258205816</v>
      </c>
      <c r="K231" s="5">
        <f t="shared" si="39"/>
        <v>60727.65</v>
      </c>
      <c r="L231" s="4">
        <f t="shared" si="40"/>
        <v>0</v>
      </c>
      <c r="M231" s="2">
        <f t="shared" si="41"/>
        <v>527.12442322472145</v>
      </c>
      <c r="N231" s="1" cm="1">
        <f t="array" ref="N231">SUMPRODUCT(--($L$6:$L$300&lt;&gt;1),--($C$6:$C$300=$C231))</f>
        <v>32</v>
      </c>
      <c r="O231" s="3">
        <f t="shared" si="42"/>
        <v>10206.7233327345</v>
      </c>
      <c r="P231" s="2">
        <f t="shared" si="43"/>
        <v>374.57354506532863</v>
      </c>
      <c r="Q231" s="2">
        <f t="shared" si="47"/>
        <v>47.08911013465854</v>
      </c>
      <c r="R231" s="2">
        <f t="shared" si="47"/>
        <v>1007.1597363147844</v>
      </c>
      <c r="S231" s="2">
        <f t="shared" si="44"/>
        <v>628.15275258205816</v>
      </c>
    </row>
    <row r="232" spans="2:19" x14ac:dyDescent="0.25">
      <c r="B232" s="10">
        <v>512</v>
      </c>
      <c r="C232" s="10">
        <v>9</v>
      </c>
      <c r="D232" s="9" t="s">
        <v>285</v>
      </c>
      <c r="E232" s="154">
        <f>INDEX('Revised 2017 Lockdown'!H$5:H$249,MATCH(B232,'Revised 2017 Lockdown'!B$5:B$249,0))</f>
        <v>240.37592968230376</v>
      </c>
      <c r="F232" s="7">
        <f>INDEX('Revised 2017 Lockdown'!E$5:E$249,MATCH(B232,'Revised 2017 Lockdown'!B$5:B$249,0))</f>
        <v>282778.59999999998</v>
      </c>
      <c r="G232" s="7">
        <f>INDEX('Revised 2017 Lockdown'!F$5:F$249,MATCH(B232,'Revised 2017 Lockdown'!B$5:B$249,0))</f>
        <v>11398.92</v>
      </c>
      <c r="H232" s="7">
        <f t="shared" si="37"/>
        <v>271379.68</v>
      </c>
      <c r="I232" s="6">
        <f t="shared" si="38"/>
        <v>1128.9802617037103</v>
      </c>
      <c r="J232" s="6">
        <f t="shared" si="45"/>
        <v>1007.1597363147844</v>
      </c>
      <c r="K232" s="5">
        <f t="shared" si="39"/>
        <v>242096.9579552502</v>
      </c>
      <c r="L232" s="4">
        <f t="shared" si="40"/>
        <v>0</v>
      </c>
      <c r="M232" s="2">
        <f t="shared" si="41"/>
        <v>527.12442322472145</v>
      </c>
      <c r="N232" s="1" cm="1">
        <f t="array" ref="N232">SUMPRODUCT(--($L$6:$L$300&lt;&gt;1),--($C$6:$C$300=$C232))</f>
        <v>32</v>
      </c>
      <c r="O232" s="3">
        <f t="shared" si="42"/>
        <v>362230.45031124674</v>
      </c>
      <c r="P232" s="2">
        <f t="shared" si="43"/>
        <v>374.57354506532863</v>
      </c>
      <c r="Q232" s="2">
        <f t="shared" si="47"/>
        <v>47.08911013465854</v>
      </c>
      <c r="R232" s="2">
        <f t="shared" si="47"/>
        <v>1007.1597363147844</v>
      </c>
      <c r="S232" s="2">
        <f t="shared" si="44"/>
        <v>1007.1597363147844</v>
      </c>
    </row>
    <row r="233" spans="2:19" x14ac:dyDescent="0.25">
      <c r="B233" s="10">
        <v>516</v>
      </c>
      <c r="C233" s="10">
        <v>9</v>
      </c>
      <c r="D233" s="9" t="s">
        <v>286</v>
      </c>
      <c r="E233" s="154">
        <f>INDEX('Revised 2017 Lockdown'!H$5:H$249,MATCH(B233,'Revised 2017 Lockdown'!B$5:B$249,0))</f>
        <v>318.38260667853939</v>
      </c>
      <c r="F233" s="7">
        <f>INDEX('Revised 2017 Lockdown'!E$5:E$249,MATCH(B233,'Revised 2017 Lockdown'!B$5:B$249,0))</f>
        <v>149463.49</v>
      </c>
      <c r="G233" s="7">
        <f>INDEX('Revised 2017 Lockdown'!F$5:F$249,MATCH(B233,'Revised 2017 Lockdown'!B$5:B$249,0))</f>
        <v>40.049999999999997</v>
      </c>
      <c r="H233" s="7">
        <f t="shared" si="37"/>
        <v>149423.44</v>
      </c>
      <c r="I233" s="6">
        <f t="shared" si="38"/>
        <v>469.32036130625693</v>
      </c>
      <c r="J233" s="6">
        <f t="shared" si="45"/>
        <v>469.32036130625693</v>
      </c>
      <c r="K233" s="5">
        <f t="shared" si="39"/>
        <v>149423.44</v>
      </c>
      <c r="L233" s="4">
        <f t="shared" si="40"/>
        <v>0</v>
      </c>
      <c r="M233" s="2">
        <f t="shared" si="41"/>
        <v>527.12442322472145</v>
      </c>
      <c r="N233" s="1" cm="1">
        <f t="array" ref="N233">SUMPRODUCT(--($L$6:$L$300&lt;&gt;1),--($C$6:$C$300=$C233))</f>
        <v>32</v>
      </c>
      <c r="O233" s="3">
        <f t="shared" si="42"/>
        <v>3341.3095742736809</v>
      </c>
      <c r="P233" s="2">
        <f t="shared" si="43"/>
        <v>374.57354506532863</v>
      </c>
      <c r="Q233" s="2">
        <f t="shared" si="47"/>
        <v>47.08911013465854</v>
      </c>
      <c r="R233" s="2">
        <f t="shared" si="47"/>
        <v>1007.1597363147844</v>
      </c>
      <c r="S233" s="2">
        <f t="shared" si="44"/>
        <v>469.32036130625693</v>
      </c>
    </row>
    <row r="234" spans="2:19" x14ac:dyDescent="0.25">
      <c r="B234" s="10">
        <v>521</v>
      </c>
      <c r="C234" s="10">
        <v>9</v>
      </c>
      <c r="D234" s="9" t="s">
        <v>287</v>
      </c>
      <c r="E234" s="154">
        <f>INDEX('Revised 2017 Lockdown'!H$5:H$249,MATCH(B234,'Revised 2017 Lockdown'!B$5:B$249,0))</f>
        <v>130.45414260299998</v>
      </c>
      <c r="F234" s="7">
        <f>INDEX('Revised 2017 Lockdown'!E$5:E$249,MATCH(B234,'Revised 2017 Lockdown'!B$5:B$249,0))</f>
        <v>324197.18</v>
      </c>
      <c r="G234" s="7">
        <f>INDEX('Revised 2017 Lockdown'!F$5:F$249,MATCH(B234,'Revised 2017 Lockdown'!B$5:B$249,0))</f>
        <v>0</v>
      </c>
      <c r="H234" s="7">
        <f t="shared" si="37"/>
        <v>324197.18</v>
      </c>
      <c r="I234" s="6">
        <f t="shared" si="38"/>
        <v>2485.142851972143</v>
      </c>
      <c r="J234" s="6">
        <f t="shared" si="45"/>
        <v>1007.1597363147844</v>
      </c>
      <c r="K234" s="5">
        <f t="shared" si="39"/>
        <v>131388.15986520873</v>
      </c>
      <c r="L234" s="4">
        <f t="shared" si="40"/>
        <v>0</v>
      </c>
      <c r="M234" s="2">
        <f t="shared" si="41"/>
        <v>527.12442322472145</v>
      </c>
      <c r="N234" s="1" cm="1">
        <f t="array" ref="N234">SUMPRODUCT(--($L$6:$L$300&lt;&gt;1),--($C$6:$C$300=$C234))</f>
        <v>32</v>
      </c>
      <c r="O234" s="3">
        <f t="shared" si="42"/>
        <v>3833836.167314522</v>
      </c>
      <c r="P234" s="2">
        <f t="shared" si="43"/>
        <v>374.57354506532863</v>
      </c>
      <c r="Q234" s="2">
        <f t="shared" si="47"/>
        <v>47.08911013465854</v>
      </c>
      <c r="R234" s="2">
        <f t="shared" si="47"/>
        <v>1007.1597363147844</v>
      </c>
      <c r="S234" s="2">
        <f t="shared" si="44"/>
        <v>1007.1597363147844</v>
      </c>
    </row>
    <row r="235" spans="2:19" x14ac:dyDescent="0.25">
      <c r="B235" s="10">
        <v>522</v>
      </c>
      <c r="C235" s="10">
        <v>9</v>
      </c>
      <c r="D235" s="9" t="s">
        <v>288</v>
      </c>
      <c r="E235" s="154">
        <f>INDEX('Revised 2017 Lockdown'!H$5:H$249,MATCH(B235,'Revised 2017 Lockdown'!B$5:B$249,0))</f>
        <v>100.03985639352658</v>
      </c>
      <c r="F235" s="7">
        <f>INDEX('Revised 2017 Lockdown'!E$5:E$249,MATCH(B235,'Revised 2017 Lockdown'!B$5:B$249,0))</f>
        <v>96784.89</v>
      </c>
      <c r="G235" s="7">
        <f>INDEX('Revised 2017 Lockdown'!F$5:F$249,MATCH(B235,'Revised 2017 Lockdown'!B$5:B$249,0))</f>
        <v>36</v>
      </c>
      <c r="H235" s="7">
        <f t="shared" si="37"/>
        <v>96748.89</v>
      </c>
      <c r="I235" s="6">
        <f t="shared" si="38"/>
        <v>967.1034474441775</v>
      </c>
      <c r="J235" s="6">
        <f t="shared" si="45"/>
        <v>967.1034474441775</v>
      </c>
      <c r="K235" s="5">
        <f t="shared" si="39"/>
        <v>96748.89</v>
      </c>
      <c r="L235" s="4">
        <f t="shared" si="40"/>
        <v>0</v>
      </c>
      <c r="M235" s="2">
        <f t="shared" si="41"/>
        <v>527.12442322472145</v>
      </c>
      <c r="N235" s="1" cm="1">
        <f t="array" ref="N235">SUMPRODUCT(--($L$6:$L$300&lt;&gt;1),--($C$6:$C$300=$C235))</f>
        <v>32</v>
      </c>
      <c r="O235" s="3">
        <f t="shared" si="42"/>
        <v>193581.54175310468</v>
      </c>
      <c r="P235" s="2">
        <f t="shared" si="43"/>
        <v>374.57354506532863</v>
      </c>
      <c r="Q235" s="2">
        <f t="shared" si="47"/>
        <v>47.08911013465854</v>
      </c>
      <c r="R235" s="2">
        <f t="shared" si="47"/>
        <v>1007.1597363147844</v>
      </c>
      <c r="S235" s="2">
        <f t="shared" si="44"/>
        <v>967.1034474441775</v>
      </c>
    </row>
    <row r="236" spans="2:19" x14ac:dyDescent="0.25">
      <c r="B236" s="10">
        <v>523</v>
      </c>
      <c r="C236" s="10">
        <v>9</v>
      </c>
      <c r="D236" s="9" t="s">
        <v>289</v>
      </c>
      <c r="E236" s="154">
        <f>INDEX('Revised 2017 Lockdown'!H$5:H$249,MATCH(B236,'Revised 2017 Lockdown'!B$5:B$249,0))</f>
        <v>1100.2666392830195</v>
      </c>
      <c r="F236" s="7">
        <f>INDEX('Revised 2017 Lockdown'!E$5:E$249,MATCH(B236,'Revised 2017 Lockdown'!B$5:B$249,0))</f>
        <v>241124.1</v>
      </c>
      <c r="G236" s="7">
        <f>INDEX('Revised 2017 Lockdown'!F$5:F$249,MATCH(B236,'Revised 2017 Lockdown'!B$5:B$249,0))</f>
        <v>310</v>
      </c>
      <c r="H236" s="7">
        <f t="shared" si="37"/>
        <v>240814.1</v>
      </c>
      <c r="I236" s="6">
        <f t="shared" si="38"/>
        <v>218.86885542301337</v>
      </c>
      <c r="J236" s="6">
        <f t="shared" si="45"/>
        <v>218.86885542301337</v>
      </c>
      <c r="K236" s="5">
        <f t="shared" si="39"/>
        <v>240814.09999999998</v>
      </c>
      <c r="L236" s="4">
        <f t="shared" si="40"/>
        <v>0</v>
      </c>
      <c r="M236" s="2">
        <f t="shared" si="41"/>
        <v>527.12442322472145</v>
      </c>
      <c r="N236" s="1" cm="1">
        <f t="array" ref="N236">SUMPRODUCT(--($L$6:$L$300&lt;&gt;1),--($C$6:$C$300=$C236))</f>
        <v>32</v>
      </c>
      <c r="O236" s="3">
        <f t="shared" si="42"/>
        <v>95021.495080753448</v>
      </c>
      <c r="P236" s="2">
        <f t="shared" si="43"/>
        <v>374.57354506532863</v>
      </c>
      <c r="Q236" s="2">
        <f t="shared" si="47"/>
        <v>47.08911013465854</v>
      </c>
      <c r="R236" s="2">
        <f t="shared" si="47"/>
        <v>1007.1597363147844</v>
      </c>
      <c r="S236" s="2">
        <f t="shared" si="44"/>
        <v>218.86885542301337</v>
      </c>
    </row>
    <row r="237" spans="2:19" x14ac:dyDescent="0.25">
      <c r="B237" s="41">
        <v>527</v>
      </c>
      <c r="C237" s="41">
        <v>9</v>
      </c>
      <c r="D237" s="42" t="s">
        <v>290</v>
      </c>
      <c r="E237" s="154">
        <f>INDEX('Revised 2017 Lockdown'!H$5:H$249,MATCH(B237,'Revised 2017 Lockdown'!B$5:B$249,0))</f>
        <v>202.44848299718456</v>
      </c>
      <c r="F237" s="7">
        <f>INDEX('Revised 2017 Lockdown'!E$5:E$249,MATCH(B237,'Revised 2017 Lockdown'!B$5:B$249,0))</f>
        <v>102100.27</v>
      </c>
      <c r="G237" s="7">
        <f>INDEX('Revised 2017 Lockdown'!F$5:F$249,MATCH(B237,'Revised 2017 Lockdown'!B$5:B$249,0))</f>
        <v>90</v>
      </c>
      <c r="H237" s="7">
        <f t="shared" si="37"/>
        <v>102010.27</v>
      </c>
      <c r="I237" s="6">
        <f t="shared" si="38"/>
        <v>503.88260998438136</v>
      </c>
      <c r="J237" s="6">
        <f t="shared" si="45"/>
        <v>503.88260998438136</v>
      </c>
      <c r="K237" s="5">
        <f t="shared" si="39"/>
        <v>102010.27</v>
      </c>
      <c r="L237" s="4">
        <f t="shared" si="40"/>
        <v>0</v>
      </c>
      <c r="M237" s="2">
        <f t="shared" si="41"/>
        <v>527.12442322472145</v>
      </c>
      <c r="N237" s="1" cm="1">
        <f t="array" ref="N237">SUMPRODUCT(--($L$6:$L$300&lt;&gt;1),--($C$6:$C$300=$C237))</f>
        <v>32</v>
      </c>
      <c r="O237" s="3">
        <f t="shared" si="42"/>
        <v>540.18188269884809</v>
      </c>
      <c r="P237" s="2">
        <f t="shared" si="43"/>
        <v>374.57354506532863</v>
      </c>
      <c r="Q237" s="2">
        <f t="shared" si="47"/>
        <v>47.08911013465854</v>
      </c>
      <c r="R237" s="2">
        <f t="shared" si="47"/>
        <v>1007.1597363147844</v>
      </c>
      <c r="S237" s="2">
        <f t="shared" si="44"/>
        <v>503.88260998438136</v>
      </c>
    </row>
    <row r="238" spans="2:19" x14ac:dyDescent="0.25">
      <c r="B238" s="41">
        <v>543</v>
      </c>
      <c r="C238" s="41">
        <v>9</v>
      </c>
      <c r="D238" s="42" t="s">
        <v>291</v>
      </c>
      <c r="E238" s="154">
        <f>INDEX('Revised 2017 Lockdown'!H$5:H$249,MATCH(B238,'Revised 2017 Lockdown'!B$5:B$249,0))</f>
        <v>87.043542053499934</v>
      </c>
      <c r="F238" s="7">
        <f>INDEX('Revised 2017 Lockdown'!E$5:E$249,MATCH(B238,'Revised 2017 Lockdown'!B$5:B$249,0))</f>
        <v>35958.870000000003</v>
      </c>
      <c r="G238" s="7">
        <f>INDEX('Revised 2017 Lockdown'!F$5:F$249,MATCH(B238,'Revised 2017 Lockdown'!B$5:B$249,0))</f>
        <v>0</v>
      </c>
      <c r="H238" s="7">
        <f t="shared" si="37"/>
        <v>35958.870000000003</v>
      </c>
      <c r="I238" s="6">
        <f t="shared" si="38"/>
        <v>413.11358834522673</v>
      </c>
      <c r="J238" s="6">
        <f t="shared" si="45"/>
        <v>413.11358834522673</v>
      </c>
      <c r="K238" s="5">
        <f t="shared" si="39"/>
        <v>35958.870000000003</v>
      </c>
      <c r="L238" s="4">
        <f t="shared" si="40"/>
        <v>0</v>
      </c>
      <c r="M238" s="2">
        <f t="shared" si="41"/>
        <v>527.12442322472145</v>
      </c>
      <c r="N238" s="1" cm="1">
        <f t="array" ref="N238">SUMPRODUCT(--($L$6:$L$300&lt;&gt;1),--($C$6:$C$300=$C238))</f>
        <v>32</v>
      </c>
      <c r="O238" s="3">
        <f t="shared" si="42"/>
        <v>12998.47046991941</v>
      </c>
      <c r="P238" s="2">
        <f t="shared" si="43"/>
        <v>374.57354506532863</v>
      </c>
      <c r="Q238" s="2">
        <f t="shared" si="47"/>
        <v>47.08911013465854</v>
      </c>
      <c r="R238" s="2">
        <f t="shared" si="47"/>
        <v>1007.1597363147844</v>
      </c>
      <c r="S238" s="2">
        <f t="shared" si="44"/>
        <v>413.11358834522673</v>
      </c>
    </row>
    <row r="239" spans="2:19" x14ac:dyDescent="0.25">
      <c r="B239" s="41">
        <v>547</v>
      </c>
      <c r="C239" s="41">
        <v>9</v>
      </c>
      <c r="D239" s="42" t="s">
        <v>292</v>
      </c>
      <c r="E239" s="154">
        <f>INDEX('Revised 2017 Lockdown'!H$5:H$249,MATCH(B239,'Revised 2017 Lockdown'!B$5:B$249,0))</f>
        <v>243.74826284405572</v>
      </c>
      <c r="F239" s="7">
        <f>INDEX('Revised 2017 Lockdown'!E$5:E$249,MATCH(B239,'Revised 2017 Lockdown'!B$5:B$249,0))</f>
        <v>97156.09</v>
      </c>
      <c r="G239" s="7">
        <f>INDEX('Revised 2017 Lockdown'!F$5:F$249,MATCH(B239,'Revised 2017 Lockdown'!B$5:B$249,0))</f>
        <v>0</v>
      </c>
      <c r="H239" s="7">
        <f t="shared" si="37"/>
        <v>97156.09</v>
      </c>
      <c r="I239" s="6">
        <f t="shared" si="38"/>
        <v>398.59192786189465</v>
      </c>
      <c r="J239" s="6">
        <f t="shared" si="45"/>
        <v>398.59192786189465</v>
      </c>
      <c r="K239" s="5">
        <f t="shared" si="39"/>
        <v>97156.09</v>
      </c>
      <c r="L239" s="4">
        <f t="shared" si="40"/>
        <v>0</v>
      </c>
      <c r="M239" s="2">
        <f t="shared" si="41"/>
        <v>527.12442322472145</v>
      </c>
      <c r="N239" s="1" cm="1">
        <f t="array" ref="N239">SUMPRODUCT(--($L$6:$L$300&lt;&gt;1),--($C$6:$C$300=$C239))</f>
        <v>32</v>
      </c>
      <c r="O239" s="3">
        <f t="shared" si="42"/>
        <v>16520.602364195096</v>
      </c>
      <c r="P239" s="2">
        <f t="shared" si="43"/>
        <v>374.57354506532863</v>
      </c>
      <c r="Q239" s="2">
        <f t="shared" si="47"/>
        <v>47.08911013465854</v>
      </c>
      <c r="R239" s="2">
        <f t="shared" si="47"/>
        <v>1007.1597363147844</v>
      </c>
      <c r="S239" s="2">
        <f t="shared" si="44"/>
        <v>398.59192786189465</v>
      </c>
    </row>
    <row r="240" spans="2:19" x14ac:dyDescent="0.25">
      <c r="B240" s="41">
        <v>552</v>
      </c>
      <c r="C240" s="41">
        <v>9</v>
      </c>
      <c r="D240" s="42" t="s">
        <v>293</v>
      </c>
      <c r="E240" s="154">
        <f>INDEX('Revised 2017 Lockdown'!H$5:H$249,MATCH(B240,'Revised 2017 Lockdown'!B$5:B$249,0))</f>
        <v>129.99</v>
      </c>
      <c r="F240" s="7">
        <f>INDEX('Revised 2017 Lockdown'!E$5:E$249,MATCH(B240,'Revised 2017 Lockdown'!B$5:B$249,0))</f>
        <v>103061.3</v>
      </c>
      <c r="G240" s="7">
        <f>INDEX('Revised 2017 Lockdown'!F$5:F$249,MATCH(B240,'Revised 2017 Lockdown'!B$5:B$249,0))</f>
        <v>0</v>
      </c>
      <c r="H240" s="7">
        <f t="shared" si="37"/>
        <v>103061.3</v>
      </c>
      <c r="I240" s="6">
        <f t="shared" si="38"/>
        <v>792.84021847834447</v>
      </c>
      <c r="J240" s="6">
        <f t="shared" si="45"/>
        <v>792.84021847834447</v>
      </c>
      <c r="K240" s="5">
        <f t="shared" si="39"/>
        <v>103061.3</v>
      </c>
      <c r="L240" s="4">
        <f t="shared" si="40"/>
        <v>0</v>
      </c>
      <c r="M240" s="2">
        <f t="shared" si="41"/>
        <v>527.12442322472145</v>
      </c>
      <c r="N240" s="1" cm="1">
        <f t="array" ref="N240">SUMPRODUCT(--($L$6:$L$300&lt;&gt;1),--($C$6:$C$300=$C240))</f>
        <v>32</v>
      </c>
      <c r="O240" s="3">
        <f t="shared" si="42"/>
        <v>70604.883847265301</v>
      </c>
      <c r="P240" s="2">
        <f t="shared" si="43"/>
        <v>374.57354506532863</v>
      </c>
      <c r="Q240" s="2">
        <f t="shared" si="47"/>
        <v>47.08911013465854</v>
      </c>
      <c r="R240" s="2">
        <f t="shared" si="47"/>
        <v>1007.1597363147844</v>
      </c>
      <c r="S240" s="2">
        <f t="shared" si="44"/>
        <v>792.84021847834447</v>
      </c>
    </row>
    <row r="241" spans="2:19" x14ac:dyDescent="0.25">
      <c r="B241" s="41">
        <v>567</v>
      </c>
      <c r="C241" s="41">
        <v>9</v>
      </c>
      <c r="D241" s="42" t="s">
        <v>294</v>
      </c>
      <c r="E241" s="154">
        <f>INDEX('Revised 2017 Lockdown'!H$5:H$249,MATCH(B241,'Revised 2017 Lockdown'!B$5:B$249,0))</f>
        <v>357.89224720630364</v>
      </c>
      <c r="F241" s="7">
        <f>INDEX('Revised 2017 Lockdown'!E$5:E$249,MATCH(B241,'Revised 2017 Lockdown'!B$5:B$249,0))</f>
        <v>192252.35</v>
      </c>
      <c r="G241" s="7">
        <f>INDEX('Revised 2017 Lockdown'!F$5:F$249,MATCH(B241,'Revised 2017 Lockdown'!B$5:B$249,0))</f>
        <v>160</v>
      </c>
      <c r="H241" s="7">
        <f t="shared" si="37"/>
        <v>192092.35</v>
      </c>
      <c r="I241" s="6">
        <f t="shared" si="38"/>
        <v>536.73235869026848</v>
      </c>
      <c r="J241" s="6">
        <f t="shared" si="45"/>
        <v>536.73235869026848</v>
      </c>
      <c r="K241" s="5">
        <f t="shared" si="39"/>
        <v>192092.35</v>
      </c>
      <c r="L241" s="4">
        <f t="shared" si="40"/>
        <v>0</v>
      </c>
      <c r="M241" s="2">
        <f t="shared" si="41"/>
        <v>527.12442322472145</v>
      </c>
      <c r="N241" s="1" cm="1">
        <f t="array" ref="N241">SUMPRODUCT(--($L$6:$L$300&lt;&gt;1),--($C$6:$C$300=$C241))</f>
        <v>32</v>
      </c>
      <c r="O241" s="3">
        <f t="shared" si="42"/>
        <v>92.312423910116422</v>
      </c>
      <c r="P241" s="2">
        <f t="shared" si="43"/>
        <v>374.57354506532863</v>
      </c>
      <c r="Q241" s="2">
        <f t="shared" si="47"/>
        <v>47.08911013465854</v>
      </c>
      <c r="R241" s="2">
        <f t="shared" si="47"/>
        <v>1007.1597363147844</v>
      </c>
      <c r="S241" s="2">
        <f t="shared" si="44"/>
        <v>536.73235869026848</v>
      </c>
    </row>
    <row r="242" spans="2:19" x14ac:dyDescent="0.25">
      <c r="B242" s="41">
        <v>629</v>
      </c>
      <c r="C242" s="41">
        <v>9</v>
      </c>
      <c r="D242" s="42" t="s">
        <v>295</v>
      </c>
      <c r="E242" s="154">
        <f>INDEX('Revised 2017 Lockdown'!H$5:H$249,MATCH(B242,'Revised 2017 Lockdown'!B$5:B$249,0))</f>
        <v>240.14990199049728</v>
      </c>
      <c r="F242" s="7">
        <f>INDEX('Revised 2017 Lockdown'!E$5:E$249,MATCH(B242,'Revised 2017 Lockdown'!B$5:B$249,0))</f>
        <v>176268.94</v>
      </c>
      <c r="G242" s="7">
        <f>INDEX('Revised 2017 Lockdown'!F$5:F$249,MATCH(B242,'Revised 2017 Lockdown'!B$5:B$249,0))</f>
        <v>5167.2699999999995</v>
      </c>
      <c r="H242" s="7">
        <f t="shared" si="37"/>
        <v>171101.67</v>
      </c>
      <c r="I242" s="6">
        <f t="shared" si="38"/>
        <v>712.47861682146549</v>
      </c>
      <c r="J242" s="6">
        <f t="shared" si="45"/>
        <v>712.47861682146549</v>
      </c>
      <c r="K242" s="5">
        <f t="shared" si="39"/>
        <v>171101.67</v>
      </c>
      <c r="L242" s="4">
        <f t="shared" si="40"/>
        <v>0</v>
      </c>
      <c r="M242" s="2">
        <f t="shared" si="41"/>
        <v>527.12442322472145</v>
      </c>
      <c r="N242" s="1" cm="1">
        <f t="array" ref="N242">SUMPRODUCT(--($L$6:$L$300&lt;&gt;1),--($C$6:$C$300=$C242))</f>
        <v>32</v>
      </c>
      <c r="O242" s="3">
        <f t="shared" si="42"/>
        <v>34356.177083899267</v>
      </c>
      <c r="P242" s="2">
        <f t="shared" si="43"/>
        <v>374.57354506532863</v>
      </c>
      <c r="Q242" s="2">
        <f t="shared" ref="Q242:R250" si="48">NORMINV(Q$4,$M242,$P242)</f>
        <v>47.08911013465854</v>
      </c>
      <c r="R242" s="2">
        <f t="shared" si="48"/>
        <v>1007.1597363147844</v>
      </c>
      <c r="S242" s="2">
        <f t="shared" si="44"/>
        <v>712.47861682146549</v>
      </c>
    </row>
    <row r="243" spans="2:19" x14ac:dyDescent="0.25">
      <c r="B243" s="41">
        <v>630</v>
      </c>
      <c r="C243" s="41">
        <v>9</v>
      </c>
      <c r="D243" s="42" t="s">
        <v>296</v>
      </c>
      <c r="E243" s="154">
        <f>INDEX('Revised 2017 Lockdown'!H$5:H$249,MATCH(B243,'Revised 2017 Lockdown'!B$5:B$249,0))</f>
        <v>160.09993466033154</v>
      </c>
      <c r="F243" s="7">
        <f>INDEX('Revised 2017 Lockdown'!E$5:E$249,MATCH(B243,'Revised 2017 Lockdown'!B$5:B$249,0))</f>
        <v>192209.49</v>
      </c>
      <c r="G243" s="7">
        <f>INDEX('Revised 2017 Lockdown'!F$5:F$249,MATCH(B243,'Revised 2017 Lockdown'!B$5:B$249,0))</f>
        <v>4898.67</v>
      </c>
      <c r="H243" s="7">
        <f t="shared" si="37"/>
        <v>187310.81999999998</v>
      </c>
      <c r="I243" s="6">
        <f t="shared" si="38"/>
        <v>1169.961876607877</v>
      </c>
      <c r="J243" s="6">
        <f t="shared" si="45"/>
        <v>1007.1597363147844</v>
      </c>
      <c r="K243" s="5">
        <f t="shared" si="39"/>
        <v>161246.20797651372</v>
      </c>
      <c r="L243" s="4">
        <f t="shared" si="40"/>
        <v>0</v>
      </c>
      <c r="M243" s="2">
        <f t="shared" si="41"/>
        <v>527.12442322472145</v>
      </c>
      <c r="N243" s="1" cm="1">
        <f t="array" ref="N243">SUMPRODUCT(--($L$6:$L$300&lt;&gt;1),--($C$6:$C$300=$C243))</f>
        <v>32</v>
      </c>
      <c r="O243" s="3">
        <f t="shared" si="42"/>
        <v>413239.99147214071</v>
      </c>
      <c r="P243" s="2">
        <f t="shared" si="43"/>
        <v>374.57354506532863</v>
      </c>
      <c r="Q243" s="2">
        <f t="shared" si="48"/>
        <v>47.08911013465854</v>
      </c>
      <c r="R243" s="2">
        <f t="shared" si="48"/>
        <v>1007.1597363147844</v>
      </c>
      <c r="S243" s="2">
        <f t="shared" si="44"/>
        <v>1007.1597363147844</v>
      </c>
    </row>
    <row r="244" spans="2:19" x14ac:dyDescent="0.25">
      <c r="B244" s="41">
        <v>695</v>
      </c>
      <c r="C244" s="41">
        <v>9</v>
      </c>
      <c r="D244" s="42" t="s">
        <v>297</v>
      </c>
      <c r="E244" s="154">
        <f>INDEX('Revised 2017 Lockdown'!H$5:H$249,MATCH(B244,'Revised 2017 Lockdown'!B$5:B$249,0))</f>
        <v>31.83905556353054</v>
      </c>
      <c r="F244" s="7">
        <f>INDEX('Revised 2017 Lockdown'!E$5:E$249,MATCH(B244,'Revised 2017 Lockdown'!B$5:B$249,0))</f>
        <v>14871.19</v>
      </c>
      <c r="G244" s="7">
        <f>INDEX('Revised 2017 Lockdown'!F$5:F$249,MATCH(B244,'Revised 2017 Lockdown'!B$5:B$249,0))</f>
        <v>0</v>
      </c>
      <c r="H244" s="7">
        <f t="shared" si="37"/>
        <v>14871.19</v>
      </c>
      <c r="I244" s="6">
        <f t="shared" si="38"/>
        <v>467.0738417578545</v>
      </c>
      <c r="J244" s="6">
        <f t="shared" si="45"/>
        <v>467.0738417578545</v>
      </c>
      <c r="K244" s="5">
        <f t="shared" si="39"/>
        <v>14871.19</v>
      </c>
      <c r="L244" s="4">
        <f t="shared" si="40"/>
        <v>0</v>
      </c>
      <c r="M244" s="2">
        <f t="shared" si="41"/>
        <v>527.12442322472145</v>
      </c>
      <c r="N244" s="1" cm="1">
        <f t="array" ref="N244">SUMPRODUCT(--($L$6:$L$300&lt;&gt;1),--($C$6:$C$300=$C244))</f>
        <v>32</v>
      </c>
      <c r="O244" s="3">
        <f t="shared" si="42"/>
        <v>3606.0723345088254</v>
      </c>
      <c r="P244" s="2">
        <f t="shared" si="43"/>
        <v>374.57354506532863</v>
      </c>
      <c r="Q244" s="2">
        <f t="shared" si="48"/>
        <v>47.08911013465854</v>
      </c>
      <c r="R244" s="2">
        <f t="shared" si="48"/>
        <v>1007.1597363147844</v>
      </c>
      <c r="S244" s="2">
        <f t="shared" si="44"/>
        <v>467.0738417578545</v>
      </c>
    </row>
    <row r="245" spans="2:19" x14ac:dyDescent="0.25">
      <c r="B245" s="41">
        <v>771</v>
      </c>
      <c r="C245" s="41">
        <v>9</v>
      </c>
      <c r="D245" s="42" t="s">
        <v>298</v>
      </c>
      <c r="E245" s="154">
        <f>INDEX('Revised 2017 Lockdown'!H$5:H$249,MATCH(B245,'Revised 2017 Lockdown'!B$5:B$249,0))</f>
        <v>193.04573101803697</v>
      </c>
      <c r="F245" s="7">
        <f>INDEX('Revised 2017 Lockdown'!E$5:E$249,MATCH(B245,'Revised 2017 Lockdown'!B$5:B$249,0))</f>
        <v>56478.67</v>
      </c>
      <c r="G245" s="7">
        <f>INDEX('Revised 2017 Lockdown'!F$5:F$249,MATCH(B245,'Revised 2017 Lockdown'!B$5:B$249,0))</f>
        <v>24</v>
      </c>
      <c r="H245" s="7">
        <f t="shared" si="37"/>
        <v>56454.67</v>
      </c>
      <c r="I245" s="6">
        <f t="shared" si="38"/>
        <v>292.44194990629052</v>
      </c>
      <c r="J245" s="6">
        <f t="shared" si="45"/>
        <v>292.44194990629052</v>
      </c>
      <c r="K245" s="5">
        <f t="shared" si="39"/>
        <v>56454.670000000006</v>
      </c>
      <c r="L245" s="4">
        <f t="shared" si="40"/>
        <v>0</v>
      </c>
      <c r="M245" s="2">
        <f t="shared" si="41"/>
        <v>527.12442322472145</v>
      </c>
      <c r="N245" s="1" cm="1">
        <f t="array" ref="N245">SUMPRODUCT(--($L$6:$L$300&lt;&gt;1),--($C$6:$C$300=$C245))</f>
        <v>32</v>
      </c>
      <c r="O245" s="3">
        <f t="shared" si="42"/>
        <v>55075.863282856051</v>
      </c>
      <c r="P245" s="2">
        <f t="shared" si="43"/>
        <v>374.57354506532863</v>
      </c>
      <c r="Q245" s="2">
        <f t="shared" si="48"/>
        <v>47.08911013465854</v>
      </c>
      <c r="R245" s="2">
        <f t="shared" si="48"/>
        <v>1007.1597363147844</v>
      </c>
      <c r="S245" s="2">
        <f t="shared" si="44"/>
        <v>292.44194990629052</v>
      </c>
    </row>
    <row r="246" spans="2:19" x14ac:dyDescent="0.25">
      <c r="B246" s="41">
        <v>830</v>
      </c>
      <c r="C246" s="41">
        <v>9</v>
      </c>
      <c r="D246" s="42" t="s">
        <v>299</v>
      </c>
      <c r="E246" s="154">
        <f>INDEX('Revised 2017 Lockdown'!H$5:H$249,MATCH(B246,'Revised 2017 Lockdown'!B$5:B$249,0))</f>
        <v>23.769072070364334</v>
      </c>
      <c r="F246" s="7">
        <f>INDEX('Revised 2017 Lockdown'!E$5:E$249,MATCH(B246,'Revised 2017 Lockdown'!B$5:B$249,0))</f>
        <v>24300.39</v>
      </c>
      <c r="G246" s="7">
        <f>INDEX('Revised 2017 Lockdown'!F$5:F$249,MATCH(B246,'Revised 2017 Lockdown'!B$5:B$249,0))</f>
        <v>0</v>
      </c>
      <c r="H246" s="7">
        <f t="shared" si="37"/>
        <v>24300.39</v>
      </c>
      <c r="I246" s="6">
        <f t="shared" si="38"/>
        <v>1022.3533307511033</v>
      </c>
      <c r="J246" s="6">
        <f t="shared" si="45"/>
        <v>1007.1597363147844</v>
      </c>
      <c r="K246" s="5">
        <f t="shared" si="39"/>
        <v>23939.252358835249</v>
      </c>
      <c r="L246" s="4">
        <f t="shared" si="40"/>
        <v>0</v>
      </c>
      <c r="M246" s="2">
        <f t="shared" si="41"/>
        <v>527.12442322472145</v>
      </c>
      <c r="N246" s="1" cm="1">
        <f t="array" ref="N246">SUMPRODUCT(--($L$6:$L$300&lt;&gt;1),--($C$6:$C$300=$C246))</f>
        <v>32</v>
      </c>
      <c r="O246" s="3">
        <f t="shared" si="42"/>
        <v>245251.67084977363</v>
      </c>
      <c r="P246" s="2">
        <f t="shared" si="43"/>
        <v>374.57354506532863</v>
      </c>
      <c r="Q246" s="2">
        <f t="shared" si="48"/>
        <v>47.08911013465854</v>
      </c>
      <c r="R246" s="2">
        <f t="shared" si="48"/>
        <v>1007.1597363147844</v>
      </c>
      <c r="S246" s="2">
        <f t="shared" si="44"/>
        <v>1007.1597363147844</v>
      </c>
    </row>
    <row r="247" spans="2:19" x14ac:dyDescent="0.25">
      <c r="B247" s="1">
        <v>936</v>
      </c>
      <c r="C247" s="1">
        <v>9</v>
      </c>
      <c r="D247" s="18" t="s">
        <v>300</v>
      </c>
      <c r="E247" s="154">
        <f>INDEX('Revised 2017 Lockdown'!H$5:H$249,MATCH(B247,'Revised 2017 Lockdown'!B$5:B$249,0))</f>
        <v>37.809912285379859</v>
      </c>
      <c r="F247" s="7">
        <f>INDEX('Revised 2017 Lockdown'!E$5:E$249,MATCH(B247,'Revised 2017 Lockdown'!B$5:B$249,0))</f>
        <v>55239.58</v>
      </c>
      <c r="G247" s="7">
        <f>INDEX('Revised 2017 Lockdown'!F$5:F$249,MATCH(B247,'Revised 2017 Lockdown'!B$5:B$249,0))</f>
        <v>0</v>
      </c>
      <c r="H247" s="7">
        <f t="shared" si="37"/>
        <v>55239.58</v>
      </c>
      <c r="I247" s="6">
        <f t="shared" si="38"/>
        <v>1460.9814374353828</v>
      </c>
      <c r="J247" s="6">
        <f t="shared" si="45"/>
        <v>1007.1597363147844</v>
      </c>
      <c r="K247" s="5">
        <f t="shared" si="39"/>
        <v>38080.621287428308</v>
      </c>
      <c r="L247" s="4">
        <f t="shared" si="40"/>
        <v>0</v>
      </c>
      <c r="M247" s="2">
        <f t="shared" si="41"/>
        <v>527.12442322472145</v>
      </c>
      <c r="N247" s="1" cm="1">
        <f t="array" ref="N247">SUMPRODUCT(--($L$6:$L$300&lt;&gt;1),--($C$6:$C$300=$C247))</f>
        <v>32</v>
      </c>
      <c r="O247" s="3">
        <f t="shared" si="42"/>
        <v>872088.92299045122</v>
      </c>
      <c r="P247" s="2">
        <f t="shared" si="43"/>
        <v>374.57354506532863</v>
      </c>
      <c r="Q247" s="2">
        <f t="shared" si="48"/>
        <v>47.08911013465854</v>
      </c>
      <c r="R247" s="2">
        <f t="shared" si="48"/>
        <v>1007.1597363147844</v>
      </c>
      <c r="S247" s="2">
        <f t="shared" si="44"/>
        <v>1007.1597363147844</v>
      </c>
    </row>
    <row r="248" spans="2:19" x14ac:dyDescent="0.25">
      <c r="B248" s="1">
        <v>952</v>
      </c>
      <c r="C248" s="1">
        <v>9</v>
      </c>
      <c r="D248" s="18" t="s">
        <v>301</v>
      </c>
      <c r="E248" s="154">
        <f>INDEX('Revised 2017 Lockdown'!H$5:H$249,MATCH(B248,'Revised 2017 Lockdown'!B$5:B$249,0))</f>
        <v>68.811870493550018</v>
      </c>
      <c r="F248" s="7">
        <f>INDEX('Revised 2017 Lockdown'!E$5:E$249,MATCH(B248,'Revised 2017 Lockdown'!B$5:B$249,0))</f>
        <v>91119.41</v>
      </c>
      <c r="G248" s="7">
        <f>INDEX('Revised 2017 Lockdown'!F$5:F$249,MATCH(B248,'Revised 2017 Lockdown'!B$5:B$249,0))</f>
        <v>3493</v>
      </c>
      <c r="H248" s="7">
        <f t="shared" si="37"/>
        <v>87626.41</v>
      </c>
      <c r="I248" s="6">
        <f t="shared" si="38"/>
        <v>1273.4199691347374</v>
      </c>
      <c r="J248" s="6">
        <f t="shared" si="45"/>
        <v>1007.1597363147844</v>
      </c>
      <c r="K248" s="5">
        <f t="shared" si="39"/>
        <v>69304.545341610923</v>
      </c>
      <c r="L248" s="4">
        <f t="shared" si="40"/>
        <v>0</v>
      </c>
      <c r="M248" s="2">
        <f t="shared" si="41"/>
        <v>527.12442322472145</v>
      </c>
      <c r="N248" s="1" cm="1">
        <f t="array" ref="N248">SUMPRODUCT(--($L$6:$L$300&lt;&gt;1),--($C$6:$C$300=$C248))</f>
        <v>32</v>
      </c>
      <c r="O248" s="3">
        <f t="shared" si="42"/>
        <v>556957.04184512864</v>
      </c>
      <c r="P248" s="2">
        <f t="shared" si="43"/>
        <v>374.57354506532863</v>
      </c>
      <c r="Q248" s="2">
        <f t="shared" si="48"/>
        <v>47.08911013465854</v>
      </c>
      <c r="R248" s="2">
        <f t="shared" si="48"/>
        <v>1007.1597363147844</v>
      </c>
      <c r="S248" s="2">
        <f t="shared" si="44"/>
        <v>1007.1597363147844</v>
      </c>
    </row>
    <row r="249" spans="2:19" x14ac:dyDescent="0.25">
      <c r="B249" s="1">
        <v>982</v>
      </c>
      <c r="C249" s="1">
        <v>9</v>
      </c>
      <c r="D249" s="18" t="s">
        <v>302</v>
      </c>
      <c r="E249" s="154">
        <f>INDEX('Revised 2017 Lockdown'!H$5:H$249,MATCH(B249,'Revised 2017 Lockdown'!B$5:B$249,0))</f>
        <v>93.22611956915361</v>
      </c>
      <c r="F249" s="7">
        <f>INDEX('Revised 2017 Lockdown'!E$5:E$249,MATCH(B249,'Revised 2017 Lockdown'!B$5:B$249,0))</f>
        <v>21464.959999999999</v>
      </c>
      <c r="G249" s="7">
        <f>INDEX('Revised 2017 Lockdown'!F$5:F$249,MATCH(B249,'Revised 2017 Lockdown'!B$5:B$249,0))</f>
        <v>0</v>
      </c>
      <c r="H249" s="7">
        <f>F249-G249</f>
        <v>21464.959999999999</v>
      </c>
      <c r="I249" s="6">
        <f>H249/E249</f>
        <v>230.24620245056582</v>
      </c>
      <c r="J249" s="6">
        <f>IF(ISERROR(IF($J$2=1,MAX(MIN(I249,R249),Q249),MIN(I249,R249))),R249,IF($J$2=1,MAX(MIN(I249,R249),Q249),MIN(I249,R249)))</f>
        <v>230.24620245056582</v>
      </c>
      <c r="K249" s="5">
        <f>J249*E249</f>
        <v>21464.959999999999</v>
      </c>
      <c r="L249" s="4">
        <f>IF(ISERROR(I249),1,0)</f>
        <v>0</v>
      </c>
      <c r="M249" s="2">
        <f t="shared" si="41"/>
        <v>527.12442322472145</v>
      </c>
      <c r="N249" s="1" cm="1">
        <f t="array" ref="N249">SUMPRODUCT(--($L$6:$L$300&lt;&gt;1),--($C$6:$C$300=$C249))</f>
        <v>32</v>
      </c>
      <c r="O249" s="3">
        <f>IF(ISERROR((I249-M249)^2),0,(I249-M249)^2)</f>
        <v>88136.677970028293</v>
      </c>
      <c r="P249" s="2">
        <f>SQRT(SUMPRODUCT(--($L$6:$L$300&lt;&gt;1),--($C$6:$C$300=$C249),$E$6:$E$300,$O$6:$O$300)/((N249-1)*SUMPRODUCT(--($L$6:$L$300&lt;&gt;1),--($C$6:$C$300=$C249),$E$6:$E$300)/N249))</f>
        <v>374.57354506532863</v>
      </c>
      <c r="Q249" s="2">
        <f t="shared" si="48"/>
        <v>47.08911013465854</v>
      </c>
      <c r="R249" s="2">
        <f t="shared" si="48"/>
        <v>1007.1597363147844</v>
      </c>
      <c r="S249" s="2">
        <f>IF(ISERROR(MAX(MIN(I249,R249),Q249)),R249,MAX(MIN(I249,R249),Q249))</f>
        <v>230.24620245056582</v>
      </c>
    </row>
    <row r="250" spans="2:19" x14ac:dyDescent="0.25">
      <c r="B250" s="1">
        <v>987</v>
      </c>
      <c r="C250" s="1">
        <v>9</v>
      </c>
      <c r="D250" s="18" t="s">
        <v>303</v>
      </c>
      <c r="E250" s="154">
        <f>INDEX('Revised 2017 Lockdown'!H$5:H$249,MATCH(B250,'Revised 2017 Lockdown'!B$5:B$249,0))</f>
        <v>301.89162628434212</v>
      </c>
      <c r="F250" s="7">
        <f>INDEX('Revised 2017 Lockdown'!E$5:E$249,MATCH(B250,'Revised 2017 Lockdown'!B$5:B$249,0))</f>
        <v>82615.17</v>
      </c>
      <c r="G250" s="7">
        <f>INDEX('Revised 2017 Lockdown'!F$5:F$249,MATCH(B250,'Revised 2017 Lockdown'!B$5:B$249,0))</f>
        <v>0</v>
      </c>
      <c r="H250" s="7">
        <f>F250-G250</f>
        <v>82615.17</v>
      </c>
      <c r="I250" s="6">
        <f>H250/E250</f>
        <v>273.65836878889576</v>
      </c>
      <c r="J250" s="6">
        <f>IF(ISERROR(IF($J$2=1,MAX(MIN(I250,R250),Q250),MIN(I250,R250))),R250,IF($J$2=1,MAX(MIN(I250,R250),Q250),MIN(I250,R250)))</f>
        <v>273.65836878889576</v>
      </c>
      <c r="K250" s="5">
        <f>J250*E250</f>
        <v>82615.17</v>
      </c>
      <c r="L250" s="4">
        <f>IF(ISERROR(I250),1,0)</f>
        <v>0</v>
      </c>
      <c r="M250" s="2">
        <f t="shared" si="41"/>
        <v>527.12442322472145</v>
      </c>
      <c r="N250" s="1" cm="1">
        <f t="array" ref="N250">SUMPRODUCT(--($L$6:$L$300&lt;&gt;1),--($C$6:$C$300=$C250))</f>
        <v>32</v>
      </c>
      <c r="O250" s="3">
        <f>IF(ISERROR((I250-M250)^2),0,(I250-M250)^2)</f>
        <v>64245.040751264954</v>
      </c>
      <c r="P250" s="2">
        <f>SQRT(SUMPRODUCT(--($L$6:$L$300&lt;&gt;1),--($C$6:$C$300=$C250),$E$6:$E$300,$O$6:$O$300)/((N250-1)*SUMPRODUCT(--($L$6:$L$300&lt;&gt;1),--($C$6:$C$300=$C250),$E$6:$E$300)/N250))</f>
        <v>374.57354506532863</v>
      </c>
      <c r="Q250" s="2">
        <f t="shared" si="48"/>
        <v>47.08911013465854</v>
      </c>
      <c r="R250" s="2">
        <f t="shared" si="48"/>
        <v>1007.1597363147844</v>
      </c>
      <c r="S250" s="2">
        <f>IF(ISERROR(MAX(MIN(I250,R250),Q250)),R250,MAX(MIN(I250,R250),Q250))</f>
        <v>273.65836878889576</v>
      </c>
    </row>
  </sheetData>
  <conditionalFormatting sqref="E6:S250">
    <cfRule type="expression" dxfId="6" priority="7">
      <formula>$C6&lt;&gt;$C5</formula>
    </cfRule>
  </conditionalFormatting>
  <conditionalFormatting sqref="J6:J250">
    <cfRule type="expression" dxfId="5" priority="6">
      <formula>$J6&lt;$I6=TRUE</formula>
    </cfRule>
  </conditionalFormatting>
  <conditionalFormatting sqref="B51:D77 B151:D163 B165:D170 B214:D236 B84:D149 B79:D81 B172:D182 B184:D212 B6:D49">
    <cfRule type="expression" dxfId="4" priority="2">
      <formula>$C6&lt;&gt;$C5</formula>
    </cfRule>
  </conditionalFormatting>
  <conditionalFormatting sqref="B50:D50 B78:D78 B164:D164 B213:D213 B82:D82 B183:D183">
    <cfRule type="expression" dxfId="3" priority="3">
      <formula>$C50&lt;&gt;$C48</formula>
    </cfRule>
  </conditionalFormatting>
  <conditionalFormatting sqref="B150:D150 B171:D171">
    <cfRule type="expression" dxfId="2" priority="4">
      <formula>$C150&lt;&gt;#REF!</formula>
    </cfRule>
  </conditionalFormatting>
  <conditionalFormatting sqref="B83:D83">
    <cfRule type="expression" dxfId="1" priority="5">
      <formula>$C83&lt;&gt;$C80</formula>
    </cfRule>
  </conditionalFormatting>
  <conditionalFormatting sqref="F4:H4">
    <cfRule type="expression" dxfId="0" priority="1">
      <formula>$C4&lt;&gt;$C3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272C-BFC4-486A-BA13-467EB92B311A}">
  <sheetPr codeName="Sheet5">
    <tabColor theme="8" tint="0.59999389629810485"/>
  </sheetPr>
  <dimension ref="A1:I249"/>
  <sheetViews>
    <sheetView workbookViewId="0"/>
  </sheetViews>
  <sheetFormatPr defaultColWidth="8.875" defaultRowHeight="14.3" x14ac:dyDescent="0.25"/>
  <cols>
    <col min="1" max="1" width="4.875" style="34" customWidth="1"/>
    <col min="2" max="2" width="8.5" style="34" customWidth="1"/>
    <col min="3" max="3" width="8.875" style="34" customWidth="1"/>
    <col min="4" max="4" width="53" style="34" customWidth="1"/>
    <col min="5" max="8" width="13.875" style="34" customWidth="1"/>
    <col min="9" max="9" width="12.875" style="34" customWidth="1"/>
    <col min="10" max="16384" width="8.875" style="34"/>
  </cols>
  <sheetData>
    <row r="1" spans="1:9" x14ac:dyDescent="0.25">
      <c r="E1" s="34" t="s">
        <v>14</v>
      </c>
      <c r="F1" s="174">
        <v>1000</v>
      </c>
      <c r="H1" s="34" t="s">
        <v>15</v>
      </c>
      <c r="I1" s="175" cm="1">
        <f t="array" ref="I1">AVERAGE(IF($I$5:$I$300&lt;&gt;0,IF($I$5:$I$300&lt;=F1,$I$5:$I$300)))</f>
        <v>462.9867319741071</v>
      </c>
    </row>
    <row r="2" spans="1:9" x14ac:dyDescent="0.25">
      <c r="B2" s="31" t="s">
        <v>373</v>
      </c>
      <c r="E2" s="32"/>
      <c r="H2" s="34" t="s">
        <v>16</v>
      </c>
      <c r="I2" s="175" cm="1">
        <f t="array" ref="I2">STDEV(IF($I$5:$I$300&lt;&gt;0,IF($I$5:$I$300&lt;=F1,$I$5:$I$300)))</f>
        <v>205.88647059011939</v>
      </c>
    </row>
    <row r="3" spans="1:9" ht="14.95" thickBot="1" x14ac:dyDescent="0.3">
      <c r="E3" s="33">
        <f>SUM(E5:E300)</f>
        <v>351407784.0399999</v>
      </c>
      <c r="F3" s="33">
        <f>SUM(F5:F300)</f>
        <v>112335663.32999998</v>
      </c>
      <c r="G3" s="33">
        <f>SUM(G5:G300)</f>
        <v>239072120.70999986</v>
      </c>
      <c r="H3" s="155">
        <f>SUM(H5:H300)</f>
        <v>822650.66448335873</v>
      </c>
      <c r="I3" s="174">
        <f>G3/H3</f>
        <v>290.61195843091184</v>
      </c>
    </row>
    <row r="4" spans="1:9" ht="43.5" thickBot="1" x14ac:dyDescent="0.3">
      <c r="B4" s="176" t="s">
        <v>11</v>
      </c>
      <c r="C4" s="176" t="s">
        <v>10</v>
      </c>
      <c r="D4" s="176" t="s">
        <v>9</v>
      </c>
      <c r="E4" s="176" t="s">
        <v>17</v>
      </c>
      <c r="F4" s="176" t="s">
        <v>18</v>
      </c>
      <c r="G4" s="176" t="s">
        <v>19</v>
      </c>
      <c r="H4" s="177" t="s">
        <v>20</v>
      </c>
      <c r="I4" s="176" t="s">
        <v>21</v>
      </c>
    </row>
    <row r="5" spans="1:9" x14ac:dyDescent="0.25">
      <c r="A5" s="37">
        <v>1</v>
      </c>
      <c r="B5" s="185">
        <v>1</v>
      </c>
      <c r="C5" s="179">
        <f>INDEX('[3]Full Program List'!B$2:B$300,MATCH(B5,'[3]Full Program List'!A$2:A$300,0))</f>
        <v>1</v>
      </c>
      <c r="D5" s="180" t="str">
        <f>INDEX('[3]Full Program List'!C$2:C$300,MATCH(B5,'[3]Full Program List'!A$2:A$300,0))</f>
        <v>HALTON, REGIONAL MUNICIPALITY OF</v>
      </c>
      <c r="E5" s="181">
        <v>9441139.5399999991</v>
      </c>
      <c r="F5" s="188">
        <v>1552688.8099999998</v>
      </c>
      <c r="G5" s="188">
        <f>E5-F5</f>
        <v>7888450.7299999995</v>
      </c>
      <c r="H5" s="183">
        <v>43741.089999999989</v>
      </c>
      <c r="I5" s="184">
        <f>IFERROR(G5/H5,0)</f>
        <v>180.34417363627659</v>
      </c>
    </row>
    <row r="6" spans="1:9" x14ac:dyDescent="0.25">
      <c r="A6" s="37">
        <v>1</v>
      </c>
      <c r="B6" s="185">
        <v>20</v>
      </c>
      <c r="C6" s="179">
        <f>INDEX('[3]Full Program List'!B$2:B$300,MATCH(B6,'[3]Full Program List'!A$2:A$300,0))</f>
        <v>1</v>
      </c>
      <c r="D6" s="180" t="str">
        <f>INDEX('[3]Full Program List'!C$2:C$300,MATCH(B6,'[3]Full Program List'!A$2:A$300,0))</f>
        <v>TORONTO, CITY OF</v>
      </c>
      <c r="E6" s="181">
        <v>69057219.019999996</v>
      </c>
      <c r="F6" s="188">
        <v>19755178.539999999</v>
      </c>
      <c r="G6" s="188">
        <f t="shared" ref="G6:G69" si="0">E6-F6</f>
        <v>49302040.479999997</v>
      </c>
      <c r="H6" s="183">
        <v>120692.16</v>
      </c>
      <c r="I6" s="184">
        <f t="shared" ref="I6:I69" si="1">IFERROR(G6/H6,0)</f>
        <v>408.4941431158411</v>
      </c>
    </row>
    <row r="7" spans="1:9" x14ac:dyDescent="0.25">
      <c r="A7" s="37">
        <v>1</v>
      </c>
      <c r="B7" s="185">
        <v>50</v>
      </c>
      <c r="C7" s="179">
        <f>INDEX('[3]Full Program List'!B$2:B$300,MATCH(B7,'[3]Full Program List'!A$2:A$300,0))</f>
        <v>1</v>
      </c>
      <c r="D7" s="180" t="str">
        <f>INDEX('[3]Full Program List'!C$2:C$300,MATCH(B7,'[3]Full Program List'!A$2:A$300,0))</f>
        <v>LONDON, CITY OF</v>
      </c>
      <c r="E7" s="181">
        <v>9780998.0399999991</v>
      </c>
      <c r="F7" s="188">
        <v>3906984.9000000004</v>
      </c>
      <c r="G7" s="188">
        <f t="shared" si="0"/>
        <v>5874013.1399999987</v>
      </c>
      <c r="H7" s="183">
        <v>22747.62</v>
      </c>
      <c r="I7" s="184">
        <f t="shared" si="1"/>
        <v>258.22539412914404</v>
      </c>
    </row>
    <row r="8" spans="1:9" x14ac:dyDescent="0.25">
      <c r="A8" s="37">
        <v>1</v>
      </c>
      <c r="B8" s="185">
        <v>97</v>
      </c>
      <c r="C8" s="179">
        <f>INDEX('[3]Full Program List'!B$2:B$300,MATCH(B8,'[3]Full Program List'!A$2:A$300,0))</f>
        <v>1</v>
      </c>
      <c r="D8" s="180" t="str">
        <f>INDEX('[3]Full Program List'!C$2:C$300,MATCH(B8,'[3]Full Program List'!A$2:A$300,0))</f>
        <v>YORK, REGIONAL MUNICIPALITY OF</v>
      </c>
      <c r="E8" s="181">
        <v>25701198.059999999</v>
      </c>
      <c r="F8" s="188">
        <v>9202443.370000001</v>
      </c>
      <c r="G8" s="188">
        <f t="shared" si="0"/>
        <v>16498754.689999998</v>
      </c>
      <c r="H8" s="183">
        <v>65618.490000000005</v>
      </c>
      <c r="I8" s="184">
        <f t="shared" si="1"/>
        <v>251.4345375823186</v>
      </c>
    </row>
    <row r="9" spans="1:9" x14ac:dyDescent="0.25">
      <c r="A9" s="37">
        <v>1</v>
      </c>
      <c r="B9" s="185">
        <v>172</v>
      </c>
      <c r="C9" s="179">
        <f>INDEX('[3]Full Program List'!B$2:B$300,MATCH(B9,'[3]Full Program List'!A$2:A$300,0))</f>
        <v>1</v>
      </c>
      <c r="D9" s="180" t="str">
        <f>INDEX('[3]Full Program List'!C$2:C$300,MATCH(B9,'[3]Full Program List'!A$2:A$300,0))</f>
        <v>HAMILTON, CITY OF</v>
      </c>
      <c r="E9" s="181">
        <v>14723683.560000001</v>
      </c>
      <c r="F9" s="188">
        <v>5464143.8599999994</v>
      </c>
      <c r="G9" s="188">
        <f t="shared" si="0"/>
        <v>9259539.7000000011</v>
      </c>
      <c r="H9" s="183">
        <v>35538.149999999994</v>
      </c>
      <c r="I9" s="184">
        <f t="shared" si="1"/>
        <v>260.55210245890692</v>
      </c>
    </row>
    <row r="10" spans="1:9" x14ac:dyDescent="0.25">
      <c r="A10" s="37">
        <v>1</v>
      </c>
      <c r="B10" s="185">
        <v>270</v>
      </c>
      <c r="C10" s="179">
        <f>INDEX('[3]Full Program List'!B$2:B$300,MATCH(B10,'[3]Full Program List'!A$2:A$300,0))</f>
        <v>1</v>
      </c>
      <c r="D10" s="180" t="str">
        <f>INDEX('[3]Full Program List'!C$2:C$300,MATCH(B10,'[3]Full Program List'!A$2:A$300,0))</f>
        <v>PEEL, REGIONAL MUNICIPALITY OF</v>
      </c>
      <c r="E10" s="181">
        <v>37087418.170000002</v>
      </c>
      <c r="F10" s="188">
        <v>11034183.389999999</v>
      </c>
      <c r="G10" s="188">
        <f t="shared" si="0"/>
        <v>26053234.780000001</v>
      </c>
      <c r="H10" s="183">
        <v>82092.200000000026</v>
      </c>
      <c r="I10" s="184">
        <f t="shared" si="1"/>
        <v>317.36553265718294</v>
      </c>
    </row>
    <row r="11" spans="1:9" x14ac:dyDescent="0.25">
      <c r="A11" s="37">
        <v>2</v>
      </c>
      <c r="B11" s="185">
        <v>6</v>
      </c>
      <c r="C11" s="179">
        <f>INDEX('[3]Full Program List'!B$2:B$300,MATCH(B11,'[3]Full Program List'!A$2:A$300,0))</f>
        <v>2</v>
      </c>
      <c r="D11" s="180" t="str">
        <f>INDEX('[3]Full Program List'!C$2:C$300,MATCH(B11,'[3]Full Program List'!A$2:A$300,0))</f>
        <v>DURHAM, REGIONAL MUNICIPALITY OF</v>
      </c>
      <c r="E11" s="181">
        <v>18925384.940000001</v>
      </c>
      <c r="F11" s="188">
        <v>6221539.9700000007</v>
      </c>
      <c r="G11" s="188">
        <f t="shared" si="0"/>
        <v>12703844.970000001</v>
      </c>
      <c r="H11" s="183">
        <v>43390.189999999995</v>
      </c>
      <c r="I11" s="184">
        <f t="shared" si="1"/>
        <v>292.78150130248338</v>
      </c>
    </row>
    <row r="12" spans="1:9" x14ac:dyDescent="0.25">
      <c r="A12" s="37">
        <v>2</v>
      </c>
      <c r="B12" s="185">
        <v>18</v>
      </c>
      <c r="C12" s="179">
        <f>INDEX('[3]Full Program List'!B$2:B$300,MATCH(B12,'[3]Full Program List'!A$2:A$300,0))</f>
        <v>2</v>
      </c>
      <c r="D12" s="180" t="str">
        <f>INDEX('[3]Full Program List'!C$2:C$300,MATCH(B12,'[3]Full Program List'!A$2:A$300,0))</f>
        <v>ESSEX-WINDSOR SOLID WASTE AUTHORITY</v>
      </c>
      <c r="E12" s="181">
        <v>7710688.1500000004</v>
      </c>
      <c r="F12" s="188">
        <v>4165073.71</v>
      </c>
      <c r="G12" s="188">
        <f t="shared" si="0"/>
        <v>3545614.4400000004</v>
      </c>
      <c r="H12" s="183">
        <v>23534.330000000005</v>
      </c>
      <c r="I12" s="184">
        <f t="shared" si="1"/>
        <v>150.65712259494958</v>
      </c>
    </row>
    <row r="13" spans="1:9" x14ac:dyDescent="0.25">
      <c r="A13" s="37">
        <v>2</v>
      </c>
      <c r="B13" s="185">
        <v>53</v>
      </c>
      <c r="C13" s="179">
        <f>INDEX('[3]Full Program List'!B$2:B$300,MATCH(B13,'[3]Full Program List'!A$2:A$300,0))</f>
        <v>2</v>
      </c>
      <c r="D13" s="180" t="str">
        <f>INDEX('[3]Full Program List'!C$2:C$300,MATCH(B13,'[3]Full Program List'!A$2:A$300,0))</f>
        <v>WATERLOO, REGIONAL MUNICIPALITY OF</v>
      </c>
      <c r="E13" s="181">
        <v>11731139.85</v>
      </c>
      <c r="F13" s="188">
        <v>5054300.95</v>
      </c>
      <c r="G13" s="188">
        <f t="shared" si="0"/>
        <v>6676838.8999999994</v>
      </c>
      <c r="H13" s="183">
        <v>36088.47</v>
      </c>
      <c r="I13" s="184">
        <f t="shared" si="1"/>
        <v>185.01307758405937</v>
      </c>
    </row>
    <row r="14" spans="1:9" x14ac:dyDescent="0.25">
      <c r="A14" s="37">
        <v>2</v>
      </c>
      <c r="B14" s="185">
        <v>335</v>
      </c>
      <c r="C14" s="179">
        <f>INDEX('[3]Full Program List'!B$2:B$300,MATCH(B14,'[3]Full Program List'!A$2:A$300,0))</f>
        <v>2</v>
      </c>
      <c r="D14" s="180" t="str">
        <f>INDEX('[3]Full Program List'!C$2:C$300,MATCH(B14,'[3]Full Program List'!A$2:A$300,0))</f>
        <v>SIMCOE, COUNTY OF</v>
      </c>
      <c r="E14" s="181">
        <v>9859566.0800000001</v>
      </c>
      <c r="F14" s="188">
        <v>4583108.9400000004</v>
      </c>
      <c r="G14" s="188">
        <f t="shared" si="0"/>
        <v>5276457.1399999997</v>
      </c>
      <c r="H14" s="183">
        <v>24460.199999999997</v>
      </c>
      <c r="I14" s="184">
        <f t="shared" si="1"/>
        <v>215.71602603412893</v>
      </c>
    </row>
    <row r="15" spans="1:9" x14ac:dyDescent="0.25">
      <c r="A15" s="37">
        <v>2</v>
      </c>
      <c r="B15" s="185">
        <v>357</v>
      </c>
      <c r="C15" s="179">
        <f>INDEX('[3]Full Program List'!B$2:B$300,MATCH(B15,'[3]Full Program List'!A$2:A$300,0))</f>
        <v>2</v>
      </c>
      <c r="D15" s="180" t="str">
        <f>INDEX('[3]Full Program List'!C$2:C$300,MATCH(B15,'[3]Full Program List'!A$2:A$300,0))</f>
        <v>NIAGARA, REGIONAL MUNICIPALITY OF</v>
      </c>
      <c r="E15" s="181">
        <v>12281303.27</v>
      </c>
      <c r="F15" s="188">
        <v>6866116.8200000003</v>
      </c>
      <c r="G15" s="188">
        <f t="shared" si="0"/>
        <v>5415186.4499999993</v>
      </c>
      <c r="H15" s="183">
        <v>36671.049999999996</v>
      </c>
      <c r="I15" s="184">
        <f t="shared" si="1"/>
        <v>147.66924999420525</v>
      </c>
    </row>
    <row r="16" spans="1:9" x14ac:dyDescent="0.25">
      <c r="A16" s="37">
        <v>2</v>
      </c>
      <c r="B16" s="185">
        <v>441</v>
      </c>
      <c r="C16" s="179">
        <f>INDEX('[3]Full Program List'!B$2:B$300,MATCH(B16,'[3]Full Program List'!A$2:A$300,0))</f>
        <v>2</v>
      </c>
      <c r="D16" s="180" t="str">
        <f>INDEX('[3]Full Program List'!C$2:C$300,MATCH(B16,'[3]Full Program List'!A$2:A$300,0))</f>
        <v>OTTAWA, CITY OF</v>
      </c>
      <c r="E16" s="181">
        <v>18938892.98</v>
      </c>
      <c r="F16" s="188">
        <v>11778447.52</v>
      </c>
      <c r="G16" s="188">
        <f t="shared" si="0"/>
        <v>7160445.4600000009</v>
      </c>
      <c r="H16" s="183">
        <v>59667.6</v>
      </c>
      <c r="I16" s="184">
        <f t="shared" si="1"/>
        <v>120.00558862766394</v>
      </c>
    </row>
    <row r="17" spans="1:9" x14ac:dyDescent="0.25">
      <c r="A17" s="37">
        <v>3</v>
      </c>
      <c r="B17" s="185">
        <v>14</v>
      </c>
      <c r="C17" s="179">
        <f>INDEX('[3]Full Program List'!B$2:B$300,MATCH(B17,'[3]Full Program List'!A$2:A$300,0))</f>
        <v>3</v>
      </c>
      <c r="D17" s="180" t="str">
        <f>INDEX('[3]Full Program List'!C$2:C$300,MATCH(B17,'[3]Full Program List'!A$2:A$300,0))</f>
        <v>BARRIE, CITY OF</v>
      </c>
      <c r="E17" s="181">
        <v>2602494.63</v>
      </c>
      <c r="F17" s="188">
        <v>371291.85</v>
      </c>
      <c r="G17" s="188">
        <f t="shared" si="0"/>
        <v>2231202.7799999998</v>
      </c>
      <c r="H17" s="183">
        <v>11944.66</v>
      </c>
      <c r="I17" s="184">
        <f t="shared" si="1"/>
        <v>186.79500128090712</v>
      </c>
    </row>
    <row r="18" spans="1:9" x14ac:dyDescent="0.25">
      <c r="A18" s="37">
        <v>3</v>
      </c>
      <c r="B18" s="185">
        <v>36</v>
      </c>
      <c r="C18" s="179">
        <f>INDEX('[3]Full Program List'!B$2:B$300,MATCH(B18,'[3]Full Program List'!A$2:A$300,0))</f>
        <v>3</v>
      </c>
      <c r="D18" s="180" t="str">
        <f>INDEX('[3]Full Program List'!C$2:C$300,MATCH(B18,'[3]Full Program List'!A$2:A$300,0))</f>
        <v>GUELPH, CITY OF</v>
      </c>
      <c r="E18" s="181">
        <v>6199296.2199999997</v>
      </c>
      <c r="F18" s="188">
        <v>1477647.7100000002</v>
      </c>
      <c r="G18" s="188">
        <f t="shared" si="0"/>
        <v>4721648.51</v>
      </c>
      <c r="H18" s="183">
        <v>8403.0400000000009</v>
      </c>
      <c r="I18" s="184">
        <f t="shared" si="1"/>
        <v>561.8976596565052</v>
      </c>
    </row>
    <row r="19" spans="1:9" x14ac:dyDescent="0.25">
      <c r="A19" s="37">
        <v>3</v>
      </c>
      <c r="B19" s="185">
        <v>55</v>
      </c>
      <c r="C19" s="179">
        <f>INDEX('[3]Full Program List'!B$2:B$300,MATCH(B19,'[3]Full Program List'!A$2:A$300,0))</f>
        <v>3</v>
      </c>
      <c r="D19" s="180" t="str">
        <f>INDEX('[3]Full Program List'!C$2:C$300,MATCH(B19,'[3]Full Program List'!A$2:A$300,0))</f>
        <v>SAULT STE. MARIE, CITY OF</v>
      </c>
      <c r="E19" s="181">
        <v>1452092.17</v>
      </c>
      <c r="F19" s="188">
        <v>244179.87</v>
      </c>
      <c r="G19" s="188">
        <f t="shared" si="0"/>
        <v>1207912.2999999998</v>
      </c>
      <c r="H19" s="183">
        <v>4130.9700000000012</v>
      </c>
      <c r="I19" s="184">
        <f t="shared" si="1"/>
        <v>292.40403585598528</v>
      </c>
    </row>
    <row r="20" spans="1:9" x14ac:dyDescent="0.25">
      <c r="A20" s="37">
        <v>3</v>
      </c>
      <c r="B20" s="185">
        <v>103</v>
      </c>
      <c r="C20" s="179">
        <f>INDEX('[3]Full Program List'!B$2:B$300,MATCH(B20,'[3]Full Program List'!A$2:A$300,0))</f>
        <v>3</v>
      </c>
      <c r="D20" s="180" t="str">
        <f>INDEX('[3]Full Program List'!C$2:C$300,MATCH(B20,'[3]Full Program List'!A$2:A$300,0))</f>
        <v>SARNIA, CITY OF</v>
      </c>
      <c r="E20" s="181">
        <v>1477231.12</v>
      </c>
      <c r="F20" s="188">
        <v>390505.4200000001</v>
      </c>
      <c r="G20" s="188">
        <f t="shared" si="0"/>
        <v>1086725.7</v>
      </c>
      <c r="H20" s="183">
        <v>4390.6400000000003</v>
      </c>
      <c r="I20" s="184">
        <f t="shared" si="1"/>
        <v>247.50963413078728</v>
      </c>
    </row>
    <row r="21" spans="1:9" x14ac:dyDescent="0.25">
      <c r="A21" s="37">
        <v>3</v>
      </c>
      <c r="B21" s="185">
        <v>123</v>
      </c>
      <c r="C21" s="179">
        <f>INDEX('[3]Full Program List'!B$2:B$300,MATCH(B21,'[3]Full Program List'!A$2:A$300,0))</f>
        <v>3</v>
      </c>
      <c r="D21" s="180" t="str">
        <f>INDEX('[3]Full Program List'!C$2:C$300,MATCH(B21,'[3]Full Program List'!A$2:A$300,0))</f>
        <v>THUNDER BAY, CITY OF</v>
      </c>
      <c r="E21" s="181">
        <v>1280665.4099999999</v>
      </c>
      <c r="F21" s="188">
        <v>0</v>
      </c>
      <c r="G21" s="188">
        <f t="shared" si="0"/>
        <v>1280665.4099999999</v>
      </c>
      <c r="H21" s="183">
        <v>6452.95</v>
      </c>
      <c r="I21" s="184">
        <f t="shared" si="1"/>
        <v>198.46200729898729</v>
      </c>
    </row>
    <row r="22" spans="1:9" x14ac:dyDescent="0.25">
      <c r="A22" s="37">
        <v>3</v>
      </c>
      <c r="B22" s="185">
        <v>179</v>
      </c>
      <c r="C22" s="179">
        <f>INDEX('[3]Full Program List'!B$2:B$300,MATCH(B22,'[3]Full Program List'!A$2:A$300,0))</f>
        <v>3</v>
      </c>
      <c r="D22" s="180" t="str">
        <f>INDEX('[3]Full Program List'!C$2:C$300,MATCH(B22,'[3]Full Program List'!A$2:A$300,0))</f>
        <v>BRANTFORD, CITY OF</v>
      </c>
      <c r="E22" s="181">
        <v>2375493.86</v>
      </c>
      <c r="F22" s="188">
        <v>1060798.6800000002</v>
      </c>
      <c r="G22" s="188">
        <f t="shared" si="0"/>
        <v>1314695.1799999997</v>
      </c>
      <c r="H22" s="183">
        <v>6470.7699999999995</v>
      </c>
      <c r="I22" s="184">
        <f t="shared" si="1"/>
        <v>203.17445682662185</v>
      </c>
    </row>
    <row r="23" spans="1:9" x14ac:dyDescent="0.25">
      <c r="A23" s="37">
        <v>3</v>
      </c>
      <c r="B23" s="185">
        <v>293</v>
      </c>
      <c r="C23" s="179">
        <f>INDEX('[3]Full Program List'!B$2:B$300,MATCH(B23,'[3]Full Program List'!A$2:A$300,0))</f>
        <v>3</v>
      </c>
      <c r="D23" s="180" t="str">
        <f>INDEX('[3]Full Program List'!C$2:C$300,MATCH(B23,'[3]Full Program List'!A$2:A$300,0))</f>
        <v>PETERBOROUGH, CITY OF</v>
      </c>
      <c r="E23" s="181">
        <v>2246062.3199999998</v>
      </c>
      <c r="F23" s="188">
        <v>1355934.76</v>
      </c>
      <c r="G23" s="188">
        <f t="shared" si="0"/>
        <v>890127.55999999982</v>
      </c>
      <c r="H23" s="183">
        <v>7745.28</v>
      </c>
      <c r="I23" s="184">
        <f t="shared" si="1"/>
        <v>114.92516216327878</v>
      </c>
    </row>
    <row r="24" spans="1:9" x14ac:dyDescent="0.25">
      <c r="A24" s="37">
        <v>4</v>
      </c>
      <c r="B24" s="185">
        <v>12</v>
      </c>
      <c r="C24" s="179">
        <f>INDEX('[3]Full Program List'!B$2:B$300,MATCH(B24,'[3]Full Program List'!A$2:A$300,0))</f>
        <v>4</v>
      </c>
      <c r="D24" s="180" t="str">
        <f>INDEX('[3]Full Program List'!C$2:C$300,MATCH(B24,'[3]Full Program List'!A$2:A$300,0))</f>
        <v>NORTHUMBERLAND, COUNTY OF</v>
      </c>
      <c r="E24" s="181">
        <v>3099070.13</v>
      </c>
      <c r="F24" s="188">
        <v>783502.69</v>
      </c>
      <c r="G24" s="188">
        <f t="shared" si="0"/>
        <v>2315567.44</v>
      </c>
      <c r="H24" s="183">
        <v>6061.0499999999993</v>
      </c>
      <c r="I24" s="184">
        <f t="shared" si="1"/>
        <v>382.04064312289131</v>
      </c>
    </row>
    <row r="25" spans="1:9" x14ac:dyDescent="0.25">
      <c r="A25" s="37">
        <v>4</v>
      </c>
      <c r="B25" s="185">
        <v>21</v>
      </c>
      <c r="C25" s="179">
        <f>INDEX('[3]Full Program List'!B$2:B$300,MATCH(B25,'[3]Full Program List'!A$2:A$300,0))</f>
        <v>4</v>
      </c>
      <c r="D25" s="180" t="str">
        <f>INDEX('[3]Full Program List'!C$2:C$300,MATCH(B25,'[3]Full Program List'!A$2:A$300,0))</f>
        <v>WELLINGTON, COUNTY OF</v>
      </c>
      <c r="E25" s="181">
        <v>2877654.83</v>
      </c>
      <c r="F25" s="188">
        <v>827724.42999999982</v>
      </c>
      <c r="G25" s="188">
        <f t="shared" si="0"/>
        <v>2049930.4000000004</v>
      </c>
      <c r="H25" s="183">
        <v>5307.0800000000008</v>
      </c>
      <c r="I25" s="184">
        <f t="shared" si="1"/>
        <v>386.26333124806865</v>
      </c>
    </row>
    <row r="26" spans="1:9" x14ac:dyDescent="0.25">
      <c r="A26" s="37">
        <v>4</v>
      </c>
      <c r="B26" s="185">
        <v>34</v>
      </c>
      <c r="C26" s="179">
        <f>INDEX('[3]Full Program List'!B$2:B$300,MATCH(B26,'[3]Full Program List'!A$2:A$300,0))</f>
        <v>4</v>
      </c>
      <c r="D26" s="180" t="str">
        <f>INDEX('[3]Full Program List'!C$2:C$300,MATCH(B26,'[3]Full Program List'!A$2:A$300,0))</f>
        <v>NORFOLK, COUNTY OF</v>
      </c>
      <c r="E26" s="181">
        <v>2531654.36</v>
      </c>
      <c r="F26" s="188">
        <v>716928.97</v>
      </c>
      <c r="G26" s="188">
        <f t="shared" si="0"/>
        <v>1814725.39</v>
      </c>
      <c r="H26" s="183">
        <v>4735.1400000000003</v>
      </c>
      <c r="I26" s="184">
        <f t="shared" si="1"/>
        <v>383.24640665323511</v>
      </c>
    </row>
    <row r="27" spans="1:9" x14ac:dyDescent="0.25">
      <c r="A27" s="37">
        <v>4</v>
      </c>
      <c r="B27" s="185">
        <v>87</v>
      </c>
      <c r="C27" s="179">
        <f>INDEX('[3]Full Program List'!B$2:B$300,MATCH(B27,'[3]Full Program List'!A$2:A$300,0))</f>
        <v>4</v>
      </c>
      <c r="D27" s="180" t="str">
        <f>INDEX('[3]Full Program List'!C$2:C$300,MATCH(B27,'[3]Full Program List'!A$2:A$300,0))</f>
        <v>QUINTE WASTE SOLUTIONS</v>
      </c>
      <c r="E27" s="181">
        <v>4885516.33</v>
      </c>
      <c r="F27" s="188">
        <v>1799892.97</v>
      </c>
      <c r="G27" s="188">
        <f t="shared" si="0"/>
        <v>3085623.3600000003</v>
      </c>
      <c r="H27" s="183">
        <v>11432.019999999997</v>
      </c>
      <c r="I27" s="184">
        <f t="shared" si="1"/>
        <v>269.91059847690968</v>
      </c>
    </row>
    <row r="28" spans="1:9" x14ac:dyDescent="0.25">
      <c r="A28" s="37">
        <v>4</v>
      </c>
      <c r="B28" s="185">
        <v>88</v>
      </c>
      <c r="C28" s="179">
        <f>INDEX('[3]Full Program List'!B$2:B$300,MATCH(B28,'[3]Full Program List'!A$2:A$300,0))</f>
        <v>4</v>
      </c>
      <c r="D28" s="180" t="str">
        <f>INDEX('[3]Full Program List'!C$2:C$300,MATCH(B28,'[3]Full Program List'!A$2:A$300,0))</f>
        <v>PETERBOROUGH, COUNTY OF</v>
      </c>
      <c r="E28" s="181">
        <v>2105518.15</v>
      </c>
      <c r="F28" s="188">
        <v>782435.3</v>
      </c>
      <c r="G28" s="188">
        <f t="shared" si="0"/>
        <v>1323082.8499999999</v>
      </c>
      <c r="H28" s="183">
        <v>5008.41</v>
      </c>
      <c r="I28" s="184">
        <f t="shared" si="1"/>
        <v>264.17223230526253</v>
      </c>
    </row>
    <row r="29" spans="1:9" x14ac:dyDescent="0.25">
      <c r="A29" s="37">
        <v>4</v>
      </c>
      <c r="B29" s="185">
        <v>89</v>
      </c>
      <c r="C29" s="179">
        <f>INDEX('[3]Full Program List'!B$2:B$300,MATCH(B29,'[3]Full Program List'!A$2:A$300,0))</f>
        <v>4</v>
      </c>
      <c r="D29" s="180" t="str">
        <f>INDEX('[3]Full Program List'!C$2:C$300,MATCH(B29,'[3]Full Program List'!A$2:A$300,0))</f>
        <v>MUSKOKA , DISTRICT MUNICIPALITY OF</v>
      </c>
      <c r="E29" s="181">
        <v>3518610.54</v>
      </c>
      <c r="F29" s="188">
        <v>652661.15999999992</v>
      </c>
      <c r="G29" s="188">
        <f t="shared" si="0"/>
        <v>2865949.38</v>
      </c>
      <c r="H29" s="183">
        <v>5649.21</v>
      </c>
      <c r="I29" s="184">
        <f t="shared" si="1"/>
        <v>507.318612690978</v>
      </c>
    </row>
    <row r="30" spans="1:9" x14ac:dyDescent="0.25">
      <c r="A30" s="37">
        <v>4</v>
      </c>
      <c r="B30" s="185">
        <v>143</v>
      </c>
      <c r="C30" s="179">
        <f>INDEX('[3]Full Program List'!B$2:B$300,MATCH(B30,'[3]Full Program List'!A$2:A$300,0))</f>
        <v>4</v>
      </c>
      <c r="D30" s="180" t="str">
        <f>INDEX('[3]Full Program List'!C$2:C$300,MATCH(B30,'[3]Full Program List'!A$2:A$300,0))</f>
        <v>NORTH BAY, CITY OF</v>
      </c>
      <c r="E30" s="181">
        <v>975888.65</v>
      </c>
      <c r="F30" s="188">
        <v>393302.16</v>
      </c>
      <c r="G30" s="188">
        <f t="shared" si="0"/>
        <v>582586.49</v>
      </c>
      <c r="H30" s="183">
        <v>3054.17</v>
      </c>
      <c r="I30" s="184">
        <f t="shared" si="1"/>
        <v>190.75116643801752</v>
      </c>
    </row>
    <row r="31" spans="1:9" x14ac:dyDescent="0.25">
      <c r="A31" s="37">
        <v>4</v>
      </c>
      <c r="B31" s="185">
        <v>183</v>
      </c>
      <c r="C31" s="179">
        <f>INDEX('[3]Full Program List'!B$2:B$300,MATCH(B31,'[3]Full Program List'!A$2:A$300,0))</f>
        <v>4</v>
      </c>
      <c r="D31" s="180" t="str">
        <f>INDEX('[3]Full Program List'!C$2:C$300,MATCH(B31,'[3]Full Program List'!A$2:A$300,0))</f>
        <v>GREATER SUDBURY, CITY OF</v>
      </c>
      <c r="E31" s="181">
        <v>7022821.2999999998</v>
      </c>
      <c r="F31" s="188">
        <v>656113.0199999999</v>
      </c>
      <c r="G31" s="188">
        <f t="shared" si="0"/>
        <v>6366708.2800000003</v>
      </c>
      <c r="H31" s="183">
        <v>11921.288399999999</v>
      </c>
      <c r="I31" s="184">
        <f t="shared" si="1"/>
        <v>534.06209684516989</v>
      </c>
    </row>
    <row r="32" spans="1:9" x14ac:dyDescent="0.25">
      <c r="A32" s="37">
        <v>4</v>
      </c>
      <c r="B32" s="185">
        <v>186</v>
      </c>
      <c r="C32" s="179">
        <f>INDEX('[3]Full Program List'!B$2:B$300,MATCH(B32,'[3]Full Program List'!A$2:A$300,0))</f>
        <v>4</v>
      </c>
      <c r="D32" s="180" t="str">
        <f>INDEX('[3]Full Program List'!C$2:C$300,MATCH(B32,'[3]Full Program List'!A$2:A$300,0))</f>
        <v>BLUEWATER RECYCLING ASSOCIATION</v>
      </c>
      <c r="E32" s="181">
        <v>7142685.9100000001</v>
      </c>
      <c r="F32" s="188">
        <v>1669583.4900000002</v>
      </c>
      <c r="G32" s="188">
        <f t="shared" si="0"/>
        <v>5473102.4199999999</v>
      </c>
      <c r="H32" s="183">
        <v>11753.909999999998</v>
      </c>
      <c r="I32" s="184">
        <f t="shared" si="1"/>
        <v>465.64100116471889</v>
      </c>
    </row>
    <row r="33" spans="1:9" x14ac:dyDescent="0.25">
      <c r="A33" s="37">
        <v>4</v>
      </c>
      <c r="B33" s="185">
        <v>190</v>
      </c>
      <c r="C33" s="179">
        <f>INDEX('[3]Full Program List'!B$2:B$300,MATCH(B33,'[3]Full Program List'!A$2:A$300,0))</f>
        <v>4</v>
      </c>
      <c r="D33" s="180" t="str">
        <f>INDEX('[3]Full Program List'!C$2:C$300,MATCH(B33,'[3]Full Program List'!A$2:A$300,0))</f>
        <v>BRUCE AREA SOLID WASTE RECYCLING</v>
      </c>
      <c r="E33" s="181">
        <v>1959680.03</v>
      </c>
      <c r="F33" s="188">
        <v>576911.32999999996</v>
      </c>
      <c r="G33" s="188">
        <f t="shared" si="0"/>
        <v>1382768.7000000002</v>
      </c>
      <c r="H33" s="183">
        <v>3149.7200000000003</v>
      </c>
      <c r="I33" s="184">
        <f t="shared" si="1"/>
        <v>439.01321387297924</v>
      </c>
    </row>
    <row r="34" spans="1:9" x14ac:dyDescent="0.25">
      <c r="A34" s="37">
        <v>4</v>
      </c>
      <c r="B34" s="185">
        <v>324</v>
      </c>
      <c r="C34" s="179">
        <f>INDEX('[3]Full Program List'!B$2:B$300,MATCH(B34,'[3]Full Program List'!A$2:A$300,0))</f>
        <v>4</v>
      </c>
      <c r="D34" s="180" t="str">
        <f>INDEX('[3]Full Program List'!C$2:C$300,MATCH(B34,'[3]Full Program List'!A$2:A$300,0))</f>
        <v>KINGSTON, CITY OF</v>
      </c>
      <c r="E34" s="181">
        <v>4083823.39</v>
      </c>
      <c r="F34" s="188">
        <v>1467151.12</v>
      </c>
      <c r="G34" s="188">
        <f t="shared" si="0"/>
        <v>2616672.27</v>
      </c>
      <c r="H34" s="183">
        <v>8276.9499999999971</v>
      </c>
      <c r="I34" s="184">
        <f t="shared" si="1"/>
        <v>316.13967343043038</v>
      </c>
    </row>
    <row r="35" spans="1:9" x14ac:dyDescent="0.25">
      <c r="A35" s="37">
        <v>4</v>
      </c>
      <c r="B35" s="185">
        <v>429</v>
      </c>
      <c r="C35" s="179">
        <f>INDEX('[3]Full Program List'!B$2:B$300,MATCH(B35,'[3]Full Program List'!A$2:A$300,0))</f>
        <v>4</v>
      </c>
      <c r="D35" s="180" t="str">
        <f>INDEX('[3]Full Program List'!C$2:C$300,MATCH(B35,'[3]Full Program List'!A$2:A$300,0))</f>
        <v>CHATHAM-KENT, MUNICIPALITY OF</v>
      </c>
      <c r="E35" s="181">
        <v>1634027.55</v>
      </c>
      <c r="F35" s="188">
        <v>574685.66</v>
      </c>
      <c r="G35" s="188">
        <f t="shared" si="0"/>
        <v>1059341.8900000001</v>
      </c>
      <c r="H35" s="183">
        <v>4436.7299999999996</v>
      </c>
      <c r="I35" s="184">
        <f t="shared" si="1"/>
        <v>238.76636396625449</v>
      </c>
    </row>
    <row r="36" spans="1:9" x14ac:dyDescent="0.25">
      <c r="A36" s="37">
        <v>4</v>
      </c>
      <c r="B36" s="185">
        <v>601</v>
      </c>
      <c r="C36" s="179">
        <f>INDEX('[3]Full Program List'!B$2:B$300,MATCH(B36,'[3]Full Program List'!A$2:A$300,0))</f>
        <v>4</v>
      </c>
      <c r="D36" s="180" t="str">
        <f>INDEX('[3]Full Program List'!C$2:C$300,MATCH(B36,'[3]Full Program List'!A$2:A$300,0))</f>
        <v>KAWARTHA LAKES, CITY OF</v>
      </c>
      <c r="E36" s="181">
        <v>2724212.74</v>
      </c>
      <c r="F36" s="188">
        <v>460929.09000000008</v>
      </c>
      <c r="G36" s="188">
        <f t="shared" si="0"/>
        <v>2263283.6500000004</v>
      </c>
      <c r="H36" s="183">
        <v>5722.57</v>
      </c>
      <c r="I36" s="184">
        <f t="shared" si="1"/>
        <v>395.50126079715938</v>
      </c>
    </row>
    <row r="37" spans="1:9" x14ac:dyDescent="0.25">
      <c r="A37" s="37">
        <v>4</v>
      </c>
      <c r="B37" s="185">
        <v>760</v>
      </c>
      <c r="C37" s="179">
        <f>INDEX('[3]Full Program List'!B$2:B$300,MATCH(B37,'[3]Full Program List'!A$2:A$300,0))</f>
        <v>4</v>
      </c>
      <c r="D37" s="180" t="str">
        <f>INDEX('[3]Full Program List'!C$2:C$300,MATCH(B37,'[3]Full Program List'!A$2:A$300,0))</f>
        <v>DUFFERIN, COUNTY OF</v>
      </c>
      <c r="E37" s="181">
        <v>1383721.21</v>
      </c>
      <c r="F37" s="188">
        <v>1018311.7500000002</v>
      </c>
      <c r="G37" s="188">
        <f t="shared" si="0"/>
        <v>365409.45999999973</v>
      </c>
      <c r="H37" s="183">
        <v>5279.67</v>
      </c>
      <c r="I37" s="184">
        <f t="shared" si="1"/>
        <v>69.210662787636295</v>
      </c>
    </row>
    <row r="38" spans="1:9" x14ac:dyDescent="0.25">
      <c r="A38" s="37">
        <v>4</v>
      </c>
      <c r="B38" s="185">
        <v>878</v>
      </c>
      <c r="C38" s="179">
        <f>INDEX('[3]Full Program List'!B$2:B$300,MATCH(B38,'[3]Full Program List'!A$2:A$300,0))</f>
        <v>4</v>
      </c>
      <c r="D38" s="180" t="str">
        <f>INDEX('[3]Full Program List'!C$2:C$300,MATCH(B38,'[3]Full Program List'!A$2:A$300,0))</f>
        <v>OXFORD,  RESTRUCTURED COUNTY OF</v>
      </c>
      <c r="E38" s="181">
        <v>2784486.68</v>
      </c>
      <c r="F38" s="188">
        <v>1233731.0899999999</v>
      </c>
      <c r="G38" s="188">
        <f t="shared" si="0"/>
        <v>1550755.5900000003</v>
      </c>
      <c r="H38" s="183">
        <v>7770.5700000000015</v>
      </c>
      <c r="I38" s="184">
        <f t="shared" si="1"/>
        <v>199.56780390627713</v>
      </c>
    </row>
    <row r="39" spans="1:9" x14ac:dyDescent="0.25">
      <c r="A39" s="37">
        <v>5</v>
      </c>
      <c r="B39" s="185">
        <v>8</v>
      </c>
      <c r="C39" s="179">
        <f>INDEX('[3]Full Program List'!B$2:B$300,MATCH(B39,'[3]Full Program List'!A$2:A$300,0))</f>
        <v>5</v>
      </c>
      <c r="D39" s="180" t="str">
        <f>INDEX('[3]Full Program List'!C$2:C$300,MATCH(B39,'[3]Full Program List'!A$2:A$300,0))</f>
        <v>STRATFORD, CITY OF</v>
      </c>
      <c r="E39" s="181">
        <v>612861.15</v>
      </c>
      <c r="F39" s="188">
        <v>115862.97</v>
      </c>
      <c r="G39" s="188">
        <f t="shared" si="0"/>
        <v>496998.18000000005</v>
      </c>
      <c r="H39" s="183">
        <v>2267.96</v>
      </c>
      <c r="I39" s="184">
        <f t="shared" si="1"/>
        <v>219.13886488297857</v>
      </c>
    </row>
    <row r="40" spans="1:9" x14ac:dyDescent="0.25">
      <c r="A40" s="37">
        <v>5</v>
      </c>
      <c r="B40" s="185">
        <v>41</v>
      </c>
      <c r="C40" s="179">
        <f>INDEX('[3]Full Program List'!B$2:B$300,MATCH(B40,'[3]Full Program List'!A$2:A$300,0))</f>
        <v>5</v>
      </c>
      <c r="D40" s="180" t="str">
        <f>INDEX('[3]Full Program List'!C$2:C$300,MATCH(B40,'[3]Full Program List'!A$2:A$300,0))</f>
        <v>OWEN SOUND, CITY OF</v>
      </c>
      <c r="E40" s="181">
        <v>622722.11</v>
      </c>
      <c r="F40" s="188">
        <v>293926.43000000005</v>
      </c>
      <c r="G40" s="188">
        <f t="shared" si="0"/>
        <v>328795.67999999993</v>
      </c>
      <c r="H40" s="183">
        <v>1693.7200000000003</v>
      </c>
      <c r="I40" s="184">
        <f t="shared" si="1"/>
        <v>194.12634910138624</v>
      </c>
    </row>
    <row r="41" spans="1:9" x14ac:dyDescent="0.25">
      <c r="A41" s="37">
        <v>5</v>
      </c>
      <c r="B41" s="185">
        <v>56</v>
      </c>
      <c r="C41" s="179">
        <f>INDEX('[3]Full Program List'!B$2:B$300,MATCH(B41,'[3]Full Program List'!A$2:A$300,0))</f>
        <v>5</v>
      </c>
      <c r="D41" s="180" t="str">
        <f>INDEX('[3]Full Program List'!C$2:C$300,MATCH(B41,'[3]Full Program List'!A$2:A$300,0))</f>
        <v>ORILLIA, CITY OF</v>
      </c>
      <c r="E41" s="181">
        <v>521383.94</v>
      </c>
      <c r="F41" s="188">
        <v>3002.24</v>
      </c>
      <c r="G41" s="188">
        <f t="shared" si="0"/>
        <v>518381.7</v>
      </c>
      <c r="H41" s="183">
        <v>3045.59</v>
      </c>
      <c r="I41" s="184">
        <f t="shared" si="1"/>
        <v>170.20731615220697</v>
      </c>
    </row>
    <row r="42" spans="1:9" x14ac:dyDescent="0.25">
      <c r="A42" s="37">
        <v>5</v>
      </c>
      <c r="B42" s="185">
        <v>67</v>
      </c>
      <c r="C42" s="179">
        <f>INDEX('[3]Full Program List'!B$2:B$300,MATCH(B42,'[3]Full Program List'!A$2:A$300,0))</f>
        <v>5</v>
      </c>
      <c r="D42" s="180" t="str">
        <f>INDEX('[3]Full Program List'!C$2:C$300,MATCH(B42,'[3]Full Program List'!A$2:A$300,0))</f>
        <v>BROCKVILLE, CITY OF</v>
      </c>
      <c r="E42" s="181">
        <v>211733.41</v>
      </c>
      <c r="F42" s="188">
        <v>0</v>
      </c>
      <c r="G42" s="188">
        <f t="shared" si="0"/>
        <v>211733.41</v>
      </c>
      <c r="H42" s="183">
        <v>1363.6442455288275</v>
      </c>
      <c r="I42" s="184">
        <f t="shared" si="1"/>
        <v>155.27026986271542</v>
      </c>
    </row>
    <row r="43" spans="1:9" x14ac:dyDescent="0.25">
      <c r="A43" s="37">
        <v>5</v>
      </c>
      <c r="B43" s="185">
        <v>157</v>
      </c>
      <c r="C43" s="179">
        <f>INDEX('[3]Full Program List'!B$2:B$300,MATCH(B43,'[3]Full Program List'!A$2:A$300,0))</f>
        <v>5</v>
      </c>
      <c r="D43" s="180" t="str">
        <f>INDEX('[3]Full Program List'!C$2:C$300,MATCH(B43,'[3]Full Program List'!A$2:A$300,0))</f>
        <v>HANOVER, TOWN OF</v>
      </c>
      <c r="E43" s="181">
        <v>145658.07999999999</v>
      </c>
      <c r="F43" s="188">
        <v>150</v>
      </c>
      <c r="G43" s="188">
        <f t="shared" si="0"/>
        <v>145508.07999999999</v>
      </c>
      <c r="H43" s="183">
        <v>458.49377410764129</v>
      </c>
      <c r="I43" s="184">
        <f t="shared" si="1"/>
        <v>317.36108147422482</v>
      </c>
    </row>
    <row r="44" spans="1:9" x14ac:dyDescent="0.25">
      <c r="A44" s="37">
        <v>5</v>
      </c>
      <c r="B44" s="185">
        <v>214</v>
      </c>
      <c r="C44" s="179">
        <f>INDEX('[3]Full Program List'!B$2:B$300,MATCH(B44,'[3]Full Program List'!A$2:A$300,0))</f>
        <v>5</v>
      </c>
      <c r="D44" s="180" t="str">
        <f>INDEX('[3]Full Program List'!C$2:C$300,MATCH(B44,'[3]Full Program List'!A$2:A$300,0))</f>
        <v>CORNWALL, CITY OF</v>
      </c>
      <c r="E44" s="181">
        <v>1693525.15</v>
      </c>
      <c r="F44" s="188">
        <v>371766.18000000005</v>
      </c>
      <c r="G44" s="188">
        <f t="shared" si="0"/>
        <v>1321758.9699999997</v>
      </c>
      <c r="H44" s="183">
        <v>3109.6</v>
      </c>
      <c r="I44" s="184">
        <f t="shared" si="1"/>
        <v>425.05755402624123</v>
      </c>
    </row>
    <row r="45" spans="1:9" x14ac:dyDescent="0.25">
      <c r="A45" s="37">
        <v>5</v>
      </c>
      <c r="B45" s="185">
        <v>223</v>
      </c>
      <c r="C45" s="179">
        <f>INDEX('[3]Full Program List'!B$2:B$300,MATCH(B45,'[3]Full Program List'!A$2:A$300,0))</f>
        <v>5</v>
      </c>
      <c r="D45" s="180" t="str">
        <f>INDEX('[3]Full Program List'!C$2:C$300,MATCH(B45,'[3]Full Program List'!A$2:A$300,0))</f>
        <v>PARRY SOUND, TOWN OF</v>
      </c>
      <c r="E45" s="181">
        <v>205904.35</v>
      </c>
      <c r="F45" s="188">
        <v>3510.12</v>
      </c>
      <c r="G45" s="188">
        <f t="shared" si="0"/>
        <v>202394.23</v>
      </c>
      <c r="H45" s="183">
        <v>333.74</v>
      </c>
      <c r="I45" s="184">
        <f t="shared" si="1"/>
        <v>606.44282974770783</v>
      </c>
    </row>
    <row r="46" spans="1:9" x14ac:dyDescent="0.25">
      <c r="A46" s="37">
        <v>5</v>
      </c>
      <c r="B46" s="185">
        <v>224</v>
      </c>
      <c r="C46" s="179">
        <f>INDEX('[3]Full Program List'!B$2:B$300,MATCH(B46,'[3]Full Program List'!A$2:A$300,0))</f>
        <v>5</v>
      </c>
      <c r="D46" s="180" t="str">
        <f>INDEX('[3]Full Program List'!C$2:C$300,MATCH(B46,'[3]Full Program List'!A$2:A$300,0))</f>
        <v>PRESCOTT,TOWN OF</v>
      </c>
      <c r="E46" s="181">
        <v>77159.710000000006</v>
      </c>
      <c r="F46" s="188">
        <v>180</v>
      </c>
      <c r="G46" s="188">
        <f t="shared" si="0"/>
        <v>76979.710000000006</v>
      </c>
      <c r="H46" s="183">
        <v>274.49707003740264</v>
      </c>
      <c r="I46" s="184">
        <f t="shared" si="1"/>
        <v>280.43909535905374</v>
      </c>
    </row>
    <row r="47" spans="1:9" x14ac:dyDescent="0.25">
      <c r="A47" s="37">
        <v>5</v>
      </c>
      <c r="B47" s="185">
        <v>233</v>
      </c>
      <c r="C47" s="179">
        <f>INDEX('[3]Full Program List'!B$2:B$300,MATCH(B47,'[3]Full Program List'!A$2:A$300,0))</f>
        <v>5</v>
      </c>
      <c r="D47" s="180" t="str">
        <f>INDEX('[3]Full Program List'!C$2:C$300,MATCH(B47,'[3]Full Program List'!A$2:A$300,0))</f>
        <v>ST. THOMAS, CITY OF</v>
      </c>
      <c r="E47" s="181">
        <v>629398.4</v>
      </c>
      <c r="F47" s="188">
        <v>324977.27999999997</v>
      </c>
      <c r="G47" s="188">
        <f t="shared" si="0"/>
        <v>304421.12000000005</v>
      </c>
      <c r="H47" s="183">
        <v>2132.25</v>
      </c>
      <c r="I47" s="184">
        <f t="shared" si="1"/>
        <v>142.76990034001645</v>
      </c>
    </row>
    <row r="48" spans="1:9" x14ac:dyDescent="0.25">
      <c r="A48" s="37">
        <v>5</v>
      </c>
      <c r="B48" s="185">
        <v>272</v>
      </c>
      <c r="C48" s="179">
        <f>INDEX('[3]Full Program List'!B$2:B$300,MATCH(B48,'[3]Full Program List'!A$2:A$300,0))</f>
        <v>5</v>
      </c>
      <c r="D48" s="180" t="str">
        <f>INDEX('[3]Full Program List'!C$2:C$300,MATCH(B48,'[3]Full Program List'!A$2:A$300,0))</f>
        <v>GANANOQUE, TOWN OF</v>
      </c>
      <c r="E48" s="181">
        <v>101161.37</v>
      </c>
      <c r="F48" s="188">
        <v>0</v>
      </c>
      <c r="G48" s="188">
        <f t="shared" si="0"/>
        <v>101161.37</v>
      </c>
      <c r="H48" s="183">
        <v>386.38981858925848</v>
      </c>
      <c r="I48" s="184">
        <f t="shared" si="1"/>
        <v>261.81168636727699</v>
      </c>
    </row>
    <row r="49" spans="1:9" x14ac:dyDescent="0.25">
      <c r="A49" s="37">
        <v>5</v>
      </c>
      <c r="B49" s="185">
        <v>427</v>
      </c>
      <c r="C49" s="179">
        <f>INDEX('[3]Full Program List'!B$2:B$300,MATCH(B49,'[3]Full Program List'!A$2:A$300,0))</f>
        <v>5</v>
      </c>
      <c r="D49" s="180" t="str">
        <f>INDEX('[3]Full Program List'!C$2:C$300,MATCH(B49,'[3]Full Program List'!A$2:A$300,0))</f>
        <v>AYLMER, TOWN OF</v>
      </c>
      <c r="E49" s="181">
        <v>190983.95</v>
      </c>
      <c r="F49" s="188">
        <v>69834.559999999998</v>
      </c>
      <c r="G49" s="188">
        <f t="shared" si="0"/>
        <v>121149.39000000001</v>
      </c>
      <c r="H49" s="183">
        <v>452.62</v>
      </c>
      <c r="I49" s="184">
        <f t="shared" si="1"/>
        <v>267.66247624939245</v>
      </c>
    </row>
    <row r="50" spans="1:9" x14ac:dyDescent="0.25">
      <c r="A50" s="37">
        <v>5</v>
      </c>
      <c r="B50" s="185">
        <v>524</v>
      </c>
      <c r="C50" s="179">
        <f>INDEX('[3]Full Program List'!B$2:B$300,MATCH(B50,'[3]Full Program List'!A$2:A$300,0))</f>
        <v>5</v>
      </c>
      <c r="D50" s="180" t="str">
        <f>INDEX('[3]Full Program List'!C$2:C$300,MATCH(B50,'[3]Full Program List'!A$2:A$300,0))</f>
        <v>Arnprior, Town of</v>
      </c>
      <c r="E50" s="181">
        <v>245808.58</v>
      </c>
      <c r="F50" s="188">
        <v>450.32</v>
      </c>
      <c r="G50" s="188">
        <f t="shared" si="0"/>
        <v>245358.25999999998</v>
      </c>
      <c r="H50" s="183">
        <v>529.66425187151924</v>
      </c>
      <c r="I50" s="184">
        <f t="shared" si="1"/>
        <v>463.23356566551251</v>
      </c>
    </row>
    <row r="51" spans="1:9" x14ac:dyDescent="0.25">
      <c r="A51" s="37">
        <v>5</v>
      </c>
      <c r="B51" s="185">
        <v>565</v>
      </c>
      <c r="C51" s="179">
        <f>INDEX('[3]Full Program List'!B$2:B$300,MATCH(B51,'[3]Full Program List'!A$2:A$300,0))</f>
        <v>5</v>
      </c>
      <c r="D51" s="180" t="str">
        <f>INDEX('[3]Full Program List'!C$2:C$300,MATCH(B51,'[3]Full Program List'!A$2:A$300,0))</f>
        <v>RENFREW, TOWN OF</v>
      </c>
      <c r="E51" s="181">
        <v>183464.86</v>
      </c>
      <c r="F51" s="188">
        <v>760</v>
      </c>
      <c r="G51" s="188">
        <f t="shared" si="0"/>
        <v>182704.86</v>
      </c>
      <c r="H51" s="183">
        <v>445.33784061237589</v>
      </c>
      <c r="I51" s="184">
        <f t="shared" si="1"/>
        <v>410.26125188186546</v>
      </c>
    </row>
    <row r="52" spans="1:9" x14ac:dyDescent="0.25">
      <c r="A52" s="37">
        <v>5</v>
      </c>
      <c r="B52" s="185">
        <v>613</v>
      </c>
      <c r="C52" s="179">
        <f>INDEX('[3]Full Program List'!B$2:B$300,MATCH(B52,'[3]Full Program List'!A$2:A$300,0))</f>
        <v>5</v>
      </c>
      <c r="D52" s="180" t="str">
        <f>INDEX('[3]Full Program List'!C$2:C$300,MATCH(B52,'[3]Full Program List'!A$2:A$300,0))</f>
        <v>MATTAWA, TOWN OF</v>
      </c>
      <c r="E52" s="181">
        <v>62648.94</v>
      </c>
      <c r="F52" s="188">
        <v>0</v>
      </c>
      <c r="G52" s="188">
        <f t="shared" si="0"/>
        <v>62648.94</v>
      </c>
      <c r="H52" s="183">
        <v>94.470534067416096</v>
      </c>
      <c r="I52" s="184">
        <f t="shared" si="1"/>
        <v>663.15852470244783</v>
      </c>
    </row>
    <row r="53" spans="1:9" x14ac:dyDescent="0.25">
      <c r="A53" s="37">
        <v>5</v>
      </c>
      <c r="B53" s="185">
        <v>696</v>
      </c>
      <c r="C53" s="179">
        <f>INDEX('[3]Full Program List'!B$2:B$300,MATCH(B53,'[3]Full Program List'!A$2:A$300,0))</f>
        <v>5</v>
      </c>
      <c r="D53" s="180" t="str">
        <f>INDEX('[3]Full Program List'!C$2:C$300,MATCH(B53,'[3]Full Program List'!A$2:A$300,0))</f>
        <v>PETROLIA, TOWN OF</v>
      </c>
      <c r="E53" s="181">
        <v>124256.29</v>
      </c>
      <c r="F53" s="188">
        <v>136.29</v>
      </c>
      <c r="G53" s="188">
        <f t="shared" si="0"/>
        <v>124120</v>
      </c>
      <c r="H53" s="183">
        <v>317.03380077970206</v>
      </c>
      <c r="I53" s="184">
        <f t="shared" si="1"/>
        <v>391.50399640272906</v>
      </c>
    </row>
    <row r="54" spans="1:9" x14ac:dyDescent="0.25">
      <c r="A54" s="37">
        <v>5</v>
      </c>
      <c r="B54" s="185">
        <v>731</v>
      </c>
      <c r="C54" s="179">
        <f>INDEX('[3]Full Program List'!B$2:B$300,MATCH(B54,'[3]Full Program List'!A$2:A$300,0))</f>
        <v>5</v>
      </c>
      <c r="D54" s="180" t="str">
        <f>INDEX('[3]Full Program List'!C$2:C$300,MATCH(B54,'[3]Full Program List'!A$2:A$300,0))</f>
        <v>CARLETON PLACE, TOWN OF</v>
      </c>
      <c r="E54" s="181">
        <v>224685.08</v>
      </c>
      <c r="F54" s="188">
        <v>35649.1</v>
      </c>
      <c r="G54" s="188">
        <f t="shared" si="0"/>
        <v>189035.97999999998</v>
      </c>
      <c r="H54" s="183">
        <v>862.70999999999992</v>
      </c>
      <c r="I54" s="184">
        <f t="shared" si="1"/>
        <v>219.11880006027519</v>
      </c>
    </row>
    <row r="55" spans="1:9" x14ac:dyDescent="0.25">
      <c r="A55" s="37">
        <v>5</v>
      </c>
      <c r="B55" s="185">
        <v>732</v>
      </c>
      <c r="C55" s="179">
        <f>INDEX('[3]Full Program List'!B$2:B$300,MATCH(B55,'[3]Full Program List'!A$2:A$300,0))</f>
        <v>5</v>
      </c>
      <c r="D55" s="180" t="str">
        <f>INDEX('[3]Full Program List'!C$2:C$300,MATCH(B55,'[3]Full Program List'!A$2:A$300,0))</f>
        <v>CASSELMAN,  VILLAGE OF</v>
      </c>
      <c r="E55" s="181">
        <v>69015.66</v>
      </c>
      <c r="F55" s="188">
        <v>0</v>
      </c>
      <c r="G55" s="188">
        <f t="shared" si="0"/>
        <v>69015.66</v>
      </c>
      <c r="H55" s="183">
        <v>222.6459090886845</v>
      </c>
      <c r="I55" s="184">
        <f t="shared" si="1"/>
        <v>309.97946597127742</v>
      </c>
    </row>
    <row r="56" spans="1:9" x14ac:dyDescent="0.25">
      <c r="A56" s="37">
        <v>5</v>
      </c>
      <c r="B56" s="185">
        <v>754</v>
      </c>
      <c r="C56" s="179">
        <f>INDEX('[3]Full Program List'!B$2:B$300,MATCH(B56,'[3]Full Program List'!A$2:A$300,0))</f>
        <v>5</v>
      </c>
      <c r="D56" s="180" t="str">
        <f>INDEX('[3]Full Program List'!C$2:C$300,MATCH(B56,'[3]Full Program List'!A$2:A$300,0))</f>
        <v>DESERONTO, TOWN OF</v>
      </c>
      <c r="E56" s="181">
        <v>29707.96</v>
      </c>
      <c r="F56" s="188">
        <v>0</v>
      </c>
      <c r="G56" s="188">
        <f t="shared" si="0"/>
        <v>29707.96</v>
      </c>
      <c r="H56" s="183">
        <v>120.10207431826544</v>
      </c>
      <c r="I56" s="184">
        <f t="shared" si="1"/>
        <v>247.35592760267534</v>
      </c>
    </row>
    <row r="57" spans="1:9" x14ac:dyDescent="0.25">
      <c r="A57" s="37">
        <v>5</v>
      </c>
      <c r="B57" s="185">
        <v>885</v>
      </c>
      <c r="C57" s="179">
        <f>INDEX('[3]Full Program List'!B$2:B$300,MATCH(B57,'[3]Full Program List'!A$2:A$300,0))</f>
        <v>5</v>
      </c>
      <c r="D57" s="180" t="str">
        <f>INDEX('[3]Full Program List'!C$2:C$300,MATCH(B57,'[3]Full Program List'!A$2:A$300,0))</f>
        <v>PERTH, TOWN OF</v>
      </c>
      <c r="E57" s="181">
        <v>134922.51999999999</v>
      </c>
      <c r="F57" s="188">
        <v>72127.05</v>
      </c>
      <c r="G57" s="188">
        <f t="shared" si="0"/>
        <v>62795.469999999987</v>
      </c>
      <c r="H57" s="183">
        <v>411.83000000000004</v>
      </c>
      <c r="I57" s="184">
        <f t="shared" si="1"/>
        <v>152.47910545613476</v>
      </c>
    </row>
    <row r="58" spans="1:9" x14ac:dyDescent="0.25">
      <c r="A58" s="37">
        <v>5</v>
      </c>
      <c r="B58" s="185">
        <v>909</v>
      </c>
      <c r="C58" s="179">
        <f>INDEX('[3]Full Program List'!B$2:B$300,MATCH(B58,'[3]Full Program List'!A$2:A$300,0))</f>
        <v>5</v>
      </c>
      <c r="D58" s="180" t="str">
        <f>INDEX('[3]Full Program List'!C$2:C$300,MATCH(B58,'[3]Full Program List'!A$2:A$300,0))</f>
        <v>SMITHS FALLS, TOWN OF</v>
      </c>
      <c r="E58" s="181">
        <v>229582.5</v>
      </c>
      <c r="F58" s="188">
        <v>97120.69</v>
      </c>
      <c r="G58" s="188">
        <f t="shared" si="0"/>
        <v>132461.81</v>
      </c>
      <c r="H58" s="183">
        <v>535.34</v>
      </c>
      <c r="I58" s="184">
        <f t="shared" si="1"/>
        <v>247.43491986401165</v>
      </c>
    </row>
    <row r="59" spans="1:9" x14ac:dyDescent="0.25">
      <c r="A59" s="37">
        <v>5</v>
      </c>
      <c r="B59" s="185">
        <v>923</v>
      </c>
      <c r="C59" s="179">
        <f>INDEX('[3]Full Program List'!B$2:B$300,MATCH(B59,'[3]Full Program List'!A$2:A$300,0))</f>
        <v>5</v>
      </c>
      <c r="D59" s="180" t="str">
        <f>INDEX('[3]Full Program List'!C$2:C$300,MATCH(B59,'[3]Full Program List'!A$2:A$300,0))</f>
        <v>SUNDRIDGE, VILLAGE OF</v>
      </c>
      <c r="E59" s="181">
        <v>31066.29</v>
      </c>
      <c r="F59" s="188">
        <v>93.24</v>
      </c>
      <c r="G59" s="188">
        <f t="shared" si="0"/>
        <v>30973.05</v>
      </c>
      <c r="H59" s="183">
        <v>48.433213800282132</v>
      </c>
      <c r="I59" s="184">
        <f t="shared" si="1"/>
        <v>639.50020181852096</v>
      </c>
    </row>
    <row r="60" spans="1:9" x14ac:dyDescent="0.25">
      <c r="A60" s="37">
        <v>6</v>
      </c>
      <c r="B60" s="185">
        <v>394</v>
      </c>
      <c r="C60" s="179">
        <f>INDEX('[3]Full Program List'!B$2:B$300,MATCH(B60,'[3]Full Program List'!A$2:A$300,0))</f>
        <v>6</v>
      </c>
      <c r="D60" s="180" t="str">
        <f>INDEX('[3]Full Program List'!C$2:C$300,MATCH(B60,'[3]Full Program List'!A$2:A$300,0))</f>
        <v>WEST NIPISSING, MUNICIPALITY OF</v>
      </c>
      <c r="E60" s="181">
        <v>403733.09</v>
      </c>
      <c r="F60" s="188">
        <v>74442.03</v>
      </c>
      <c r="G60" s="188">
        <f t="shared" si="0"/>
        <v>329291.06000000006</v>
      </c>
      <c r="H60" s="183">
        <v>703.72</v>
      </c>
      <c r="I60" s="184">
        <f t="shared" si="1"/>
        <v>467.92909111578473</v>
      </c>
    </row>
    <row r="61" spans="1:9" x14ac:dyDescent="0.25">
      <c r="A61" s="37">
        <v>6</v>
      </c>
      <c r="B61" s="185">
        <v>414</v>
      </c>
      <c r="C61" s="179">
        <f>INDEX('[3]Full Program List'!B$2:B$300,MATCH(B61,'[3]Full Program List'!A$2:A$300,0))</f>
        <v>6</v>
      </c>
      <c r="D61" s="180" t="str">
        <f>INDEX('[3]Full Program List'!C$2:C$300,MATCH(B61,'[3]Full Program List'!A$2:A$300,0))</f>
        <v>KIRKLAND LAKE, TOWN OF</v>
      </c>
      <c r="E61" s="181">
        <v>229275.21</v>
      </c>
      <c r="F61" s="188">
        <v>14423.09</v>
      </c>
      <c r="G61" s="188">
        <f t="shared" si="0"/>
        <v>214852.12</v>
      </c>
      <c r="H61" s="183">
        <v>239.14632293138175</v>
      </c>
      <c r="I61" s="184">
        <f t="shared" si="1"/>
        <v>898.41281005875021</v>
      </c>
    </row>
    <row r="62" spans="1:9" x14ac:dyDescent="0.25">
      <c r="A62" s="37">
        <v>6</v>
      </c>
      <c r="B62" s="185">
        <v>426</v>
      </c>
      <c r="C62" s="179">
        <f>INDEX('[3]Full Program List'!B$2:B$300,MATCH(B62,'[3]Full Program List'!A$2:A$300,0))</f>
        <v>6</v>
      </c>
      <c r="D62" s="180" t="str">
        <f>INDEX('[3]Full Program List'!C$2:C$300,MATCH(B62,'[3]Full Program List'!A$2:A$300,0))</f>
        <v>ELLIOT LAKE, CITY OF</v>
      </c>
      <c r="E62" s="181">
        <v>142088.12</v>
      </c>
      <c r="F62" s="188">
        <v>0</v>
      </c>
      <c r="G62" s="188">
        <f t="shared" si="0"/>
        <v>142088.12</v>
      </c>
      <c r="H62" s="183">
        <v>354.4475851831736</v>
      </c>
      <c r="I62" s="184">
        <f t="shared" si="1"/>
        <v>400.87202153336955</v>
      </c>
    </row>
    <row r="63" spans="1:9" x14ac:dyDescent="0.25">
      <c r="A63" s="37">
        <v>6</v>
      </c>
      <c r="B63" s="185">
        <v>430</v>
      </c>
      <c r="C63" s="179">
        <f>INDEX('[3]Full Program List'!B$2:B$300,MATCH(B63,'[3]Full Program List'!A$2:A$300,0))</f>
        <v>6</v>
      </c>
      <c r="D63" s="180" t="str">
        <f>INDEX('[3]Full Program List'!C$2:C$300,MATCH(B63,'[3]Full Program List'!A$2:A$300,0))</f>
        <v>TIMMINS, CITY OF</v>
      </c>
      <c r="E63" s="181">
        <v>1647154.35</v>
      </c>
      <c r="F63" s="188">
        <v>350</v>
      </c>
      <c r="G63" s="188">
        <f t="shared" si="0"/>
        <v>1646804.35</v>
      </c>
      <c r="H63" s="183">
        <v>2825.6247831068954</v>
      </c>
      <c r="I63" s="184">
        <f t="shared" si="1"/>
        <v>582.81069724666986</v>
      </c>
    </row>
    <row r="64" spans="1:9" x14ac:dyDescent="0.25">
      <c r="A64" s="37">
        <v>6</v>
      </c>
      <c r="B64" s="185">
        <v>443</v>
      </c>
      <c r="C64" s="179">
        <f>INDEX('[3]Full Program List'!B$2:B$300,MATCH(B64,'[3]Full Program List'!A$2:A$300,0))</f>
        <v>6</v>
      </c>
      <c r="D64" s="180" t="str">
        <f>INDEX('[3]Full Program List'!C$2:C$300,MATCH(B64,'[3]Full Program List'!A$2:A$300,0))</f>
        <v>GAUTHIER, TOWNSHIP OF</v>
      </c>
      <c r="E64" s="181">
        <v>15600.67</v>
      </c>
      <c r="F64" s="188">
        <v>0</v>
      </c>
      <c r="G64" s="188">
        <f t="shared" si="0"/>
        <v>15600.67</v>
      </c>
      <c r="H64" s="183">
        <v>14.58</v>
      </c>
      <c r="I64" s="184">
        <f t="shared" si="1"/>
        <v>1070.0048010973937</v>
      </c>
    </row>
    <row r="65" spans="1:9" x14ac:dyDescent="0.25">
      <c r="A65" s="37">
        <v>6</v>
      </c>
      <c r="B65" s="185">
        <v>562</v>
      </c>
      <c r="C65" s="179">
        <f>INDEX('[3]Full Program List'!B$2:B$300,MATCH(B65,'[3]Full Program List'!A$2:A$300,0))</f>
        <v>6</v>
      </c>
      <c r="D65" s="180" t="str">
        <f>INDEX('[3]Full Program List'!C$2:C$300,MATCH(B65,'[3]Full Program List'!A$2:A$300,0))</f>
        <v>PRINCE, TOWNSHIP OF</v>
      </c>
      <c r="E65" s="181">
        <v>43377.29</v>
      </c>
      <c r="F65" s="188">
        <v>0</v>
      </c>
      <c r="G65" s="188">
        <f t="shared" si="0"/>
        <v>43377.29</v>
      </c>
      <c r="H65" s="183">
        <v>52.103903515218583</v>
      </c>
      <c r="I65" s="184">
        <f t="shared" si="1"/>
        <v>832.51516822209487</v>
      </c>
    </row>
    <row r="66" spans="1:9" x14ac:dyDescent="0.25">
      <c r="A66" s="37">
        <v>6</v>
      </c>
      <c r="B66" s="185">
        <v>603</v>
      </c>
      <c r="C66" s="179">
        <f>INDEX('[3]Full Program List'!B$2:B$300,MATCH(B66,'[3]Full Program List'!A$2:A$300,0))</f>
        <v>6</v>
      </c>
      <c r="D66" s="180" t="str">
        <f>INDEX('[3]Full Program List'!C$2:C$300,MATCH(B66,'[3]Full Program List'!A$2:A$300,0))</f>
        <v>SABLES-SPANISH RIVERS, TOWNSHIP OF</v>
      </c>
      <c r="E66" s="181">
        <v>85468.56</v>
      </c>
      <c r="F66" s="188">
        <v>0</v>
      </c>
      <c r="G66" s="188">
        <f t="shared" si="0"/>
        <v>85468.56</v>
      </c>
      <c r="H66" s="183">
        <v>94.022299065256178</v>
      </c>
      <c r="I66" s="184">
        <f t="shared" si="1"/>
        <v>909.02435751630094</v>
      </c>
    </row>
    <row r="67" spans="1:9" x14ac:dyDescent="0.25">
      <c r="A67" s="37">
        <v>6</v>
      </c>
      <c r="B67" s="185">
        <v>618</v>
      </c>
      <c r="C67" s="179">
        <f>INDEX('[3]Full Program List'!B$2:B$300,MATCH(B67,'[3]Full Program List'!A$2:A$300,0))</f>
        <v>6</v>
      </c>
      <c r="D67" s="180" t="str">
        <f>INDEX('[3]Full Program List'!C$2:C$300,MATCH(B67,'[3]Full Program List'!A$2:A$300,0))</f>
        <v>BALDWIN, TOWNSHIP OF</v>
      </c>
      <c r="E67" s="181">
        <v>16015.47</v>
      </c>
      <c r="F67" s="188">
        <v>0</v>
      </c>
      <c r="G67" s="188">
        <f t="shared" si="0"/>
        <v>16015.47</v>
      </c>
      <c r="H67" s="183">
        <v>17.150356288495274</v>
      </c>
      <c r="I67" s="184">
        <f t="shared" si="1"/>
        <v>933.82724711925812</v>
      </c>
    </row>
    <row r="68" spans="1:9" x14ac:dyDescent="0.25">
      <c r="A68" s="37">
        <v>6</v>
      </c>
      <c r="B68" s="185">
        <v>620</v>
      </c>
      <c r="C68" s="179">
        <f>INDEX('[3]Full Program List'!B$2:B$300,MATCH(B68,'[3]Full Program List'!A$2:A$300,0))</f>
        <v>6</v>
      </c>
      <c r="D68" s="180" t="str">
        <f>INDEX('[3]Full Program List'!C$2:C$300,MATCH(B68,'[3]Full Program List'!A$2:A$300,0))</f>
        <v>BLIND RIVER, TOWN OF</v>
      </c>
      <c r="E68" s="181">
        <v>117371.79</v>
      </c>
      <c r="F68" s="188">
        <v>0</v>
      </c>
      <c r="G68" s="188">
        <f t="shared" si="0"/>
        <v>117371.79</v>
      </c>
      <c r="H68" s="183">
        <v>236.62386999831702</v>
      </c>
      <c r="I68" s="184">
        <f t="shared" si="1"/>
        <v>496.02683787073045</v>
      </c>
    </row>
    <row r="69" spans="1:9" x14ac:dyDescent="0.25">
      <c r="A69" s="37">
        <v>6</v>
      </c>
      <c r="B69" s="185">
        <v>622</v>
      </c>
      <c r="C69" s="179">
        <f>INDEX('[3]Full Program List'!B$2:B$300,MATCH(B69,'[3]Full Program List'!A$2:A$300,0))</f>
        <v>6</v>
      </c>
      <c r="D69" s="180" t="str">
        <f>INDEX('[3]Full Program List'!C$2:C$300,MATCH(B69,'[3]Full Program List'!A$2:A$300,0))</f>
        <v>CENTRAL MANITOULIN, TOWNSHIP OF</v>
      </c>
      <c r="E69" s="181">
        <v>78014.31</v>
      </c>
      <c r="F69" s="188">
        <v>228</v>
      </c>
      <c r="G69" s="188">
        <f t="shared" si="0"/>
        <v>77786.31</v>
      </c>
      <c r="H69" s="183">
        <v>117.57960527770567</v>
      </c>
      <c r="I69" s="184">
        <f t="shared" si="1"/>
        <v>661.56294551491487</v>
      </c>
    </row>
    <row r="70" spans="1:9" x14ac:dyDescent="0.25">
      <c r="A70" s="37">
        <v>6</v>
      </c>
      <c r="B70" s="185">
        <v>623</v>
      </c>
      <c r="C70" s="179">
        <f>INDEX('[3]Full Program List'!B$2:B$300,MATCH(B70,'[3]Full Program List'!A$2:A$300,0))</f>
        <v>6</v>
      </c>
      <c r="D70" s="180" t="str">
        <f>INDEX('[3]Full Program List'!C$2:C$300,MATCH(B70,'[3]Full Program List'!A$2:A$300,0))</f>
        <v>ESPANOLA, TOWN OF</v>
      </c>
      <c r="E70" s="181">
        <v>84819.42</v>
      </c>
      <c r="F70" s="188">
        <v>0</v>
      </c>
      <c r="G70" s="188">
        <f t="shared" ref="G70:G133" si="2">E70-F70</f>
        <v>84819.42</v>
      </c>
      <c r="H70" s="183">
        <v>232.45591936140642</v>
      </c>
      <c r="I70" s="184">
        <f t="shared" ref="I70:I133" si="3">IFERROR(G70/H70,0)</f>
        <v>364.88388952629174</v>
      </c>
    </row>
    <row r="71" spans="1:9" x14ac:dyDescent="0.25">
      <c r="A71" s="37">
        <v>6</v>
      </c>
      <c r="B71" s="185">
        <v>626</v>
      </c>
      <c r="C71" s="179">
        <f>INDEX('[3]Full Program List'!B$2:B$300,MATCH(B71,'[3]Full Program List'!A$2:A$300,0))</f>
        <v>6</v>
      </c>
      <c r="D71" s="180" t="str">
        <f>INDEX('[3]Full Program List'!C$2:C$300,MATCH(B71,'[3]Full Program List'!A$2:A$300,0))</f>
        <v>NAIRN &amp; HYMAN, TOWNSHIP OF</v>
      </c>
      <c r="E71" s="181">
        <v>17580.990000000002</v>
      </c>
      <c r="F71" s="188">
        <v>0</v>
      </c>
      <c r="G71" s="188">
        <f t="shared" si="2"/>
        <v>17580.990000000002</v>
      </c>
      <c r="H71" s="183">
        <v>21.725781736434193</v>
      </c>
      <c r="I71" s="184">
        <f t="shared" si="3"/>
        <v>809.22243504438029</v>
      </c>
    </row>
    <row r="72" spans="1:9" x14ac:dyDescent="0.25">
      <c r="A72" s="37">
        <v>6</v>
      </c>
      <c r="B72" s="185">
        <v>627</v>
      </c>
      <c r="C72" s="179">
        <f>INDEX('[3]Full Program List'!B$2:B$300,MATCH(B72,'[3]Full Program List'!A$2:A$300,0))</f>
        <v>6</v>
      </c>
      <c r="D72" s="180" t="str">
        <f>INDEX('[3]Full Program List'!C$2:C$300,MATCH(B72,'[3]Full Program List'!A$2:A$300,0))</f>
        <v>NORTHEASTERN MANITOULIN &amp; ISLANDS, TOWN OF</v>
      </c>
      <c r="E72" s="181">
        <v>80106.67</v>
      </c>
      <c r="F72" s="188">
        <v>21.24</v>
      </c>
      <c r="G72" s="188">
        <f t="shared" si="2"/>
        <v>80085.429999999993</v>
      </c>
      <c r="H72" s="183">
        <v>163.57172000647836</v>
      </c>
      <c r="I72" s="184">
        <f t="shared" si="3"/>
        <v>489.6043765806715</v>
      </c>
    </row>
    <row r="73" spans="1:9" x14ac:dyDescent="0.25">
      <c r="A73" s="37">
        <v>6</v>
      </c>
      <c r="B73" s="185">
        <v>634</v>
      </c>
      <c r="C73" s="179">
        <f>INDEX('[3]Full Program List'!B$2:B$300,MATCH(B73,'[3]Full Program List'!A$2:A$300,0))</f>
        <v>6</v>
      </c>
      <c r="D73" s="180" t="str">
        <f>INDEX('[3]Full Program List'!C$2:C$300,MATCH(B73,'[3]Full Program List'!A$2:A$300,0))</f>
        <v>Temiskaming Shores, City of</v>
      </c>
      <c r="E73" s="181">
        <v>571666.62</v>
      </c>
      <c r="F73" s="188">
        <v>0</v>
      </c>
      <c r="G73" s="188">
        <f t="shared" si="2"/>
        <v>571666.62</v>
      </c>
      <c r="H73" s="183">
        <v>626.47952350471223</v>
      </c>
      <c r="I73" s="184">
        <f t="shared" si="3"/>
        <v>912.50647236150257</v>
      </c>
    </row>
    <row r="74" spans="1:9" x14ac:dyDescent="0.25">
      <c r="A74" s="37">
        <v>6</v>
      </c>
      <c r="B74" s="185">
        <v>694</v>
      </c>
      <c r="C74" s="179">
        <f>INDEX('[3]Full Program List'!B$2:B$300,MATCH(B74,'[3]Full Program List'!A$2:A$300,0))</f>
        <v>6</v>
      </c>
      <c r="D74" s="180" t="str">
        <f>INDEX('[3]Full Program List'!C$2:C$300,MATCH(B74,'[3]Full Program List'!A$2:A$300,0))</f>
        <v>WAHNAPITAE FIRST NATION</v>
      </c>
      <c r="E74" s="181">
        <v>48928.97</v>
      </c>
      <c r="F74" s="188">
        <v>0</v>
      </c>
      <c r="G74" s="188">
        <f t="shared" si="2"/>
        <v>48928.97</v>
      </c>
      <c r="H74" s="183">
        <v>14.249988124121606</v>
      </c>
      <c r="I74" s="184">
        <f t="shared" si="3"/>
        <v>3433.614791381875</v>
      </c>
    </row>
    <row r="75" spans="1:9" x14ac:dyDescent="0.25">
      <c r="A75" s="37">
        <v>6</v>
      </c>
      <c r="B75" s="185">
        <v>697</v>
      </c>
      <c r="C75" s="179">
        <f>INDEX('[3]Full Program List'!B$2:B$300,MATCH(B75,'[3]Full Program List'!A$2:A$300,0))</f>
        <v>6</v>
      </c>
      <c r="D75" s="180" t="str">
        <f>INDEX('[3]Full Program List'!C$2:C$300,MATCH(B75,'[3]Full Program List'!A$2:A$300,0))</f>
        <v>SAULT NORTH WASTE MANAGEMENT COUNCIL</v>
      </c>
      <c r="E75" s="181">
        <v>100771.09</v>
      </c>
      <c r="F75" s="188">
        <v>0</v>
      </c>
      <c r="G75" s="188">
        <f t="shared" si="2"/>
        <v>100771.09</v>
      </c>
      <c r="H75" s="183">
        <v>62.556960408059503</v>
      </c>
      <c r="I75" s="184">
        <f t="shared" si="3"/>
        <v>1610.8693475940879</v>
      </c>
    </row>
    <row r="76" spans="1:9" x14ac:dyDescent="0.25">
      <c r="A76" s="37">
        <v>6</v>
      </c>
      <c r="B76" s="185">
        <v>710</v>
      </c>
      <c r="C76" s="179">
        <f>INDEX('[3]Full Program List'!B$2:B$300,MATCH(B76,'[3]Full Program List'!A$2:A$300,0))</f>
        <v>6</v>
      </c>
      <c r="D76" s="180" t="str">
        <f>INDEX('[3]Full Program List'!C$2:C$300,MATCH(B76,'[3]Full Program List'!A$2:A$300,0))</f>
        <v>ATIKOKAN, TOWNSHIP OF</v>
      </c>
      <c r="E76" s="181">
        <v>46102.8</v>
      </c>
      <c r="F76" s="188">
        <v>0</v>
      </c>
      <c r="G76" s="188">
        <f t="shared" si="2"/>
        <v>46102.8</v>
      </c>
      <c r="H76" s="183">
        <v>43.94</v>
      </c>
      <c r="I76" s="184">
        <f t="shared" si="3"/>
        <v>1049.2216659080566</v>
      </c>
    </row>
    <row r="77" spans="1:9" x14ac:dyDescent="0.25">
      <c r="A77" s="37">
        <v>6</v>
      </c>
      <c r="B77" s="185">
        <v>743</v>
      </c>
      <c r="C77" s="179">
        <f>INDEX('[3]Full Program List'!B$2:B$300,MATCH(B77,'[3]Full Program List'!A$2:A$300,0))</f>
        <v>6</v>
      </c>
      <c r="D77" s="180" t="str">
        <f>INDEX('[3]Full Program List'!C$2:C$300,MATCH(B77,'[3]Full Program List'!A$2:A$300,0))</f>
        <v>COBALT, TOWN OF</v>
      </c>
      <c r="E77" s="181">
        <v>135598.5</v>
      </c>
      <c r="F77" s="188">
        <v>0</v>
      </c>
      <c r="G77" s="188">
        <f t="shared" si="2"/>
        <v>135598.5</v>
      </c>
      <c r="H77" s="183">
        <v>87.262897628956765</v>
      </c>
      <c r="I77" s="184">
        <f t="shared" si="3"/>
        <v>1553.9078312132951</v>
      </c>
    </row>
    <row r="78" spans="1:9" x14ac:dyDescent="0.25">
      <c r="A78" s="37">
        <v>6</v>
      </c>
      <c r="B78" s="185">
        <v>747</v>
      </c>
      <c r="C78" s="179">
        <f>INDEX('[3]Full Program List'!B$2:B$300,MATCH(B78,'[3]Full Program List'!A$2:A$300,0))</f>
        <v>6</v>
      </c>
      <c r="D78" s="180" t="str">
        <f>INDEX('[3]Full Program List'!C$2:C$300,MATCH(B78,'[3]Full Program List'!A$2:A$300,0))</f>
        <v>COLEMAN,  TOWNSHIP OF</v>
      </c>
      <c r="E78" s="181">
        <v>57407.45</v>
      </c>
      <c r="F78" s="188">
        <v>0</v>
      </c>
      <c r="G78" s="188">
        <f t="shared" si="2"/>
        <v>57407.45</v>
      </c>
      <c r="H78" s="183">
        <v>33.619999999999997</v>
      </c>
      <c r="I78" s="184">
        <f t="shared" si="3"/>
        <v>1707.5386674598453</v>
      </c>
    </row>
    <row r="79" spans="1:9" x14ac:dyDescent="0.25">
      <c r="A79" s="37">
        <v>6</v>
      </c>
      <c r="B79" s="185">
        <v>758</v>
      </c>
      <c r="C79" s="179">
        <f>INDEX('[3]Full Program List'!B$2:B$300,MATCH(B79,'[3]Full Program List'!A$2:A$300,0))</f>
        <v>6</v>
      </c>
      <c r="D79" s="180" t="str">
        <f>INDEX('[3]Full Program List'!C$2:C$300,MATCH(B79,'[3]Full Program List'!A$2:A$300,0))</f>
        <v>DRYDEN, CITY OF</v>
      </c>
      <c r="E79" s="181">
        <v>290135.25</v>
      </c>
      <c r="F79" s="188">
        <v>1630.1100000000001</v>
      </c>
      <c r="G79" s="188">
        <f t="shared" si="2"/>
        <v>288505.14</v>
      </c>
      <c r="H79" s="183">
        <v>337.19826516058561</v>
      </c>
      <c r="I79" s="184">
        <f t="shared" si="3"/>
        <v>855.5949712926423</v>
      </c>
    </row>
    <row r="80" spans="1:9" x14ac:dyDescent="0.25">
      <c r="A80" s="37">
        <v>6</v>
      </c>
      <c r="B80" s="185">
        <v>765</v>
      </c>
      <c r="C80" s="179">
        <f>INDEX('[3]Full Program List'!B$2:B$300,MATCH(B80,'[3]Full Program List'!A$2:A$300,0))</f>
        <v>6</v>
      </c>
      <c r="D80" s="180" t="str">
        <f>INDEX('[3]Full Program List'!C$2:C$300,MATCH(B80,'[3]Full Program List'!A$2:A$300,0))</f>
        <v>ENGLEHART, TOWN OF</v>
      </c>
      <c r="E80" s="181">
        <v>86841.69</v>
      </c>
      <c r="F80" s="188">
        <v>0</v>
      </c>
      <c r="G80" s="188">
        <f t="shared" si="2"/>
        <v>86841.69</v>
      </c>
      <c r="H80" s="183">
        <v>80.350199999999987</v>
      </c>
      <c r="I80" s="184">
        <f t="shared" si="3"/>
        <v>1080.7899669198086</v>
      </c>
    </row>
    <row r="81" spans="1:9" x14ac:dyDescent="0.25">
      <c r="A81" s="37">
        <v>6</v>
      </c>
      <c r="B81" s="185">
        <v>770</v>
      </c>
      <c r="C81" s="179">
        <f>INDEX('[3]Full Program List'!B$2:B$300,MATCH(B81,'[3]Full Program List'!A$2:A$300,0))</f>
        <v>6</v>
      </c>
      <c r="D81" s="180" t="str">
        <f>INDEX('[3]Full Program List'!C$2:C$300,MATCH(B81,'[3]Full Program List'!A$2:A$300,0))</f>
        <v>EVANTUREL, TOWNSHIP OF</v>
      </c>
      <c r="E81" s="181">
        <v>24693.97</v>
      </c>
      <c r="F81" s="188">
        <v>0</v>
      </c>
      <c r="G81" s="188">
        <f t="shared" si="2"/>
        <v>24693.97</v>
      </c>
      <c r="H81" s="183">
        <v>25.493992436427366</v>
      </c>
      <c r="I81" s="184">
        <f t="shared" si="3"/>
        <v>968.61917808980581</v>
      </c>
    </row>
    <row r="82" spans="1:9" x14ac:dyDescent="0.25">
      <c r="A82" s="37">
        <v>6</v>
      </c>
      <c r="B82" s="185">
        <v>774</v>
      </c>
      <c r="C82" s="179">
        <f>INDEX('[3]Full Program List'!B$2:B$300,MATCH(B82,'[3]Full Program List'!A$2:A$300,0))</f>
        <v>6</v>
      </c>
      <c r="D82" s="180" t="str">
        <f>INDEX('[3]Full Program List'!C$2:C$300,MATCH(B82,'[3]Full Program List'!A$2:A$300,0))</f>
        <v>FORT FRANCES, TOWN OF</v>
      </c>
      <c r="E82" s="181">
        <v>279347.78000000003</v>
      </c>
      <c r="F82" s="188">
        <v>0</v>
      </c>
      <c r="G82" s="188">
        <f t="shared" si="2"/>
        <v>279347.78000000003</v>
      </c>
      <c r="H82" s="183">
        <v>421.00021926566802</v>
      </c>
      <c r="I82" s="184">
        <f t="shared" si="3"/>
        <v>663.53357365764305</v>
      </c>
    </row>
    <row r="83" spans="1:9" x14ac:dyDescent="0.25">
      <c r="A83" s="37">
        <v>6</v>
      </c>
      <c r="B83" s="185">
        <v>794</v>
      </c>
      <c r="C83" s="179">
        <f>INDEX('[3]Full Program List'!B$2:B$300,MATCH(B83,'[3]Full Program List'!A$2:A$300,0))</f>
        <v>6</v>
      </c>
      <c r="D83" s="180" t="str">
        <f>INDEX('[3]Full Program List'!C$2:C$300,MATCH(B83,'[3]Full Program List'!A$2:A$300,0))</f>
        <v>HEAD, CLARA AND MARIA, TOWNSHIPS OF</v>
      </c>
      <c r="E83" s="181">
        <v>39895.620000000003</v>
      </c>
      <c r="F83" s="188">
        <v>0</v>
      </c>
      <c r="G83" s="188">
        <f t="shared" si="2"/>
        <v>39895.620000000003</v>
      </c>
      <c r="H83" s="183">
        <v>18.66988734321124</v>
      </c>
      <c r="I83" s="184">
        <f t="shared" si="3"/>
        <v>2136.8966650196139</v>
      </c>
    </row>
    <row r="84" spans="1:9" x14ac:dyDescent="0.25">
      <c r="A84" s="37">
        <v>6</v>
      </c>
      <c r="B84" s="185">
        <v>806</v>
      </c>
      <c r="C84" s="179">
        <f>INDEX('[3]Full Program List'!B$2:B$300,MATCH(B84,'[3]Full Program List'!A$2:A$300,0))</f>
        <v>6</v>
      </c>
      <c r="D84" s="180" t="str">
        <f>INDEX('[3]Full Program List'!C$2:C$300,MATCH(B84,'[3]Full Program List'!A$2:A$300,0))</f>
        <v>JAMES, TOWNSHIP OF</v>
      </c>
      <c r="E84" s="181">
        <v>38615.089999999997</v>
      </c>
      <c r="F84" s="188">
        <v>0</v>
      </c>
      <c r="G84" s="188">
        <f t="shared" si="2"/>
        <v>38615.089999999997</v>
      </c>
      <c r="H84" s="183">
        <v>27</v>
      </c>
      <c r="I84" s="184">
        <f t="shared" si="3"/>
        <v>1430.1885185185183</v>
      </c>
    </row>
    <row r="85" spans="1:9" x14ac:dyDescent="0.25">
      <c r="A85" s="37">
        <v>6</v>
      </c>
      <c r="B85" s="185">
        <v>811</v>
      </c>
      <c r="C85" s="179">
        <f>INDEX('[3]Full Program List'!B$2:B$300,MATCH(B85,'[3]Full Program List'!A$2:A$300,0))</f>
        <v>6</v>
      </c>
      <c r="D85" s="180" t="str">
        <f>INDEX('[3]Full Program List'!C$2:C$300,MATCH(B85,'[3]Full Program List'!A$2:A$300,0))</f>
        <v>KENORA, CITY OF</v>
      </c>
      <c r="E85" s="181">
        <v>471184.23</v>
      </c>
      <c r="F85" s="188">
        <v>11327.71</v>
      </c>
      <c r="G85" s="188">
        <f t="shared" si="2"/>
        <v>459856.51999999996</v>
      </c>
      <c r="H85" s="183">
        <v>804.4337651642104</v>
      </c>
      <c r="I85" s="184">
        <f t="shared" si="3"/>
        <v>571.6524341890705</v>
      </c>
    </row>
    <row r="86" spans="1:9" x14ac:dyDescent="0.25">
      <c r="A86" s="37">
        <v>6</v>
      </c>
      <c r="B86" s="185">
        <v>824</v>
      </c>
      <c r="C86" s="179">
        <f>INDEX('[3]Full Program List'!B$2:B$300,MATCH(B86,'[3]Full Program List'!A$2:A$300,0))</f>
        <v>6</v>
      </c>
      <c r="D86" s="180" t="str">
        <f>INDEX('[3]Full Program List'!C$2:C$300,MATCH(B86,'[3]Full Program List'!A$2:A$300,0))</f>
        <v>LARDER LAKE,  TOWNSHIP OF</v>
      </c>
      <c r="E86" s="181">
        <v>54441.32</v>
      </c>
      <c r="F86" s="188">
        <v>0</v>
      </c>
      <c r="G86" s="188">
        <f t="shared" si="2"/>
        <v>54441.32</v>
      </c>
      <c r="H86" s="183">
        <v>31.519999999999996</v>
      </c>
      <c r="I86" s="184">
        <f t="shared" si="3"/>
        <v>1727.1992385786805</v>
      </c>
    </row>
    <row r="87" spans="1:9" x14ac:dyDescent="0.25">
      <c r="A87" s="37">
        <v>6</v>
      </c>
      <c r="B87" s="185">
        <v>826</v>
      </c>
      <c r="C87" s="179">
        <f>INDEX('[3]Full Program List'!B$2:B$300,MATCH(B87,'[3]Full Program List'!A$2:A$300,0))</f>
        <v>6</v>
      </c>
      <c r="D87" s="180" t="str">
        <f>INDEX('[3]Full Program List'!C$2:C$300,MATCH(B87,'[3]Full Program List'!A$2:A$300,0))</f>
        <v>LATCHFORD, TOWN OF</v>
      </c>
      <c r="E87" s="181">
        <v>28069.94</v>
      </c>
      <c r="F87" s="188">
        <v>0</v>
      </c>
      <c r="G87" s="188">
        <f t="shared" si="2"/>
        <v>28069.94</v>
      </c>
      <c r="H87" s="183">
        <v>37.220399999999998</v>
      </c>
      <c r="I87" s="184">
        <f t="shared" si="3"/>
        <v>754.15471085748675</v>
      </c>
    </row>
    <row r="88" spans="1:9" x14ac:dyDescent="0.25">
      <c r="A88" s="37">
        <v>6</v>
      </c>
      <c r="B88" s="185">
        <v>840</v>
      </c>
      <c r="C88" s="179">
        <f>INDEX('[3]Full Program List'!B$2:B$300,MATCH(B88,'[3]Full Program List'!A$2:A$300,0))</f>
        <v>6</v>
      </c>
      <c r="D88" s="180" t="str">
        <f>INDEX('[3]Full Program List'!C$2:C$300,MATCH(B88,'[3]Full Program List'!A$2:A$300,0))</f>
        <v>MARATHON,  TOWN OF</v>
      </c>
      <c r="E88" s="181">
        <v>88471.82</v>
      </c>
      <c r="F88" s="188">
        <v>0</v>
      </c>
      <c r="G88" s="188">
        <f t="shared" si="2"/>
        <v>88471.82</v>
      </c>
      <c r="H88" s="183">
        <v>134.24236671767576</v>
      </c>
      <c r="I88" s="184">
        <f t="shared" si="3"/>
        <v>659.04544268103155</v>
      </c>
    </row>
    <row r="89" spans="1:9" x14ac:dyDescent="0.25">
      <c r="A89" s="37">
        <v>6</v>
      </c>
      <c r="B89" s="185">
        <v>843</v>
      </c>
      <c r="C89" s="179">
        <f>INDEX('[3]Full Program List'!B$2:B$300,MATCH(B89,'[3]Full Program List'!A$2:A$300,0))</f>
        <v>6</v>
      </c>
      <c r="D89" s="180" t="str">
        <f>INDEX('[3]Full Program List'!C$2:C$300,MATCH(B89,'[3]Full Program List'!A$2:A$300,0))</f>
        <v xml:space="preserve">Matachewan, The Corporation of the Township of </v>
      </c>
      <c r="E89" s="181">
        <v>32653.86</v>
      </c>
      <c r="F89" s="188">
        <v>0</v>
      </c>
      <c r="G89" s="188">
        <f t="shared" si="2"/>
        <v>32653.86</v>
      </c>
      <c r="H89" s="183">
        <v>19.498273373940624</v>
      </c>
      <c r="I89" s="184">
        <f t="shared" si="3"/>
        <v>1674.7052097259941</v>
      </c>
    </row>
    <row r="90" spans="1:9" x14ac:dyDescent="0.25">
      <c r="A90" s="37">
        <v>6</v>
      </c>
      <c r="B90" s="185">
        <v>846</v>
      </c>
      <c r="C90" s="179">
        <f>INDEX('[3]Full Program List'!B$2:B$300,MATCH(B90,'[3]Full Program List'!A$2:A$300,0))</f>
        <v>6</v>
      </c>
      <c r="D90" s="180" t="str">
        <f>INDEX('[3]Full Program List'!C$2:C$300,MATCH(B90,'[3]Full Program List'!A$2:A$300,0))</f>
        <v>MCGARRY, TOWNSHIP OF</v>
      </c>
      <c r="E90" s="181">
        <v>39845.980000000003</v>
      </c>
      <c r="F90" s="188">
        <v>0</v>
      </c>
      <c r="G90" s="188">
        <f t="shared" si="2"/>
        <v>39845.980000000003</v>
      </c>
      <c r="H90" s="183">
        <v>20.237582906035872</v>
      </c>
      <c r="I90" s="184">
        <f t="shared" si="3"/>
        <v>1968.9100316478957</v>
      </c>
    </row>
    <row r="91" spans="1:9" x14ac:dyDescent="0.25">
      <c r="A91" s="37">
        <v>6</v>
      </c>
      <c r="B91" s="185">
        <v>888</v>
      </c>
      <c r="C91" s="179">
        <f>INDEX('[3]Full Program List'!B$2:B$300,MATCH(B91,'[3]Full Program List'!A$2:A$300,0))</f>
        <v>6</v>
      </c>
      <c r="D91" s="180" t="str">
        <f>INDEX('[3]Full Program List'!C$2:C$300,MATCH(B91,'[3]Full Program List'!A$2:A$300,0))</f>
        <v>TRI-NEIGHBOURS</v>
      </c>
      <c r="E91" s="181">
        <v>45506.29</v>
      </c>
      <c r="F91" s="188">
        <v>0</v>
      </c>
      <c r="G91" s="188">
        <f t="shared" si="2"/>
        <v>45506.29</v>
      </c>
      <c r="H91" s="183">
        <v>96.531906616690762</v>
      </c>
      <c r="I91" s="184">
        <f t="shared" si="3"/>
        <v>471.41190508850656</v>
      </c>
    </row>
    <row r="92" spans="1:9" x14ac:dyDescent="0.25">
      <c r="A92" s="37">
        <v>6</v>
      </c>
      <c r="B92" s="185">
        <v>889</v>
      </c>
      <c r="C92" s="179">
        <f>INDEX('[3]Full Program List'!B$2:B$300,MATCH(B92,'[3]Full Program List'!A$2:A$300,0))</f>
        <v>6</v>
      </c>
      <c r="D92" s="180" t="str">
        <f>INDEX('[3]Full Program List'!C$2:C$300,MATCH(B92,'[3]Full Program List'!A$2:A$300,0))</f>
        <v>PAPINEAU-CAMERON, TOWNSHIP OF</v>
      </c>
      <c r="E92" s="181">
        <v>49421.78</v>
      </c>
      <c r="F92" s="188">
        <v>0</v>
      </c>
      <c r="G92" s="188">
        <f t="shared" si="2"/>
        <v>49421.78</v>
      </c>
      <c r="H92" s="183">
        <v>28.142507903054302</v>
      </c>
      <c r="I92" s="184">
        <f t="shared" si="3"/>
        <v>1756.1256505727501</v>
      </c>
    </row>
    <row r="93" spans="1:9" x14ac:dyDescent="0.25">
      <c r="A93" s="37">
        <v>6</v>
      </c>
      <c r="B93" s="185">
        <v>891</v>
      </c>
      <c r="C93" s="179">
        <f>INDEX('[3]Full Program List'!B$2:B$300,MATCH(B93,'[3]Full Program List'!A$2:A$300,0))</f>
        <v>6</v>
      </c>
      <c r="D93" s="180" t="str">
        <f>INDEX('[3]Full Program List'!C$2:C$300,MATCH(B93,'[3]Full Program List'!A$2:A$300,0))</f>
        <v>POWASSAN, MUNICIPALITY OF</v>
      </c>
      <c r="E93" s="181">
        <v>86921.99</v>
      </c>
      <c r="F93" s="188">
        <v>0</v>
      </c>
      <c r="G93" s="188">
        <f t="shared" si="2"/>
        <v>86921.99</v>
      </c>
      <c r="H93" s="183">
        <v>364.17087666120352</v>
      </c>
      <c r="I93" s="184">
        <f t="shared" si="3"/>
        <v>238.68462738404398</v>
      </c>
    </row>
    <row r="94" spans="1:9" x14ac:dyDescent="0.25">
      <c r="A94" s="37">
        <v>6</v>
      </c>
      <c r="B94" s="185">
        <v>904</v>
      </c>
      <c r="C94" s="179">
        <f>INDEX('[3]Full Program List'!B$2:B$300,MATCH(B94,'[3]Full Program List'!A$2:A$300,0))</f>
        <v>6</v>
      </c>
      <c r="D94" s="180" t="str">
        <f>INDEX('[3]Full Program List'!C$2:C$300,MATCH(B94,'[3]Full Program List'!A$2:A$300,0))</f>
        <v>SPANISH, TOWN OF</v>
      </c>
      <c r="E94" s="181">
        <v>13685.12</v>
      </c>
      <c r="F94" s="188">
        <v>0</v>
      </c>
      <c r="G94" s="188">
        <f t="shared" si="2"/>
        <v>13685.12</v>
      </c>
      <c r="H94" s="183">
        <v>25.493992436427366</v>
      </c>
      <c r="I94" s="184">
        <f t="shared" si="3"/>
        <v>536.79783714244263</v>
      </c>
    </row>
    <row r="95" spans="1:9" x14ac:dyDescent="0.25">
      <c r="A95" s="37">
        <v>6</v>
      </c>
      <c r="B95" s="185">
        <v>906</v>
      </c>
      <c r="C95" s="179">
        <f>INDEX('[3]Full Program List'!B$2:B$300,MATCH(B95,'[3]Full Program List'!A$2:A$300,0))</f>
        <v>6</v>
      </c>
      <c r="D95" s="180" t="str">
        <f>INDEX('[3]Full Program List'!C$2:C$300,MATCH(B95,'[3]Full Program List'!A$2:A$300,0))</f>
        <v xml:space="preserve">SIOUX LOOKOUT, THE CORPORATION OF THE MUNICIPALITY OF </v>
      </c>
      <c r="E95" s="181">
        <v>119241.63</v>
      </c>
      <c r="F95" s="188">
        <v>36</v>
      </c>
      <c r="G95" s="188">
        <f t="shared" si="2"/>
        <v>119205.63</v>
      </c>
      <c r="H95" s="183">
        <v>223.33999999999997</v>
      </c>
      <c r="I95" s="184">
        <f t="shared" si="3"/>
        <v>533.74061968299463</v>
      </c>
    </row>
    <row r="96" spans="1:9" x14ac:dyDescent="0.25">
      <c r="A96" s="37">
        <v>6</v>
      </c>
      <c r="B96" s="185">
        <v>917</v>
      </c>
      <c r="C96" s="179">
        <f>INDEX('[3]Full Program List'!B$2:B$300,MATCH(B96,'[3]Full Program List'!A$2:A$300,0))</f>
        <v>6</v>
      </c>
      <c r="D96" s="180" t="str">
        <f>INDEX('[3]Full Program List'!C$2:C$300,MATCH(B96,'[3]Full Program List'!A$2:A$300,0))</f>
        <v>ST. CHARLES, MUNICIPALITY OF</v>
      </c>
      <c r="E96" s="181">
        <v>58138.080000000002</v>
      </c>
      <c r="F96" s="188">
        <v>0</v>
      </c>
      <c r="G96" s="188">
        <f t="shared" si="2"/>
        <v>58138.080000000002</v>
      </c>
      <c r="H96" s="183">
        <v>83.135763098139336</v>
      </c>
      <c r="I96" s="184">
        <f t="shared" si="3"/>
        <v>699.31492577231415</v>
      </c>
    </row>
    <row r="97" spans="1:9" x14ac:dyDescent="0.25">
      <c r="A97" s="37">
        <v>6</v>
      </c>
      <c r="B97" s="185">
        <v>957</v>
      </c>
      <c r="C97" s="179">
        <f>INDEX('[3]Full Program List'!B$2:B$300,MATCH(B97,'[3]Full Program List'!A$2:A$300,0))</f>
        <v>6</v>
      </c>
      <c r="D97" s="180" t="str">
        <f>INDEX('[3]Full Program List'!C$2:C$300,MATCH(B97,'[3]Full Program List'!A$2:A$300,0))</f>
        <v>CHISHOLM, TOWNSHIP OF</v>
      </c>
      <c r="E97" s="181">
        <v>36361.17</v>
      </c>
      <c r="F97" s="188">
        <v>0</v>
      </c>
      <c r="G97" s="188">
        <f t="shared" si="2"/>
        <v>36361.17</v>
      </c>
      <c r="H97" s="183">
        <v>102.78835312589278</v>
      </c>
      <c r="I97" s="184">
        <f t="shared" si="3"/>
        <v>353.74795776196243</v>
      </c>
    </row>
    <row r="98" spans="1:9" x14ac:dyDescent="0.25">
      <c r="A98" s="37">
        <v>6</v>
      </c>
      <c r="B98" s="185">
        <v>959</v>
      </c>
      <c r="C98" s="179">
        <f>INDEX('[3]Full Program List'!B$2:B$300,MATCH(B98,'[3]Full Program List'!A$2:A$300,0))</f>
        <v>6</v>
      </c>
      <c r="D98" s="180" t="str">
        <f>INDEX('[3]Full Program List'!C$2:C$300,MATCH(B98,'[3]Full Program List'!A$2:A$300,0))</f>
        <v>EAST FERRIS, MUNICIPALITY OF</v>
      </c>
      <c r="E98" s="181">
        <v>116846.11</v>
      </c>
      <c r="F98" s="188">
        <v>434.45</v>
      </c>
      <c r="G98" s="188">
        <f t="shared" si="2"/>
        <v>116411.66</v>
      </c>
      <c r="H98" s="183">
        <v>350.17274123482861</v>
      </c>
      <c r="I98" s="184">
        <f t="shared" si="3"/>
        <v>332.44066796716601</v>
      </c>
    </row>
    <row r="99" spans="1:9" x14ac:dyDescent="0.25">
      <c r="A99" s="37">
        <v>6</v>
      </c>
      <c r="B99" s="185">
        <v>969</v>
      </c>
      <c r="C99" s="179">
        <f>INDEX('[3]Full Program List'!B$2:B$300,MATCH(B99,'[3]Full Program List'!A$2:A$300,0))</f>
        <v>6</v>
      </c>
      <c r="D99" s="180" t="str">
        <f>INDEX('[3]Full Program List'!C$2:C$300,MATCH(B99,'[3]Full Program List'!A$2:A$300,0))</f>
        <v>RAINY RIVER FIRST NATIONS</v>
      </c>
      <c r="E99" s="181">
        <v>38489.4</v>
      </c>
      <c r="F99" s="188">
        <v>0</v>
      </c>
      <c r="G99" s="188">
        <f t="shared" si="2"/>
        <v>38489.4</v>
      </c>
      <c r="H99" s="183">
        <v>20.31070143118815</v>
      </c>
      <c r="I99" s="184">
        <f t="shared" si="3"/>
        <v>1895.030564572108</v>
      </c>
    </row>
    <row r="100" spans="1:9" x14ac:dyDescent="0.25">
      <c r="A100" s="37">
        <v>6</v>
      </c>
      <c r="B100" s="185">
        <v>970</v>
      </c>
      <c r="C100" s="179">
        <f>INDEX('[3]Full Program List'!B$2:B$300,MATCH(B100,'[3]Full Program List'!A$2:A$300,0))</f>
        <v>6</v>
      </c>
      <c r="D100" s="180" t="str">
        <f>INDEX('[3]Full Program List'!C$2:C$300,MATCH(B100,'[3]Full Program List'!A$2:A$300,0))</f>
        <v>CALLANDER, MUNICIPALITY OF</v>
      </c>
      <c r="E100" s="181">
        <v>60933.56</v>
      </c>
      <c r="F100" s="188">
        <v>134.5</v>
      </c>
      <c r="G100" s="188">
        <f t="shared" si="2"/>
        <v>60799.06</v>
      </c>
      <c r="H100" s="183">
        <v>175.80943158836462</v>
      </c>
      <c r="I100" s="184">
        <f t="shared" si="3"/>
        <v>345.82365377503322</v>
      </c>
    </row>
    <row r="101" spans="1:9" x14ac:dyDescent="0.25">
      <c r="A101" s="37">
        <v>6</v>
      </c>
      <c r="B101" s="185">
        <v>980</v>
      </c>
      <c r="C101" s="179">
        <f>INDEX('[3]Full Program List'!B$2:B$300,MATCH(B101,'[3]Full Program List'!A$2:A$300,0))</f>
        <v>6</v>
      </c>
      <c r="D101" s="180" t="str">
        <f>INDEX('[3]Full Program List'!C$2:C$300,MATCH(B101,'[3]Full Program List'!A$2:A$300,0))</f>
        <v>ATIKAMEKSHENG ANISHNAWBEK FIRST NATION</v>
      </c>
      <c r="E101" s="181">
        <v>27355.57</v>
      </c>
      <c r="F101" s="188">
        <v>0</v>
      </c>
      <c r="G101" s="188">
        <f t="shared" si="2"/>
        <v>27355.57</v>
      </c>
      <c r="H101" s="183">
        <v>24.35659315628083</v>
      </c>
      <c r="I101" s="184">
        <f t="shared" si="3"/>
        <v>1123.1279278048714</v>
      </c>
    </row>
    <row r="102" spans="1:9" x14ac:dyDescent="0.25">
      <c r="A102" s="37">
        <v>6</v>
      </c>
      <c r="B102" s="185">
        <v>986</v>
      </c>
      <c r="C102" s="179">
        <f>INDEX('[3]Full Program List'!B$2:B$300,MATCH(B102,'[3]Full Program List'!A$2:A$300,0))</f>
        <v>6</v>
      </c>
      <c r="D102" s="180" t="str">
        <f>INDEX('[3]Full Program List'!C$2:C$300,MATCH(B102,'[3]Full Program List'!A$2:A$300,0))</f>
        <v>BATCHEWANA FIRST NATIONS OJIBWAYS</v>
      </c>
      <c r="E102" s="181">
        <v>38850.550000000003</v>
      </c>
      <c r="F102" s="188">
        <v>0</v>
      </c>
      <c r="G102" s="188">
        <f t="shared" si="2"/>
        <v>38850.550000000003</v>
      </c>
      <c r="H102" s="183">
        <v>8.1405291336202108</v>
      </c>
      <c r="I102" s="184">
        <f t="shared" si="3"/>
        <v>4772.48460908371</v>
      </c>
    </row>
    <row r="103" spans="1:9" x14ac:dyDescent="0.25">
      <c r="A103" s="37">
        <v>6</v>
      </c>
      <c r="B103" s="185">
        <v>988</v>
      </c>
      <c r="C103" s="179">
        <f>INDEX('[3]Full Program List'!B$2:B$300,MATCH(B103,'[3]Full Program List'!A$2:A$300,0))</f>
        <v>6</v>
      </c>
      <c r="D103" s="180" t="str">
        <f>INDEX('[3]Full Program List'!C$2:C$300,MATCH(B103,'[3]Full Program List'!A$2:A$300,0))</f>
        <v>NIPISSING FIRST NATION</v>
      </c>
      <c r="E103" s="181">
        <v>73398.22</v>
      </c>
      <c r="F103" s="188">
        <v>0</v>
      </c>
      <c r="G103" s="188">
        <f t="shared" si="2"/>
        <v>73398.22</v>
      </c>
      <c r="H103" s="183">
        <v>136.34894480531173</v>
      </c>
      <c r="I103" s="184">
        <f t="shared" si="3"/>
        <v>538.31161000037775</v>
      </c>
    </row>
    <row r="104" spans="1:9" x14ac:dyDescent="0.25">
      <c r="A104" s="37">
        <v>6</v>
      </c>
      <c r="B104" s="185">
        <v>989</v>
      </c>
      <c r="C104" s="179">
        <f>INDEX('[3]Full Program List'!B$2:B$300,MATCH(B104,'[3]Full Program List'!A$2:A$300,0))</f>
        <v>6</v>
      </c>
      <c r="D104" s="180" t="str">
        <f>INDEX('[3]Full Program List'!C$2:C$300,MATCH(B104,'[3]Full Program List'!A$2:A$300,0))</f>
        <v>COCHRANE, Corporation of the Town of</v>
      </c>
      <c r="E104" s="181">
        <v>332675.46000000002</v>
      </c>
      <c r="F104" s="188">
        <v>32018.95</v>
      </c>
      <c r="G104" s="188">
        <f t="shared" si="2"/>
        <v>300656.51</v>
      </c>
      <c r="H104" s="183">
        <v>440.04353292754996</v>
      </c>
      <c r="I104" s="184">
        <f t="shared" si="3"/>
        <v>683.24265101630522</v>
      </c>
    </row>
    <row r="105" spans="1:9" x14ac:dyDescent="0.25">
      <c r="A105" s="37">
        <v>6</v>
      </c>
      <c r="B105" s="185">
        <v>39</v>
      </c>
      <c r="C105" s="179">
        <f>INDEX('[3]Full Program List'!B$2:B$300,MATCH(B105,'[3]Full Program List'!A$2:A$300,0))</f>
        <v>7</v>
      </c>
      <c r="D105" s="180" t="str">
        <f>INDEX('[3]Full Program List'!C$2:C$300,MATCH(B105,'[3]Full Program List'!A$2:A$300,0))</f>
        <v>NORTH HURON, TOWNSHIP OF</v>
      </c>
      <c r="E105" s="181">
        <v>115923.68</v>
      </c>
      <c r="F105" s="188">
        <v>480</v>
      </c>
      <c r="G105" s="188">
        <f t="shared" si="2"/>
        <v>115443.68</v>
      </c>
      <c r="H105" s="183">
        <v>410.4</v>
      </c>
      <c r="I105" s="184">
        <f t="shared" si="3"/>
        <v>281.2955165692008</v>
      </c>
    </row>
    <row r="106" spans="1:9" x14ac:dyDescent="0.25">
      <c r="A106" s="37">
        <v>7</v>
      </c>
      <c r="B106" s="185">
        <v>59</v>
      </c>
      <c r="C106" s="179">
        <f>INDEX('[3]Full Program List'!B$2:B$300,MATCH(B106,'[3]Full Program List'!A$2:A$300,0))</f>
        <v>7</v>
      </c>
      <c r="D106" s="180" t="str">
        <f>INDEX('[3]Full Program List'!C$2:C$300,MATCH(B106,'[3]Full Program List'!A$2:A$300,0))</f>
        <v>ASHFIELD-COLBORNE-WAWANOSH, TOWNSHIP OF</v>
      </c>
      <c r="E106" s="181">
        <v>160123.23000000001</v>
      </c>
      <c r="F106" s="188">
        <v>0</v>
      </c>
      <c r="G106" s="188">
        <f t="shared" si="2"/>
        <v>160123.23000000001</v>
      </c>
      <c r="H106" s="183">
        <v>270.47377712324817</v>
      </c>
      <c r="I106" s="184">
        <f t="shared" si="3"/>
        <v>592.01018192250058</v>
      </c>
    </row>
    <row r="107" spans="1:9" x14ac:dyDescent="0.25">
      <c r="A107" s="37">
        <v>7</v>
      </c>
      <c r="B107" s="185">
        <v>128</v>
      </c>
      <c r="C107" s="179">
        <f>INDEX('[3]Full Program List'!B$2:B$300,MATCH(B107,'[3]Full Program List'!A$2:A$300,0))</f>
        <v>7</v>
      </c>
      <c r="D107" s="180" t="str">
        <f>INDEX('[3]Full Program List'!C$2:C$300,MATCH(B107,'[3]Full Program List'!A$2:A$300,0))</f>
        <v>HOWICK, TOWNSHIP OF</v>
      </c>
      <c r="E107" s="181">
        <v>97728.05</v>
      </c>
      <c r="F107" s="188">
        <v>305.20999999999998</v>
      </c>
      <c r="G107" s="188">
        <f t="shared" si="2"/>
        <v>97422.84</v>
      </c>
      <c r="H107" s="183">
        <v>162.90807403927388</v>
      </c>
      <c r="I107" s="184">
        <f t="shared" si="3"/>
        <v>598.02339800858056</v>
      </c>
    </row>
    <row r="108" spans="1:9" x14ac:dyDescent="0.25">
      <c r="A108" s="37">
        <v>7</v>
      </c>
      <c r="B108" s="185">
        <v>152</v>
      </c>
      <c r="C108" s="179">
        <f>INDEX('[3]Full Program List'!B$2:B$300,MATCH(B108,'[3]Full Program List'!A$2:A$300,0))</f>
        <v>7</v>
      </c>
      <c r="D108" s="180" t="str">
        <f>INDEX('[3]Full Program List'!C$2:C$300,MATCH(B108,'[3]Full Program List'!A$2:A$300,0))</f>
        <v>CHATSWORTH, TOWNSHIP OF</v>
      </c>
      <c r="E108" s="181">
        <v>154963.87</v>
      </c>
      <c r="F108" s="188">
        <v>38032.97</v>
      </c>
      <c r="G108" s="188">
        <f t="shared" si="2"/>
        <v>116930.9</v>
      </c>
      <c r="H108" s="183">
        <v>349.11658476040691</v>
      </c>
      <c r="I108" s="184">
        <f t="shared" si="3"/>
        <v>334.93367288823526</v>
      </c>
    </row>
    <row r="109" spans="1:9" x14ac:dyDescent="0.25">
      <c r="A109" s="37">
        <v>7</v>
      </c>
      <c r="B109" s="185">
        <v>162</v>
      </c>
      <c r="C109" s="179">
        <f>INDEX('[3]Full Program List'!B$2:B$300,MATCH(B109,'[3]Full Program List'!A$2:A$300,0))</f>
        <v>7</v>
      </c>
      <c r="D109" s="180" t="str">
        <f>INDEX('[3]Full Program List'!C$2:C$300,MATCH(B109,'[3]Full Program List'!A$2:A$300,0))</f>
        <v>THE BLUE MOUNTAINS, TOWN OF</v>
      </c>
      <c r="E109" s="181">
        <v>369094.26</v>
      </c>
      <c r="F109" s="188">
        <v>31965.68</v>
      </c>
      <c r="G109" s="188">
        <f t="shared" si="2"/>
        <v>337128.58</v>
      </c>
      <c r="H109" s="183">
        <v>801.95999999999992</v>
      </c>
      <c r="I109" s="184">
        <f t="shared" si="3"/>
        <v>420.38079205945439</v>
      </c>
    </row>
    <row r="110" spans="1:9" x14ac:dyDescent="0.25">
      <c r="A110" s="37">
        <v>7</v>
      </c>
      <c r="B110" s="185">
        <v>166</v>
      </c>
      <c r="C110" s="179">
        <f>INDEX('[3]Full Program List'!B$2:B$300,MATCH(B110,'[3]Full Program List'!A$2:A$300,0))</f>
        <v>7</v>
      </c>
      <c r="D110" s="180" t="str">
        <f>INDEX('[3]Full Program List'!C$2:C$300,MATCH(B110,'[3]Full Program List'!A$2:A$300,0))</f>
        <v>THAMES CENTRE, MUNICIPALITY OF</v>
      </c>
      <c r="E110" s="181">
        <v>426068.96</v>
      </c>
      <c r="F110" s="188">
        <v>137468.31999999998</v>
      </c>
      <c r="G110" s="188">
        <f t="shared" si="2"/>
        <v>288600.64</v>
      </c>
      <c r="H110" s="183">
        <v>890.20999999999981</v>
      </c>
      <c r="I110" s="184">
        <f t="shared" si="3"/>
        <v>324.19388683569053</v>
      </c>
    </row>
    <row r="111" spans="1:9" x14ac:dyDescent="0.25">
      <c r="A111" s="37">
        <v>7</v>
      </c>
      <c r="B111" s="185">
        <v>192</v>
      </c>
      <c r="C111" s="179">
        <f>INDEX('[3]Full Program List'!B$2:B$300,MATCH(B111,'[3]Full Program List'!A$2:A$300,0))</f>
        <v>7</v>
      </c>
      <c r="D111" s="180" t="str">
        <f>INDEX('[3]Full Program List'!C$2:C$300,MATCH(B111,'[3]Full Program List'!A$2:A$300,0))</f>
        <v>WEST ELGIN, MUNICIPALITY OF</v>
      </c>
      <c r="E111" s="181">
        <v>96817.45</v>
      </c>
      <c r="F111" s="188">
        <v>28148.03</v>
      </c>
      <c r="G111" s="188">
        <f t="shared" si="2"/>
        <v>68669.42</v>
      </c>
      <c r="H111" s="183">
        <v>179.21000000000006</v>
      </c>
      <c r="I111" s="184">
        <f t="shared" si="3"/>
        <v>383.17850566374631</v>
      </c>
    </row>
    <row r="112" spans="1:9" x14ac:dyDescent="0.25">
      <c r="A112" s="37">
        <v>7</v>
      </c>
      <c r="B112" s="185">
        <v>205</v>
      </c>
      <c r="C112" s="179">
        <f>INDEX('[3]Full Program List'!B$2:B$300,MATCH(B112,'[3]Full Program List'!A$2:A$300,0))</f>
        <v>7</v>
      </c>
      <c r="D112" s="180" t="str">
        <f>INDEX('[3]Full Program List'!C$2:C$300,MATCH(B112,'[3]Full Program List'!A$2:A$300,0))</f>
        <v>RIDEAU LAKES, TOWNSHIP OF</v>
      </c>
      <c r="E112" s="181">
        <v>396318.41</v>
      </c>
      <c r="F112" s="188">
        <v>15454.5</v>
      </c>
      <c r="G112" s="188">
        <f t="shared" si="2"/>
        <v>380863.91</v>
      </c>
      <c r="H112" s="183">
        <v>697.88310122153791</v>
      </c>
      <c r="I112" s="184">
        <f t="shared" si="3"/>
        <v>545.74169991128281</v>
      </c>
    </row>
    <row r="113" spans="1:9" x14ac:dyDescent="0.25">
      <c r="A113" s="37">
        <v>7</v>
      </c>
      <c r="B113" s="185">
        <v>212</v>
      </c>
      <c r="C113" s="179">
        <f>INDEX('[3]Full Program List'!B$2:B$300,MATCH(B113,'[3]Full Program List'!A$2:A$300,0))</f>
        <v>7</v>
      </c>
      <c r="D113" s="180" t="str">
        <f>INDEX('[3]Full Program List'!C$2:C$300,MATCH(B113,'[3]Full Program List'!A$2:A$300,0))</f>
        <v>GEORGIAN BLUFFS, TOWNSHIP OF</v>
      </c>
      <c r="E113" s="181">
        <v>240439.65</v>
      </c>
      <c r="F113" s="188">
        <v>909</v>
      </c>
      <c r="G113" s="188">
        <f t="shared" si="2"/>
        <v>239530.65</v>
      </c>
      <c r="H113" s="183">
        <v>463.08399263108981</v>
      </c>
      <c r="I113" s="184">
        <f t="shared" si="3"/>
        <v>517.25098213623448</v>
      </c>
    </row>
    <row r="114" spans="1:9" x14ac:dyDescent="0.25">
      <c r="A114" s="37">
        <v>7</v>
      </c>
      <c r="B114" s="185">
        <v>216</v>
      </c>
      <c r="C114" s="179">
        <f>INDEX('[3]Full Program List'!B$2:B$300,MATCH(B114,'[3]Full Program List'!A$2:A$300,0))</f>
        <v>7</v>
      </c>
      <c r="D114" s="180" t="str">
        <f>INDEX('[3]Full Program List'!C$2:C$300,MATCH(B114,'[3]Full Program List'!A$2:A$300,0))</f>
        <v>MEAFORD, MUNICIPALITY OF</v>
      </c>
      <c r="E114" s="181">
        <v>336769.59</v>
      </c>
      <c r="F114" s="188">
        <v>500</v>
      </c>
      <c r="G114" s="188">
        <f t="shared" si="2"/>
        <v>336269.59</v>
      </c>
      <c r="H114" s="183">
        <v>764.29003707426727</v>
      </c>
      <c r="I114" s="184">
        <f t="shared" si="3"/>
        <v>439.97641430372875</v>
      </c>
    </row>
    <row r="115" spans="1:9" x14ac:dyDescent="0.25">
      <c r="A115" s="37">
        <v>7</v>
      </c>
      <c r="B115" s="185">
        <v>229</v>
      </c>
      <c r="C115" s="179">
        <f>INDEX('[3]Full Program List'!B$2:B$300,MATCH(B115,'[3]Full Program List'!A$2:A$300,0))</f>
        <v>7</v>
      </c>
      <c r="D115" s="180" t="str">
        <f>INDEX('[3]Full Program List'!C$2:C$300,MATCH(B115,'[3]Full Program List'!A$2:A$300,0))</f>
        <v>CENTRAL ELGIN, MUNICIPALITY OF</v>
      </c>
      <c r="E115" s="181">
        <v>433626.26</v>
      </c>
      <c r="F115" s="188">
        <v>126732.33000000002</v>
      </c>
      <c r="G115" s="188">
        <f t="shared" si="2"/>
        <v>306893.93</v>
      </c>
      <c r="H115" s="183">
        <v>820.78999999999985</v>
      </c>
      <c r="I115" s="184">
        <f t="shared" si="3"/>
        <v>373.90066886779817</v>
      </c>
    </row>
    <row r="116" spans="1:9" x14ac:dyDescent="0.25">
      <c r="A116" s="37">
        <v>7</v>
      </c>
      <c r="B116" s="185">
        <v>236</v>
      </c>
      <c r="C116" s="179">
        <f>INDEX('[3]Full Program List'!B$2:B$300,MATCH(B116,'[3]Full Program List'!A$2:A$300,0))</f>
        <v>7</v>
      </c>
      <c r="D116" s="180" t="str">
        <f>INDEX('[3]Full Program List'!C$2:C$300,MATCH(B116,'[3]Full Program List'!A$2:A$300,0))</f>
        <v>NORTH GRENVILLE, MUNICIPALITY OF</v>
      </c>
      <c r="E116" s="181">
        <v>596827.42000000004</v>
      </c>
      <c r="F116" s="188">
        <v>137001.84999999998</v>
      </c>
      <c r="G116" s="188">
        <f t="shared" si="2"/>
        <v>459825.57000000007</v>
      </c>
      <c r="H116" s="183">
        <v>1079.3800000000001</v>
      </c>
      <c r="I116" s="184">
        <f t="shared" si="3"/>
        <v>426.008977375901</v>
      </c>
    </row>
    <row r="117" spans="1:9" x14ac:dyDescent="0.25">
      <c r="A117" s="37">
        <v>7</v>
      </c>
      <c r="B117" s="185">
        <v>239</v>
      </c>
      <c r="C117" s="179">
        <f>INDEX('[3]Full Program List'!B$2:B$300,MATCH(B117,'[3]Full Program List'!A$2:A$300,0))</f>
        <v>7</v>
      </c>
      <c r="D117" s="180" t="str">
        <f>INDEX('[3]Full Program List'!C$2:C$300,MATCH(B117,'[3]Full Program List'!A$2:A$300,0))</f>
        <v>OTTAWA VALLEY WASTE RECOVERY CENTRE</v>
      </c>
      <c r="E117" s="181">
        <v>1716224.8</v>
      </c>
      <c r="F117" s="188">
        <v>526079.6</v>
      </c>
      <c r="G117" s="188">
        <f t="shared" si="2"/>
        <v>1190145.2000000002</v>
      </c>
      <c r="H117" s="183">
        <v>3332.4437947019587</v>
      </c>
      <c r="I117" s="184">
        <f t="shared" si="3"/>
        <v>357.13886664559402</v>
      </c>
    </row>
    <row r="118" spans="1:9" x14ac:dyDescent="0.25">
      <c r="A118" s="37">
        <v>7</v>
      </c>
      <c r="B118" s="185">
        <v>249</v>
      </c>
      <c r="C118" s="179">
        <f>INDEX('[3]Full Program List'!B$2:B$300,MATCH(B118,'[3]Full Program List'!A$2:A$300,0))</f>
        <v>7</v>
      </c>
      <c r="D118" s="180" t="str">
        <f>INDEX('[3]Full Program List'!C$2:C$300,MATCH(B118,'[3]Full Program List'!A$2:A$300,0))</f>
        <v>HAWKESBURY JOINT RECYCLING</v>
      </c>
      <c r="E118" s="181">
        <v>536656.37</v>
      </c>
      <c r="F118" s="188">
        <v>0</v>
      </c>
      <c r="G118" s="188">
        <f t="shared" si="2"/>
        <v>536656.37</v>
      </c>
      <c r="H118" s="183">
        <v>1232.5183570890767</v>
      </c>
      <c r="I118" s="184">
        <f t="shared" si="3"/>
        <v>435.41450471168497</v>
      </c>
    </row>
    <row r="119" spans="1:9" x14ac:dyDescent="0.25">
      <c r="A119" s="37">
        <v>7</v>
      </c>
      <c r="B119" s="185">
        <v>271</v>
      </c>
      <c r="C119" s="179">
        <f>INDEX('[3]Full Program List'!B$2:B$300,MATCH(B119,'[3]Full Program List'!A$2:A$300,0))</f>
        <v>7</v>
      </c>
      <c r="D119" s="180" t="str">
        <f>INDEX('[3]Full Program List'!C$2:C$300,MATCH(B119,'[3]Full Program List'!A$2:A$300,0))</f>
        <v>NORTH GLENGARRY, TOWNSHIP OF</v>
      </c>
      <c r="E119" s="181">
        <v>606427.9</v>
      </c>
      <c r="F119" s="188">
        <v>147638.22</v>
      </c>
      <c r="G119" s="188">
        <f t="shared" si="2"/>
        <v>458789.68000000005</v>
      </c>
      <c r="H119" s="183">
        <v>877.30000000000018</v>
      </c>
      <c r="I119" s="184">
        <f t="shared" si="3"/>
        <v>522.95643451498916</v>
      </c>
    </row>
    <row r="120" spans="1:9" x14ac:dyDescent="0.25">
      <c r="A120" s="37">
        <v>7</v>
      </c>
      <c r="B120" s="185">
        <v>275</v>
      </c>
      <c r="C120" s="179">
        <f>INDEX('[3]Full Program List'!B$2:B$300,MATCH(B120,'[3]Full Program List'!A$2:A$300,0))</f>
        <v>7</v>
      </c>
      <c r="D120" s="180" t="str">
        <f>INDEX('[3]Full Program List'!C$2:C$300,MATCH(B120,'[3]Full Program List'!A$2:A$300,0))</f>
        <v>ST. CLAIR, TOWNSHIP OF</v>
      </c>
      <c r="E120" s="181">
        <v>307156.09999999998</v>
      </c>
      <c r="F120" s="188">
        <v>62551.649999999994</v>
      </c>
      <c r="G120" s="188">
        <f t="shared" si="2"/>
        <v>244604.44999999998</v>
      </c>
      <c r="H120" s="183">
        <v>688.04999999999984</v>
      </c>
      <c r="I120" s="184">
        <f t="shared" si="3"/>
        <v>355.50388779885191</v>
      </c>
    </row>
    <row r="121" spans="1:9" x14ac:dyDescent="0.25">
      <c r="A121" s="37">
        <v>7</v>
      </c>
      <c r="B121" s="185">
        <v>282</v>
      </c>
      <c r="C121" s="179">
        <f>INDEX('[3]Full Program List'!B$2:B$300,MATCH(B121,'[3]Full Program List'!A$2:A$300,0))</f>
        <v>7</v>
      </c>
      <c r="D121" s="180" t="str">
        <f>INDEX('[3]Full Program List'!C$2:C$300,MATCH(B121,'[3]Full Program List'!A$2:A$300,0))</f>
        <v>ATHENS, TOWNSHIP OF</v>
      </c>
      <c r="E121" s="181">
        <v>53696.52</v>
      </c>
      <c r="F121" s="188">
        <v>0</v>
      </c>
      <c r="G121" s="188">
        <f t="shared" si="2"/>
        <v>53696.52</v>
      </c>
      <c r="H121" s="183">
        <v>157.14795911338896</v>
      </c>
      <c r="I121" s="184">
        <f t="shared" si="3"/>
        <v>341.69403346342961</v>
      </c>
    </row>
    <row r="122" spans="1:9" x14ac:dyDescent="0.25">
      <c r="A122" s="37">
        <v>7</v>
      </c>
      <c r="B122" s="185">
        <v>287</v>
      </c>
      <c r="C122" s="179">
        <f>INDEX('[3]Full Program List'!B$2:B$300,MATCH(B122,'[3]Full Program List'!A$2:A$300,0))</f>
        <v>7</v>
      </c>
      <c r="D122" s="180" t="str">
        <f>INDEX('[3]Full Program List'!C$2:C$300,MATCH(B122,'[3]Full Program List'!A$2:A$300,0))</f>
        <v>MERRICKVILLE-WOLFORD, VILLAGE OF</v>
      </c>
      <c r="E122" s="181">
        <v>120033.56</v>
      </c>
      <c r="F122" s="188">
        <v>0</v>
      </c>
      <c r="G122" s="188">
        <f t="shared" si="2"/>
        <v>120033.56</v>
      </c>
      <c r="H122" s="183">
        <v>197.77748625633771</v>
      </c>
      <c r="I122" s="184">
        <f t="shared" si="3"/>
        <v>606.91215300626038</v>
      </c>
    </row>
    <row r="123" spans="1:9" x14ac:dyDescent="0.25">
      <c r="A123" s="37">
        <v>7</v>
      </c>
      <c r="B123" s="185">
        <v>290</v>
      </c>
      <c r="C123" s="179">
        <f>INDEX('[3]Full Program List'!B$2:B$300,MATCH(B123,'[3]Full Program List'!A$2:A$300,0))</f>
        <v>7</v>
      </c>
      <c r="D123" s="180" t="str">
        <f>INDEX('[3]Full Program List'!C$2:C$300,MATCH(B123,'[3]Full Program List'!A$2:A$300,0))</f>
        <v>NORTH STORMONT, TOWNSHIP OF</v>
      </c>
      <c r="E123" s="181">
        <v>175443.77</v>
      </c>
      <c r="F123" s="188">
        <v>210</v>
      </c>
      <c r="G123" s="188">
        <f t="shared" si="2"/>
        <v>175233.77</v>
      </c>
      <c r="H123" s="183">
        <v>355.11230382289364</v>
      </c>
      <c r="I123" s="184">
        <f t="shared" si="3"/>
        <v>493.46014799699793</v>
      </c>
    </row>
    <row r="124" spans="1:9" x14ac:dyDescent="0.25">
      <c r="A124" s="37">
        <v>7</v>
      </c>
      <c r="B124" s="185">
        <v>294</v>
      </c>
      <c r="C124" s="179">
        <f>INDEX('[3]Full Program List'!B$2:B$300,MATCH(B124,'[3]Full Program List'!A$2:A$300,0))</f>
        <v>7</v>
      </c>
      <c r="D124" s="180" t="str">
        <f>INDEX('[3]Full Program List'!C$2:C$300,MATCH(B124,'[3]Full Program List'!A$2:A$300,0))</f>
        <v>RUSSELL, TOWNSHIP OF</v>
      </c>
      <c r="E124" s="181">
        <v>609291.72</v>
      </c>
      <c r="F124" s="188">
        <v>700</v>
      </c>
      <c r="G124" s="188">
        <f t="shared" si="2"/>
        <v>608591.72</v>
      </c>
      <c r="H124" s="183">
        <v>1263.4393689479177</v>
      </c>
      <c r="I124" s="184">
        <f t="shared" si="3"/>
        <v>481.69444055458092</v>
      </c>
    </row>
    <row r="125" spans="1:9" x14ac:dyDescent="0.25">
      <c r="A125" s="37">
        <v>7</v>
      </c>
      <c r="B125" s="185">
        <v>296</v>
      </c>
      <c r="C125" s="179">
        <f>INDEX('[3]Full Program List'!B$2:B$300,MATCH(B125,'[3]Full Program List'!A$2:A$300,0))</f>
        <v>7</v>
      </c>
      <c r="D125" s="180" t="str">
        <f>INDEX('[3]Full Program List'!C$2:C$300,MATCH(B125,'[3]Full Program List'!A$2:A$300,0))</f>
        <v>SOUTH FRONTENAC, TOWNSHIP OF</v>
      </c>
      <c r="E125" s="181">
        <v>788176.46</v>
      </c>
      <c r="F125" s="188">
        <v>204908.74000000002</v>
      </c>
      <c r="G125" s="188">
        <f t="shared" si="2"/>
        <v>583267.72</v>
      </c>
      <c r="H125" s="183">
        <v>884.62</v>
      </c>
      <c r="I125" s="184">
        <f t="shared" si="3"/>
        <v>659.3426782121137</v>
      </c>
    </row>
    <row r="126" spans="1:9" x14ac:dyDescent="0.25">
      <c r="A126" s="37">
        <v>7</v>
      </c>
      <c r="B126" s="185">
        <v>301</v>
      </c>
      <c r="C126" s="179">
        <f>INDEX('[3]Full Program List'!B$2:B$300,MATCH(B126,'[3]Full Program List'!A$2:A$300,0))</f>
        <v>7</v>
      </c>
      <c r="D126" s="180" t="str">
        <f>INDEX('[3]Full Program List'!C$2:C$300,MATCH(B126,'[3]Full Program List'!A$2:A$300,0))</f>
        <v>SOUTH STORMONT, TOWNSHIP OF</v>
      </c>
      <c r="E126" s="181">
        <v>219085.76</v>
      </c>
      <c r="F126" s="188">
        <v>380.36</v>
      </c>
      <c r="G126" s="188">
        <f t="shared" si="2"/>
        <v>218705.40000000002</v>
      </c>
      <c r="H126" s="183">
        <v>640.13643914704323</v>
      </c>
      <c r="I126" s="184">
        <f t="shared" si="3"/>
        <v>341.65435151827387</v>
      </c>
    </row>
    <row r="127" spans="1:9" x14ac:dyDescent="0.25">
      <c r="A127" s="37">
        <v>7</v>
      </c>
      <c r="B127" s="185">
        <v>321</v>
      </c>
      <c r="C127" s="179">
        <f>INDEX('[3]Full Program List'!B$2:B$300,MATCH(B127,'[3]Full Program List'!A$2:A$300,0))</f>
        <v>7</v>
      </c>
      <c r="D127" s="180" t="str">
        <f>INDEX('[3]Full Program List'!C$2:C$300,MATCH(B127,'[3]Full Program List'!A$2:A$300,0))</f>
        <v>NORTH DUNDAS, TOWNSHIP OF</v>
      </c>
      <c r="E127" s="181">
        <v>430321.48</v>
      </c>
      <c r="F127" s="188">
        <v>59452.28</v>
      </c>
      <c r="G127" s="188">
        <f t="shared" si="2"/>
        <v>370869.19999999995</v>
      </c>
      <c r="H127" s="183">
        <v>443.10000000000008</v>
      </c>
      <c r="I127" s="184">
        <f t="shared" si="3"/>
        <v>836.98758745204213</v>
      </c>
    </row>
    <row r="128" spans="1:9" x14ac:dyDescent="0.25">
      <c r="A128" s="37">
        <v>7</v>
      </c>
      <c r="B128" s="185">
        <v>325</v>
      </c>
      <c r="C128" s="179">
        <f>INDEX('[3]Full Program List'!B$2:B$300,MATCH(B128,'[3]Full Program List'!A$2:A$300,0))</f>
        <v>7</v>
      </c>
      <c r="D128" s="180" t="str">
        <f>INDEX('[3]Full Program List'!C$2:C$300,MATCH(B128,'[3]Full Program List'!A$2:A$300,0))</f>
        <v>WHITEWATER REGION, TOWNSHIP OF</v>
      </c>
      <c r="E128" s="181">
        <v>173160.4</v>
      </c>
      <c r="F128" s="188">
        <v>1356</v>
      </c>
      <c r="G128" s="188">
        <f t="shared" si="2"/>
        <v>171804.4</v>
      </c>
      <c r="H128" s="183">
        <v>400.69285092676949</v>
      </c>
      <c r="I128" s="184">
        <f t="shared" si="3"/>
        <v>428.76831868257841</v>
      </c>
    </row>
    <row r="129" spans="1:9" x14ac:dyDescent="0.25">
      <c r="A129" s="37">
        <v>7</v>
      </c>
      <c r="B129" s="185">
        <v>346</v>
      </c>
      <c r="C129" s="179">
        <f>INDEX('[3]Full Program List'!B$2:B$300,MATCH(B129,'[3]Full Program List'!A$2:A$300,0))</f>
        <v>7</v>
      </c>
      <c r="D129" s="180" t="str">
        <f>INDEX('[3]Full Program List'!C$2:C$300,MATCH(B129,'[3]Full Program List'!A$2:A$300,0))</f>
        <v>SOUTHWOLD, TOWNSHIP OF</v>
      </c>
      <c r="E129" s="181">
        <v>112381.75999999999</v>
      </c>
      <c r="F129" s="188">
        <v>26716.230000000003</v>
      </c>
      <c r="G129" s="188">
        <f t="shared" si="2"/>
        <v>85665.53</v>
      </c>
      <c r="H129" s="183">
        <v>177.69000000000003</v>
      </c>
      <c r="I129" s="184">
        <f t="shared" si="3"/>
        <v>482.10664640666323</v>
      </c>
    </row>
    <row r="130" spans="1:9" x14ac:dyDescent="0.25">
      <c r="A130" s="37">
        <v>7</v>
      </c>
      <c r="B130" s="185">
        <v>358</v>
      </c>
      <c r="C130" s="179">
        <f>INDEX('[3]Full Program List'!B$2:B$300,MATCH(B130,'[3]Full Program List'!A$2:A$300,0))</f>
        <v>7</v>
      </c>
      <c r="D130" s="180" t="str">
        <f>INDEX('[3]Full Program List'!C$2:C$300,MATCH(B130,'[3]Full Program List'!A$2:A$300,0))</f>
        <v>BAYHAM, MUNICIPALITY OF</v>
      </c>
      <c r="E130" s="181">
        <v>233117</v>
      </c>
      <c r="F130" s="188">
        <v>65089.860000000008</v>
      </c>
      <c r="G130" s="188">
        <f t="shared" si="2"/>
        <v>168027.13999999998</v>
      </c>
      <c r="H130" s="183">
        <v>418.90000000000003</v>
      </c>
      <c r="I130" s="184">
        <f t="shared" si="3"/>
        <v>401.11515874910475</v>
      </c>
    </row>
    <row r="131" spans="1:9" x14ac:dyDescent="0.25">
      <c r="A131" s="37">
        <v>7</v>
      </c>
      <c r="B131" s="185">
        <v>361</v>
      </c>
      <c r="C131" s="179">
        <f>INDEX('[3]Full Program List'!B$2:B$300,MATCH(B131,'[3]Full Program List'!A$2:A$300,0))</f>
        <v>7</v>
      </c>
      <c r="D131" s="180" t="str">
        <f>INDEX('[3]Full Program List'!C$2:C$300,MATCH(B131,'[3]Full Program List'!A$2:A$300,0))</f>
        <v>CLARENCE-ROCKLAND, CITY OF</v>
      </c>
      <c r="E131" s="181">
        <v>891571.84</v>
      </c>
      <c r="F131" s="188">
        <v>7476</v>
      </c>
      <c r="G131" s="188">
        <f t="shared" si="2"/>
        <v>884095.84</v>
      </c>
      <c r="H131" s="183">
        <v>1508.942788284392</v>
      </c>
      <c r="I131" s="184">
        <f t="shared" si="3"/>
        <v>585.9041488280559</v>
      </c>
    </row>
    <row r="132" spans="1:9" x14ac:dyDescent="0.25">
      <c r="A132" s="37">
        <v>7</v>
      </c>
      <c r="B132" s="185">
        <v>376</v>
      </c>
      <c r="C132" s="179">
        <f>INDEX('[3]Full Program List'!B$2:B$300,MATCH(B132,'[3]Full Program List'!A$2:A$300,0))</f>
        <v>7</v>
      </c>
      <c r="D132" s="180" t="str">
        <f>INDEX('[3]Full Program List'!C$2:C$300,MATCH(B132,'[3]Full Program List'!A$2:A$300,0))</f>
        <v>THE NATION, MUNICIPALITY</v>
      </c>
      <c r="E132" s="181">
        <v>270593.59000000003</v>
      </c>
      <c r="F132" s="188">
        <v>205</v>
      </c>
      <c r="G132" s="188">
        <f t="shared" si="2"/>
        <v>270388.59000000003</v>
      </c>
      <c r="H132" s="183">
        <v>785.0248588765669</v>
      </c>
      <c r="I132" s="184">
        <f t="shared" si="3"/>
        <v>344.43315640596097</v>
      </c>
    </row>
    <row r="133" spans="1:9" x14ac:dyDescent="0.25">
      <c r="A133" s="37">
        <v>7</v>
      </c>
      <c r="B133" s="185">
        <v>382</v>
      </c>
      <c r="C133" s="179">
        <f>INDEX('[3]Full Program List'!B$2:B$300,MATCH(B133,'[3]Full Program List'!A$2:A$300,0))</f>
        <v>7</v>
      </c>
      <c r="D133" s="180" t="str">
        <f>INDEX('[3]Full Program List'!C$2:C$300,MATCH(B133,'[3]Full Program List'!A$2:A$300,0))</f>
        <v>DUTTON-DUNWICH, MUNICIPALITY OF</v>
      </c>
      <c r="E133" s="181">
        <v>106501.09</v>
      </c>
      <c r="F133" s="188">
        <v>27668.13</v>
      </c>
      <c r="G133" s="188">
        <f t="shared" si="2"/>
        <v>78832.959999999992</v>
      </c>
      <c r="H133" s="183">
        <v>177.19</v>
      </c>
      <c r="I133" s="184">
        <f t="shared" si="3"/>
        <v>444.90637169140467</v>
      </c>
    </row>
    <row r="134" spans="1:9" x14ac:dyDescent="0.25">
      <c r="A134" s="37">
        <v>7</v>
      </c>
      <c r="B134" s="185">
        <v>389</v>
      </c>
      <c r="C134" s="179">
        <f>INDEX('[3]Full Program List'!B$2:B$300,MATCH(B134,'[3]Full Program List'!A$2:A$300,0))</f>
        <v>7</v>
      </c>
      <c r="D134" s="180" t="str">
        <f>INDEX('[3]Full Program List'!C$2:C$300,MATCH(B134,'[3]Full Program List'!A$2:A$300,0))</f>
        <v>GREATER NAPANEE, TOWNSHIP OF</v>
      </c>
      <c r="E134" s="181">
        <v>148142.21</v>
      </c>
      <c r="F134" s="188">
        <v>987</v>
      </c>
      <c r="G134" s="188">
        <f t="shared" ref="G134:G197" si="4">E134-F134</f>
        <v>147155.21</v>
      </c>
      <c r="H134" s="183">
        <v>909.4811851830467</v>
      </c>
      <c r="I134" s="184">
        <f t="shared" ref="I134:I197" si="5">IFERROR(G134/H134,0)</f>
        <v>161.80126911628503</v>
      </c>
    </row>
    <row r="135" spans="1:9" x14ac:dyDescent="0.25">
      <c r="A135" s="37">
        <v>7</v>
      </c>
      <c r="B135" s="185">
        <v>434</v>
      </c>
      <c r="C135" s="179">
        <f>INDEX('[3]Full Program List'!B$2:B$300,MATCH(B135,'[3]Full Program List'!A$2:A$300,0))</f>
        <v>7</v>
      </c>
      <c r="D135" s="180" t="str">
        <f>INDEX('[3]Full Program List'!C$2:C$300,MATCH(B135,'[3]Full Program List'!A$2:A$300,0))</f>
        <v>EDWARDSBURGH CARDINAL, TOWNSHIP OF</v>
      </c>
      <c r="E135" s="181">
        <v>128474.53</v>
      </c>
      <c r="F135" s="188">
        <v>0</v>
      </c>
      <c r="G135" s="188">
        <f t="shared" si="4"/>
        <v>128474.53</v>
      </c>
      <c r="H135" s="183">
        <v>342.03221210120842</v>
      </c>
      <c r="I135" s="184">
        <f t="shared" si="5"/>
        <v>375.62114167768499</v>
      </c>
    </row>
    <row r="136" spans="1:9" x14ac:dyDescent="0.25">
      <c r="A136" s="37">
        <v>7</v>
      </c>
      <c r="B136" s="185">
        <v>437</v>
      </c>
      <c r="C136" s="179">
        <f>INDEX('[3]Full Program List'!B$2:B$300,MATCH(B136,'[3]Full Program List'!A$2:A$300,0))</f>
        <v>7</v>
      </c>
      <c r="D136" s="180" t="str">
        <f>INDEX('[3]Full Program List'!C$2:C$300,MATCH(B136,'[3]Full Program List'!A$2:A$300,0))</f>
        <v>PLYMPTON-WYOMING, TOWN OF</v>
      </c>
      <c r="E136" s="181">
        <v>225876.05</v>
      </c>
      <c r="F136" s="188">
        <v>0</v>
      </c>
      <c r="G136" s="188">
        <f t="shared" si="4"/>
        <v>225876.05</v>
      </c>
      <c r="H136" s="183">
        <v>349.75027864505995</v>
      </c>
      <c r="I136" s="184">
        <f t="shared" si="5"/>
        <v>645.82092936437004</v>
      </c>
    </row>
    <row r="137" spans="1:9" x14ac:dyDescent="0.25">
      <c r="A137" s="37">
        <v>7</v>
      </c>
      <c r="B137" s="185">
        <v>502</v>
      </c>
      <c r="C137" s="179">
        <f>INDEX('[3]Full Program List'!B$2:B$300,MATCH(B137,'[3]Full Program List'!A$2:A$300,0))</f>
        <v>7</v>
      </c>
      <c r="D137" s="180" t="str">
        <f>INDEX('[3]Full Program List'!C$2:C$300,MATCH(B137,'[3]Full Program List'!A$2:A$300,0))</f>
        <v>SOUTH GLENGARRY, TOWNSHIP OF</v>
      </c>
      <c r="E137" s="181">
        <v>297076.51</v>
      </c>
      <c r="F137" s="188">
        <v>0</v>
      </c>
      <c r="G137" s="188">
        <f t="shared" si="4"/>
        <v>297076.51</v>
      </c>
      <c r="H137" s="183">
        <v>616.38916703369796</v>
      </c>
      <c r="I137" s="184">
        <f t="shared" si="5"/>
        <v>481.96257476367822</v>
      </c>
    </row>
    <row r="138" spans="1:9" x14ac:dyDescent="0.25">
      <c r="A138" s="37">
        <v>7</v>
      </c>
      <c r="B138" s="185">
        <v>503</v>
      </c>
      <c r="C138" s="179">
        <f>INDEX('[3]Full Program List'!B$2:B$300,MATCH(B138,'[3]Full Program List'!A$2:A$300,0))</f>
        <v>7</v>
      </c>
      <c r="D138" s="180" t="str">
        <f>INDEX('[3]Full Program List'!C$2:C$300,MATCH(B138,'[3]Full Program List'!A$2:A$300,0))</f>
        <v>MALAHIDE, TOWNSHIP OF</v>
      </c>
      <c r="E138" s="181">
        <v>197273.02</v>
      </c>
      <c r="F138" s="188">
        <v>62642.149999999994</v>
      </c>
      <c r="G138" s="188">
        <f t="shared" si="4"/>
        <v>134630.87</v>
      </c>
      <c r="H138" s="183">
        <v>360.0499999999999</v>
      </c>
      <c r="I138" s="184">
        <f t="shared" si="5"/>
        <v>373.92270517983621</v>
      </c>
    </row>
    <row r="139" spans="1:9" x14ac:dyDescent="0.25">
      <c r="A139" s="37">
        <v>7</v>
      </c>
      <c r="B139" s="185">
        <v>510</v>
      </c>
      <c r="C139" s="179">
        <f>INDEX('[3]Full Program List'!B$2:B$300,MATCH(B139,'[3]Full Program List'!A$2:A$300,0))</f>
        <v>7</v>
      </c>
      <c r="D139" s="180" t="str">
        <f>INDEX('[3]Full Program List'!C$2:C$300,MATCH(B139,'[3]Full Program List'!A$2:A$300,0))</f>
        <v>SOUTH DUNDAS, TOWNSHIP OF</v>
      </c>
      <c r="E139" s="181">
        <v>221305.23</v>
      </c>
      <c r="F139" s="188">
        <v>819</v>
      </c>
      <c r="G139" s="188">
        <f t="shared" si="4"/>
        <v>220486.23</v>
      </c>
      <c r="H139" s="183">
        <v>476.19514109778987</v>
      </c>
      <c r="I139" s="184">
        <f t="shared" si="5"/>
        <v>463.01654714851799</v>
      </c>
    </row>
    <row r="140" spans="1:9" x14ac:dyDescent="0.25">
      <c r="A140" s="37">
        <v>7</v>
      </c>
      <c r="B140" s="185">
        <v>531</v>
      </c>
      <c r="C140" s="179">
        <f>INDEX('[3]Full Program List'!B$2:B$300,MATCH(B140,'[3]Full Program List'!A$2:A$300,0))</f>
        <v>7</v>
      </c>
      <c r="D140" s="180" t="str">
        <f>INDEX('[3]Full Program List'!C$2:C$300,MATCH(B140,'[3]Full Program List'!A$2:A$300,0))</f>
        <v>BRANT, COUNTY OF</v>
      </c>
      <c r="E140" s="181">
        <v>856693.39</v>
      </c>
      <c r="F140" s="188">
        <v>7890.9400000000005</v>
      </c>
      <c r="G140" s="188">
        <f t="shared" si="4"/>
        <v>848802.45000000007</v>
      </c>
      <c r="H140" s="183">
        <v>2029.4400000000003</v>
      </c>
      <c r="I140" s="184">
        <f t="shared" si="5"/>
        <v>418.24466355250706</v>
      </c>
    </row>
    <row r="141" spans="1:9" x14ac:dyDescent="0.25">
      <c r="A141" s="37">
        <v>7</v>
      </c>
      <c r="B141" s="185">
        <v>550</v>
      </c>
      <c r="C141" s="179">
        <f>INDEX('[3]Full Program List'!B$2:B$300,MATCH(B141,'[3]Full Program List'!A$2:A$300,0))</f>
        <v>7</v>
      </c>
      <c r="D141" s="180" t="str">
        <f>INDEX('[3]Full Program List'!C$2:C$300,MATCH(B141,'[3]Full Program List'!A$2:A$300,0))</f>
        <v>HASTINGS HIGHLANDS, MUNICIPALITY OF</v>
      </c>
      <c r="E141" s="181">
        <v>135191.09</v>
      </c>
      <c r="F141" s="188">
        <v>0</v>
      </c>
      <c r="G141" s="188">
        <f t="shared" si="4"/>
        <v>135191.09</v>
      </c>
      <c r="H141" s="183">
        <v>277.95981427587719</v>
      </c>
      <c r="I141" s="184">
        <f t="shared" si="5"/>
        <v>486.3691910004726</v>
      </c>
    </row>
    <row r="142" spans="1:9" x14ac:dyDescent="0.25">
      <c r="A142" s="37">
        <v>7</v>
      </c>
      <c r="B142" s="185">
        <v>551</v>
      </c>
      <c r="C142" s="179">
        <f>INDEX('[3]Full Program List'!B$2:B$300,MATCH(B142,'[3]Full Program List'!A$2:A$300,0))</f>
        <v>7</v>
      </c>
      <c r="D142" s="180" t="str">
        <f>INDEX('[3]Full Program List'!C$2:C$300,MATCH(B142,'[3]Full Program List'!A$2:A$300,0))</f>
        <v>HORTON, TOWNSHIP OF</v>
      </c>
      <c r="E142" s="181">
        <v>86625.43</v>
      </c>
      <c r="F142" s="188">
        <v>246</v>
      </c>
      <c r="G142" s="188">
        <f t="shared" si="4"/>
        <v>86379.43</v>
      </c>
      <c r="H142" s="183">
        <v>165.07</v>
      </c>
      <c r="I142" s="184">
        <f t="shared" si="5"/>
        <v>523.28969528078994</v>
      </c>
    </row>
    <row r="143" spans="1:9" x14ac:dyDescent="0.25">
      <c r="A143" s="37">
        <v>7</v>
      </c>
      <c r="B143" s="185">
        <v>555</v>
      </c>
      <c r="C143" s="179">
        <f>INDEX('[3]Full Program List'!B$2:B$300,MATCH(B143,'[3]Full Program List'!A$2:A$300,0))</f>
        <v>7</v>
      </c>
      <c r="D143" s="180" t="str">
        <f>INDEX('[3]Full Program List'!C$2:C$300,MATCH(B143,'[3]Full Program List'!A$2:A$300,0))</f>
        <v>GREY HIGHLANDS, MUNICIPALITY OF</v>
      </c>
      <c r="E143" s="181">
        <v>467594.79</v>
      </c>
      <c r="F143" s="188">
        <v>774.21</v>
      </c>
      <c r="G143" s="188">
        <f t="shared" si="4"/>
        <v>466820.57999999996</v>
      </c>
      <c r="H143" s="183">
        <v>705.82</v>
      </c>
      <c r="I143" s="184">
        <f t="shared" si="5"/>
        <v>661.38757756935183</v>
      </c>
    </row>
    <row r="144" spans="1:9" x14ac:dyDescent="0.25">
      <c r="A144" s="37">
        <v>7</v>
      </c>
      <c r="B144" s="185">
        <v>556</v>
      </c>
      <c r="C144" s="179">
        <f>INDEX('[3]Full Program List'!B$2:B$300,MATCH(B144,'[3]Full Program List'!A$2:A$300,0))</f>
        <v>7</v>
      </c>
      <c r="D144" s="180" t="str">
        <f>INDEX('[3]Full Program List'!C$2:C$300,MATCH(B144,'[3]Full Program List'!A$2:A$300,0))</f>
        <v>MCNAB-BRAESIDE, TOWNSHIP OF</v>
      </c>
      <c r="E144" s="181">
        <v>156309.14000000001</v>
      </c>
      <c r="F144" s="188">
        <v>427</v>
      </c>
      <c r="G144" s="188">
        <f t="shared" si="4"/>
        <v>155882.14000000001</v>
      </c>
      <c r="H144" s="183">
        <v>399.46326028334249</v>
      </c>
      <c r="I144" s="184">
        <f t="shared" si="5"/>
        <v>390.22897847835009</v>
      </c>
    </row>
    <row r="145" spans="1:9" x14ac:dyDescent="0.25">
      <c r="A145" s="37">
        <v>7</v>
      </c>
      <c r="B145" s="185">
        <v>558</v>
      </c>
      <c r="C145" s="179">
        <f>INDEX('[3]Full Program List'!B$2:B$300,MATCH(B145,'[3]Full Program List'!A$2:A$300,0))</f>
        <v>7</v>
      </c>
      <c r="D145" s="180" t="str">
        <f>INDEX('[3]Full Program List'!C$2:C$300,MATCH(B145,'[3]Full Program List'!A$2:A$300,0))</f>
        <v>SOUTHWEST MIDDLESEX, MUNICIPALITY OF</v>
      </c>
      <c r="E145" s="181">
        <v>165308.60999999999</v>
      </c>
      <c r="F145" s="188">
        <v>22409</v>
      </c>
      <c r="G145" s="188">
        <f t="shared" si="4"/>
        <v>142899.60999999999</v>
      </c>
      <c r="H145" s="183">
        <v>305.78979646739623</v>
      </c>
      <c r="I145" s="184">
        <f t="shared" si="5"/>
        <v>467.31320551186593</v>
      </c>
    </row>
    <row r="146" spans="1:9" x14ac:dyDescent="0.25">
      <c r="A146" s="37">
        <v>7</v>
      </c>
      <c r="B146" s="185">
        <v>600</v>
      </c>
      <c r="C146" s="179">
        <f>INDEX('[3]Full Program List'!B$2:B$300,MATCH(B146,'[3]Full Program List'!A$2:A$300,0))</f>
        <v>7</v>
      </c>
      <c r="D146" s="180" t="str">
        <f>INDEX('[3]Full Program List'!C$2:C$300,MATCH(B146,'[3]Full Program List'!A$2:A$300,0))</f>
        <v>ALFRED AND PLANTAGENET, TOWNSHIP OF</v>
      </c>
      <c r="E146" s="181">
        <v>238860.15</v>
      </c>
      <c r="F146" s="188">
        <v>10</v>
      </c>
      <c r="G146" s="188">
        <f t="shared" si="4"/>
        <v>238850.15</v>
      </c>
      <c r="H146" s="183">
        <v>741.18</v>
      </c>
      <c r="I146" s="184">
        <f t="shared" si="5"/>
        <v>322.25660433363015</v>
      </c>
    </row>
    <row r="147" spans="1:9" x14ac:dyDescent="0.25">
      <c r="A147" s="37">
        <v>7</v>
      </c>
      <c r="B147" s="185">
        <v>604</v>
      </c>
      <c r="C147" s="179">
        <f>INDEX('[3]Full Program List'!B$2:B$300,MATCH(B147,'[3]Full Program List'!A$2:A$300,0))</f>
        <v>7</v>
      </c>
      <c r="D147" s="180" t="str">
        <f>INDEX('[3]Full Program List'!C$2:C$300,MATCH(B147,'[3]Full Program List'!A$2:A$300,0))</f>
        <v>WEST GREY, MUNICIPALITY OF</v>
      </c>
      <c r="E147" s="181">
        <v>218649.53</v>
      </c>
      <c r="F147" s="188">
        <v>40098.400000000001</v>
      </c>
      <c r="G147" s="188">
        <f t="shared" si="4"/>
        <v>178551.13</v>
      </c>
      <c r="H147" s="183">
        <v>663.01441323913355</v>
      </c>
      <c r="I147" s="184">
        <f t="shared" si="5"/>
        <v>269.30203391460941</v>
      </c>
    </row>
    <row r="148" spans="1:9" x14ac:dyDescent="0.25">
      <c r="A148" s="37">
        <v>7</v>
      </c>
      <c r="B148" s="185">
        <v>612</v>
      </c>
      <c r="C148" s="179">
        <f>INDEX('[3]Full Program List'!B$2:B$300,MATCH(B148,'[3]Full Program List'!A$2:A$300,0))</f>
        <v>7</v>
      </c>
      <c r="D148" s="180" t="str">
        <f>INDEX('[3]Full Program List'!C$2:C$300,MATCH(B148,'[3]Full Program List'!A$2:A$300,0))</f>
        <v>SOUTHGATE, TOWNSHIP OF</v>
      </c>
      <c r="E148" s="181">
        <v>194053.99</v>
      </c>
      <c r="F148" s="188">
        <v>1285.3399999999999</v>
      </c>
      <c r="G148" s="188">
        <f t="shared" si="4"/>
        <v>192768.65</v>
      </c>
      <c r="H148" s="183">
        <v>520.57952624249731</v>
      </c>
      <c r="I148" s="184">
        <f t="shared" si="5"/>
        <v>370.29625692617839</v>
      </c>
    </row>
    <row r="149" spans="1:9" x14ac:dyDescent="0.25">
      <c r="A149" s="37">
        <v>7</v>
      </c>
      <c r="B149" s="185">
        <v>711</v>
      </c>
      <c r="C149" s="179">
        <f>INDEX('[3]Full Program List'!B$2:B$300,MATCH(B149,'[3]Full Program List'!A$2:A$300,0))</f>
        <v>7</v>
      </c>
      <c r="D149" s="180" t="str">
        <f>INDEX('[3]Full Program List'!C$2:C$300,MATCH(B149,'[3]Full Program List'!A$2:A$300,0))</f>
        <v>BANCROFT, TOWN OF</v>
      </c>
      <c r="E149" s="181">
        <v>210277.86</v>
      </c>
      <c r="F149" s="188">
        <v>25071.68</v>
      </c>
      <c r="G149" s="188">
        <f t="shared" si="4"/>
        <v>185206.18</v>
      </c>
      <c r="H149" s="183">
        <v>383.03000000000003</v>
      </c>
      <c r="I149" s="184">
        <f t="shared" si="5"/>
        <v>483.52917526042341</v>
      </c>
    </row>
    <row r="150" spans="1:9" x14ac:dyDescent="0.25">
      <c r="A150" s="37">
        <v>7</v>
      </c>
      <c r="B150" s="185">
        <v>712</v>
      </c>
      <c r="C150" s="179">
        <f>INDEX('[3]Full Program List'!B$2:B$300,MATCH(B150,'[3]Full Program List'!A$2:A$300,0))</f>
        <v>7</v>
      </c>
      <c r="D150" s="180" t="str">
        <f>INDEX('[3]Full Program List'!C$2:C$300,MATCH(B150,'[3]Full Program List'!A$2:A$300,0))</f>
        <v>BECKWITH, TOWNSHIP OF</v>
      </c>
      <c r="E150" s="181">
        <v>276945.74</v>
      </c>
      <c r="F150" s="188">
        <v>0</v>
      </c>
      <c r="G150" s="188">
        <f t="shared" si="4"/>
        <v>276945.74</v>
      </c>
      <c r="H150" s="183">
        <v>577.44136596925159</v>
      </c>
      <c r="I150" s="184">
        <f t="shared" si="5"/>
        <v>479.60841796489376</v>
      </c>
    </row>
    <row r="151" spans="1:9" x14ac:dyDescent="0.25">
      <c r="A151" s="37">
        <v>7</v>
      </c>
      <c r="B151" s="185">
        <v>718</v>
      </c>
      <c r="C151" s="179">
        <f>INDEX('[3]Full Program List'!B$2:B$300,MATCH(B151,'[3]Full Program List'!A$2:A$300,0))</f>
        <v>7</v>
      </c>
      <c r="D151" s="180" t="str">
        <f>INDEX('[3]Full Program List'!C$2:C$300,MATCH(B151,'[3]Full Program List'!A$2:A$300,0))</f>
        <v>MISSISSAUGAS OF THE NEW CREDIT FIRST NATION</v>
      </c>
      <c r="E151" s="181">
        <v>21138.42</v>
      </c>
      <c r="F151" s="188">
        <v>0</v>
      </c>
      <c r="G151" s="188">
        <f t="shared" si="4"/>
        <v>21138.42</v>
      </c>
      <c r="H151" s="183">
        <v>41.596316531073334</v>
      </c>
      <c r="I151" s="184">
        <f t="shared" si="5"/>
        <v>508.18009292263048</v>
      </c>
    </row>
    <row r="152" spans="1:9" x14ac:dyDescent="0.25">
      <c r="A152" s="37">
        <v>7</v>
      </c>
      <c r="B152" s="185">
        <v>736</v>
      </c>
      <c r="C152" s="179">
        <f>INDEX('[3]Full Program List'!B$2:B$300,MATCH(B152,'[3]Full Program List'!A$2:A$300,0))</f>
        <v>7</v>
      </c>
      <c r="D152" s="180" t="str">
        <f>INDEX('[3]Full Program List'!C$2:C$300,MATCH(B152,'[3]Full Program List'!A$2:A$300,0))</f>
        <v>LAURENTIAN HILLS, TOWN OF</v>
      </c>
      <c r="E152" s="181">
        <v>50940.17</v>
      </c>
      <c r="F152" s="188">
        <v>0</v>
      </c>
      <c r="G152" s="188">
        <f t="shared" si="4"/>
        <v>50940.17</v>
      </c>
      <c r="H152" s="183">
        <v>139.26018147577855</v>
      </c>
      <c r="I152" s="184">
        <f t="shared" si="5"/>
        <v>365.79135155629535</v>
      </c>
    </row>
    <row r="153" spans="1:9" x14ac:dyDescent="0.25">
      <c r="A153" s="37">
        <v>7</v>
      </c>
      <c r="B153" s="185">
        <v>757</v>
      </c>
      <c r="C153" s="179">
        <f>INDEX('[3]Full Program List'!B$2:B$300,MATCH(B153,'[3]Full Program List'!A$2:A$300,0))</f>
        <v>7</v>
      </c>
      <c r="D153" s="180" t="str">
        <f>INDEX('[3]Full Program List'!C$2:C$300,MATCH(B153,'[3]Full Program List'!A$2:A$300,0))</f>
        <v>DRUMMOND-NORTH ELMSLEY, TOWNSHIP OF</v>
      </c>
      <c r="E153" s="181">
        <v>297694.98</v>
      </c>
      <c r="F153" s="188">
        <v>55134</v>
      </c>
      <c r="G153" s="188">
        <f t="shared" si="4"/>
        <v>242560.97999999998</v>
      </c>
      <c r="H153" s="183">
        <v>451.19999999999993</v>
      </c>
      <c r="I153" s="184">
        <f t="shared" si="5"/>
        <v>537.5908244680852</v>
      </c>
    </row>
    <row r="154" spans="1:9" x14ac:dyDescent="0.25">
      <c r="A154" s="37">
        <v>7</v>
      </c>
      <c r="B154" s="185">
        <v>786</v>
      </c>
      <c r="C154" s="179">
        <f>INDEX('[3]Full Program List'!B$2:B$300,MATCH(B154,'[3]Full Program List'!A$2:A$300,0))</f>
        <v>7</v>
      </c>
      <c r="D154" s="180" t="str">
        <f>INDEX('[3]Full Program List'!C$2:C$300,MATCH(B154,'[3]Full Program List'!A$2:A$300,0))</f>
        <v>HALDIMAND, COUNTY OF</v>
      </c>
      <c r="E154" s="181">
        <v>1542106.66</v>
      </c>
      <c r="F154" s="188">
        <v>369767.38</v>
      </c>
      <c r="G154" s="188">
        <f t="shared" si="4"/>
        <v>1172339.2799999998</v>
      </c>
      <c r="H154" s="183">
        <v>3074.88</v>
      </c>
      <c r="I154" s="184">
        <f t="shared" si="5"/>
        <v>381.26342491414289</v>
      </c>
    </row>
    <row r="155" spans="1:9" x14ac:dyDescent="0.25">
      <c r="A155" s="37">
        <v>7</v>
      </c>
      <c r="B155" s="185">
        <v>854</v>
      </c>
      <c r="C155" s="179">
        <f>INDEX('[3]Full Program List'!B$2:B$300,MATCH(B155,'[3]Full Program List'!A$2:A$300,0))</f>
        <v>7</v>
      </c>
      <c r="D155" s="180" t="str">
        <f>INDEX('[3]Full Program List'!C$2:C$300,MATCH(B155,'[3]Full Program List'!A$2:A$300,0))</f>
        <v>MISSISSIPPI MILLS, TOWN OF</v>
      </c>
      <c r="E155" s="181">
        <v>485829.07</v>
      </c>
      <c r="F155" s="188">
        <v>31273.13</v>
      </c>
      <c r="G155" s="188">
        <f t="shared" si="4"/>
        <v>454555.94</v>
      </c>
      <c r="H155" s="183">
        <v>831.67</v>
      </c>
      <c r="I155" s="184">
        <f t="shared" si="5"/>
        <v>546.55805788353553</v>
      </c>
    </row>
    <row r="156" spans="1:9" x14ac:dyDescent="0.25">
      <c r="A156" s="37">
        <v>7</v>
      </c>
      <c r="B156" s="185">
        <v>855</v>
      </c>
      <c r="C156" s="179">
        <f>INDEX('[3]Full Program List'!B$2:B$300,MATCH(B156,'[3]Full Program List'!A$2:A$300,0))</f>
        <v>7</v>
      </c>
      <c r="D156" s="180" t="str">
        <f>INDEX('[3]Full Program List'!C$2:C$300,MATCH(B156,'[3]Full Program List'!A$2:A$300,0))</f>
        <v>MONTAGUE, TOWNSHIP OF</v>
      </c>
      <c r="E156" s="181">
        <v>130165.58</v>
      </c>
      <c r="F156" s="188">
        <v>8084</v>
      </c>
      <c r="G156" s="188">
        <f t="shared" si="4"/>
        <v>122081.58</v>
      </c>
      <c r="H156" s="183">
        <v>235.38</v>
      </c>
      <c r="I156" s="184">
        <f t="shared" si="5"/>
        <v>518.65740504715779</v>
      </c>
    </row>
    <row r="157" spans="1:9" x14ac:dyDescent="0.25">
      <c r="A157" s="37">
        <v>7</v>
      </c>
      <c r="B157" s="185">
        <v>862</v>
      </c>
      <c r="C157" s="179">
        <f>INDEX('[3]Full Program List'!B$2:B$300,MATCH(B157,'[3]Full Program List'!A$2:A$300,0))</f>
        <v>7</v>
      </c>
      <c r="D157" s="180" t="str">
        <f>INDEX('[3]Full Program List'!C$2:C$300,MATCH(B157,'[3]Full Program List'!A$2:A$300,0))</f>
        <v>NEWBURY,  VILLAGE OF</v>
      </c>
      <c r="E157" s="181">
        <v>10279.34</v>
      </c>
      <c r="F157" s="188">
        <v>7583.34</v>
      </c>
      <c r="G157" s="188">
        <f t="shared" si="4"/>
        <v>2696</v>
      </c>
      <c r="H157" s="183">
        <v>13.661113692780718</v>
      </c>
      <c r="I157" s="184">
        <f t="shared" si="5"/>
        <v>197.3484783619592</v>
      </c>
    </row>
    <row r="158" spans="1:9" x14ac:dyDescent="0.25">
      <c r="A158" s="37">
        <v>7</v>
      </c>
      <c r="B158" s="185">
        <v>958</v>
      </c>
      <c r="C158" s="179">
        <f>INDEX('[3]Full Program List'!B$2:B$300,MATCH(B158,'[3]Full Program List'!A$2:A$300,0))</f>
        <v>7</v>
      </c>
      <c r="D158" s="180" t="str">
        <f>INDEX('[3]Full Program List'!C$2:C$300,MATCH(B158,'[3]Full Program List'!A$2:A$300,0))</f>
        <v>DEEP RIVER, TOWN OF</v>
      </c>
      <c r="E158" s="181">
        <v>140218.67000000001</v>
      </c>
      <c r="F158" s="188">
        <v>354.28</v>
      </c>
      <c r="G158" s="188">
        <f t="shared" si="4"/>
        <v>139864.39000000001</v>
      </c>
      <c r="H158" s="183">
        <v>546.78810980277444</v>
      </c>
      <c r="I158" s="184">
        <f t="shared" si="5"/>
        <v>255.7926690294141</v>
      </c>
    </row>
    <row r="159" spans="1:9" x14ac:dyDescent="0.25">
      <c r="A159" s="37">
        <v>7</v>
      </c>
      <c r="B159" s="185">
        <v>967</v>
      </c>
      <c r="C159" s="179">
        <f>INDEX('[3]Full Program List'!B$2:B$300,MATCH(B159,'[3]Full Program List'!A$2:A$300,0))</f>
        <v>7</v>
      </c>
      <c r="D159" s="180" t="str">
        <f>INDEX('[3]Full Program List'!C$2:C$300,MATCH(B159,'[3]Full Program List'!A$2:A$300,0))</f>
        <v>MOHAWKS OF THE BAY OF QUINTE</v>
      </c>
      <c r="E159" s="181">
        <v>78031.91</v>
      </c>
      <c r="F159" s="188">
        <v>0</v>
      </c>
      <c r="G159" s="188">
        <f t="shared" si="4"/>
        <v>78031.91</v>
      </c>
      <c r="H159" s="183">
        <v>164.34925526629246</v>
      </c>
      <c r="I159" s="184">
        <f t="shared" si="5"/>
        <v>474.79320714636737</v>
      </c>
    </row>
    <row r="160" spans="1:9" x14ac:dyDescent="0.25">
      <c r="A160" s="37">
        <v>7</v>
      </c>
      <c r="B160" s="185">
        <v>971</v>
      </c>
      <c r="C160" s="179">
        <f>INDEX('[3]Full Program List'!B$2:B$300,MATCH(B160,'[3]Full Program List'!A$2:A$300,0))</f>
        <v>7</v>
      </c>
      <c r="D160" s="180" t="str">
        <f>INDEX('[3]Full Program List'!C$2:C$300,MATCH(B160,'[3]Full Program List'!A$2:A$300,0))</f>
        <v>LOYALIST, TOWNSHIP OF</v>
      </c>
      <c r="E160" s="181">
        <v>514125.27</v>
      </c>
      <c r="F160" s="188">
        <v>183938.21</v>
      </c>
      <c r="G160" s="188">
        <f t="shared" si="4"/>
        <v>330187.06000000006</v>
      </c>
      <c r="H160" s="183">
        <v>998.46</v>
      </c>
      <c r="I160" s="184">
        <f t="shared" si="5"/>
        <v>330.69633235182187</v>
      </c>
    </row>
    <row r="161" spans="1:9" x14ac:dyDescent="0.25">
      <c r="A161" s="37">
        <v>7</v>
      </c>
      <c r="B161" s="185">
        <v>975</v>
      </c>
      <c r="C161" s="179">
        <f>INDEX('[3]Full Program List'!B$2:B$300,MATCH(B161,'[3]Full Program List'!A$2:A$300,0))</f>
        <v>7</v>
      </c>
      <c r="D161" s="180" t="str">
        <f>INDEX('[3]Full Program List'!C$2:C$300,MATCH(B161,'[3]Full Program List'!A$2:A$300,0))</f>
        <v>ALGONQUINS OF PIKWAKANAGAN</v>
      </c>
      <c r="E161" s="181">
        <v>28116.78</v>
      </c>
      <c r="F161" s="188">
        <v>0</v>
      </c>
      <c r="G161" s="188">
        <f t="shared" si="4"/>
        <v>28116.78</v>
      </c>
      <c r="H161" s="183">
        <v>44.57792750117175</v>
      </c>
      <c r="I161" s="184">
        <f t="shared" si="5"/>
        <v>630.73322552424486</v>
      </c>
    </row>
    <row r="162" spans="1:9" x14ac:dyDescent="0.25">
      <c r="A162" s="37">
        <v>7</v>
      </c>
      <c r="B162" s="185">
        <v>976</v>
      </c>
      <c r="C162" s="179">
        <f>INDEX('[3]Full Program List'!B$2:B$300,MATCH(B162,'[3]Full Program List'!A$2:A$300,0))</f>
        <v>7</v>
      </c>
      <c r="D162" s="180" t="str">
        <f>INDEX('[3]Full Program List'!C$2:C$300,MATCH(B162,'[3]Full Program List'!A$2:A$300,0))</f>
        <v>CHIPPEWAS OF NAWASH FIRST NATION</v>
      </c>
      <c r="E162" s="181">
        <v>18946.21</v>
      </c>
      <c r="F162" s="188">
        <v>0</v>
      </c>
      <c r="G162" s="188">
        <f t="shared" si="4"/>
        <v>18946.21</v>
      </c>
      <c r="H162" s="183">
        <v>26.241426249095088</v>
      </c>
      <c r="I162" s="184">
        <f t="shared" si="5"/>
        <v>721.99619868807019</v>
      </c>
    </row>
    <row r="163" spans="1:9" x14ac:dyDescent="0.25">
      <c r="A163" s="37">
        <v>7</v>
      </c>
      <c r="B163" s="185">
        <v>977</v>
      </c>
      <c r="C163" s="179">
        <f>INDEX('[3]Full Program List'!B$2:B$300,MATCH(B163,'[3]Full Program List'!A$2:A$300,0))</f>
        <v>7</v>
      </c>
      <c r="D163" s="180" t="str">
        <f>INDEX('[3]Full Program List'!C$2:C$300,MATCH(B163,'[3]Full Program List'!A$2:A$300,0))</f>
        <v>ALDERVILLE FIRST NATION</v>
      </c>
      <c r="E163" s="181">
        <v>31092.49</v>
      </c>
      <c r="F163" s="188">
        <v>0</v>
      </c>
      <c r="G163" s="188">
        <f t="shared" si="4"/>
        <v>31092.49</v>
      </c>
      <c r="H163" s="183">
        <v>38.56595987754006</v>
      </c>
      <c r="I163" s="184">
        <f t="shared" si="5"/>
        <v>806.21589865075714</v>
      </c>
    </row>
    <row r="164" spans="1:9" x14ac:dyDescent="0.25">
      <c r="A164" s="37">
        <v>7</v>
      </c>
      <c r="B164" s="185">
        <v>981</v>
      </c>
      <c r="C164" s="179">
        <f>INDEX('[3]Full Program List'!B$2:B$300,MATCH(B164,'[3]Full Program List'!A$2:A$300,0))</f>
        <v>7</v>
      </c>
      <c r="D164" s="180" t="str">
        <f>INDEX('[3]Full Program List'!C$2:C$300,MATCH(B164,'[3]Full Program List'!A$2:A$300,0))</f>
        <v>CHIPPEWAS OF RAMA FIRST NATION</v>
      </c>
      <c r="E164" s="181">
        <v>175857.35</v>
      </c>
      <c r="F164" s="188">
        <v>0</v>
      </c>
      <c r="G164" s="188">
        <f t="shared" si="4"/>
        <v>175857.35</v>
      </c>
      <c r="H164" s="183">
        <v>106.73027607099695</v>
      </c>
      <c r="I164" s="184">
        <f t="shared" si="5"/>
        <v>1647.68008173257</v>
      </c>
    </row>
    <row r="165" spans="1:9" x14ac:dyDescent="0.25">
      <c r="A165" s="37">
        <v>7</v>
      </c>
      <c r="B165" s="185">
        <v>983</v>
      </c>
      <c r="C165" s="179">
        <f>INDEX('[3]Full Program List'!B$2:B$300,MATCH(B165,'[3]Full Program List'!A$2:A$300,0))</f>
        <v>7</v>
      </c>
      <c r="D165" s="180" t="str">
        <f>INDEX('[3]Full Program List'!C$2:C$300,MATCH(B165,'[3]Full Program List'!A$2:A$300,0))</f>
        <v>CURVE LAKE FIRST NATION</v>
      </c>
      <c r="E165" s="181">
        <v>30365.53</v>
      </c>
      <c r="F165" s="188">
        <v>300</v>
      </c>
      <c r="G165" s="188">
        <f t="shared" si="4"/>
        <v>30065.53</v>
      </c>
      <c r="H165" s="183">
        <v>130.98756795566317</v>
      </c>
      <c r="I165" s="184">
        <f t="shared" si="5"/>
        <v>229.52964521164799</v>
      </c>
    </row>
    <row r="166" spans="1:9" x14ac:dyDescent="0.25">
      <c r="A166" s="37">
        <v>7</v>
      </c>
      <c r="B166" s="185">
        <v>188</v>
      </c>
      <c r="C166" s="179">
        <f>INDEX('[3]Full Program List'!B$2:B$300,MATCH(B166,'[3]Full Program List'!A$2:A$300,0))</f>
        <v>8</v>
      </c>
      <c r="D166" s="180" t="str">
        <f>INDEX('[3]Full Program List'!C$2:C$300,MATCH(B166,'[3]Full Program List'!A$2:A$300,0))</f>
        <v>ARMOUR, TOWNSHIP OF</v>
      </c>
      <c r="E166" s="181">
        <v>224188.27</v>
      </c>
      <c r="F166" s="188">
        <v>33999</v>
      </c>
      <c r="G166" s="188">
        <f t="shared" si="4"/>
        <v>190189.27</v>
      </c>
      <c r="H166" s="183">
        <v>291.43</v>
      </c>
      <c r="I166" s="184">
        <f t="shared" si="5"/>
        <v>652.60704114195516</v>
      </c>
    </row>
    <row r="167" spans="1:9" x14ac:dyDescent="0.25">
      <c r="A167" s="37">
        <v>7</v>
      </c>
      <c r="B167" s="185">
        <v>232</v>
      </c>
      <c r="C167" s="179">
        <f>INDEX('[3]Full Program List'!B$2:B$300,MATCH(B167,'[3]Full Program List'!A$2:A$300,0))</f>
        <v>8</v>
      </c>
      <c r="D167" s="180" t="str">
        <f>INDEX('[3]Full Program List'!C$2:C$300,MATCH(B167,'[3]Full Program List'!A$2:A$300,0))</f>
        <v>WHITESTONE, MUNICIPALITY OF</v>
      </c>
      <c r="E167" s="181">
        <v>85300.54</v>
      </c>
      <c r="F167" s="188">
        <v>0</v>
      </c>
      <c r="G167" s="188">
        <f t="shared" si="4"/>
        <v>85300.54</v>
      </c>
      <c r="H167" s="183">
        <v>100.04889750119882</v>
      </c>
      <c r="I167" s="184">
        <f t="shared" si="5"/>
        <v>852.58850552528963</v>
      </c>
    </row>
    <row r="168" spans="1:9" x14ac:dyDescent="0.25">
      <c r="A168" s="37">
        <v>8</v>
      </c>
      <c r="B168" s="185">
        <v>245</v>
      </c>
      <c r="C168" s="179">
        <f>INDEX('[3]Full Program List'!B$2:B$300,MATCH(B168,'[3]Full Program List'!A$2:A$300,0))</f>
        <v>8</v>
      </c>
      <c r="D168" s="180" t="str">
        <f>INDEX('[3]Full Program List'!C$2:C$300,MATCH(B168,'[3]Full Program List'!A$2:A$300,0))</f>
        <v>THE ARCHIPELAGO, TOWNSHIP OF</v>
      </c>
      <c r="E168" s="181">
        <v>634489.53</v>
      </c>
      <c r="F168" s="188">
        <v>0</v>
      </c>
      <c r="G168" s="188">
        <f t="shared" si="4"/>
        <v>634489.53</v>
      </c>
      <c r="H168" s="183">
        <v>192.11449692779453</v>
      </c>
      <c r="I168" s="184">
        <f t="shared" si="5"/>
        <v>3302.6634644780106</v>
      </c>
    </row>
    <row r="169" spans="1:9" x14ac:dyDescent="0.25">
      <c r="A169" s="37">
        <v>8</v>
      </c>
      <c r="B169" s="185">
        <v>372</v>
      </c>
      <c r="C169" s="179">
        <f>INDEX('[3]Full Program List'!B$2:B$300,MATCH(B169,'[3]Full Program List'!A$2:A$300,0))</f>
        <v>8</v>
      </c>
      <c r="D169" s="180" t="str">
        <f>INDEX('[3]Full Program List'!C$2:C$300,MATCH(B169,'[3]Full Program List'!A$2:A$300,0))</f>
        <v>CARLING, TOWNSHIP OF</v>
      </c>
      <c r="E169" s="181">
        <v>75377.2</v>
      </c>
      <c r="F169" s="188">
        <v>0</v>
      </c>
      <c r="G169" s="188">
        <f t="shared" si="4"/>
        <v>75377.2</v>
      </c>
      <c r="H169" s="183">
        <v>125.81000000000002</v>
      </c>
      <c r="I169" s="184">
        <f t="shared" si="5"/>
        <v>599.1352038788649</v>
      </c>
    </row>
    <row r="170" spans="1:9" x14ac:dyDescent="0.25">
      <c r="A170" s="37">
        <v>8</v>
      </c>
      <c r="B170" s="185">
        <v>375</v>
      </c>
      <c r="C170" s="179">
        <f>INDEX('[3]Full Program List'!B$2:B$300,MATCH(B170,'[3]Full Program List'!A$2:A$300,0))</f>
        <v>8</v>
      </c>
      <c r="D170" s="180" t="str">
        <f>INDEX('[3]Full Program List'!C$2:C$300,MATCH(B170,'[3]Full Program List'!A$2:A$300,0))</f>
        <v>MCDOUGALL, MUNICIPALITY OF</v>
      </c>
      <c r="E170" s="181">
        <v>216301.79</v>
      </c>
      <c r="F170" s="188">
        <v>0</v>
      </c>
      <c r="G170" s="188">
        <f t="shared" si="4"/>
        <v>216301.79</v>
      </c>
      <c r="H170" s="183">
        <v>176.49</v>
      </c>
      <c r="I170" s="184">
        <f t="shared" si="5"/>
        <v>1225.575330047028</v>
      </c>
    </row>
    <row r="171" spans="1:9" x14ac:dyDescent="0.25">
      <c r="A171" s="37">
        <v>8</v>
      </c>
      <c r="B171" s="185">
        <v>404</v>
      </c>
      <c r="C171" s="179">
        <f>INDEX('[3]Full Program List'!B$2:B$300,MATCH(B171,'[3]Full Program List'!A$2:A$300,0))</f>
        <v>8</v>
      </c>
      <c r="D171" s="180" t="str">
        <f>INDEX('[3]Full Program List'!C$2:C$300,MATCH(B171,'[3]Full Program List'!A$2:A$300,0))</f>
        <v>SEGUIN, TOWNSHIP OF</v>
      </c>
      <c r="E171" s="181">
        <v>227998.07999999999</v>
      </c>
      <c r="F171" s="188">
        <v>8.66</v>
      </c>
      <c r="G171" s="188">
        <f t="shared" si="4"/>
        <v>227989.41999999998</v>
      </c>
      <c r="H171" s="183">
        <v>464.38745447782185</v>
      </c>
      <c r="I171" s="184">
        <f t="shared" si="5"/>
        <v>490.94655293037908</v>
      </c>
    </row>
    <row r="172" spans="1:9" x14ac:dyDescent="0.25">
      <c r="A172" s="37">
        <v>8</v>
      </c>
      <c r="B172" s="185">
        <v>413</v>
      </c>
      <c r="C172" s="179">
        <f>INDEX('[3]Full Program List'!B$2:B$300,MATCH(B172,'[3]Full Program List'!A$2:A$300,0))</f>
        <v>8</v>
      </c>
      <c r="D172" s="180" t="str">
        <f>INDEX('[3]Full Program List'!C$2:C$300,MATCH(B172,'[3]Full Program List'!A$2:A$300,0))</f>
        <v>MCKELLAR, TOWNSHIP OF</v>
      </c>
      <c r="E172" s="181">
        <v>54520.28</v>
      </c>
      <c r="F172" s="188">
        <v>115</v>
      </c>
      <c r="G172" s="188">
        <f t="shared" si="4"/>
        <v>54405.279999999999</v>
      </c>
      <c r="H172" s="183">
        <v>86.789999999999992</v>
      </c>
      <c r="I172" s="184">
        <f t="shared" si="5"/>
        <v>626.86115911971433</v>
      </c>
    </row>
    <row r="173" spans="1:9" x14ac:dyDescent="0.25">
      <c r="A173" s="37">
        <v>8</v>
      </c>
      <c r="B173" s="185">
        <v>537</v>
      </c>
      <c r="C173" s="179">
        <f>INDEX('[3]Full Program List'!B$2:B$300,MATCH(B173,'[3]Full Program List'!A$2:A$300,0))</f>
        <v>8</v>
      </c>
      <c r="D173" s="180" t="str">
        <f>INDEX('[3]Full Program List'!C$2:C$300,MATCH(B173,'[3]Full Program List'!A$2:A$300,0))</f>
        <v>CASEY, TOWNSHIP OF</v>
      </c>
      <c r="E173" s="181">
        <v>11142.79</v>
      </c>
      <c r="F173" s="188">
        <v>0</v>
      </c>
      <c r="G173" s="188">
        <f t="shared" si="4"/>
        <v>11142.79</v>
      </c>
      <c r="H173" s="183">
        <v>19.904487402564385</v>
      </c>
      <c r="I173" s="184">
        <f t="shared" si="5"/>
        <v>559.81295949195987</v>
      </c>
    </row>
    <row r="174" spans="1:9" x14ac:dyDescent="0.25">
      <c r="A174" s="37">
        <v>8</v>
      </c>
      <c r="B174" s="185">
        <v>545</v>
      </c>
      <c r="C174" s="179">
        <f>INDEX('[3]Full Program List'!B$2:B$300,MATCH(B174,'[3]Full Program List'!A$2:A$300,0))</f>
        <v>8</v>
      </c>
      <c r="D174" s="180" t="str">
        <f>INDEX('[3]Full Program List'!C$2:C$300,MATCH(B174,'[3]Full Program List'!A$2:A$300,0))</f>
        <v>GILLIES, TOWNSHIP OF</v>
      </c>
      <c r="E174" s="181">
        <v>6076.64</v>
      </c>
      <c r="F174" s="188">
        <v>0</v>
      </c>
      <c r="G174" s="188">
        <f t="shared" si="4"/>
        <v>6076.64</v>
      </c>
      <c r="H174" s="183">
        <v>16.281058267240422</v>
      </c>
      <c r="I174" s="184">
        <f t="shared" si="5"/>
        <v>373.23372352440873</v>
      </c>
    </row>
    <row r="175" spans="1:9" x14ac:dyDescent="0.25">
      <c r="A175" s="37">
        <v>8</v>
      </c>
      <c r="B175" s="185">
        <v>602</v>
      </c>
      <c r="C175" s="179">
        <f>INDEX('[3]Full Program List'!B$2:B$300,MATCH(B175,'[3]Full Program List'!A$2:A$300,0))</f>
        <v>8</v>
      </c>
      <c r="D175" s="180" t="str">
        <f>INDEX('[3]Full Program List'!C$2:C$300,MATCH(B175,'[3]Full Program List'!A$2:A$300,0))</f>
        <v>CHIPPEWAS OF THE THAMES FIRST NATION</v>
      </c>
      <c r="E175" s="181">
        <v>12099.67</v>
      </c>
      <c r="F175" s="188">
        <v>0</v>
      </c>
      <c r="G175" s="188">
        <f t="shared" si="4"/>
        <v>12099.67</v>
      </c>
      <c r="H175" s="183">
        <v>10.602186147080214</v>
      </c>
      <c r="I175" s="184">
        <f t="shared" si="5"/>
        <v>1141.2429316129471</v>
      </c>
    </row>
    <row r="176" spans="1:9" x14ac:dyDescent="0.25">
      <c r="A176" s="37">
        <v>8</v>
      </c>
      <c r="B176" s="185">
        <v>605</v>
      </c>
      <c r="C176" s="179">
        <f>INDEX('[3]Full Program List'!B$2:B$300,MATCH(B176,'[3]Full Program List'!A$2:A$300,0))</f>
        <v>8</v>
      </c>
      <c r="D176" s="180" t="str">
        <f>INDEX('[3]Full Program List'!C$2:C$300,MATCH(B176,'[3]Full Program List'!A$2:A$300,0))</f>
        <v>KERNS, TOWNSHIP OF</v>
      </c>
      <c r="E176" s="181">
        <v>9953.11</v>
      </c>
      <c r="F176" s="188">
        <v>0</v>
      </c>
      <c r="G176" s="188">
        <f t="shared" si="4"/>
        <v>9953.11</v>
      </c>
      <c r="H176" s="183">
        <v>17.987157187460227</v>
      </c>
      <c r="I176" s="184">
        <f t="shared" si="5"/>
        <v>553.34536170834303</v>
      </c>
    </row>
    <row r="177" spans="1:9" x14ac:dyDescent="0.25">
      <c r="A177" s="37">
        <v>8</v>
      </c>
      <c r="B177" s="185">
        <v>607</v>
      </c>
      <c r="C177" s="179">
        <f>INDEX('[3]Full Program List'!B$2:B$300,MATCH(B177,'[3]Full Program List'!A$2:A$300,0))</f>
        <v>8</v>
      </c>
      <c r="D177" s="180" t="str">
        <f>INDEX('[3]Full Program List'!C$2:C$300,MATCH(B177,'[3]Full Program List'!A$2:A$300,0))</f>
        <v>HUDSON, TOWNSHIP OF</v>
      </c>
      <c r="E177" s="181">
        <v>15112.39</v>
      </c>
      <c r="F177" s="188">
        <v>0</v>
      </c>
      <c r="G177" s="188">
        <f t="shared" si="4"/>
        <v>15112.39</v>
      </c>
      <c r="H177" s="183">
        <v>26.988860061762811</v>
      </c>
      <c r="I177" s="184">
        <f t="shared" si="5"/>
        <v>559.949177750226</v>
      </c>
    </row>
    <row r="178" spans="1:9" x14ac:dyDescent="0.25">
      <c r="A178" s="37">
        <v>8</v>
      </c>
      <c r="B178" s="185">
        <v>610</v>
      </c>
      <c r="C178" s="179">
        <f>INDEX('[3]Full Program List'!B$2:B$300,MATCH(B178,'[3]Full Program List'!A$2:A$300,0))</f>
        <v>8</v>
      </c>
      <c r="D178" s="180" t="str">
        <f>INDEX('[3]Full Program List'!C$2:C$300,MATCH(B178,'[3]Full Program List'!A$2:A$300,0))</f>
        <v>NEEBING, MUNICIPALITY OF</v>
      </c>
      <c r="E178" s="181">
        <v>26597.53</v>
      </c>
      <c r="F178" s="188">
        <v>0</v>
      </c>
      <c r="G178" s="188">
        <f t="shared" si="4"/>
        <v>26597.53</v>
      </c>
      <c r="H178" s="183">
        <v>66.425018068074081</v>
      </c>
      <c r="I178" s="184">
        <f t="shared" si="5"/>
        <v>400.41434347435421</v>
      </c>
    </row>
    <row r="179" spans="1:9" x14ac:dyDescent="0.25">
      <c r="A179" s="37">
        <v>8</v>
      </c>
      <c r="B179" s="185">
        <v>611</v>
      </c>
      <c r="C179" s="179">
        <f>INDEX('[3]Full Program List'!B$2:B$300,MATCH(B179,'[3]Full Program List'!A$2:A$300,0))</f>
        <v>8</v>
      </c>
      <c r="D179" s="180" t="str">
        <f>INDEX('[3]Full Program List'!C$2:C$300,MATCH(B179,'[3]Full Program List'!A$2:A$300,0))</f>
        <v>CALVIN, MUNICIPALITY OF</v>
      </c>
      <c r="E179" s="181">
        <v>27958.57</v>
      </c>
      <c r="F179" s="188">
        <v>0</v>
      </c>
      <c r="G179" s="188">
        <f t="shared" si="4"/>
        <v>27958.57</v>
      </c>
      <c r="H179" s="183">
        <v>19.031531650101531</v>
      </c>
      <c r="I179" s="184">
        <f t="shared" si="5"/>
        <v>1469.0656807882744</v>
      </c>
    </row>
    <row r="180" spans="1:9" x14ac:dyDescent="0.25">
      <c r="A180" s="37">
        <v>8</v>
      </c>
      <c r="B180" s="185">
        <v>616</v>
      </c>
      <c r="C180" s="179">
        <f>INDEX('[3]Full Program List'!B$2:B$300,MATCH(B180,'[3]Full Program List'!A$2:A$300,0))</f>
        <v>8</v>
      </c>
      <c r="D180" s="180" t="str">
        <f>INDEX('[3]Full Program List'!C$2:C$300,MATCH(B180,'[3]Full Program List'!A$2:A$300,0))</f>
        <v>PERRY, TOWNSHIP OF</v>
      </c>
      <c r="E180" s="181">
        <v>213811.28</v>
      </c>
      <c r="F180" s="188">
        <v>0</v>
      </c>
      <c r="G180" s="188">
        <f t="shared" si="4"/>
        <v>213811.28</v>
      </c>
      <c r="H180" s="183">
        <v>179.09000000000003</v>
      </c>
      <c r="I180" s="184">
        <f t="shared" si="5"/>
        <v>1193.8761516555919</v>
      </c>
    </row>
    <row r="181" spans="1:9" x14ac:dyDescent="0.25">
      <c r="A181" s="37">
        <v>8</v>
      </c>
      <c r="B181" s="185">
        <v>692</v>
      </c>
      <c r="C181" s="179">
        <f>INDEX('[3]Full Program List'!B$2:B$300,MATCH(B181,'[3]Full Program List'!A$2:A$300,0))</f>
        <v>8</v>
      </c>
      <c r="D181" s="180" t="str">
        <f>INDEX('[3]Full Program List'!C$2:C$300,MATCH(B181,'[3]Full Program List'!A$2:A$300,0))</f>
        <v>NORTHEAST RECYCLING ASSOCIATION</v>
      </c>
      <c r="E181" s="181">
        <v>103835.41</v>
      </c>
      <c r="F181" s="188">
        <v>0</v>
      </c>
      <c r="G181" s="188">
        <f t="shared" si="4"/>
        <v>103835.41</v>
      </c>
      <c r="H181" s="183">
        <v>324.73850537213622</v>
      </c>
      <c r="I181" s="184">
        <f t="shared" si="5"/>
        <v>319.75084039082196</v>
      </c>
    </row>
    <row r="182" spans="1:9" x14ac:dyDescent="0.25">
      <c r="A182" s="37">
        <v>8</v>
      </c>
      <c r="B182" s="185">
        <v>706</v>
      </c>
      <c r="C182" s="179">
        <f>INDEX('[3]Full Program List'!B$2:B$300,MATCH(B182,'[3]Full Program List'!A$2:A$300,0))</f>
        <v>8</v>
      </c>
      <c r="D182" s="180" t="str">
        <f>INDEX('[3]Full Program List'!C$2:C$300,MATCH(B182,'[3]Full Program List'!A$2:A$300,0))</f>
        <v>ARMSTRONG, TOWNSHIP OF</v>
      </c>
      <c r="E182" s="181">
        <v>62987.97</v>
      </c>
      <c r="F182" s="188">
        <v>45530</v>
      </c>
      <c r="G182" s="188">
        <f t="shared" si="4"/>
        <v>17457.97</v>
      </c>
      <c r="H182" s="183">
        <v>68.365821017379318</v>
      </c>
      <c r="I182" s="184">
        <f t="shared" si="5"/>
        <v>255.36108160775251</v>
      </c>
    </row>
    <row r="183" spans="1:9" x14ac:dyDescent="0.25">
      <c r="A183" s="37">
        <v>8</v>
      </c>
      <c r="B183" s="185">
        <v>709</v>
      </c>
      <c r="C183" s="179">
        <f>INDEX('[3]Full Program List'!B$2:B$300,MATCH(B183,'[3]Full Program List'!A$2:A$300,0))</f>
        <v>8</v>
      </c>
      <c r="D183" s="180" t="str">
        <f>INDEX('[3]Full Program List'!C$2:C$300,MATCH(B183,'[3]Full Program List'!A$2:A$300,0))</f>
        <v>ASSIGINACK,  TOWNSHIP OF</v>
      </c>
      <c r="E183" s="181">
        <v>48233.84</v>
      </c>
      <c r="F183" s="188">
        <v>0</v>
      </c>
      <c r="G183" s="188">
        <f t="shared" si="4"/>
        <v>48233.84</v>
      </c>
      <c r="H183" s="183">
        <v>74.174681626699126</v>
      </c>
      <c r="I183" s="184">
        <f t="shared" si="5"/>
        <v>650.27363707130837</v>
      </c>
    </row>
    <row r="184" spans="1:9" x14ac:dyDescent="0.25">
      <c r="A184" s="37">
        <v>8</v>
      </c>
      <c r="B184" s="185">
        <v>714</v>
      </c>
      <c r="C184" s="179">
        <f>INDEX('[3]Full Program List'!B$2:B$300,MATCH(B184,'[3]Full Program List'!A$2:A$300,0))</f>
        <v>8</v>
      </c>
      <c r="D184" s="180" t="str">
        <f>INDEX('[3]Full Program List'!C$2:C$300,MATCH(B184,'[3]Full Program List'!A$2:A$300,0))</f>
        <v>BILLINGS, TOWNSHIP OF</v>
      </c>
      <c r="E184" s="181">
        <v>36713.449999999997</v>
      </c>
      <c r="F184" s="188">
        <v>0</v>
      </c>
      <c r="G184" s="188">
        <f t="shared" si="4"/>
        <v>36713.449999999997</v>
      </c>
      <c r="H184" s="183">
        <v>47.438691956333841</v>
      </c>
      <c r="I184" s="184">
        <f t="shared" si="5"/>
        <v>773.91362379455643</v>
      </c>
    </row>
    <row r="185" spans="1:9" x14ac:dyDescent="0.25">
      <c r="A185" s="37">
        <v>8</v>
      </c>
      <c r="B185" s="185">
        <v>749</v>
      </c>
      <c r="C185" s="179">
        <f>INDEX('[3]Full Program List'!B$2:B$300,MATCH(B185,'[3]Full Program List'!A$2:A$300,0))</f>
        <v>8</v>
      </c>
      <c r="D185" s="180" t="str">
        <f>INDEX('[3]Full Program List'!C$2:C$300,MATCH(B185,'[3]Full Program List'!A$2:A$300,0))</f>
        <v>CONMEE,  TOWNSHIP OF</v>
      </c>
      <c r="E185" s="181">
        <v>8284.82</v>
      </c>
      <c r="F185" s="188">
        <v>0</v>
      </c>
      <c r="G185" s="188">
        <f t="shared" si="4"/>
        <v>8284.82</v>
      </c>
      <c r="H185" s="183">
        <v>19.847617438557059</v>
      </c>
      <c r="I185" s="184">
        <f t="shared" si="5"/>
        <v>417.42138700766463</v>
      </c>
    </row>
    <row r="186" spans="1:9" x14ac:dyDescent="0.25">
      <c r="A186" s="37">
        <v>8</v>
      </c>
      <c r="B186" s="185">
        <v>764</v>
      </c>
      <c r="C186" s="179">
        <f>INDEX('[3]Full Program List'!B$2:B$300,MATCH(B186,'[3]Full Program List'!A$2:A$300,0))</f>
        <v>8</v>
      </c>
      <c r="D186" s="180" t="str">
        <f>INDEX('[3]Full Program List'!C$2:C$300,MATCH(B186,'[3]Full Program List'!A$2:A$300,0))</f>
        <v>EMO, TOWNSHIP OF</v>
      </c>
      <c r="E186" s="181">
        <v>15230.64</v>
      </c>
      <c r="F186" s="188">
        <v>0</v>
      </c>
      <c r="G186" s="188">
        <f t="shared" si="4"/>
        <v>15230.64</v>
      </c>
      <c r="H186" s="183">
        <v>56.099999999999994</v>
      </c>
      <c r="I186" s="184">
        <f t="shared" si="5"/>
        <v>271.4909090909091</v>
      </c>
    </row>
    <row r="187" spans="1:9" x14ac:dyDescent="0.25">
      <c r="A187" s="37">
        <v>8</v>
      </c>
      <c r="B187" s="185">
        <v>775</v>
      </c>
      <c r="C187" s="179">
        <f>INDEX('[3]Full Program List'!B$2:B$300,MATCH(B187,'[3]Full Program List'!A$2:A$300,0))</f>
        <v>8</v>
      </c>
      <c r="D187" s="180" t="str">
        <f>INDEX('[3]Full Program List'!C$2:C$300,MATCH(B187,'[3]Full Program List'!A$2:A$300,0))</f>
        <v>FRENCH RIVER, MUNICIPALITY OF</v>
      </c>
      <c r="E187" s="181">
        <v>28443.79</v>
      </c>
      <c r="F187" s="188">
        <v>0</v>
      </c>
      <c r="G187" s="188">
        <f t="shared" si="4"/>
        <v>28443.79</v>
      </c>
      <c r="H187" s="183">
        <v>224.96988220877736</v>
      </c>
      <c r="I187" s="184">
        <f t="shared" si="5"/>
        <v>126.43376847041014</v>
      </c>
    </row>
    <row r="188" spans="1:9" x14ac:dyDescent="0.25">
      <c r="A188" s="37">
        <v>8</v>
      </c>
      <c r="B188" s="185">
        <v>790</v>
      </c>
      <c r="C188" s="179">
        <f>INDEX('[3]Full Program List'!B$2:B$300,MATCH(B188,'[3]Full Program List'!A$2:A$300,0))</f>
        <v>8</v>
      </c>
      <c r="D188" s="180" t="str">
        <f>INDEX('[3]Full Program List'!C$2:C$300,MATCH(B188,'[3]Full Program List'!A$2:A$300,0))</f>
        <v>HARLEY, TOWNSHIP OF</v>
      </c>
      <c r="E188" s="181">
        <v>11267.83</v>
      </c>
      <c r="F188" s="188">
        <v>0</v>
      </c>
      <c r="G188" s="188">
        <f t="shared" si="4"/>
        <v>11267.83</v>
      </c>
      <c r="H188" s="183">
        <v>19.904487402564385</v>
      </c>
      <c r="I188" s="184">
        <f t="shared" si="5"/>
        <v>566.09496000124648</v>
      </c>
    </row>
    <row r="189" spans="1:9" x14ac:dyDescent="0.25">
      <c r="A189" s="37">
        <v>8</v>
      </c>
      <c r="B189" s="185">
        <v>795</v>
      </c>
      <c r="C189" s="179">
        <f>INDEX('[3]Full Program List'!B$2:B$300,MATCH(B189,'[3]Full Program List'!A$2:A$300,0))</f>
        <v>8</v>
      </c>
      <c r="D189" s="180" t="str">
        <f>INDEX('[3]Full Program List'!C$2:C$300,MATCH(B189,'[3]Full Program List'!A$2:A$300,0))</f>
        <v>HEARST, TOWN OF</v>
      </c>
      <c r="E189" s="181">
        <v>115302.87</v>
      </c>
      <c r="F189" s="188">
        <v>44679.360000000001</v>
      </c>
      <c r="G189" s="188">
        <f t="shared" si="4"/>
        <v>70623.509999999995</v>
      </c>
      <c r="H189" s="183">
        <v>54.951852431979624</v>
      </c>
      <c r="I189" s="184">
        <f t="shared" si="5"/>
        <v>1285.1888858054244</v>
      </c>
    </row>
    <row r="190" spans="1:9" x14ac:dyDescent="0.25">
      <c r="A190" s="37">
        <v>8</v>
      </c>
      <c r="B190" s="185">
        <v>796</v>
      </c>
      <c r="C190" s="179">
        <f>INDEX('[3]Full Program List'!B$2:B$300,MATCH(B190,'[3]Full Program List'!A$2:A$300,0))</f>
        <v>8</v>
      </c>
      <c r="D190" s="180" t="str">
        <f>INDEX('[3]Full Program List'!C$2:C$300,MATCH(B190,'[3]Full Program List'!A$2:A$300,0))</f>
        <v>HILLIARD,  TOWNSHIP OF</v>
      </c>
      <c r="E190" s="181">
        <v>19373.02</v>
      </c>
      <c r="F190" s="188">
        <v>0</v>
      </c>
      <c r="G190" s="188">
        <f t="shared" si="4"/>
        <v>19373.02</v>
      </c>
      <c r="H190" s="183">
        <v>19.498273373940624</v>
      </c>
      <c r="I190" s="184">
        <f t="shared" si="5"/>
        <v>993.57618125777105</v>
      </c>
    </row>
    <row r="191" spans="1:9" x14ac:dyDescent="0.25">
      <c r="A191" s="37">
        <v>8</v>
      </c>
      <c r="B191" s="185">
        <v>797</v>
      </c>
      <c r="C191" s="179">
        <f>INDEX('[3]Full Program List'!B$2:B$300,MATCH(B191,'[3]Full Program List'!A$2:A$300,0))</f>
        <v>8</v>
      </c>
      <c r="D191" s="180" t="str">
        <f>INDEX('[3]Full Program List'!C$2:C$300,MATCH(B191,'[3]Full Program List'!A$2:A$300,0))</f>
        <v>HILTON BEACH,  VILLAGE OF</v>
      </c>
      <c r="E191" s="181">
        <v>30616.75</v>
      </c>
      <c r="F191" s="188">
        <v>980</v>
      </c>
      <c r="G191" s="188">
        <f t="shared" si="4"/>
        <v>29636.75</v>
      </c>
      <c r="H191" s="183">
        <v>30.721683870330171</v>
      </c>
      <c r="I191" s="184">
        <f t="shared" si="5"/>
        <v>964.68507797588666</v>
      </c>
    </row>
    <row r="192" spans="1:9" x14ac:dyDescent="0.25">
      <c r="A192" s="37">
        <v>8</v>
      </c>
      <c r="B192" s="185">
        <v>801</v>
      </c>
      <c r="C192" s="179">
        <f>INDEX('[3]Full Program List'!B$2:B$300,MATCH(B192,'[3]Full Program List'!A$2:A$300,0))</f>
        <v>8</v>
      </c>
      <c r="D192" s="180" t="str">
        <f>INDEX('[3]Full Program List'!C$2:C$300,MATCH(B192,'[3]Full Program List'!A$2:A$300,0))</f>
        <v>HURON SHORES,  MUNICIPALITY OF</v>
      </c>
      <c r="E192" s="181">
        <v>96218.880000000005</v>
      </c>
      <c r="F192" s="188">
        <v>0</v>
      </c>
      <c r="G192" s="188">
        <f t="shared" si="4"/>
        <v>96218.880000000005</v>
      </c>
      <c r="H192" s="183">
        <v>143.04840559045437</v>
      </c>
      <c r="I192" s="184">
        <f t="shared" si="5"/>
        <v>672.63161447233006</v>
      </c>
    </row>
    <row r="193" spans="1:9" x14ac:dyDescent="0.25">
      <c r="A193" s="37">
        <v>8</v>
      </c>
      <c r="B193" s="185">
        <v>810</v>
      </c>
      <c r="C193" s="179">
        <f>INDEX('[3]Full Program List'!B$2:B$300,MATCH(B193,'[3]Full Program List'!A$2:A$300,0))</f>
        <v>8</v>
      </c>
      <c r="D193" s="180" t="str">
        <f>INDEX('[3]Full Program List'!C$2:C$300,MATCH(B193,'[3]Full Program List'!A$2:A$300,0))</f>
        <v>KEARNEY, TOWN OF</v>
      </c>
      <c r="E193" s="181">
        <v>111927.06</v>
      </c>
      <c r="F193" s="188">
        <v>0</v>
      </c>
      <c r="G193" s="188">
        <f t="shared" si="4"/>
        <v>111927.06</v>
      </c>
      <c r="H193" s="183">
        <v>125.74000000000001</v>
      </c>
      <c r="I193" s="184">
        <f t="shared" si="5"/>
        <v>890.14681087959275</v>
      </c>
    </row>
    <row r="194" spans="1:9" x14ac:dyDescent="0.25">
      <c r="A194" s="37"/>
      <c r="B194" s="185">
        <v>812</v>
      </c>
      <c r="C194" s="179">
        <f>INDEX('[3]Full Program List'!B$2:B$300,MATCH(B194,'[3]Full Program List'!A$2:A$300,0))</f>
        <v>8</v>
      </c>
      <c r="D194" s="180" t="str">
        <f>INDEX('[3]Full Program List'!C$2:C$300,MATCH(B194,'[3]Full Program List'!A$2:A$300,0))</f>
        <v>KILLARNEY, MUNICIPALITY OF</v>
      </c>
      <c r="E194" s="181">
        <v>82675.56</v>
      </c>
      <c r="F194" s="188">
        <v>265.60000000000002</v>
      </c>
      <c r="G194" s="188">
        <f t="shared" si="4"/>
        <v>82409.959999999992</v>
      </c>
      <c r="H194" s="183">
        <v>55.821931813477519</v>
      </c>
      <c r="I194" s="184">
        <f t="shared" si="5"/>
        <v>1476.3007535347087</v>
      </c>
    </row>
    <row r="195" spans="1:9" x14ac:dyDescent="0.25">
      <c r="A195" s="37">
        <v>8</v>
      </c>
      <c r="B195" s="185">
        <v>818</v>
      </c>
      <c r="C195" s="179">
        <f>INDEX('[3]Full Program List'!B$2:B$300,MATCH(B195,'[3]Full Program List'!A$2:A$300,0))</f>
        <v>8</v>
      </c>
      <c r="D195" s="180" t="str">
        <f>INDEX('[3]Full Program List'!C$2:C$300,MATCH(B195,'[3]Full Program List'!A$2:A$300,0))</f>
        <v>LAIRD, TOWNSHIP OF</v>
      </c>
      <c r="E195" s="181">
        <v>18460.29</v>
      </c>
      <c r="F195" s="188">
        <v>0</v>
      </c>
      <c r="G195" s="188">
        <f t="shared" si="4"/>
        <v>18460.29</v>
      </c>
      <c r="H195" s="183">
        <v>40.59703002065887</v>
      </c>
      <c r="I195" s="184">
        <f t="shared" si="5"/>
        <v>454.72020959676104</v>
      </c>
    </row>
    <row r="196" spans="1:9" x14ac:dyDescent="0.25">
      <c r="A196" s="37">
        <v>8</v>
      </c>
      <c r="B196" s="185">
        <v>833</v>
      </c>
      <c r="C196" s="179">
        <f>INDEX('[3]Full Program List'!B$2:B$300,MATCH(B196,'[3]Full Program List'!A$2:A$300,0))</f>
        <v>8</v>
      </c>
      <c r="D196" s="180" t="str">
        <f>INDEX('[3]Full Program List'!C$2:C$300,MATCH(B196,'[3]Full Program List'!A$2:A$300,0))</f>
        <v>MACDONALD, MEREDITH &amp; ABERDEEN ADDITIONAL, TOWNSHIP OF</v>
      </c>
      <c r="E196" s="181">
        <v>37925.160000000003</v>
      </c>
      <c r="F196" s="188">
        <v>0</v>
      </c>
      <c r="G196" s="188">
        <f t="shared" si="4"/>
        <v>37925.160000000003</v>
      </c>
      <c r="H196" s="183">
        <v>72.202285870646477</v>
      </c>
      <c r="I196" s="184">
        <f t="shared" si="5"/>
        <v>525.26259442733669</v>
      </c>
    </row>
    <row r="197" spans="1:9" x14ac:dyDescent="0.25">
      <c r="A197" s="37">
        <v>8</v>
      </c>
      <c r="B197" s="185">
        <v>834</v>
      </c>
      <c r="C197" s="179">
        <f>INDEX('[3]Full Program List'!B$2:B$300,MATCH(B197,'[3]Full Program List'!A$2:A$300,0))</f>
        <v>8</v>
      </c>
      <c r="D197" s="180" t="str">
        <f>INDEX('[3]Full Program List'!C$2:C$300,MATCH(B197,'[3]Full Program List'!A$2:A$300,0))</f>
        <v>MACHAR, TOWNSHIP OF</v>
      </c>
      <c r="E197" s="181">
        <v>49019.92</v>
      </c>
      <c r="F197" s="188">
        <v>7882.9</v>
      </c>
      <c r="G197" s="188">
        <f t="shared" si="4"/>
        <v>41137.019999999997</v>
      </c>
      <c r="H197" s="183">
        <v>109.27</v>
      </c>
      <c r="I197" s="184">
        <f t="shared" si="5"/>
        <v>376.4713096000732</v>
      </c>
    </row>
    <row r="198" spans="1:9" x14ac:dyDescent="0.25">
      <c r="A198" s="37">
        <v>8</v>
      </c>
      <c r="B198" s="185">
        <v>837</v>
      </c>
      <c r="C198" s="179">
        <f>INDEX('[3]Full Program List'!B$2:B$300,MATCH(B198,'[3]Full Program List'!A$2:A$300,0))</f>
        <v>8</v>
      </c>
      <c r="D198" s="180" t="str">
        <f>INDEX('[3]Full Program List'!C$2:C$300,MATCH(B198,'[3]Full Program List'!A$2:A$300,0))</f>
        <v>MAGNETAWAN, MUNICIPALITY OF</v>
      </c>
      <c r="E198" s="181">
        <v>97723.08</v>
      </c>
      <c r="F198" s="188">
        <v>0</v>
      </c>
      <c r="G198" s="188">
        <f t="shared" ref="G198:G249" si="6">E198-F198</f>
        <v>97723.08</v>
      </c>
      <c r="H198" s="183">
        <v>177.75</v>
      </c>
      <c r="I198" s="184">
        <f t="shared" ref="I198:I249" si="7">IFERROR(G198/H198,0)</f>
        <v>549.77822784810132</v>
      </c>
    </row>
    <row r="199" spans="1:9" x14ac:dyDescent="0.25">
      <c r="A199" s="37">
        <v>8</v>
      </c>
      <c r="B199" s="185">
        <v>845</v>
      </c>
      <c r="C199" s="179">
        <f>INDEX('[3]Full Program List'!B$2:B$300,MATCH(B199,'[3]Full Program List'!A$2:A$300,0))</f>
        <v>8</v>
      </c>
      <c r="D199" s="180" t="str">
        <f>INDEX('[3]Full Program List'!C$2:C$300,MATCH(B199,'[3]Full Program List'!A$2:A$300,0))</f>
        <v>MATTICE-VAL CÔTÉ,  TOWNSHIP OF</v>
      </c>
      <c r="E199" s="181">
        <v>4119.76</v>
      </c>
      <c r="F199" s="188">
        <v>0</v>
      </c>
      <c r="G199" s="188">
        <f t="shared" si="6"/>
        <v>4119.76</v>
      </c>
      <c r="H199" s="183">
        <v>2.3479170854453502</v>
      </c>
      <c r="I199" s="184">
        <f t="shared" si="7"/>
        <v>1754.6445849975869</v>
      </c>
    </row>
    <row r="200" spans="1:9" x14ac:dyDescent="0.25">
      <c r="A200" s="37">
        <v>8</v>
      </c>
      <c r="B200" s="185">
        <v>847</v>
      </c>
      <c r="C200" s="179">
        <f>INDEX('[3]Full Program List'!B$2:B$300,MATCH(B200,'[3]Full Program List'!A$2:A$300,0))</f>
        <v>8</v>
      </c>
      <c r="D200" s="180" t="str">
        <f>INDEX('[3]Full Program List'!C$2:C$300,MATCH(B200,'[3]Full Program List'!A$2:A$300,0))</f>
        <v>MCMURRICH/MONTEITH, TOWNSHIP OF</v>
      </c>
      <c r="E200" s="181">
        <v>85855.54</v>
      </c>
      <c r="F200" s="188">
        <v>0</v>
      </c>
      <c r="G200" s="188">
        <f t="shared" si="6"/>
        <v>85855.54</v>
      </c>
      <c r="H200" s="183">
        <v>69.978173383271198</v>
      </c>
      <c r="I200" s="184">
        <f t="shared" si="7"/>
        <v>1226.8902694811466</v>
      </c>
    </row>
    <row r="201" spans="1:9" x14ac:dyDescent="0.25">
      <c r="A201" s="37">
        <v>8</v>
      </c>
      <c r="B201" s="185">
        <v>866</v>
      </c>
      <c r="C201" s="179">
        <f>INDEX('[3]Full Program List'!B$2:B$300,MATCH(B201,'[3]Full Program List'!A$2:A$300,0))</f>
        <v>8</v>
      </c>
      <c r="D201" s="180" t="str">
        <f>INDEX('[3]Full Program List'!C$2:C$300,MATCH(B201,'[3]Full Program List'!A$2:A$300,0))</f>
        <v>NIPISSING, TOWNSHIP OF</v>
      </c>
      <c r="E201" s="181">
        <v>58460.25</v>
      </c>
      <c r="F201" s="188">
        <v>0</v>
      </c>
      <c r="G201" s="188">
        <f t="shared" si="6"/>
        <v>58460.25</v>
      </c>
      <c r="H201" s="183">
        <v>125.71511757848218</v>
      </c>
      <c r="I201" s="184">
        <f t="shared" si="7"/>
        <v>465.02163881367801</v>
      </c>
    </row>
    <row r="202" spans="1:9" x14ac:dyDescent="0.25">
      <c r="A202" s="37">
        <v>8</v>
      </c>
      <c r="B202" s="185">
        <v>871</v>
      </c>
      <c r="C202" s="179">
        <f>INDEX('[3]Full Program List'!B$2:B$300,MATCH(B202,'[3]Full Program List'!A$2:A$300,0))</f>
        <v>8</v>
      </c>
      <c r="D202" s="180" t="str">
        <f>INDEX('[3]Full Program List'!C$2:C$300,MATCH(B202,'[3]Full Program List'!A$2:A$300,0))</f>
        <v>OCONNOR,  TOWNSHIP OF</v>
      </c>
      <c r="E202" s="181">
        <v>10418.42</v>
      </c>
      <c r="F202" s="188">
        <v>0</v>
      </c>
      <c r="G202" s="188">
        <f t="shared" si="6"/>
        <v>10418.42</v>
      </c>
      <c r="H202" s="183">
        <v>16.527144824886271</v>
      </c>
      <c r="I202" s="184">
        <f t="shared" si="7"/>
        <v>630.38232619055498</v>
      </c>
    </row>
    <row r="203" spans="1:9" x14ac:dyDescent="0.25">
      <c r="A203" s="37">
        <v>8</v>
      </c>
      <c r="B203" s="185">
        <v>873</v>
      </c>
      <c r="C203" s="179">
        <f>INDEX('[3]Full Program List'!B$2:B$300,MATCH(B203,'[3]Full Program List'!A$2:A$300,0))</f>
        <v>8</v>
      </c>
      <c r="D203" s="180" t="str">
        <f>INDEX('[3]Full Program List'!C$2:C$300,MATCH(B203,'[3]Full Program List'!A$2:A$300,0))</f>
        <v>OLIVER PAIPOONGE,  MUNICIPALITY OF</v>
      </c>
      <c r="E203" s="181">
        <v>67478.509999999995</v>
      </c>
      <c r="F203" s="188">
        <v>0</v>
      </c>
      <c r="G203" s="188">
        <f t="shared" si="6"/>
        <v>67478.509999999995</v>
      </c>
      <c r="H203" s="183">
        <v>163.97</v>
      </c>
      <c r="I203" s="184">
        <f t="shared" si="7"/>
        <v>411.52960907483072</v>
      </c>
    </row>
    <row r="204" spans="1:9" x14ac:dyDescent="0.25">
      <c r="A204" s="37">
        <v>8</v>
      </c>
      <c r="B204" s="185">
        <v>895</v>
      </c>
      <c r="C204" s="179">
        <f>INDEX('[3]Full Program List'!B$2:B$300,MATCH(B204,'[3]Full Program List'!A$2:A$300,0))</f>
        <v>8</v>
      </c>
      <c r="D204" s="180" t="str">
        <f>INDEX('[3]Full Program List'!C$2:C$300,MATCH(B204,'[3]Full Program List'!A$2:A$300,0))</f>
        <v>RAINY RIVER, TOWN OF</v>
      </c>
      <c r="E204" s="181">
        <v>12929.53</v>
      </c>
      <c r="F204" s="188">
        <v>0</v>
      </c>
      <c r="G204" s="188">
        <f t="shared" si="6"/>
        <v>12929.53</v>
      </c>
      <c r="H204" s="183">
        <v>33.271276233906718</v>
      </c>
      <c r="I204" s="184">
        <f t="shared" si="7"/>
        <v>388.60937912635683</v>
      </c>
    </row>
    <row r="205" spans="1:9" x14ac:dyDescent="0.25">
      <c r="A205" s="37">
        <v>8</v>
      </c>
      <c r="B205" s="185">
        <v>897</v>
      </c>
      <c r="C205" s="179">
        <f>INDEX('[3]Full Program List'!B$2:B$300,MATCH(B205,'[3]Full Program List'!A$2:A$300,0))</f>
        <v>8</v>
      </c>
      <c r="D205" s="180" t="str">
        <f>INDEX('[3]Full Program List'!C$2:C$300,MATCH(B205,'[3]Full Program List'!A$2:A$300,0))</f>
        <v>RED LAKE, MUNICIPALITY OF</v>
      </c>
      <c r="E205" s="181">
        <v>261720.97</v>
      </c>
      <c r="F205" s="188">
        <v>119</v>
      </c>
      <c r="G205" s="188">
        <f t="shared" si="6"/>
        <v>261601.97</v>
      </c>
      <c r="H205" s="183">
        <v>67.748375693871196</v>
      </c>
      <c r="I205" s="184">
        <f t="shared" si="7"/>
        <v>3861.3762665259828</v>
      </c>
    </row>
    <row r="206" spans="1:9" x14ac:dyDescent="0.25">
      <c r="A206" s="37">
        <v>8</v>
      </c>
      <c r="B206" s="185">
        <v>905</v>
      </c>
      <c r="C206" s="179">
        <f>INDEX('[3]Full Program List'!B$2:B$300,MATCH(B206,'[3]Full Program List'!A$2:A$300,0))</f>
        <v>8</v>
      </c>
      <c r="D206" s="180" t="str">
        <f>INDEX('[3]Full Program List'!C$2:C$300,MATCH(B206,'[3]Full Program List'!A$2:A$300,0))</f>
        <v>SHUNIAH, MUNICIPALITY OF</v>
      </c>
      <c r="E206" s="181">
        <v>52773.440000000002</v>
      </c>
      <c r="F206" s="188">
        <v>0</v>
      </c>
      <c r="G206" s="188">
        <f t="shared" si="6"/>
        <v>52773.440000000002</v>
      </c>
      <c r="H206" s="183">
        <v>105.28369884343577</v>
      </c>
      <c r="I206" s="184">
        <f t="shared" si="7"/>
        <v>501.24986659594663</v>
      </c>
    </row>
    <row r="207" spans="1:9" x14ac:dyDescent="0.25">
      <c r="A207" s="37">
        <v>8</v>
      </c>
      <c r="B207" s="185">
        <v>907</v>
      </c>
      <c r="C207" s="179">
        <f>INDEX('[3]Full Program List'!B$2:B$300,MATCH(B207,'[3]Full Program List'!A$2:A$300,0))</f>
        <v>8</v>
      </c>
      <c r="D207" s="180" t="str">
        <f>INDEX('[3]Full Program List'!C$2:C$300,MATCH(B207,'[3]Full Program List'!A$2:A$300,0))</f>
        <v>SIOUX NARROWS NESTOR FALLS, TOWNSHIP OF</v>
      </c>
      <c r="E207" s="181">
        <v>18116.95</v>
      </c>
      <c r="F207" s="188">
        <v>0</v>
      </c>
      <c r="G207" s="188">
        <f t="shared" si="6"/>
        <v>18116.95</v>
      </c>
      <c r="H207" s="183">
        <v>12.115084280824727</v>
      </c>
      <c r="I207" s="184">
        <f t="shared" si="7"/>
        <v>1495.404371942735</v>
      </c>
    </row>
    <row r="208" spans="1:9" x14ac:dyDescent="0.25">
      <c r="A208" s="37">
        <v>8</v>
      </c>
      <c r="B208" s="185">
        <v>918</v>
      </c>
      <c r="C208" s="179">
        <f>INDEX('[3]Full Program List'!B$2:B$300,MATCH(B208,'[3]Full Program List'!A$2:A$300,0))</f>
        <v>8</v>
      </c>
      <c r="D208" s="180" t="str">
        <f>INDEX('[3]Full Program List'!C$2:C$300,MATCH(B208,'[3]Full Program List'!A$2:A$300,0))</f>
        <v>ST. JOSEPH, TOWNSHIP OF</v>
      </c>
      <c r="E208" s="181">
        <v>37834.36</v>
      </c>
      <c r="F208" s="188">
        <v>0</v>
      </c>
      <c r="G208" s="188">
        <f t="shared" si="6"/>
        <v>37834.36</v>
      </c>
      <c r="H208" s="183">
        <v>59.047271200750195</v>
      </c>
      <c r="I208" s="184">
        <f t="shared" si="7"/>
        <v>640.74696815996663</v>
      </c>
    </row>
    <row r="209" spans="1:9" x14ac:dyDescent="0.25">
      <c r="A209" s="37">
        <v>8</v>
      </c>
      <c r="B209" s="185">
        <v>922</v>
      </c>
      <c r="C209" s="179">
        <f>INDEX('[3]Full Program List'!B$2:B$300,MATCH(B209,'[3]Full Program List'!A$2:A$300,0))</f>
        <v>8</v>
      </c>
      <c r="D209" s="180" t="str">
        <f>INDEX('[3]Full Program List'!C$2:C$300,MATCH(B209,'[3]Full Program List'!A$2:A$300,0))</f>
        <v>STRONG, TOWNSHIP OF</v>
      </c>
      <c r="E209" s="181">
        <v>122591.46</v>
      </c>
      <c r="F209" s="188">
        <v>18794.579999999998</v>
      </c>
      <c r="G209" s="188">
        <f t="shared" si="6"/>
        <v>103796.88</v>
      </c>
      <c r="H209" s="183">
        <v>157.44</v>
      </c>
      <c r="I209" s="184">
        <f t="shared" si="7"/>
        <v>659.27896341463418</v>
      </c>
    </row>
    <row r="210" spans="1:9" x14ac:dyDescent="0.25">
      <c r="A210" s="37">
        <v>8</v>
      </c>
      <c r="B210" s="185">
        <v>924</v>
      </c>
      <c r="C210" s="179">
        <f>INDEX('[3]Full Program List'!B$2:B$300,MATCH(B210,'[3]Full Program List'!A$2:A$300,0))</f>
        <v>8</v>
      </c>
      <c r="D210" s="180" t="str">
        <f>INDEX('[3]Full Program List'!C$2:C$300,MATCH(B210,'[3]Full Program List'!A$2:A$300,0))</f>
        <v>TARBUTT &amp; TARBUTT ADDITIONAL, TOWNSHIP OF</v>
      </c>
      <c r="E210" s="181">
        <v>54438.720000000001</v>
      </c>
      <c r="F210" s="188">
        <v>0</v>
      </c>
      <c r="G210" s="188">
        <f t="shared" si="6"/>
        <v>54438.720000000001</v>
      </c>
      <c r="H210" s="183">
        <v>114.91247851438976</v>
      </c>
      <c r="I210" s="184">
        <f t="shared" si="7"/>
        <v>473.74071731629203</v>
      </c>
    </row>
    <row r="211" spans="1:9" x14ac:dyDescent="0.25">
      <c r="A211" s="37">
        <v>8</v>
      </c>
      <c r="B211" s="185">
        <v>929</v>
      </c>
      <c r="C211" s="179">
        <f>INDEX('[3]Full Program List'!B$2:B$300,MATCH(B211,'[3]Full Program List'!A$2:A$300,0))</f>
        <v>8</v>
      </c>
      <c r="D211" s="180" t="str">
        <f>INDEX('[3]Full Program List'!C$2:C$300,MATCH(B211,'[3]Full Program List'!A$2:A$300,0))</f>
        <v>TERRACE BAY, TOWNSHIP OF</v>
      </c>
      <c r="E211" s="181">
        <v>52171.61</v>
      </c>
      <c r="F211" s="188">
        <v>0</v>
      </c>
      <c r="G211" s="188">
        <f t="shared" si="6"/>
        <v>52171.61</v>
      </c>
      <c r="H211" s="183">
        <v>48.975680260617573</v>
      </c>
      <c r="I211" s="184">
        <f t="shared" si="7"/>
        <v>1065.255443566597</v>
      </c>
    </row>
    <row r="212" spans="1:9" x14ac:dyDescent="0.25">
      <c r="A212" s="37">
        <v>8</v>
      </c>
      <c r="B212" s="185">
        <v>955</v>
      </c>
      <c r="C212" s="179">
        <f>INDEX('[3]Full Program List'!B$2:B$300,MATCH(B212,'[3]Full Program List'!A$2:A$300,0))</f>
        <v>8</v>
      </c>
      <c r="D212" s="180" t="str">
        <f>INDEX('[3]Full Program List'!C$2:C$300,MATCH(B212,'[3]Full Program List'!A$2:A$300,0))</f>
        <v>BONFIELD, TOWNSHIP OF</v>
      </c>
      <c r="E212" s="181">
        <v>22749.54</v>
      </c>
      <c r="F212" s="188">
        <v>0</v>
      </c>
      <c r="G212" s="188">
        <f t="shared" si="6"/>
        <v>22749.54</v>
      </c>
      <c r="H212" s="183">
        <v>48.241978039358088</v>
      </c>
      <c r="I212" s="184">
        <f t="shared" si="7"/>
        <v>471.57145964122469</v>
      </c>
    </row>
    <row r="213" spans="1:9" x14ac:dyDescent="0.25">
      <c r="A213" s="37">
        <v>8</v>
      </c>
      <c r="B213" s="185">
        <v>973</v>
      </c>
      <c r="C213" s="179">
        <f>INDEX('[3]Full Program List'!B$2:B$300,MATCH(B213,'[3]Full Program List'!A$2:A$300,0))</f>
        <v>8</v>
      </c>
      <c r="D213" s="180" t="str">
        <f>INDEX('[3]Full Program List'!C$2:C$300,MATCH(B213,'[3]Full Program List'!A$2:A$300,0))</f>
        <v>CHARLTON AND DACK, MUNICIPALITY OF</v>
      </c>
      <c r="E213" s="181">
        <v>7075.91</v>
      </c>
      <c r="F213" s="188">
        <v>0</v>
      </c>
      <c r="G213" s="188">
        <f t="shared" si="6"/>
        <v>7075.91</v>
      </c>
      <c r="H213" s="183">
        <v>7.0843726591984275</v>
      </c>
      <c r="I213" s="184">
        <f t="shared" si="7"/>
        <v>998.80544691738658</v>
      </c>
    </row>
    <row r="214" spans="1:9" x14ac:dyDescent="0.25">
      <c r="A214" s="37">
        <v>8</v>
      </c>
      <c r="B214" s="185">
        <v>974</v>
      </c>
      <c r="C214" s="179">
        <f>INDEX('[3]Full Program List'!B$2:B$300,MATCH(B214,'[3]Full Program List'!A$2:A$300,0))</f>
        <v>8</v>
      </c>
      <c r="D214" s="180" t="str">
        <f>INDEX('[3]Full Program List'!C$2:C$300,MATCH(B214,'[3]Full Program List'!A$2:A$300,0))</f>
        <v>SERPENT RIVER FIRST NATIONS</v>
      </c>
      <c r="E214" s="181">
        <v>13013.02</v>
      </c>
      <c r="F214" s="188">
        <v>0</v>
      </c>
      <c r="G214" s="188">
        <f t="shared" si="6"/>
        <v>13013.02</v>
      </c>
      <c r="H214" s="183">
        <v>19.13</v>
      </c>
      <c r="I214" s="184">
        <f t="shared" si="7"/>
        <v>680.24150548876116</v>
      </c>
    </row>
    <row r="215" spans="1:9" x14ac:dyDescent="0.25">
      <c r="A215" s="37">
        <v>8</v>
      </c>
      <c r="B215" s="185">
        <v>978</v>
      </c>
      <c r="C215" s="179">
        <f>INDEX('[3]Full Program List'!B$2:B$300,MATCH(B215,'[3]Full Program List'!A$2:A$300,0))</f>
        <v>8</v>
      </c>
      <c r="D215" s="180" t="str">
        <f>INDEX('[3]Full Program List'!C$2:C$300,MATCH(B215,'[3]Full Program List'!A$2:A$300,0))</f>
        <v>SAGAMOK ANISHNAWBEK FIRST NATION</v>
      </c>
      <c r="E215" s="181">
        <v>53507.31</v>
      </c>
      <c r="F215" s="188">
        <v>1358.34</v>
      </c>
      <c r="G215" s="188">
        <f t="shared" si="6"/>
        <v>52148.97</v>
      </c>
      <c r="H215" s="183">
        <v>33.756385778634701</v>
      </c>
      <c r="I215" s="184">
        <f t="shared" si="7"/>
        <v>1544.8623659528873</v>
      </c>
    </row>
    <row r="216" spans="1:9" x14ac:dyDescent="0.25">
      <c r="A216" s="37">
        <v>8</v>
      </c>
      <c r="B216" s="185">
        <v>985</v>
      </c>
      <c r="C216" s="179">
        <f>INDEX('[3]Full Program List'!B$2:B$300,MATCH(B216,'[3]Full Program List'!A$2:A$300,0))</f>
        <v>8</v>
      </c>
      <c r="D216" s="180" t="str">
        <f>INDEX('[3]Full Program List'!C$2:C$300,MATCH(B216,'[3]Full Program List'!A$2:A$300,0))</f>
        <v>WIKWEMIKONG UNCEDED INDIAN RESERVE</v>
      </c>
      <c r="E216" s="181">
        <v>49440</v>
      </c>
      <c r="F216" s="188">
        <v>0</v>
      </c>
      <c r="G216" s="188">
        <f t="shared" si="6"/>
        <v>49440</v>
      </c>
      <c r="H216" s="183">
        <v>19.498273373940624</v>
      </c>
      <c r="I216" s="184">
        <f t="shared" si="7"/>
        <v>2535.6091307077677</v>
      </c>
    </row>
    <row r="217" spans="1:9" x14ac:dyDescent="0.25">
      <c r="A217" s="37">
        <v>8</v>
      </c>
      <c r="B217" s="185">
        <v>990</v>
      </c>
      <c r="C217" s="179">
        <f>INDEX('[3]Full Program List'!B$2:B$300,MATCH(B217,'[3]Full Program List'!A$2:A$300,0))</f>
        <v>8</v>
      </c>
      <c r="D217" s="180" t="str">
        <f>INDEX('[3]Full Program List'!C$2:C$300,MATCH(B217,'[3]Full Program List'!A$2:A$300,0))</f>
        <v>Minaki Recycling Corporation</v>
      </c>
      <c r="E217" s="181">
        <v>4506.8</v>
      </c>
      <c r="F217" s="188">
        <v>0</v>
      </c>
      <c r="G217" s="188">
        <f t="shared" si="6"/>
        <v>4506.8</v>
      </c>
      <c r="H217" s="183">
        <v>4.3126083596667133</v>
      </c>
      <c r="I217" s="184">
        <f t="shared" si="7"/>
        <v>1045.028814150955</v>
      </c>
    </row>
    <row r="218" spans="1:9" x14ac:dyDescent="0.25">
      <c r="A218" s="37">
        <v>8</v>
      </c>
      <c r="B218" s="185">
        <v>100</v>
      </c>
      <c r="C218" s="179">
        <f>INDEX('[3]Full Program List'!B$2:B$300,MATCH(B218,'[3]Full Program List'!A$2:A$300,0))</f>
        <v>9</v>
      </c>
      <c r="D218" s="180" t="str">
        <f>INDEX('[3]Full Program List'!C$2:C$300,MATCH(B218,'[3]Full Program List'!A$2:A$300,0))</f>
        <v>ONEIDA NATION OF THE THAMES</v>
      </c>
      <c r="E218" s="181">
        <v>29893.4</v>
      </c>
      <c r="F218" s="188">
        <v>0</v>
      </c>
      <c r="G218" s="188">
        <f t="shared" si="6"/>
        <v>29893.4</v>
      </c>
      <c r="H218" s="183">
        <v>31.847179844103021</v>
      </c>
      <c r="I218" s="184">
        <f t="shared" si="7"/>
        <v>938.65140167301843</v>
      </c>
    </row>
    <row r="219" spans="1:9" x14ac:dyDescent="0.25">
      <c r="A219" s="37">
        <v>8</v>
      </c>
      <c r="B219" s="185">
        <v>159</v>
      </c>
      <c r="C219" s="179">
        <f>INDEX('[3]Full Program List'!B$2:B$300,MATCH(B219,'[3]Full Program List'!A$2:A$300,0))</f>
        <v>9</v>
      </c>
      <c r="D219" s="180" t="str">
        <f>INDEX('[3]Full Program List'!C$2:C$300,MATCH(B219,'[3]Full Program List'!A$2:A$300,0))</f>
        <v>DYSART ET AL, TOWNSHIP OF</v>
      </c>
      <c r="E219" s="181">
        <v>161334.24</v>
      </c>
      <c r="F219" s="188">
        <v>0</v>
      </c>
      <c r="G219" s="188">
        <f t="shared" si="6"/>
        <v>161334.24</v>
      </c>
      <c r="H219" s="183">
        <v>827.75861293351329</v>
      </c>
      <c r="I219" s="184">
        <f t="shared" si="7"/>
        <v>194.90493663151841</v>
      </c>
    </row>
    <row r="220" spans="1:9" x14ac:dyDescent="0.25">
      <c r="A220" s="37">
        <v>8</v>
      </c>
      <c r="B220" s="185">
        <v>173</v>
      </c>
      <c r="C220" s="179">
        <f>INDEX('[3]Full Program List'!B$2:B$300,MATCH(B220,'[3]Full Program List'!A$2:A$300,0))</f>
        <v>9</v>
      </c>
      <c r="D220" s="180" t="str">
        <f>INDEX('[3]Full Program List'!C$2:C$300,MATCH(B220,'[3]Full Program List'!A$2:A$300,0))</f>
        <v>ALGONQUIN HIGHLANDS,TOWNSHIP OF</v>
      </c>
      <c r="E220" s="181">
        <v>161973.89000000001</v>
      </c>
      <c r="F220" s="188">
        <v>80</v>
      </c>
      <c r="G220" s="188">
        <f t="shared" si="6"/>
        <v>161893.89000000001</v>
      </c>
      <c r="H220" s="183">
        <v>352.88</v>
      </c>
      <c r="I220" s="184">
        <f t="shared" si="7"/>
        <v>458.77887667195654</v>
      </c>
    </row>
    <row r="221" spans="1:9" x14ac:dyDescent="0.25">
      <c r="A221" s="37">
        <v>9</v>
      </c>
      <c r="B221" s="185">
        <v>204</v>
      </c>
      <c r="C221" s="179">
        <f>INDEX('[3]Full Program List'!B$2:B$300,MATCH(B221,'[3]Full Program List'!A$2:A$300,0))</f>
        <v>9</v>
      </c>
      <c r="D221" s="180" t="str">
        <f>INDEX('[3]Full Program List'!C$2:C$300,MATCH(B221,'[3]Full Program List'!A$2:A$300,0))</f>
        <v>LEEDS AND THE THOUSAND ISLANDS, TOWNSHIP OF</v>
      </c>
      <c r="E221" s="181">
        <v>583867.55000000005</v>
      </c>
      <c r="F221" s="188">
        <v>36940.740000000005</v>
      </c>
      <c r="G221" s="188">
        <f t="shared" si="6"/>
        <v>546926.81000000006</v>
      </c>
      <c r="H221" s="183">
        <v>695.26117999658322</v>
      </c>
      <c r="I221" s="184">
        <f t="shared" si="7"/>
        <v>786.64942864016632</v>
      </c>
    </row>
    <row r="222" spans="1:9" x14ac:dyDescent="0.25">
      <c r="A222" s="37">
        <v>9</v>
      </c>
      <c r="B222" s="185">
        <v>218</v>
      </c>
      <c r="C222" s="179">
        <f>INDEX('[3]Full Program List'!B$2:B$300,MATCH(B222,'[3]Full Program List'!A$2:A$300,0))</f>
        <v>9</v>
      </c>
      <c r="D222" s="180" t="str">
        <f>INDEX('[3]Full Program List'!C$2:C$300,MATCH(B222,'[3]Full Program List'!A$2:A$300,0))</f>
        <v>ELIZABETHTOWN-KITLEY, TOWNSHIP OF</v>
      </c>
      <c r="E222" s="181">
        <v>203212.92</v>
      </c>
      <c r="F222" s="188">
        <v>138</v>
      </c>
      <c r="G222" s="188">
        <f t="shared" si="6"/>
        <v>203074.92</v>
      </c>
      <c r="H222" s="183">
        <v>324.80179312584204</v>
      </c>
      <c r="I222" s="184">
        <f t="shared" si="7"/>
        <v>625.22721332797619</v>
      </c>
    </row>
    <row r="223" spans="1:9" x14ac:dyDescent="0.25">
      <c r="A223" s="37">
        <v>9</v>
      </c>
      <c r="B223" s="185">
        <v>230</v>
      </c>
      <c r="C223" s="179">
        <f>INDEX('[3]Full Program List'!B$2:B$300,MATCH(B223,'[3]Full Program List'!A$2:A$300,0))</f>
        <v>9</v>
      </c>
      <c r="D223" s="180" t="str">
        <f>INDEX('[3]Full Program List'!C$2:C$300,MATCH(B223,'[3]Full Program List'!A$2:A$300,0))</f>
        <v>FRONT OF YONGE, TOWNSHIP OF</v>
      </c>
      <c r="E223" s="181">
        <v>69106.73</v>
      </c>
      <c r="F223" s="188">
        <v>4871.54</v>
      </c>
      <c r="G223" s="188">
        <f t="shared" si="6"/>
        <v>64235.189999999995</v>
      </c>
      <c r="H223" s="183">
        <v>146.57443758263469</v>
      </c>
      <c r="I223" s="184">
        <f t="shared" si="7"/>
        <v>438.2427868009791</v>
      </c>
    </row>
    <row r="224" spans="1:9" x14ac:dyDescent="0.25">
      <c r="A224" s="37">
        <v>9</v>
      </c>
      <c r="B224" s="185">
        <v>277</v>
      </c>
      <c r="C224" s="179">
        <f>INDEX('[3]Full Program List'!B$2:B$300,MATCH(B224,'[3]Full Program List'!A$2:A$300,0))</f>
        <v>9</v>
      </c>
      <c r="D224" s="180" t="str">
        <f>INDEX('[3]Full Program List'!C$2:C$300,MATCH(B224,'[3]Full Program List'!A$2:A$300,0))</f>
        <v>FRONTENAC ISLANDS, TOWNSHIP OF</v>
      </c>
      <c r="E224" s="181">
        <v>69536.61</v>
      </c>
      <c r="F224" s="188">
        <v>0</v>
      </c>
      <c r="G224" s="188">
        <f t="shared" si="6"/>
        <v>69536.61</v>
      </c>
      <c r="H224" s="183">
        <v>118.22152392243591</v>
      </c>
      <c r="I224" s="184">
        <f t="shared" si="7"/>
        <v>588.18908514174075</v>
      </c>
    </row>
    <row r="225" spans="1:9" x14ac:dyDescent="0.25">
      <c r="A225" s="37">
        <v>9</v>
      </c>
      <c r="B225" s="185">
        <v>279</v>
      </c>
      <c r="C225" s="179">
        <f>INDEX('[3]Full Program List'!B$2:B$300,MATCH(B225,'[3]Full Program List'!A$2:A$300,0))</f>
        <v>9</v>
      </c>
      <c r="D225" s="180" t="str">
        <f>INDEX('[3]Full Program List'!C$2:C$300,MATCH(B225,'[3]Full Program List'!A$2:A$300,0))</f>
        <v>AUGUSTA, TOWNSHIP OF</v>
      </c>
      <c r="E225" s="181">
        <v>141933.18</v>
      </c>
      <c r="F225" s="188">
        <v>746</v>
      </c>
      <c r="G225" s="188">
        <f t="shared" si="6"/>
        <v>141187.18</v>
      </c>
      <c r="H225" s="183">
        <v>540.1157723406485</v>
      </c>
      <c r="I225" s="184">
        <f t="shared" si="7"/>
        <v>261.40169798810075</v>
      </c>
    </row>
    <row r="226" spans="1:9" x14ac:dyDescent="0.25">
      <c r="A226" s="37">
        <v>9</v>
      </c>
      <c r="B226" s="185">
        <v>331</v>
      </c>
      <c r="C226" s="179">
        <f>INDEX('[3]Full Program List'!B$2:B$300,MATCH(B226,'[3]Full Program List'!A$2:A$300,0))</f>
        <v>9</v>
      </c>
      <c r="D226" s="180" t="str">
        <f>INDEX('[3]Full Program List'!C$2:C$300,MATCH(B226,'[3]Full Program List'!A$2:A$300,0))</f>
        <v>STONE MILLS, TOWNSHIP OF</v>
      </c>
      <c r="E226" s="181">
        <v>161705.39000000001</v>
      </c>
      <c r="F226" s="188">
        <v>23223.75</v>
      </c>
      <c r="G226" s="188">
        <f t="shared" si="6"/>
        <v>138481.64000000001</v>
      </c>
      <c r="H226" s="183">
        <v>398.65860170051161</v>
      </c>
      <c r="I226" s="184">
        <f t="shared" si="7"/>
        <v>347.3690004663012</v>
      </c>
    </row>
    <row r="227" spans="1:9" x14ac:dyDescent="0.25">
      <c r="A227" s="37">
        <v>9</v>
      </c>
      <c r="B227" s="185">
        <v>369</v>
      </c>
      <c r="C227" s="179">
        <f>INDEX('[3]Full Program List'!B$2:B$300,MATCH(B227,'[3]Full Program List'!A$2:A$300,0))</f>
        <v>9</v>
      </c>
      <c r="D227" s="180" t="str">
        <f>INDEX('[3]Full Program List'!C$2:C$300,MATCH(B227,'[3]Full Program List'!A$2:A$300,0))</f>
        <v>HIGHLANDS EAST, MUNICIPALITY OF</v>
      </c>
      <c r="E227" s="181">
        <v>387832.75</v>
      </c>
      <c r="F227" s="188">
        <v>0</v>
      </c>
      <c r="G227" s="188">
        <f t="shared" si="6"/>
        <v>387832.75</v>
      </c>
      <c r="H227" s="183">
        <v>468.64581619145497</v>
      </c>
      <c r="I227" s="184">
        <f t="shared" si="7"/>
        <v>827.56046592243433</v>
      </c>
    </row>
    <row r="228" spans="1:9" x14ac:dyDescent="0.25">
      <c r="A228" s="37">
        <v>9</v>
      </c>
      <c r="B228" s="185">
        <v>416</v>
      </c>
      <c r="C228" s="179">
        <f>INDEX('[3]Full Program List'!B$2:B$300,MATCH(B228,'[3]Full Program List'!A$2:A$300,0))</f>
        <v>9</v>
      </c>
      <c r="D228" s="180" t="str">
        <f>INDEX('[3]Full Program List'!C$2:C$300,MATCH(B228,'[3]Full Program List'!A$2:A$300,0))</f>
        <v>BRUDENELL, LYNDOCH AND RAGLAN, TOWNSHIP OF</v>
      </c>
      <c r="E228" s="181">
        <v>47802.65</v>
      </c>
      <c r="F228" s="188">
        <v>134.5</v>
      </c>
      <c r="G228" s="188">
        <f t="shared" si="6"/>
        <v>47668.15</v>
      </c>
      <c r="H228" s="183">
        <v>79.001198840183932</v>
      </c>
      <c r="I228" s="184">
        <f t="shared" si="7"/>
        <v>603.38514731188627</v>
      </c>
    </row>
    <row r="229" spans="1:9" x14ac:dyDescent="0.25">
      <c r="A229" s="37">
        <v>9</v>
      </c>
      <c r="B229" s="185">
        <v>420</v>
      </c>
      <c r="C229" s="179">
        <f>INDEX('[3]Full Program List'!B$2:B$300,MATCH(B229,'[3]Full Program List'!A$2:A$300,0))</f>
        <v>9</v>
      </c>
      <c r="D229" s="180" t="str">
        <f>INDEX('[3]Full Program List'!C$2:C$300,MATCH(B229,'[3]Full Program List'!A$2:A$300,0))</f>
        <v>NORTHERN BRUCE PENINSULA, MUNICIPALITY OF</v>
      </c>
      <c r="E229" s="181">
        <v>188843.04</v>
      </c>
      <c r="F229" s="188">
        <v>627.58000000000004</v>
      </c>
      <c r="G229" s="188">
        <f t="shared" si="6"/>
        <v>188215.46000000002</v>
      </c>
      <c r="H229" s="183">
        <v>423.29939066767844</v>
      </c>
      <c r="I229" s="184">
        <f t="shared" si="7"/>
        <v>444.6390997707889</v>
      </c>
    </row>
    <row r="230" spans="1:9" x14ac:dyDescent="0.25">
      <c r="A230" s="37">
        <v>9</v>
      </c>
      <c r="B230" s="185">
        <v>508</v>
      </c>
      <c r="C230" s="179">
        <f>INDEX('[3]Full Program List'!B$2:B$300,MATCH(B230,'[3]Full Program List'!A$2:A$300,0))</f>
        <v>9</v>
      </c>
      <c r="D230" s="180" t="str">
        <f>INDEX('[3]Full Program List'!C$2:C$300,MATCH(B230,'[3]Full Program List'!A$2:A$300,0))</f>
        <v>CARLOW MAYO, TOWNSHIP OF</v>
      </c>
      <c r="E230" s="181">
        <v>60727.65</v>
      </c>
      <c r="F230" s="188">
        <v>0</v>
      </c>
      <c r="G230" s="188">
        <f t="shared" si="6"/>
        <v>60727.65</v>
      </c>
      <c r="H230" s="183">
        <v>96.676564339446884</v>
      </c>
      <c r="I230" s="184">
        <f t="shared" si="7"/>
        <v>628.15275258205816</v>
      </c>
    </row>
    <row r="231" spans="1:9" x14ac:dyDescent="0.25">
      <c r="A231" s="37">
        <v>9</v>
      </c>
      <c r="B231" s="185">
        <v>512</v>
      </c>
      <c r="C231" s="179">
        <f>INDEX('[3]Full Program List'!B$2:B$300,MATCH(B231,'[3]Full Program List'!A$2:A$300,0))</f>
        <v>9</v>
      </c>
      <c r="D231" s="180" t="str">
        <f>INDEX('[3]Full Program List'!C$2:C$300,MATCH(B231,'[3]Full Program List'!A$2:A$300,0))</f>
        <v>TAY VALLEY, TOWNSHIP OF</v>
      </c>
      <c r="E231" s="181">
        <v>282778.59999999998</v>
      </c>
      <c r="F231" s="188">
        <v>11398.92</v>
      </c>
      <c r="G231" s="188">
        <f t="shared" si="6"/>
        <v>271379.68</v>
      </c>
      <c r="H231" s="183">
        <v>240.37592968230376</v>
      </c>
      <c r="I231" s="184">
        <f t="shared" si="7"/>
        <v>1128.9802617037103</v>
      </c>
    </row>
    <row r="232" spans="1:9" x14ac:dyDescent="0.25">
      <c r="A232" s="37">
        <v>9</v>
      </c>
      <c r="B232" s="185">
        <v>516</v>
      </c>
      <c r="C232" s="179">
        <f>INDEX('[3]Full Program List'!B$2:B$300,MATCH(B232,'[3]Full Program List'!A$2:A$300,0))</f>
        <v>9</v>
      </c>
      <c r="D232" s="180" t="str">
        <f>INDEX('[3]Full Program List'!C$2:C$300,MATCH(B232,'[3]Full Program List'!A$2:A$300,0))</f>
        <v>LANARK HIGHLANDS, TOWNSHIP OF</v>
      </c>
      <c r="E232" s="181">
        <v>149463.49</v>
      </c>
      <c r="F232" s="188">
        <v>40.049999999999997</v>
      </c>
      <c r="G232" s="188">
        <f t="shared" si="6"/>
        <v>149423.44</v>
      </c>
      <c r="H232" s="183">
        <v>318.38260667853939</v>
      </c>
      <c r="I232" s="184">
        <f t="shared" si="7"/>
        <v>469.32036130625693</v>
      </c>
    </row>
    <row r="233" spans="1:9" x14ac:dyDescent="0.25">
      <c r="A233" s="37">
        <v>9</v>
      </c>
      <c r="B233" s="185">
        <v>521</v>
      </c>
      <c r="C233" s="179">
        <f>INDEX('[3]Full Program List'!B$2:B$300,MATCH(B233,'[3]Full Program List'!A$2:A$300,0))</f>
        <v>9</v>
      </c>
      <c r="D233" s="180" t="str">
        <f>INDEX('[3]Full Program List'!C$2:C$300,MATCH(B233,'[3]Full Program List'!A$2:A$300,0))</f>
        <v>ADDINGTON HIGHLANDS, TOWNSHIP OF</v>
      </c>
      <c r="E233" s="181">
        <v>324197.18</v>
      </c>
      <c r="F233" s="188">
        <v>0</v>
      </c>
      <c r="G233" s="188">
        <f t="shared" si="6"/>
        <v>324197.18</v>
      </c>
      <c r="H233" s="183">
        <v>130.45414260299998</v>
      </c>
      <c r="I233" s="184">
        <f t="shared" si="7"/>
        <v>2485.142851972143</v>
      </c>
    </row>
    <row r="234" spans="1:9" x14ac:dyDescent="0.25">
      <c r="A234" s="37">
        <v>9</v>
      </c>
      <c r="B234" s="185">
        <v>522</v>
      </c>
      <c r="C234" s="179">
        <f>INDEX('[3]Full Program List'!B$2:B$300,MATCH(B234,'[3]Full Program List'!A$2:A$300,0))</f>
        <v>9</v>
      </c>
      <c r="D234" s="180" t="str">
        <f>INDEX('[3]Full Program List'!C$2:C$300,MATCH(B234,'[3]Full Program List'!A$2:A$300,0))</f>
        <v>ADMASTON/BROMLEY, TOWNSHIP OF</v>
      </c>
      <c r="E234" s="181">
        <v>96784.89</v>
      </c>
      <c r="F234" s="188">
        <v>36</v>
      </c>
      <c r="G234" s="188">
        <f t="shared" si="6"/>
        <v>96748.89</v>
      </c>
      <c r="H234" s="183">
        <v>100.03985639352658</v>
      </c>
      <c r="I234" s="184">
        <f t="shared" si="7"/>
        <v>967.1034474441775</v>
      </c>
    </row>
    <row r="235" spans="1:9" x14ac:dyDescent="0.25">
      <c r="A235" s="37">
        <v>9</v>
      </c>
      <c r="B235" s="185">
        <v>523</v>
      </c>
      <c r="C235" s="179">
        <f>INDEX('[3]Full Program List'!B$2:B$300,MATCH(B235,'[3]Full Program List'!A$2:A$300,0))</f>
        <v>9</v>
      </c>
      <c r="D235" s="180" t="str">
        <f>INDEX('[3]Full Program List'!C$2:C$300,MATCH(B235,'[3]Full Program List'!A$2:A$300,0))</f>
        <v>MINDEN HILLS, TOWNSHIP OF</v>
      </c>
      <c r="E235" s="181">
        <v>241124.1</v>
      </c>
      <c r="F235" s="188">
        <v>310</v>
      </c>
      <c r="G235" s="188">
        <f t="shared" si="6"/>
        <v>240814.1</v>
      </c>
      <c r="H235" s="183">
        <v>1100.2666392830195</v>
      </c>
      <c r="I235" s="184">
        <f t="shared" si="7"/>
        <v>218.86885542301337</v>
      </c>
    </row>
    <row r="236" spans="1:9" x14ac:dyDescent="0.25">
      <c r="A236" s="37">
        <v>9</v>
      </c>
      <c r="B236" s="185">
        <v>527</v>
      </c>
      <c r="C236" s="179">
        <f>INDEX('[3]Full Program List'!B$2:B$300,MATCH(B236,'[3]Full Program List'!A$2:A$300,0))</f>
        <v>9</v>
      </c>
      <c r="D236" s="180" t="str">
        <f>INDEX('[3]Full Program List'!C$2:C$300,MATCH(B236,'[3]Full Program List'!A$2:A$300,0))</f>
        <v>GREATER MADAWASKA, TOWNSHIP OF</v>
      </c>
      <c r="E236" s="181">
        <v>102100.27</v>
      </c>
      <c r="F236" s="188">
        <v>90</v>
      </c>
      <c r="G236" s="188">
        <f t="shared" si="6"/>
        <v>102010.27</v>
      </c>
      <c r="H236" s="183">
        <v>202.44848299718456</v>
      </c>
      <c r="I236" s="184">
        <f t="shared" si="7"/>
        <v>503.88260998438136</v>
      </c>
    </row>
    <row r="237" spans="1:9" x14ac:dyDescent="0.25">
      <c r="A237" s="37">
        <v>9</v>
      </c>
      <c r="B237" s="185">
        <v>543</v>
      </c>
      <c r="C237" s="179">
        <f>INDEX('[3]Full Program List'!B$2:B$300,MATCH(B237,'[3]Full Program List'!A$2:A$300,0))</f>
        <v>9</v>
      </c>
      <c r="D237" s="180" t="str">
        <f>INDEX('[3]Full Program List'!C$2:C$300,MATCH(B237,'[3]Full Program List'!A$2:A$300,0))</f>
        <v>ENNISKILLEN, TOWNSHIP OF</v>
      </c>
      <c r="E237" s="181">
        <v>35958.870000000003</v>
      </c>
      <c r="F237" s="188">
        <v>0</v>
      </c>
      <c r="G237" s="188">
        <f t="shared" si="6"/>
        <v>35958.870000000003</v>
      </c>
      <c r="H237" s="183">
        <v>87.043542053499934</v>
      </c>
      <c r="I237" s="184">
        <f t="shared" si="7"/>
        <v>413.11358834522673</v>
      </c>
    </row>
    <row r="238" spans="1:9" x14ac:dyDescent="0.25">
      <c r="A238" s="37">
        <v>9</v>
      </c>
      <c r="B238" s="185">
        <v>547</v>
      </c>
      <c r="C238" s="179">
        <f>INDEX('[3]Full Program List'!B$2:B$300,MATCH(B238,'[3]Full Program List'!A$2:A$300,0))</f>
        <v>9</v>
      </c>
      <c r="D238" s="180" t="str">
        <f>INDEX('[3]Full Program List'!C$2:C$300,MATCH(B238,'[3]Full Program List'!A$2:A$300,0))</f>
        <v>BONNECHERE VALLEY, TOWNSHIP OF</v>
      </c>
      <c r="E238" s="181">
        <v>97156.09</v>
      </c>
      <c r="F238" s="188">
        <v>0</v>
      </c>
      <c r="G238" s="188">
        <f t="shared" si="6"/>
        <v>97156.09</v>
      </c>
      <c r="H238" s="183">
        <v>243.74826284405572</v>
      </c>
      <c r="I238" s="184">
        <f t="shared" si="7"/>
        <v>398.59192786189465</v>
      </c>
    </row>
    <row r="239" spans="1:9" x14ac:dyDescent="0.25">
      <c r="A239" s="37"/>
      <c r="B239" s="185">
        <v>552</v>
      </c>
      <c r="C239" s="179">
        <f>INDEX('[3]Full Program List'!B$2:B$300,MATCH(B239,'[3]Full Program List'!A$2:A$300,0))</f>
        <v>9</v>
      </c>
      <c r="D239" s="180" t="str">
        <f>INDEX('[3]Full Program List'!C$2:C$300,MATCH(B239,'[3]Full Program List'!A$2:A$300,0))</f>
        <v>KILLALOE, HAGARTY, AND RICHARDS, TOWNSHIP OF</v>
      </c>
      <c r="E239" s="181">
        <v>103061.3</v>
      </c>
      <c r="F239" s="188">
        <v>0</v>
      </c>
      <c r="G239" s="188">
        <f t="shared" si="6"/>
        <v>103061.3</v>
      </c>
      <c r="H239" s="183">
        <v>129.99</v>
      </c>
      <c r="I239" s="184">
        <f t="shared" si="7"/>
        <v>792.84021847834447</v>
      </c>
    </row>
    <row r="240" spans="1:9" x14ac:dyDescent="0.25">
      <c r="A240" s="37"/>
      <c r="B240" s="185">
        <v>567</v>
      </c>
      <c r="C240" s="179">
        <f>INDEX('[3]Full Program List'!B$2:B$300,MATCH(B240,'[3]Full Program List'!A$2:A$300,0))</f>
        <v>9</v>
      </c>
      <c r="D240" s="180" t="str">
        <f>INDEX('[3]Full Program List'!C$2:C$300,MATCH(B240,'[3]Full Program List'!A$2:A$300,0))</f>
        <v>MADAWASKA VALLEY, TOWNSHIP OF</v>
      </c>
      <c r="E240" s="181">
        <v>192252.35</v>
      </c>
      <c r="F240" s="188">
        <v>160</v>
      </c>
      <c r="G240" s="188">
        <f t="shared" si="6"/>
        <v>192092.35</v>
      </c>
      <c r="H240" s="183">
        <v>357.89224720630364</v>
      </c>
      <c r="I240" s="184">
        <f t="shared" si="7"/>
        <v>536.73235869026848</v>
      </c>
    </row>
    <row r="241" spans="1:9" x14ac:dyDescent="0.25">
      <c r="A241" s="37"/>
      <c r="B241" s="185">
        <v>629</v>
      </c>
      <c r="C241" s="179">
        <f>INDEX('[3]Full Program List'!B$2:B$300,MATCH(B241,'[3]Full Program List'!A$2:A$300,0))</f>
        <v>9</v>
      </c>
      <c r="D241" s="180" t="str">
        <f>INDEX('[3]Full Program List'!C$2:C$300,MATCH(B241,'[3]Full Program List'!A$2:A$300,0))</f>
        <v>CENTRAL FRONTENAC, TOWNSHIP OF</v>
      </c>
      <c r="E241" s="181">
        <v>176268.94</v>
      </c>
      <c r="F241" s="188">
        <v>5167.2699999999995</v>
      </c>
      <c r="G241" s="188">
        <f t="shared" si="6"/>
        <v>171101.67</v>
      </c>
      <c r="H241" s="183">
        <v>240.14990199049728</v>
      </c>
      <c r="I241" s="184">
        <f t="shared" si="7"/>
        <v>712.47861682146549</v>
      </c>
    </row>
    <row r="242" spans="1:9" x14ac:dyDescent="0.25">
      <c r="A242" s="37"/>
      <c r="B242" s="185">
        <v>630</v>
      </c>
      <c r="C242" s="179">
        <f>INDEX('[3]Full Program List'!B$2:B$300,MATCH(B242,'[3]Full Program List'!A$2:A$300,0))</f>
        <v>9</v>
      </c>
      <c r="D242" s="180" t="str">
        <f>INDEX('[3]Full Program List'!C$2:C$300,MATCH(B242,'[3]Full Program List'!A$2:A$300,0))</f>
        <v>NORTH FRONTENAC, TOWNSHIP OF</v>
      </c>
      <c r="E242" s="181">
        <v>192209.49</v>
      </c>
      <c r="F242" s="188">
        <v>4898.67</v>
      </c>
      <c r="G242" s="188">
        <f t="shared" si="6"/>
        <v>187310.81999999998</v>
      </c>
      <c r="H242" s="183">
        <v>160.09993466033154</v>
      </c>
      <c r="I242" s="184">
        <f t="shared" si="7"/>
        <v>1169.961876607877</v>
      </c>
    </row>
    <row r="243" spans="1:9" x14ac:dyDescent="0.25">
      <c r="A243" s="37"/>
      <c r="B243" s="185">
        <v>695</v>
      </c>
      <c r="C243" s="179">
        <f>INDEX('[3]Full Program List'!B$2:B$300,MATCH(B243,'[3]Full Program List'!A$2:A$300,0))</f>
        <v>9</v>
      </c>
      <c r="D243" s="180" t="str">
        <f>INDEX('[3]Full Program List'!C$2:C$300,MATCH(B243,'[3]Full Program List'!A$2:A$300,0))</f>
        <v>CHIPPEWAS OF KETTLE AND STONY POINT FIRST NATIONS</v>
      </c>
      <c r="E243" s="181">
        <v>14871.19</v>
      </c>
      <c r="F243" s="188">
        <v>0</v>
      </c>
      <c r="G243" s="188">
        <f t="shared" si="6"/>
        <v>14871.19</v>
      </c>
      <c r="H243" s="183">
        <v>31.83905556353054</v>
      </c>
      <c r="I243" s="184">
        <f t="shared" si="7"/>
        <v>467.0738417578545</v>
      </c>
    </row>
    <row r="244" spans="1:9" x14ac:dyDescent="0.25">
      <c r="B244" s="185">
        <v>771</v>
      </c>
      <c r="C244" s="179">
        <f>INDEX('[3]Full Program List'!B$2:B$300,MATCH(B244,'[3]Full Program List'!A$2:A$300,0))</f>
        <v>9</v>
      </c>
      <c r="D244" s="180" t="str">
        <f>INDEX('[3]Full Program List'!C$2:C$300,MATCH(B244,'[3]Full Program List'!A$2:A$300,0))</f>
        <v>FARADAY, TOWNSHIP OF</v>
      </c>
      <c r="E244" s="181">
        <v>56478.67</v>
      </c>
      <c r="F244" s="188">
        <v>24</v>
      </c>
      <c r="G244" s="188">
        <f t="shared" si="6"/>
        <v>56454.67</v>
      </c>
      <c r="H244" s="183">
        <v>193.04573101803697</v>
      </c>
      <c r="I244" s="184">
        <f t="shared" si="7"/>
        <v>292.44194990629052</v>
      </c>
    </row>
    <row r="245" spans="1:9" x14ac:dyDescent="0.25">
      <c r="B245" s="185">
        <v>830</v>
      </c>
      <c r="C245" s="179">
        <f>INDEX('[3]Full Program List'!B$2:B$300,MATCH(B245,'[3]Full Program List'!A$2:A$300,0))</f>
        <v>9</v>
      </c>
      <c r="D245" s="180" t="str">
        <f>INDEX('[3]Full Program List'!C$2:C$300,MATCH(B245,'[3]Full Program List'!A$2:A$300,0))</f>
        <v>Limerick, Township of</v>
      </c>
      <c r="E245" s="181">
        <v>24300.39</v>
      </c>
      <c r="F245" s="188">
        <v>0</v>
      </c>
      <c r="G245" s="188">
        <f t="shared" si="6"/>
        <v>24300.39</v>
      </c>
      <c r="H245" s="183">
        <v>23.769072070364334</v>
      </c>
      <c r="I245" s="184">
        <f t="shared" si="7"/>
        <v>1022.3533307511033</v>
      </c>
    </row>
    <row r="246" spans="1:9" x14ac:dyDescent="0.25">
      <c r="B246" s="185">
        <v>936</v>
      </c>
      <c r="C246" s="179">
        <f>INDEX('[3]Full Program List'!B$2:B$300,MATCH(B246,'[3]Full Program List'!A$2:A$300,0))</f>
        <v>9</v>
      </c>
      <c r="D246" s="180" t="str">
        <f>INDEX('[3]Full Program List'!C$2:C$300,MATCH(B246,'[3]Full Program List'!A$2:A$300,0))</f>
        <v>TUDOR &amp; CASHEL, TOWNSHIP OF</v>
      </c>
      <c r="E246" s="181">
        <v>55239.58</v>
      </c>
      <c r="F246" s="188">
        <v>0</v>
      </c>
      <c r="G246" s="188">
        <f t="shared" si="6"/>
        <v>55239.58</v>
      </c>
      <c r="H246" s="183">
        <v>37.809912285379859</v>
      </c>
      <c r="I246" s="184">
        <f t="shared" si="7"/>
        <v>1460.9814374353828</v>
      </c>
    </row>
    <row r="247" spans="1:9" x14ac:dyDescent="0.25">
      <c r="B247" s="185">
        <v>952</v>
      </c>
      <c r="C247" s="179">
        <f>INDEX('[3]Full Program List'!B$2:B$300,MATCH(B247,'[3]Full Program List'!A$2:A$300,0))</f>
        <v>9</v>
      </c>
      <c r="D247" s="180" t="str">
        <f>INDEX('[3]Full Program List'!C$2:C$300,MATCH(B247,'[3]Full Program List'!A$2:A$300,0))</f>
        <v>WOLLASTON, TOWNSHIP OF</v>
      </c>
      <c r="E247" s="181">
        <v>91119.41</v>
      </c>
      <c r="F247" s="188">
        <v>3493</v>
      </c>
      <c r="G247" s="188">
        <f t="shared" si="6"/>
        <v>87626.41</v>
      </c>
      <c r="H247" s="183">
        <v>68.811870493550018</v>
      </c>
      <c r="I247" s="184">
        <f t="shared" si="7"/>
        <v>1273.4199691347374</v>
      </c>
    </row>
    <row r="248" spans="1:9" x14ac:dyDescent="0.25">
      <c r="B248" s="185">
        <v>982</v>
      </c>
      <c r="C248" s="179">
        <f>INDEX('[3]Full Program List'!B$2:B$300,MATCH(B248,'[3]Full Program List'!A$2:A$300,0))</f>
        <v>9</v>
      </c>
      <c r="D248" s="180" t="str">
        <f>INDEX('[3]Full Program List'!C$2:C$300,MATCH(B248,'[3]Full Program List'!A$2:A$300,0))</f>
        <v>WALPOLE ISLAND FIRST NATION</v>
      </c>
      <c r="E248" s="181">
        <v>21464.959999999999</v>
      </c>
      <c r="F248" s="188">
        <v>0</v>
      </c>
      <c r="G248" s="188">
        <f t="shared" si="6"/>
        <v>21464.959999999999</v>
      </c>
      <c r="H248" s="183">
        <v>93.22611956915361</v>
      </c>
      <c r="I248" s="184">
        <f t="shared" si="7"/>
        <v>230.24620245056582</v>
      </c>
    </row>
    <row r="249" spans="1:9" x14ac:dyDescent="0.25">
      <c r="B249" s="185">
        <v>987</v>
      </c>
      <c r="C249" s="179">
        <f>INDEX('[3]Full Program List'!B$2:B$300,MATCH(B249,'[3]Full Program List'!A$2:A$300,0))</f>
        <v>9</v>
      </c>
      <c r="D249" s="180" t="str">
        <f>INDEX('[3]Full Program List'!C$2:C$300,MATCH(B249,'[3]Full Program List'!A$2:A$300,0))</f>
        <v>SIX NATIONS</v>
      </c>
      <c r="E249" s="181">
        <v>82615.17</v>
      </c>
      <c r="F249" s="188">
        <v>0</v>
      </c>
      <c r="G249" s="188">
        <f t="shared" si="6"/>
        <v>82615.17</v>
      </c>
      <c r="H249" s="183">
        <v>301.89162628434212</v>
      </c>
      <c r="I249" s="184">
        <f t="shared" si="7"/>
        <v>273.65836878889576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Funding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Constantinou</dc:creator>
  <cp:lastModifiedBy>Jess Turchet</cp:lastModifiedBy>
  <dcterms:created xsi:type="dcterms:W3CDTF">2017-01-16T13:40:47Z</dcterms:created>
  <dcterms:modified xsi:type="dcterms:W3CDTF">2021-01-05T19:28:12Z</dcterms:modified>
  <cp:contentStatus/>
</cp:coreProperties>
</file>